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96" windowHeight="5016" activeTab="0"/>
  </bookViews>
  <sheets>
    <sheet name="01-gen govt" sheetId="1" r:id="rId1"/>
    <sheet name="02-assessing" sheetId="2" r:id="rId2"/>
    <sheet name="03-fire" sheetId="3" r:id="rId3"/>
    <sheet name="04-police" sheetId="4" r:id="rId4"/>
    <sheet name="05-comm" sheetId="5" r:id="rId5"/>
    <sheet name="07-pub works" sheetId="6" r:id="rId6"/>
    <sheet name="08-highway" sheetId="7" r:id="rId7"/>
    <sheet name="09-solid waste" sheetId="8" r:id="rId8"/>
    <sheet name="11-parks mntc" sheetId="9" r:id="rId9"/>
    <sheet name="13-park &amp; rec" sheetId="10" r:id="rId10"/>
    <sheet name="15-library" sheetId="11" r:id="rId11"/>
    <sheet name="16-equip mntc" sheetId="12" r:id="rId12"/>
    <sheet name="17-bldg &amp; grounds" sheetId="13" r:id="rId13"/>
    <sheet name="21-comm dev" sheetId="14" r:id="rId14"/>
    <sheet name="24-tax coll" sheetId="15" r:id="rId15"/>
    <sheet name="25-welfare" sheetId="16" r:id="rId16"/>
    <sheet name="27-debt svc" sheetId="17" r:id="rId17"/>
    <sheet name="10-wastewater" sheetId="18" r:id="rId18"/>
    <sheet name="32- media" sheetId="19" r:id="rId19"/>
    <sheet name="other" sheetId="20" r:id="rId20"/>
    <sheet name="summary" sheetId="21" r:id="rId21"/>
    <sheet name="General fund" sheetId="22" r:id="rId22"/>
  </sheets>
  <externalReferences>
    <externalReference r:id="rId25"/>
  </externalReferences>
  <definedNames>
    <definedName name="_xlnm.Print_Area" localSheetId="0">'01-gen govt'!$A$1:$F$58</definedName>
    <definedName name="_xlnm.Print_Area" localSheetId="1">'02-assessing'!$A$1:$F$36</definedName>
    <definedName name="_xlnm.Print_Area" localSheetId="2">'03-fire'!$A$1:$F$57</definedName>
    <definedName name="_xlnm.Print_Area" localSheetId="3">'04-police'!$A$1:$F$61</definedName>
    <definedName name="_xlnm.Print_Area" localSheetId="4">'05-comm'!$A$1:$F$32</definedName>
    <definedName name="_xlnm.Print_Area" localSheetId="5">'07-pub works'!$A$1:$F$34</definedName>
    <definedName name="_xlnm.Print_Area" localSheetId="6">'08-highway'!$A$1:$F$63</definedName>
    <definedName name="_xlnm.Print_Area" localSheetId="7">'09-solid waste'!$A$1:$F$46</definedName>
    <definedName name="_xlnm.Print_Area" localSheetId="17">'10-wastewater'!$A$1:$F$56</definedName>
    <definedName name="_xlnm.Print_Area" localSheetId="8">'11-parks mntc'!$A$1:$F$37</definedName>
    <definedName name="_xlnm.Print_Area" localSheetId="9">'13-park &amp; rec'!$A$1:$F$45</definedName>
    <definedName name="_xlnm.Print_Area" localSheetId="10">'15-library'!$A$1:$F$56</definedName>
    <definedName name="_xlnm.Print_Area" localSheetId="11">'16-equip mntc'!$A$1:$F$32</definedName>
    <definedName name="_xlnm.Print_Area" localSheetId="12">'17-bldg &amp; grounds'!$A$1:$F$38</definedName>
    <definedName name="_xlnm.Print_Area" localSheetId="13">'21-comm dev'!$A$1:$F$43</definedName>
    <definedName name="_xlnm.Print_Area" localSheetId="14">'24-tax coll'!$A$1:$F$33</definedName>
    <definedName name="_xlnm.Print_Area" localSheetId="15">'25-welfare'!$A$1:$F$29</definedName>
    <definedName name="_xlnm.Print_Area" localSheetId="16">'27-debt svc'!$A$1:$F$51</definedName>
    <definedName name="_xlnm.Print_Area" localSheetId="18">'32- media'!$A$1:$F$35</definedName>
    <definedName name="_xlnm.Print_Area" localSheetId="21">'General fund'!$A$1:$F$96</definedName>
    <definedName name="_xlnm.Print_Area" localSheetId="19">'other'!$A$1:$F$26</definedName>
    <definedName name="_xlnm.Print_Area" localSheetId="20">'summary'!$A$1:$F$106</definedName>
    <definedName name="_xlnm.Print_Titles" localSheetId="0">'01-gen govt'!$1:$3</definedName>
    <definedName name="_xlnm.Print_Titles" localSheetId="2">'03-fire'!$1:$3</definedName>
    <definedName name="_xlnm.Print_Titles" localSheetId="6">'08-highway'!$1:$3</definedName>
    <definedName name="_xlnm.Print_Titles" localSheetId="8">'11-parks mntc'!$1:$3</definedName>
    <definedName name="_xlnm.Print_Titles" localSheetId="21">'General fund'!$1:$3</definedName>
    <definedName name="_xlnm.Print_Titles" localSheetId="20">'summary'!$1:$3</definedName>
  </definedNames>
  <calcPr fullCalcOnLoad="1"/>
</workbook>
</file>

<file path=xl/sharedStrings.xml><?xml version="1.0" encoding="utf-8"?>
<sst xmlns="http://schemas.openxmlformats.org/spreadsheetml/2006/main" count="1754" uniqueCount="436">
  <si>
    <t>PERSONAL SERVICES INCREASE (DECREASE)</t>
  </si>
  <si>
    <t>Summary</t>
  </si>
  <si>
    <t>Actual</t>
  </si>
  <si>
    <t>Budget</t>
  </si>
  <si>
    <t>Increase (Decrease)</t>
  </si>
  <si>
    <t>Amount</t>
  </si>
  <si>
    <t>Percent</t>
  </si>
  <si>
    <t>Total</t>
  </si>
  <si>
    <t>Wage Adj</t>
  </si>
  <si>
    <t>Benefits</t>
  </si>
  <si>
    <t>53 Weeks</t>
  </si>
  <si>
    <t>Sick</t>
  </si>
  <si>
    <t>Part-Time</t>
  </si>
  <si>
    <t>Overtime</t>
  </si>
  <si>
    <t>Other operating expenses</t>
  </si>
  <si>
    <t>Capital outlay</t>
  </si>
  <si>
    <t>Explanation of Increase (Decrease)</t>
  </si>
  <si>
    <t xml:space="preserve"> </t>
  </si>
  <si>
    <t>Full-time:</t>
  </si>
  <si>
    <t xml:space="preserve">  Secretary</t>
  </si>
  <si>
    <t xml:space="preserve">  Total full-time</t>
  </si>
  <si>
    <t>Part-time (excludes temporary help):</t>
  </si>
  <si>
    <t xml:space="preserve">  Total part-time</t>
  </si>
  <si>
    <t>Capital Outlay</t>
  </si>
  <si>
    <t>COMMUNITY DEVELOPMENT</t>
  </si>
  <si>
    <t>Secretary</t>
  </si>
  <si>
    <t>Office Mgr</t>
  </si>
  <si>
    <t>Planning</t>
  </si>
  <si>
    <t>Asst</t>
  </si>
  <si>
    <t>PT Clerk</t>
  </si>
  <si>
    <t>Typist I</t>
  </si>
  <si>
    <t>Wage adjustments and attrition</t>
  </si>
  <si>
    <t>Employee benefit rate adjustments</t>
  </si>
  <si>
    <t>Total increase (decrease)</t>
  </si>
  <si>
    <t xml:space="preserve">  Community Development Director</t>
  </si>
  <si>
    <t xml:space="preserve">  Planning/Zoning Administrator</t>
  </si>
  <si>
    <t xml:space="preserve">  Building/Health Official</t>
  </si>
  <si>
    <t xml:space="preserve">  Planning Assistant</t>
  </si>
  <si>
    <t xml:space="preserve">  Building Inspector</t>
  </si>
  <si>
    <t xml:space="preserve">  Health Officer/Sanitarian</t>
  </si>
  <si>
    <t xml:space="preserve">  Office Manager</t>
  </si>
  <si>
    <t xml:space="preserve">  Clerk Typist II</t>
  </si>
  <si>
    <t>Computer equipment</t>
  </si>
  <si>
    <t>ASSESSING</t>
  </si>
  <si>
    <t>None</t>
  </si>
  <si>
    <t xml:space="preserve">             </t>
  </si>
  <si>
    <t>Part-time hours</t>
  </si>
  <si>
    <t>Overtime hours</t>
  </si>
  <si>
    <t xml:space="preserve">  Parks &amp; Recreation Director</t>
  </si>
  <si>
    <t xml:space="preserve">  Maintenance Supervisor</t>
  </si>
  <si>
    <t>WELFARE</t>
  </si>
  <si>
    <t>Part-time Welfare Administrator</t>
  </si>
  <si>
    <t>TOWN CLERK/TAX COLLECTOR</t>
  </si>
  <si>
    <t xml:space="preserve">  Town Clerk/Tax Collector</t>
  </si>
  <si>
    <t xml:space="preserve">  Account Clerk II</t>
  </si>
  <si>
    <t xml:space="preserve">  Deputy Town Clerk/Tax Collector</t>
  </si>
  <si>
    <t>GENERAL GOVERNMENT</t>
  </si>
  <si>
    <t>Absences</t>
  </si>
  <si>
    <t>Compensated absences</t>
  </si>
  <si>
    <t>Elections and voter registration</t>
  </si>
  <si>
    <t>Other minor changes - less than $2,500</t>
  </si>
  <si>
    <t xml:space="preserve">  Town Manager</t>
  </si>
  <si>
    <t xml:space="preserve">  Finance Administrator</t>
  </si>
  <si>
    <t xml:space="preserve">  Executive Secretary</t>
  </si>
  <si>
    <t xml:space="preserve">  Trustee of Trust Funds</t>
  </si>
  <si>
    <t xml:space="preserve">  Treasurer</t>
  </si>
  <si>
    <t>Part-time (excludes temporary or casual labor):</t>
  </si>
  <si>
    <t>FIRE</t>
  </si>
  <si>
    <t xml:space="preserve">  Fire Chief</t>
  </si>
  <si>
    <t xml:space="preserve">  Assistant Chief</t>
  </si>
  <si>
    <t xml:space="preserve">  Captain</t>
  </si>
  <si>
    <t xml:space="preserve">  Lieutenant</t>
  </si>
  <si>
    <t>Part-time (excludes temporary and casual labor):</t>
  </si>
  <si>
    <t xml:space="preserve">  Ambulance Director</t>
  </si>
  <si>
    <t xml:space="preserve">  Deputy Emergency Management Director</t>
  </si>
  <si>
    <t xml:space="preserve">  Firefighter and Master Firefighter</t>
  </si>
  <si>
    <t>Transfer to Fire Equipment Capital Reserve Fund</t>
  </si>
  <si>
    <t>POLICE</t>
  </si>
  <si>
    <t xml:space="preserve">  Police Chief</t>
  </si>
  <si>
    <t xml:space="preserve">  Deputy Chief</t>
  </si>
  <si>
    <t xml:space="preserve">  Detective Lieutenant</t>
  </si>
  <si>
    <t xml:space="preserve">  Prosecutor Lieutenant</t>
  </si>
  <si>
    <t xml:space="preserve">  Patrol Lieutenant</t>
  </si>
  <si>
    <t xml:space="preserve">  Sergeant</t>
  </si>
  <si>
    <t xml:space="preserve">  Master Patrolman and Patrolman</t>
  </si>
  <si>
    <t xml:space="preserve">  Animal Control Officer</t>
  </si>
  <si>
    <t xml:space="preserve">  Secretary I</t>
  </si>
  <si>
    <t xml:space="preserve">  Community Services Officer</t>
  </si>
  <si>
    <t xml:space="preserve">  Detective First</t>
  </si>
  <si>
    <t xml:space="preserve">  School Crossing Guard</t>
  </si>
  <si>
    <t>COMMUNICATIONS</t>
  </si>
  <si>
    <t xml:space="preserve">  Assistant Communications Supervisor</t>
  </si>
  <si>
    <t xml:space="preserve">  Dispatcher</t>
  </si>
  <si>
    <t>Part-time (excludes temporary and casual labor)</t>
  </si>
  <si>
    <t>PUBLIC WORKS ADMINISTRATION</t>
  </si>
  <si>
    <t>Manager</t>
  </si>
  <si>
    <t xml:space="preserve">  Public Works Director</t>
  </si>
  <si>
    <t>Transfer to Sewer Line Extension Capital Reserve Fund</t>
  </si>
  <si>
    <t>HIGHWAY</t>
  </si>
  <si>
    <t xml:space="preserve">  Assistant Public Works Director</t>
  </si>
  <si>
    <t xml:space="preserve">  Foreman</t>
  </si>
  <si>
    <t xml:space="preserve">  Equipment Operator III</t>
  </si>
  <si>
    <t xml:space="preserve">  Equipment Operator II</t>
  </si>
  <si>
    <t xml:space="preserve">  Equipment Operator I</t>
  </si>
  <si>
    <t>Highway Equipment Capital Reserve Fund</t>
  </si>
  <si>
    <t>Sidewalk/Bike Path Capital Reserve Fund</t>
  </si>
  <si>
    <t>Drainage Capital Reserve Fund</t>
  </si>
  <si>
    <t>SOLID WASTE DISPOSAL</t>
  </si>
  <si>
    <t xml:space="preserve">  Foreman/Supervisor</t>
  </si>
  <si>
    <t xml:space="preserve">  Secretary/Scale Operator</t>
  </si>
  <si>
    <t xml:space="preserve">  Recycling Attendant</t>
  </si>
  <si>
    <t>WASTEWATER TREATMENT</t>
  </si>
  <si>
    <t xml:space="preserve">  Chief Operator</t>
  </si>
  <si>
    <t xml:space="preserve">  Assistant Chief Operator</t>
  </si>
  <si>
    <t xml:space="preserve">  Laboratory Manager</t>
  </si>
  <si>
    <t xml:space="preserve">  Industrial Wastewater Pretreatment Manager</t>
  </si>
  <si>
    <t xml:space="preserve">  Maintenance Manager</t>
  </si>
  <si>
    <t xml:space="preserve">  Sewer Inspector</t>
  </si>
  <si>
    <t xml:space="preserve">  Operator II</t>
  </si>
  <si>
    <t xml:space="preserve">  Operator I</t>
  </si>
  <si>
    <t xml:space="preserve">  Mechanic II</t>
  </si>
  <si>
    <t xml:space="preserve">  Mechanic I</t>
  </si>
  <si>
    <t xml:space="preserve">  Operator II/Lab Technician</t>
  </si>
  <si>
    <t>LIBRARY</t>
  </si>
  <si>
    <t xml:space="preserve">  Director</t>
  </si>
  <si>
    <t xml:space="preserve">  Head of Reference/Adult Services</t>
  </si>
  <si>
    <t xml:space="preserve">  Librarian I</t>
  </si>
  <si>
    <t xml:space="preserve">  Custodian</t>
  </si>
  <si>
    <t xml:space="preserve">  Page</t>
  </si>
  <si>
    <t xml:space="preserve">  Library Aide I</t>
  </si>
  <si>
    <t xml:space="preserve">  Administrative Assistant</t>
  </si>
  <si>
    <t>Transfer to Library Roof Capital Reserve Fund</t>
  </si>
  <si>
    <t>EQUIPMENT MAINTENANCE</t>
  </si>
  <si>
    <t>DEBT SERVICE</t>
  </si>
  <si>
    <t>Debt service</t>
  </si>
  <si>
    <t>1995 Organic Waste Compost Facility Bonds</t>
  </si>
  <si>
    <t>Tax anticipation notes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</si>
  <si>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</si>
  <si>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</si>
  <si>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</si>
  <si>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</si>
  <si>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</si>
  <si>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</si>
  <si>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</si>
  <si>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</si>
  <si>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</si>
  <si>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17</t>
  </si>
  <si>
    <t>21</t>
  </si>
  <si>
    <t>24</t>
  </si>
  <si>
    <t>25</t>
  </si>
  <si>
    <t>General Government</t>
  </si>
  <si>
    <t>Assessing</t>
  </si>
  <si>
    <t>Fire</t>
  </si>
  <si>
    <t>Police</t>
  </si>
  <si>
    <t>Communications</t>
  </si>
  <si>
    <t>Public Works Administration</t>
  </si>
  <si>
    <t>Highway</t>
  </si>
  <si>
    <t>Solid Waste Disposal</t>
  </si>
  <si>
    <t>Wastewater Treatment</t>
  </si>
  <si>
    <t>Parks &amp; Recreation</t>
  </si>
  <si>
    <t>Equipment Maintenance</t>
  </si>
  <si>
    <t>Community Development</t>
  </si>
  <si>
    <t>Town Clerk/Tax Collector</t>
  </si>
  <si>
    <t>Welfare</t>
  </si>
  <si>
    <t>Full-Time</t>
  </si>
  <si>
    <t xml:space="preserve">  Department</t>
  </si>
  <si>
    <t>Schedule</t>
  </si>
  <si>
    <t>Classification</t>
  </si>
  <si>
    <t>Cost</t>
  </si>
  <si>
    <t>Other</t>
  </si>
  <si>
    <t>Staffing</t>
  </si>
  <si>
    <t>Staffing changes (see "Personnel" below)</t>
  </si>
  <si>
    <t>Provision for compensated absences</t>
  </si>
  <si>
    <t>Health insurance rate adjustments</t>
  </si>
  <si>
    <t>Other minor changes - less than $10,000</t>
  </si>
  <si>
    <t xml:space="preserve">  Total</t>
  </si>
  <si>
    <t>Total increase</t>
  </si>
  <si>
    <t>Other items costing less than $10,000</t>
  </si>
  <si>
    <t>* Excludes election workers, call firefighters, special police officers, volunteers, and other temporary and casual labor.</t>
  </si>
  <si>
    <t>Transfer to Ambulance Capital Reserve Fund</t>
  </si>
  <si>
    <t>Wage adjustments</t>
  </si>
  <si>
    <t>CT II</t>
  </si>
  <si>
    <t xml:space="preserve">  EMT-P</t>
  </si>
  <si>
    <t xml:space="preserve">  Fire Inspector</t>
  </si>
  <si>
    <t xml:space="preserve">  Custodial Aide</t>
  </si>
  <si>
    <t xml:space="preserve">  Public Works Maintainer</t>
  </si>
  <si>
    <t>Part-time (excludes temporary help)</t>
  </si>
  <si>
    <t>Comp Abs</t>
  </si>
  <si>
    <t>Buildings &amp; Grounds</t>
  </si>
  <si>
    <t>Computer equipment and software</t>
  </si>
  <si>
    <t>Transfer to Heritage Fund</t>
  </si>
  <si>
    <t>Salt Shed Capital Reserve Fund</t>
  </si>
  <si>
    <t>DW Highway Capital Reserve Fund</t>
  </si>
  <si>
    <t>Custodian</t>
  </si>
  <si>
    <t xml:space="preserve">  Administrative Assessor</t>
  </si>
  <si>
    <t xml:space="preserve">  Community Resources Planner</t>
  </si>
  <si>
    <t xml:space="preserve">  Account Clerk III</t>
  </si>
  <si>
    <t xml:space="preserve">  Technology Resources Coordinator</t>
  </si>
  <si>
    <t xml:space="preserve">  Library Assistant II</t>
  </si>
  <si>
    <t>Transfer to capital reserve funds</t>
  </si>
  <si>
    <t>Teamsters</t>
  </si>
  <si>
    <t>Uniforms</t>
  </si>
  <si>
    <t>AFSCME 93</t>
  </si>
  <si>
    <t>AFSCME 2986</t>
  </si>
  <si>
    <t>Road Improvements Capital Reserve Fund</t>
  </si>
  <si>
    <t xml:space="preserve">  Other cable television studio operating costs</t>
  </si>
  <si>
    <t xml:space="preserve">  Accounting Supervisor</t>
  </si>
  <si>
    <t xml:space="preserve">  None</t>
  </si>
  <si>
    <t>Bridge Replacement Capital Reserve Fund</t>
  </si>
  <si>
    <t xml:space="preserve">  Assistant Director/Head of Automated Services</t>
  </si>
  <si>
    <t>Library</t>
  </si>
  <si>
    <t>Contingency for land acquisition</t>
  </si>
  <si>
    <t>2002 Greens Pond Bonds</t>
  </si>
  <si>
    <t xml:space="preserve">  Field Assessor</t>
  </si>
  <si>
    <t xml:space="preserve">  Assessing Coordinator</t>
  </si>
  <si>
    <t>2 Firefighters</t>
  </si>
  <si>
    <t>Vehicle maintenance</t>
  </si>
  <si>
    <t>PARKS AND RECREATION</t>
  </si>
  <si>
    <t xml:space="preserve">  Library Aide II</t>
  </si>
  <si>
    <t>BUILDINGS AND GROUNDS</t>
  </si>
  <si>
    <t>Other capital outlay</t>
  </si>
  <si>
    <t>AFSCME 2986 and Teamsters</t>
  </si>
  <si>
    <t>Electricity</t>
  </si>
  <si>
    <t>Patrolman</t>
  </si>
  <si>
    <t xml:space="preserve">  </t>
  </si>
  <si>
    <t>Dispatcher</t>
  </si>
  <si>
    <t>Traffic Signal Pre-emption Capital Reserve Fund</t>
  </si>
  <si>
    <t>PARKS MAINTENANCE</t>
  </si>
  <si>
    <t>Holiday</t>
  </si>
  <si>
    <t xml:space="preserve">  Administrative Officer</t>
  </si>
  <si>
    <t>Transfer to Property Insurance Deductible Trust Funds</t>
  </si>
  <si>
    <t xml:space="preserve">  Page/Library Aide</t>
  </si>
  <si>
    <t>Printers</t>
  </si>
  <si>
    <t>Other equipment</t>
  </si>
  <si>
    <t>Parks Maintenance</t>
  </si>
  <si>
    <t>Page</t>
  </si>
  <si>
    <t>Transfer to insurance deductible trust funds</t>
  </si>
  <si>
    <t>Asst II</t>
  </si>
  <si>
    <t>School RO</t>
  </si>
  <si>
    <t>Dispatcher 2</t>
  </si>
  <si>
    <t>PT2</t>
  </si>
  <si>
    <t>BOS</t>
  </si>
  <si>
    <t xml:space="preserve">  School Resource Officer</t>
  </si>
  <si>
    <t>Road paving and minor reconstruction</t>
  </si>
  <si>
    <t>Transfer to Communications Equipment Capital Reserve Fund</t>
  </si>
  <si>
    <t>HI Adj</t>
  </si>
  <si>
    <t xml:space="preserve">  Assistant Finance Administrator</t>
  </si>
  <si>
    <t xml:space="preserve">  Human Resources Coordinator</t>
  </si>
  <si>
    <t>HRC</t>
  </si>
  <si>
    <t>Off Mgr</t>
  </si>
  <si>
    <t>Exec Sec</t>
  </si>
  <si>
    <t>Sec</t>
  </si>
  <si>
    <t>Transfer to Computer Equipment Capital Reserve Fund</t>
  </si>
  <si>
    <t>Computer upgrades</t>
  </si>
  <si>
    <t>Asst Chief</t>
  </si>
  <si>
    <t>Dep Chief</t>
  </si>
  <si>
    <t>Deputy</t>
  </si>
  <si>
    <t>Student</t>
  </si>
  <si>
    <t xml:space="preserve">  Operations Manager</t>
  </si>
  <si>
    <t>EOI</t>
  </si>
  <si>
    <t>Oper Mgr</t>
  </si>
  <si>
    <t>Coord</t>
  </si>
  <si>
    <t>Maintainer</t>
  </si>
  <si>
    <t>General insurance</t>
  </si>
  <si>
    <t>TS Attend</t>
  </si>
  <si>
    <t>Maintenance of vehicles and equipment</t>
  </si>
  <si>
    <t>Tipping fees re: disposal of solid waste at remote site</t>
  </si>
  <si>
    <t xml:space="preserve">  Transfer Station Attendant</t>
  </si>
  <si>
    <t>Chemicals</t>
  </si>
  <si>
    <t xml:space="preserve">  Maintainer I</t>
  </si>
  <si>
    <t>Playground EquipmentCapital Reserve Fund</t>
  </si>
  <si>
    <t xml:space="preserve">  Media Services Coordinator</t>
  </si>
  <si>
    <t xml:space="preserve">  Media Technician</t>
  </si>
  <si>
    <t xml:space="preserve">  Head of Technical Services</t>
  </si>
  <si>
    <t>Tech Svc</t>
  </si>
  <si>
    <t>104 FT</t>
  </si>
  <si>
    <t>104 PT</t>
  </si>
  <si>
    <t xml:space="preserve">  Deputy Public Works Director</t>
  </si>
  <si>
    <t>Economic development</t>
  </si>
  <si>
    <t>Athletic Fields Capital Reserve Fund</t>
  </si>
  <si>
    <t>Transfer to Solid Waste Disposal Capital Reserve Fund</t>
  </si>
  <si>
    <t>2006-07</t>
  </si>
  <si>
    <t xml:space="preserve">Computer Equipment </t>
  </si>
  <si>
    <t>4 Firefighters</t>
  </si>
  <si>
    <t>Master</t>
  </si>
  <si>
    <t>Social and health services</t>
  </si>
  <si>
    <t>Welfare assistance</t>
  </si>
  <si>
    <t>Study</t>
  </si>
  <si>
    <t>Gas</t>
  </si>
  <si>
    <t>Electricity for street lights</t>
  </si>
  <si>
    <t>Engineer</t>
  </si>
  <si>
    <t>Exams</t>
  </si>
  <si>
    <t>position.  These positions and the associated costs are presented below.</t>
  </si>
  <si>
    <t>Rounding</t>
  </si>
  <si>
    <t>Allocation of General Fund administrative costs</t>
  </si>
  <si>
    <t>Car Allow</t>
  </si>
  <si>
    <t>107 FT</t>
  </si>
  <si>
    <t>107 PT</t>
  </si>
  <si>
    <t xml:space="preserve">  Head of Childrens Services</t>
  </si>
  <si>
    <t xml:space="preserve">  Office Coodinator</t>
  </si>
  <si>
    <t>Non-union</t>
  </si>
  <si>
    <t>Non Union</t>
  </si>
  <si>
    <t>2007-08 BUDGET</t>
  </si>
  <si>
    <t>2007-08</t>
  </si>
  <si>
    <t>General Insurance</t>
  </si>
  <si>
    <t>Education &amp; Training</t>
  </si>
  <si>
    <t>Dues &amp; Fees</t>
  </si>
  <si>
    <t>Vehicle Fuel</t>
  </si>
  <si>
    <t xml:space="preserve">  Asst. Media Services Coordinator</t>
  </si>
  <si>
    <t>Other Operating Equipment</t>
  </si>
  <si>
    <t>Tech</t>
  </si>
  <si>
    <t xml:space="preserve">  Town Council</t>
  </si>
  <si>
    <t>Flied Asso</t>
  </si>
  <si>
    <t xml:space="preserve">Maintenance - Office Equipment </t>
  </si>
  <si>
    <t>ACO Part-time</t>
  </si>
  <si>
    <t>Mechanic II</t>
  </si>
  <si>
    <t xml:space="preserve">  Clerk (Planning Board Secretary)</t>
  </si>
  <si>
    <t>Acct Clerk II</t>
  </si>
  <si>
    <t>P&amp;R</t>
  </si>
  <si>
    <t>The proposed budget provides for a net decrease of four full-time positions</t>
  </si>
  <si>
    <t>Other Equipment - Fire</t>
  </si>
  <si>
    <t>MEDIA CATV</t>
  </si>
  <si>
    <t>Economic Development</t>
  </si>
  <si>
    <t>CATV</t>
  </si>
  <si>
    <t>CATV Equipment</t>
  </si>
  <si>
    <t>Media</t>
  </si>
  <si>
    <t>Media Equipment</t>
  </si>
  <si>
    <t>Personnel</t>
  </si>
  <si>
    <t>Personnel services</t>
  </si>
  <si>
    <t>2008-09</t>
  </si>
  <si>
    <t>2008-09 BUDGET</t>
  </si>
  <si>
    <t>Equipment</t>
  </si>
  <si>
    <t>Patrol vehicles (3) &amp; Aminal Control vehicle (1)</t>
  </si>
  <si>
    <t>53 Week Payroll</t>
  </si>
  <si>
    <t>Wing Plow (2)</t>
  </si>
  <si>
    <t>Plow with Frame (2)</t>
  </si>
  <si>
    <t>York Rake</t>
  </si>
  <si>
    <t>Road Paving</t>
  </si>
  <si>
    <t>Traffic Signals</t>
  </si>
  <si>
    <t>Tree Service</t>
  </si>
  <si>
    <t>Contractual Snow Plowing</t>
  </si>
  <si>
    <t>Raod paving</t>
  </si>
  <si>
    <t>Crack Sealing</t>
  </si>
  <si>
    <t>Recycling Building</t>
  </si>
  <si>
    <t>Operating Supplies</t>
  </si>
  <si>
    <t>53 Week payroll</t>
  </si>
  <si>
    <t>Part-time employee</t>
  </si>
  <si>
    <t>Resurface Tennis Court - O'Gara Drive</t>
  </si>
  <si>
    <t>Water</t>
  </si>
  <si>
    <t>Maintenance - Buildings &amp; Grounds</t>
  </si>
  <si>
    <t>sec</t>
  </si>
  <si>
    <t>Parks &amp; Recreation Director (Full-Time)</t>
  </si>
  <si>
    <t>Computer</t>
  </si>
  <si>
    <t>Police Dept. Carpeting</t>
  </si>
  <si>
    <t>Police Dept.-floor tile</t>
  </si>
  <si>
    <t>Bathroom Modifications-Town Hall (ADA/floor reconstructuion)</t>
  </si>
  <si>
    <t>Abbie Griffin Park- replace decking in bandstand</t>
  </si>
  <si>
    <t>53 week Payroll</t>
  </si>
  <si>
    <t>computer</t>
  </si>
  <si>
    <t>Wage adjustments and attrition (increased hours)</t>
  </si>
  <si>
    <t xml:space="preserve">  Capital Outlay</t>
  </si>
  <si>
    <t>gis</t>
  </si>
  <si>
    <t>Copy Machine</t>
  </si>
  <si>
    <t>Portable Radio including Antenna</t>
  </si>
  <si>
    <t>Building Improvements</t>
  </si>
  <si>
    <t>inc fire insp</t>
  </si>
  <si>
    <t>Call fire</t>
  </si>
  <si>
    <t>2 Part-time EMT</t>
  </si>
  <si>
    <t>Increase in Fire Inspectors Hours</t>
  </si>
  <si>
    <t>53 week</t>
  </si>
  <si>
    <t>pt</t>
  </si>
  <si>
    <t>PT Hours increase</t>
  </si>
  <si>
    <t>Business Expo</t>
  </si>
  <si>
    <t>GASB 45 Compliance</t>
  </si>
  <si>
    <t>2 EMT Attendants</t>
  </si>
  <si>
    <t xml:space="preserve">  Fire</t>
  </si>
  <si>
    <t>Portable Flow Meter</t>
  </si>
  <si>
    <t>Multi Gas Detectors</t>
  </si>
  <si>
    <t>Other Operating Expenses</t>
  </si>
  <si>
    <t>Part time Hours</t>
  </si>
  <si>
    <t>Raod Pavings</t>
  </si>
  <si>
    <t>Tipping Fee Disposal</t>
  </si>
  <si>
    <t>Dental Insurance Increase</t>
  </si>
  <si>
    <t>Minor Benefit Adjustments</t>
  </si>
  <si>
    <t>Building Improvements - Fire</t>
  </si>
  <si>
    <t xml:space="preserve">Police patrol vehicles &amp; Animal Control vehicle </t>
  </si>
  <si>
    <t>Plow With frames (2)</t>
  </si>
  <si>
    <t>Resurfacing Tennis Courts</t>
  </si>
  <si>
    <t>Land Bank CRF Deposit</t>
  </si>
  <si>
    <t>HI savings</t>
  </si>
  <si>
    <t>Del. Add Back</t>
  </si>
  <si>
    <t>Consultants GIS</t>
  </si>
  <si>
    <t>Building Repairs</t>
  </si>
  <si>
    <t>Programs</t>
  </si>
  <si>
    <t>Library Materials</t>
  </si>
  <si>
    <t>Land Bank Capital Reserve (fully offset by revenues)</t>
  </si>
  <si>
    <t>Land Bank CRF (Fully offset by sale of property)</t>
  </si>
  <si>
    <t>Decrease in Call Firefighters</t>
  </si>
  <si>
    <t>Fire Protection</t>
  </si>
  <si>
    <t>Maintenance _ Vehicles</t>
  </si>
  <si>
    <t>Sand &amp; Salt</t>
  </si>
  <si>
    <t>Landfill Monitoring</t>
  </si>
  <si>
    <t>MYA</t>
  </si>
  <si>
    <t>Overtime Reduction</t>
  </si>
  <si>
    <t>Maintenance - Machinery</t>
  </si>
  <si>
    <t>call Fire fighters</t>
  </si>
  <si>
    <t>Workers Compensation Rate Change</t>
  </si>
  <si>
    <t>ANALYSIS OF 2008-09 MUNICIPAL OPERATING BUDGET</t>
  </si>
  <si>
    <t>Secretary/Director</t>
  </si>
  <si>
    <t>Overtime Adjustment</t>
  </si>
  <si>
    <t>01-04-8432-0 Outside Details</t>
  </si>
  <si>
    <t>01-13-8375-0 Day Camp</t>
  </si>
  <si>
    <t>Other Self Supporting Appropriations</t>
  </si>
  <si>
    <t>Wages increased hours</t>
  </si>
  <si>
    <t>Land Use CRF (fully offset by revenues)</t>
  </si>
  <si>
    <t>Outside Details</t>
  </si>
  <si>
    <t>2007 Drainage Bond</t>
  </si>
  <si>
    <t>GENERAL FUND ONLY</t>
  </si>
  <si>
    <t>Other Special Projects</t>
  </si>
  <si>
    <t>Increase in Debt Service General Fund</t>
  </si>
  <si>
    <t xml:space="preserve">  New Patrolmen</t>
  </si>
  <si>
    <t>Debt Service</t>
  </si>
  <si>
    <t>Personnel Services</t>
  </si>
  <si>
    <t>SLE capital outlay</t>
  </si>
  <si>
    <t>Vehicle Maintenance</t>
  </si>
  <si>
    <t>Decrease in Debt Service General Fund</t>
  </si>
  <si>
    <t>Recreation Programs</t>
  </si>
  <si>
    <t>Secretary (Part-Time)</t>
  </si>
  <si>
    <t xml:space="preserve">  Parks &amp; Recreation (Part-Time to Full-Time)</t>
  </si>
  <si>
    <t>Maintenance - Vehicles</t>
  </si>
  <si>
    <t>Day Camp</t>
  </si>
  <si>
    <t>2008 Sewer Interceptor</t>
  </si>
  <si>
    <t>2 New police Officers</t>
  </si>
  <si>
    <t xml:space="preserve">  Police</t>
  </si>
  <si>
    <t>2 New Police Officers</t>
  </si>
  <si>
    <t>Increase Debt Sewer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</si>
</sst>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?_);_(@_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name val="Arial Black"/>
      <family val="2"/>
    </font>
    <font>
      <b/>
      <i/>
      <u val="single"/>
      <sz val="10"/>
      <name val="Arial Black"/>
      <family val="2"/>
    </font>
    <font>
      <sz val="10"/>
      <name val="Arial Black"/>
      <family val="2"/>
    </font>
    <font>
      <u val="single"/>
      <sz val="10"/>
      <name val="Arial Black"/>
      <family val="2"/>
    </font>
    <font>
      <u val="singleAccounting"/>
      <sz val="10"/>
      <name val="Arial Black"/>
      <family val="2"/>
    </font>
    <font>
      <i/>
      <u val="single"/>
      <sz val="10"/>
      <name val="Arial Black"/>
      <family val="2"/>
    </font>
    <font>
      <b/>
      <i/>
      <u val="single"/>
      <sz val="10"/>
      <name val="Arial"/>
      <family val="2"/>
    </font>
    <font>
      <b/>
      <sz val="12.75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right"/>
    </xf>
    <xf numFmtId="41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1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1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41" fontId="8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1" fontId="2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Alignment="1">
      <alignment horizontal="left"/>
    </xf>
    <xf numFmtId="41" fontId="0" fillId="2" borderId="0" xfId="0" applyNumberFormat="1" applyFill="1" applyAlignment="1">
      <alignment/>
    </xf>
    <xf numFmtId="41" fontId="7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/>
    </xf>
    <xf numFmtId="41" fontId="0" fillId="3" borderId="0" xfId="0" applyNumberFormat="1" applyFill="1" applyAlignment="1">
      <alignment/>
    </xf>
    <xf numFmtId="41" fontId="8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horizontal="right"/>
    </xf>
    <xf numFmtId="0" fontId="10" fillId="0" borderId="0" xfId="0" applyFont="1" applyFill="1" applyAlignment="1" quotePrefix="1">
      <alignment horizontal="center"/>
    </xf>
    <xf numFmtId="0" fontId="10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0" fontId="0" fillId="0" borderId="0" xfId="0" applyFill="1" applyAlignment="1" quotePrefix="1">
      <alignment horizontal="right"/>
    </xf>
    <xf numFmtId="43" fontId="8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8" fillId="0" borderId="0" xfId="0" applyNumberFormat="1" applyFont="1" applyAlignment="1" quotePrefix="1">
      <alignment/>
    </xf>
    <xf numFmtId="4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1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1" fontId="0" fillId="4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Annual Debt Service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55"/>
          <c:w val="0.9445"/>
          <c:h val="0.76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Ref>
              <c:f>'[1]debtsvc'!$A$88:$A$103</c:f>
              <c:num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'[1]debtsvc'!$E$88:$E$103</c:f>
              <c:numCache>
                <c:ptCount val="16"/>
                <c:pt idx="0">
                  <c:v>803588.9299999999</c:v>
                </c:pt>
                <c:pt idx="1">
                  <c:v>897130.06</c:v>
                </c:pt>
                <c:pt idx="2">
                  <c:v>1085664.06</c:v>
                </c:pt>
                <c:pt idx="3">
                  <c:v>1067976.06</c:v>
                </c:pt>
                <c:pt idx="4">
                  <c:v>1055188.06</c:v>
                </c:pt>
                <c:pt idx="5">
                  <c:v>1042081.31</c:v>
                </c:pt>
                <c:pt idx="6">
                  <c:v>1028514.5599999999</c:v>
                </c:pt>
                <c:pt idx="7">
                  <c:v>1014397.6799999999</c:v>
                </c:pt>
                <c:pt idx="8">
                  <c:v>631937</c:v>
                </c:pt>
                <c:pt idx="9">
                  <c:v>616079</c:v>
                </c:pt>
                <c:pt idx="10">
                  <c:v>599701</c:v>
                </c:pt>
                <c:pt idx="11">
                  <c:v>319013</c:v>
                </c:pt>
                <c:pt idx="12">
                  <c:v>154150</c:v>
                </c:pt>
                <c:pt idx="13">
                  <c:v>157575</c:v>
                </c:pt>
                <c:pt idx="14">
                  <c:v>155806.25</c:v>
                </c:pt>
                <c:pt idx="15">
                  <c:v>158681.25</c:v>
                </c:pt>
              </c:numCache>
            </c:numRef>
          </c:val>
          <c:smooth val="0"/>
        </c:ser>
        <c:marker val="1"/>
        <c:axId val="31228068"/>
        <c:axId val="12617157"/>
      </c:lineChart>
      <c:catAx>
        <c:axId val="312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Ending June 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  <c:max val="1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Principal and 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1228068"/>
        <c:crossesAt val="1"/>
        <c:crossBetween val="between"/>
        <c:dispUnits/>
        <c:majorUnit val="2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7</xdr:col>
      <xdr:colOff>200025</xdr:colOff>
      <xdr:row>51</xdr:row>
      <xdr:rowOff>76200</xdr:rowOff>
    </xdr:to>
    <xdr:graphicFrame>
      <xdr:nvGraphicFramePr>
        <xdr:cNvPr id="1" name="Chart 2"/>
        <xdr:cNvGraphicFramePr/>
      </xdr:nvGraphicFramePr>
      <xdr:xfrm>
        <a:off x="0" y="5353050"/>
        <a:ext cx="8172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.MERRNET\My%20Documents\town%20report\Copy%20of%20townreport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trust"/>
      <sheetName val="debtsvc"/>
      <sheetName val="taxhist"/>
      <sheetName val="valhist"/>
      <sheetName val="ms-2"/>
      <sheetName val="ms-1"/>
      <sheetName val="treasurer"/>
    </sheetNames>
    <sheetDataSet>
      <sheetData sheetId="1">
        <row r="88">
          <cell r="A88">
            <v>2008</v>
          </cell>
          <cell r="E88">
            <v>803588.9299999999</v>
          </cell>
        </row>
        <row r="89">
          <cell r="A89">
            <v>2009</v>
          </cell>
          <cell r="E89">
            <v>897130.06</v>
          </cell>
        </row>
        <row r="90">
          <cell r="A90">
            <v>2010</v>
          </cell>
          <cell r="E90">
            <v>1085664.06</v>
          </cell>
        </row>
        <row r="91">
          <cell r="A91">
            <v>2011</v>
          </cell>
          <cell r="E91">
            <v>1067976.06</v>
          </cell>
        </row>
        <row r="92">
          <cell r="A92">
            <v>2012</v>
          </cell>
          <cell r="E92">
            <v>1055188.06</v>
          </cell>
        </row>
        <row r="93">
          <cell r="A93">
            <v>2013</v>
          </cell>
          <cell r="E93">
            <v>1042081.31</v>
          </cell>
        </row>
        <row r="94">
          <cell r="A94">
            <v>2014</v>
          </cell>
          <cell r="E94">
            <v>1028514.5599999999</v>
          </cell>
        </row>
        <row r="95">
          <cell r="A95">
            <v>2015</v>
          </cell>
          <cell r="E95">
            <v>1014397.6799999999</v>
          </cell>
        </row>
        <row r="96">
          <cell r="A96">
            <v>2016</v>
          </cell>
          <cell r="E96">
            <v>631937</v>
          </cell>
        </row>
        <row r="97">
          <cell r="A97">
            <v>2017</v>
          </cell>
          <cell r="E97">
            <v>616079</v>
          </cell>
        </row>
        <row r="98">
          <cell r="A98">
            <v>2018</v>
          </cell>
          <cell r="E98">
            <v>599701</v>
          </cell>
        </row>
        <row r="99">
          <cell r="A99">
            <v>2019</v>
          </cell>
          <cell r="E99">
            <v>319013</v>
          </cell>
        </row>
        <row r="100">
          <cell r="A100">
            <v>2020</v>
          </cell>
          <cell r="E100">
            <v>154150</v>
          </cell>
        </row>
        <row r="101">
          <cell r="A101">
            <v>2021</v>
          </cell>
          <cell r="E101">
            <v>157575</v>
          </cell>
        </row>
        <row r="102">
          <cell r="A102">
            <v>2022</v>
          </cell>
          <cell r="E102">
            <v>155806.25</v>
          </cell>
        </row>
        <row r="103">
          <cell r="A103">
            <v>2023</v>
          </cell>
          <cell r="E103">
            <v>158681.25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workbookViewId="0" topLeftCell="A1">
      <selection activeCell="B5" sqref="B5:D6"/>
    </sheetView>
  </sheetViews>
  <sheetFormatPr defaultColWidth="9.140625" defaultRowHeight="12.75"/>
  <cols>
    <col min="1" max="1" width="48.8515625" style="0" bestFit="1" customWidth="1"/>
    <col min="2" max="2" width="15.28125" style="0" customWidth="1"/>
    <col min="3" max="4" width="12.8515625" style="0" bestFit="1" customWidth="1"/>
    <col min="5" max="5" width="11.7109375" style="39" bestFit="1" customWidth="1"/>
    <col min="6" max="6" width="10.8515625" style="0" customWidth="1"/>
    <col min="9" max="9" width="9.421875" style="0" bestFit="1" customWidth="1"/>
    <col min="10" max="10" width="10.7109375" style="0" bestFit="1" customWidth="1"/>
    <col min="11" max="11" width="9.421875" style="0" bestFit="1" customWidth="1"/>
    <col min="12" max="12" width="9.57421875" style="0" bestFit="1" customWidth="1"/>
    <col min="13" max="13" width="9.421875" style="0" bestFit="1" customWidth="1"/>
    <col min="14" max="14" width="10.140625" style="0" bestFit="1" customWidth="1"/>
    <col min="15" max="15" width="9.57421875" style="0" bestFit="1" customWidth="1"/>
    <col min="16" max="16" width="9.57421875" style="0" customWidth="1"/>
    <col min="17" max="17" width="9.57421875" style="0" bestFit="1" customWidth="1"/>
    <col min="18" max="18" width="9.421875" style="0" bestFit="1" customWidth="1"/>
    <col min="19" max="19" width="10.28125" style="0" bestFit="1" customWidth="1"/>
    <col min="20" max="20" width="9.57421875" style="0" bestFit="1" customWidth="1"/>
    <col min="24" max="24" width="12.28125" style="0" customWidth="1"/>
  </cols>
  <sheetData>
    <row r="1" spans="1:23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5.75">
      <c r="A2" s="71" t="s">
        <v>56</v>
      </c>
      <c r="B2" s="71"/>
      <c r="C2" s="71"/>
      <c r="D2" s="71"/>
      <c r="E2" s="71"/>
      <c r="F2" s="71"/>
      <c r="I2" s="72" t="str">
        <f>+A2</f>
        <v>GENERAL GOVERNMENT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6" ht="15.75">
      <c r="A3" s="15"/>
      <c r="B3" s="15"/>
      <c r="C3" s="15"/>
      <c r="D3" s="15"/>
      <c r="E3" s="34"/>
      <c r="F3" s="15"/>
    </row>
    <row r="4" spans="1:6" ht="15.75">
      <c r="A4" s="14" t="s">
        <v>1</v>
      </c>
      <c r="B4" s="15"/>
      <c r="C4" s="15"/>
      <c r="D4" s="15"/>
      <c r="E4" s="34"/>
      <c r="F4" s="15"/>
    </row>
    <row r="5" spans="1:23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R5" s="1" t="s">
        <v>17</v>
      </c>
      <c r="S5" s="1"/>
      <c r="T5" s="1"/>
      <c r="U5" s="1"/>
      <c r="V5" s="1" t="s">
        <v>17</v>
      </c>
      <c r="W5" s="1" t="s">
        <v>17</v>
      </c>
    </row>
    <row r="6" spans="1:24" ht="15.75">
      <c r="A6" s="14"/>
      <c r="B6" s="18" t="s">
        <v>281</v>
      </c>
      <c r="C6" s="18" t="s">
        <v>303</v>
      </c>
      <c r="D6" s="18" t="s">
        <v>329</v>
      </c>
      <c r="E6" s="36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369</v>
      </c>
      <c r="N6" s="2" t="s">
        <v>370</v>
      </c>
      <c r="O6" s="2" t="s">
        <v>13</v>
      </c>
      <c r="P6" s="2" t="s">
        <v>13</v>
      </c>
      <c r="Q6" s="2" t="s">
        <v>57</v>
      </c>
      <c r="R6" s="2" t="s">
        <v>310</v>
      </c>
      <c r="S6" s="2" t="s">
        <v>295</v>
      </c>
      <c r="T6" s="2" t="s">
        <v>287</v>
      </c>
      <c r="U6" s="2" t="s">
        <v>248</v>
      </c>
      <c r="V6" s="2" t="s">
        <v>249</v>
      </c>
      <c r="W6" s="2" t="s">
        <v>250</v>
      </c>
      <c r="X6" s="2" t="s">
        <v>251</v>
      </c>
    </row>
    <row r="7" spans="1:24" ht="15.75">
      <c r="A7" s="15" t="s">
        <v>328</v>
      </c>
      <c r="B7" s="19">
        <v>923784</v>
      </c>
      <c r="C7" s="19">
        <v>1578246</v>
      </c>
      <c r="D7" s="19">
        <v>1018692</v>
      </c>
      <c r="E7" s="33">
        <f>+D7-C7</f>
        <v>-559554</v>
      </c>
      <c r="F7" s="20">
        <f>ROUND((E7/C7)*100,2)</f>
        <v>-35.45</v>
      </c>
      <c r="I7">
        <v>101</v>
      </c>
      <c r="J7" s="3">
        <f>SUM(K7:X7)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</row>
    <row r="8" spans="1:24" ht="15.75">
      <c r="A8" s="15" t="s">
        <v>14</v>
      </c>
      <c r="B8" s="19">
        <v>448747</v>
      </c>
      <c r="C8" s="19">
        <v>422903</v>
      </c>
      <c r="D8" s="19">
        <v>447471</v>
      </c>
      <c r="E8" s="33">
        <f>+D8-C8</f>
        <v>24568</v>
      </c>
      <c r="F8" s="20">
        <f>ROUND((E8/C8)*100,2)</f>
        <v>5.81</v>
      </c>
      <c r="I8">
        <v>102</v>
      </c>
      <c r="J8" s="3">
        <f>SUM(K8:X8)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</row>
    <row r="9" spans="1:24" ht="15.75">
      <c r="A9" s="15" t="s">
        <v>15</v>
      </c>
      <c r="B9" s="22">
        <v>93208</v>
      </c>
      <c r="C9" s="22">
        <v>67801</v>
      </c>
      <c r="D9" s="22">
        <v>272801</v>
      </c>
      <c r="E9" s="37">
        <f>+D9-C9</f>
        <v>205000</v>
      </c>
      <c r="F9" s="20">
        <f>ROUND((E9/C9)*100,2)</f>
        <v>302.36</v>
      </c>
      <c r="I9">
        <v>103</v>
      </c>
      <c r="J9" s="3">
        <f aca="true" t="shared" si="0" ref="J9:J16">SUM(K9:X9)</f>
        <v>75064</v>
      </c>
      <c r="K9" s="3">
        <v>68162</v>
      </c>
      <c r="L9" s="3">
        <v>0</v>
      </c>
      <c r="M9" s="3">
        <v>6902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1:24" ht="15.75">
      <c r="A10" s="15" t="s">
        <v>7</v>
      </c>
      <c r="B10" s="19">
        <f>SUM(B7:B9)</f>
        <v>1465739</v>
      </c>
      <c r="C10" s="19">
        <f>SUM(C7:C9)</f>
        <v>2068950</v>
      </c>
      <c r="D10" s="19">
        <f>SUM(D7:D9)</f>
        <v>1738964</v>
      </c>
      <c r="E10" s="33">
        <f>SUM(E7:E9)</f>
        <v>-329986</v>
      </c>
      <c r="F10" s="20">
        <f>ROUND((E10/C10)*100,2)</f>
        <v>-15.95</v>
      </c>
      <c r="I10">
        <v>104</v>
      </c>
      <c r="J10" s="3">
        <f t="shared" si="0"/>
        <v>-41468</v>
      </c>
      <c r="K10" s="3">
        <v>-46209</v>
      </c>
      <c r="L10" s="3">
        <v>0</v>
      </c>
      <c r="M10" s="3">
        <v>4741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</row>
    <row r="11" spans="1:24" ht="15.75">
      <c r="A11" s="15"/>
      <c r="B11" s="19"/>
      <c r="C11" s="19"/>
      <c r="D11" s="19"/>
      <c r="E11" s="33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</row>
    <row r="12" spans="1:24" ht="15.75">
      <c r="A12" s="14" t="s">
        <v>16</v>
      </c>
      <c r="B12" s="19"/>
      <c r="C12" s="19"/>
      <c r="D12" s="19"/>
      <c r="E12" s="33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</row>
    <row r="13" spans="1:24" ht="15.75">
      <c r="A13" s="15" t="s">
        <v>180</v>
      </c>
      <c r="B13" s="19"/>
      <c r="C13" s="19"/>
      <c r="D13" s="19"/>
      <c r="E13" s="33">
        <f>28632+30</f>
        <v>28662</v>
      </c>
      <c r="F13" s="19" t="s">
        <v>17</v>
      </c>
      <c r="G13" s="3" t="s">
        <v>17</v>
      </c>
      <c r="I13">
        <v>107</v>
      </c>
      <c r="J13" s="3">
        <f t="shared" si="0"/>
        <v>3474</v>
      </c>
      <c r="K13" s="3">
        <v>0</v>
      </c>
      <c r="L13" s="3">
        <v>0</v>
      </c>
      <c r="M13" s="3">
        <v>0</v>
      </c>
      <c r="N13" s="3">
        <v>3474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</row>
    <row r="14" spans="1:24" ht="15.75">
      <c r="A14" s="15" t="s">
        <v>32</v>
      </c>
      <c r="B14" s="19"/>
      <c r="C14" s="19"/>
      <c r="D14" s="19"/>
      <c r="E14" s="33">
        <v>14316</v>
      </c>
      <c r="F14" s="19" t="s">
        <v>17</v>
      </c>
      <c r="G14" t="s">
        <v>17</v>
      </c>
      <c r="I14">
        <v>111</v>
      </c>
      <c r="J14" s="3">
        <f t="shared" si="0"/>
        <v>2561</v>
      </c>
      <c r="K14" s="3">
        <v>2561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</row>
    <row r="15" spans="1:24" ht="15.75">
      <c r="A15" s="15" t="s">
        <v>333</v>
      </c>
      <c r="B15" s="19"/>
      <c r="C15" s="19"/>
      <c r="D15" s="19"/>
      <c r="E15" s="33">
        <v>13332</v>
      </c>
      <c r="F15" s="19"/>
      <c r="G15" t="s">
        <v>17</v>
      </c>
      <c r="I15">
        <v>125</v>
      </c>
      <c r="J15" s="3">
        <f t="shared" si="0"/>
        <v>3303.7715</v>
      </c>
      <c r="K15" s="3">
        <f>+SUM(K9:K14)*0.0765+272</f>
        <v>2147.321</v>
      </c>
      <c r="L15" s="3">
        <f>+SUM(L9:L14)*0.0765</f>
        <v>0</v>
      </c>
      <c r="M15" s="3">
        <f>+SUM(M9:M14)*0.0765</f>
        <v>890.6895</v>
      </c>
      <c r="N15" s="3">
        <f>+SUM(N9:N14)*0.0765</f>
        <v>265.76099999999997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</row>
    <row r="16" spans="1:24" ht="15.75">
      <c r="A16" s="15" t="s">
        <v>58</v>
      </c>
      <c r="B16" s="19"/>
      <c r="C16" s="19"/>
      <c r="D16" s="19"/>
      <c r="E16" s="33">
        <v>-68883</v>
      </c>
      <c r="F16" s="19"/>
      <c r="G16" t="s">
        <v>17</v>
      </c>
      <c r="I16">
        <v>128</v>
      </c>
      <c r="J16" s="3">
        <f t="shared" si="0"/>
        <v>3018.1218</v>
      </c>
      <c r="K16" s="3">
        <f>+SUM(K9:K14)*0.0874-142</f>
        <v>2000.5236</v>
      </c>
      <c r="L16" s="3">
        <f>+SUM(L9:L14)*0.0874</f>
        <v>0</v>
      </c>
      <c r="M16" s="3">
        <f>+SUM(M9:M14)*0.0874</f>
        <v>1017.5982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</row>
    <row r="17" spans="1:24" ht="15.75">
      <c r="A17" s="15" t="s">
        <v>390</v>
      </c>
      <c r="B17" s="19"/>
      <c r="C17" s="19"/>
      <c r="D17" s="19"/>
      <c r="E17" s="33">
        <v>-202926</v>
      </c>
      <c r="F17" s="19"/>
      <c r="G17" t="s">
        <v>17</v>
      </c>
      <c r="I17">
        <v>142</v>
      </c>
      <c r="J17" s="3">
        <f>SUM(K17:X17)</f>
        <v>-68883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>145680-214563</f>
        <v>-68883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</row>
    <row r="18" spans="1:24" ht="15.75">
      <c r="A18" s="15" t="s">
        <v>389</v>
      </c>
      <c r="B18" s="19"/>
      <c r="C18" s="19"/>
      <c r="D18" s="19"/>
      <c r="E18" s="33">
        <v>-347801</v>
      </c>
      <c r="F18" s="19"/>
      <c r="J18" s="3">
        <f>SUM(K18:X18)</f>
        <v>-550727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-550727</v>
      </c>
      <c r="Q18" s="3">
        <v>0</v>
      </c>
      <c r="R18" s="3">
        <v>0</v>
      </c>
      <c r="S18" s="3">
        <v>0</v>
      </c>
      <c r="T18" s="3">
        <v>0</v>
      </c>
      <c r="U18" s="3"/>
      <c r="V18" s="3"/>
      <c r="W18" s="3"/>
      <c r="X18" s="3"/>
    </row>
    <row r="19" spans="1:24" ht="15.75">
      <c r="A19" s="15" t="s">
        <v>371</v>
      </c>
      <c r="B19" s="19"/>
      <c r="C19" s="19"/>
      <c r="D19" s="19"/>
      <c r="E19" s="33">
        <v>3746</v>
      </c>
      <c r="F19" s="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>
      <c r="A20" s="15" t="s">
        <v>59</v>
      </c>
      <c r="B20" s="19"/>
      <c r="C20" s="19"/>
      <c r="D20" s="19"/>
      <c r="E20" s="33">
        <v>6524</v>
      </c>
      <c r="F20" s="19"/>
      <c r="J20" s="3"/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/>
      <c r="W20" s="3"/>
      <c r="X20" s="3"/>
    </row>
    <row r="21" spans="1:24" ht="15.75">
      <c r="A21" s="15" t="s">
        <v>372</v>
      </c>
      <c r="B21" s="19"/>
      <c r="C21" s="19"/>
      <c r="D21" s="19"/>
      <c r="E21" s="33">
        <v>5000</v>
      </c>
      <c r="F21" s="19"/>
      <c r="I21">
        <v>143</v>
      </c>
      <c r="J21" s="3">
        <f aca="true" t="shared" si="1" ref="J21:J32">SUM(K21:X21)</f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</row>
    <row r="22" spans="1:24" ht="15.75">
      <c r="A22" s="15" t="s">
        <v>373</v>
      </c>
      <c r="B22" s="19"/>
      <c r="C22" s="19"/>
      <c r="D22" s="19"/>
      <c r="E22" s="33">
        <v>11000</v>
      </c>
      <c r="F22" s="19"/>
      <c r="I22">
        <v>131</v>
      </c>
      <c r="J22" s="3">
        <f t="shared" si="1"/>
        <v>14569</v>
      </c>
      <c r="K22" s="3">
        <v>-66</v>
      </c>
      <c r="L22" s="3">
        <v>14854</v>
      </c>
      <c r="M22" s="3">
        <v>-219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</row>
    <row r="23" spans="1:24" ht="15.75">
      <c r="A23" s="15" t="s">
        <v>396</v>
      </c>
      <c r="B23" s="19"/>
      <c r="C23" s="19"/>
      <c r="D23" s="19"/>
      <c r="E23" s="33">
        <v>250000</v>
      </c>
      <c r="F23" s="19"/>
      <c r="J23" s="3"/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/>
      <c r="V23" s="3"/>
      <c r="W23" s="3"/>
      <c r="X23" s="3"/>
    </row>
    <row r="24" spans="1:24" ht="15.75">
      <c r="A24" s="15" t="s">
        <v>220</v>
      </c>
      <c r="B24" s="19"/>
      <c r="C24" s="19"/>
      <c r="D24" s="19"/>
      <c r="E24" s="33">
        <v>-45000</v>
      </c>
      <c r="F24" s="19"/>
      <c r="G24" t="s">
        <v>17</v>
      </c>
      <c r="I24">
        <v>132</v>
      </c>
      <c r="J24" s="3">
        <f t="shared" si="1"/>
        <v>500</v>
      </c>
      <c r="K24" s="3">
        <v>0</v>
      </c>
      <c r="L24" s="3">
        <v>500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</row>
    <row r="25" spans="1:24" ht="18">
      <c r="A25" s="15" t="s">
        <v>60</v>
      </c>
      <c r="B25" s="19"/>
      <c r="C25" s="19"/>
      <c r="D25" s="19"/>
      <c r="E25" s="38">
        <v>2044</v>
      </c>
      <c r="F25" s="19"/>
      <c r="G25" t="s">
        <v>17</v>
      </c>
      <c r="I25" t="s">
        <v>300</v>
      </c>
      <c r="J25" s="3">
        <f t="shared" si="1"/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/>
      <c r="W25" s="3"/>
      <c r="X25" s="3"/>
    </row>
    <row r="26" spans="1:24" ht="15.75">
      <c r="A26" s="15" t="s">
        <v>33</v>
      </c>
      <c r="B26" s="19"/>
      <c r="C26" s="19"/>
      <c r="D26" s="19"/>
      <c r="E26" s="33">
        <f>SUM(E11:E25)</f>
        <v>-329986</v>
      </c>
      <c r="F26" s="19"/>
      <c r="I26">
        <v>133</v>
      </c>
      <c r="J26" s="3">
        <f t="shared" si="1"/>
        <v>-450</v>
      </c>
      <c r="K26" s="3">
        <v>0</v>
      </c>
      <c r="L26" s="3">
        <v>-450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</row>
    <row r="27" spans="1:24" ht="15.75">
      <c r="A27" s="15" t="s">
        <v>17</v>
      </c>
      <c r="B27" s="19"/>
      <c r="C27" s="19"/>
      <c r="D27" s="19"/>
      <c r="E27" s="33" t="s">
        <v>17</v>
      </c>
      <c r="F27" s="19"/>
      <c r="I27">
        <v>134</v>
      </c>
      <c r="J27" s="3">
        <f t="shared" si="1"/>
        <v>-100</v>
      </c>
      <c r="K27" s="3">
        <v>0</v>
      </c>
      <c r="L27" s="3">
        <v>-100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</row>
    <row r="28" spans="1:24" ht="15.75">
      <c r="A28" s="15"/>
      <c r="B28" s="19"/>
      <c r="C28" s="19"/>
      <c r="D28" s="19"/>
      <c r="E28" s="33"/>
      <c r="F28" s="19"/>
      <c r="G28" s="3"/>
      <c r="J28" s="3">
        <f t="shared" si="1"/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/>
      <c r="W28" s="3"/>
      <c r="X28" s="3"/>
    </row>
    <row r="29" spans="1:24" ht="15.75">
      <c r="A29" s="14" t="s">
        <v>327</v>
      </c>
      <c r="B29" s="23" t="s">
        <v>17</v>
      </c>
      <c r="C29" s="23" t="s">
        <v>17</v>
      </c>
      <c r="D29" s="19"/>
      <c r="E29" s="33"/>
      <c r="F29" s="19"/>
      <c r="G29" t="s">
        <v>17</v>
      </c>
      <c r="J29" s="3"/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/>
      <c r="V29" s="3"/>
      <c r="W29" s="3"/>
      <c r="X29" s="3"/>
    </row>
    <row r="30" spans="1:24" ht="15.75">
      <c r="A30" s="15" t="s">
        <v>17</v>
      </c>
      <c r="B30" s="16" t="s">
        <v>3</v>
      </c>
      <c r="C30" s="16" t="s">
        <v>3</v>
      </c>
      <c r="D30" s="19"/>
      <c r="E30" s="33"/>
      <c r="F30" s="19"/>
      <c r="G30" t="s">
        <v>17</v>
      </c>
      <c r="J30" s="3">
        <f t="shared" si="1"/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</row>
    <row r="31" spans="1:24" ht="15.75">
      <c r="A31" s="15" t="s">
        <v>17</v>
      </c>
      <c r="B31" s="18" t="s">
        <v>303</v>
      </c>
      <c r="C31" s="18" t="s">
        <v>329</v>
      </c>
      <c r="D31" s="19"/>
      <c r="E31" s="33"/>
      <c r="F31" s="19"/>
      <c r="G31" t="s">
        <v>17</v>
      </c>
      <c r="I31">
        <v>135</v>
      </c>
      <c r="J31" s="3">
        <f t="shared" si="1"/>
        <v>-452</v>
      </c>
      <c r="K31" s="3">
        <v>36</v>
      </c>
      <c r="L31" s="3">
        <v>-488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</row>
    <row r="32" spans="1:24" ht="15.75">
      <c r="A32" s="15" t="s">
        <v>18</v>
      </c>
      <c r="B32" s="19"/>
      <c r="C32" s="19"/>
      <c r="D32" s="19"/>
      <c r="E32" s="33"/>
      <c r="F32" s="19"/>
      <c r="G32" t="s">
        <v>17</v>
      </c>
      <c r="I32">
        <v>136</v>
      </c>
      <c r="J32" s="35">
        <f t="shared" si="1"/>
        <v>6</v>
      </c>
      <c r="K32" s="5">
        <v>0</v>
      </c>
      <c r="L32" s="5">
        <v>0</v>
      </c>
      <c r="M32" s="5">
        <v>0</v>
      </c>
      <c r="N32" s="5">
        <v>6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1:24" ht="15.75">
      <c r="A33" s="15" t="s">
        <v>61</v>
      </c>
      <c r="B33" s="19">
        <v>1</v>
      </c>
      <c r="C33" s="19">
        <v>1</v>
      </c>
      <c r="D33" s="19"/>
      <c r="E33" s="33"/>
      <c r="F33" s="19"/>
      <c r="I33" s="1" t="s">
        <v>7</v>
      </c>
      <c r="J33" s="3">
        <f>SUM(J7:J32)</f>
        <v>-559584.1067</v>
      </c>
      <c r="K33" s="3">
        <f aca="true" t="shared" si="2" ref="K33:X33">SUM(K7:K32)</f>
        <v>28631.8446</v>
      </c>
      <c r="L33" s="3">
        <f t="shared" si="2"/>
        <v>14316</v>
      </c>
      <c r="M33" s="3">
        <f t="shared" si="2"/>
        <v>13332.2877</v>
      </c>
      <c r="N33" s="3">
        <f t="shared" si="2"/>
        <v>3745.761</v>
      </c>
      <c r="O33" s="3">
        <f t="shared" si="2"/>
        <v>0</v>
      </c>
      <c r="P33" s="3">
        <f t="shared" si="2"/>
        <v>-619610</v>
      </c>
      <c r="Q33" s="3">
        <f t="shared" si="2"/>
        <v>0</v>
      </c>
      <c r="R33" s="3">
        <f t="shared" si="2"/>
        <v>0</v>
      </c>
      <c r="S33" s="3">
        <f t="shared" si="2"/>
        <v>0</v>
      </c>
      <c r="T33" s="3">
        <f t="shared" si="2"/>
        <v>0</v>
      </c>
      <c r="U33" s="3">
        <f t="shared" si="2"/>
        <v>0</v>
      </c>
      <c r="V33" s="3">
        <f t="shared" si="2"/>
        <v>0</v>
      </c>
      <c r="W33" s="3">
        <f t="shared" si="2"/>
        <v>0</v>
      </c>
      <c r="X33" s="3">
        <f t="shared" si="2"/>
        <v>0</v>
      </c>
    </row>
    <row r="34" spans="1:23" ht="15.75">
      <c r="A34" s="15" t="s">
        <v>62</v>
      </c>
      <c r="B34" s="19">
        <v>1</v>
      </c>
      <c r="C34" s="19">
        <v>1</v>
      </c>
      <c r="D34" s="19"/>
      <c r="E34" s="33"/>
      <c r="F34" s="19"/>
      <c r="G34" t="s">
        <v>17</v>
      </c>
      <c r="I34" s="1" t="s">
        <v>202</v>
      </c>
      <c r="J34" s="3"/>
      <c r="K34" s="3"/>
      <c r="L34" s="3"/>
      <c r="M34" s="3"/>
      <c r="N34" s="3"/>
      <c r="O34" s="3"/>
      <c r="P34" s="3"/>
      <c r="Q34" s="5">
        <v>0</v>
      </c>
      <c r="R34" s="3"/>
      <c r="S34" s="3"/>
      <c r="T34" s="3"/>
      <c r="U34" s="3"/>
      <c r="V34" s="3"/>
      <c r="W34" s="3"/>
    </row>
    <row r="35" spans="1:23" ht="15.75">
      <c r="A35" s="15" t="s">
        <v>246</v>
      </c>
      <c r="B35" s="19">
        <v>1</v>
      </c>
      <c r="C35" s="19">
        <v>1</v>
      </c>
      <c r="D35" s="19"/>
      <c r="E35" s="33"/>
      <c r="F35" s="19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4" ht="15.75">
      <c r="A36" s="15" t="s">
        <v>54</v>
      </c>
      <c r="B36" s="19">
        <v>1</v>
      </c>
      <c r="C36" s="19">
        <v>1</v>
      </c>
      <c r="D36" s="19"/>
      <c r="E36" s="33"/>
      <c r="F36" s="19"/>
      <c r="J36" s="46">
        <f>+J33-E7</f>
        <v>-30.10670000000391</v>
      </c>
      <c r="K36" s="2"/>
      <c r="L36" s="2"/>
      <c r="M36" s="2"/>
      <c r="N36" s="2"/>
      <c r="O36" s="2"/>
      <c r="P36" s="2"/>
      <c r="Q36" s="2"/>
      <c r="R36" s="2"/>
      <c r="S36" s="2" t="s">
        <v>17</v>
      </c>
      <c r="T36" s="2" t="s">
        <v>17</v>
      </c>
      <c r="U36" s="2" t="s">
        <v>17</v>
      </c>
      <c r="V36" s="2" t="s">
        <v>17</v>
      </c>
      <c r="W36" s="2" t="s">
        <v>17</v>
      </c>
      <c r="X36" s="2" t="s">
        <v>17</v>
      </c>
    </row>
    <row r="37" spans="1:24" ht="15.75">
      <c r="A37" s="15" t="s">
        <v>19</v>
      </c>
      <c r="B37" s="19">
        <v>1</v>
      </c>
      <c r="C37" s="19">
        <v>1</v>
      </c>
      <c r="D37" s="19"/>
      <c r="E37" s="33"/>
      <c r="F37" s="19"/>
      <c r="J37" s="3"/>
      <c r="K37" s="3"/>
      <c r="L37" s="3"/>
      <c r="M37" s="3"/>
      <c r="N37" s="3"/>
      <c r="O37" s="3"/>
      <c r="P37" s="3"/>
      <c r="Q37" s="3"/>
      <c r="R37" s="3"/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</row>
    <row r="38" spans="1:24" ht="15.75">
      <c r="A38" s="15" t="s">
        <v>63</v>
      </c>
      <c r="B38" s="19">
        <v>1</v>
      </c>
      <c r="C38" s="19">
        <v>1</v>
      </c>
      <c r="D38" s="19"/>
      <c r="E38" s="33"/>
      <c r="F38" s="19"/>
      <c r="I38" s="1"/>
      <c r="J38" s="3"/>
      <c r="K38" s="3"/>
      <c r="L38" s="3"/>
      <c r="M38" s="3"/>
      <c r="N38" s="3"/>
      <c r="O38" s="3"/>
      <c r="P38" s="3"/>
      <c r="Q38" s="3"/>
      <c r="R38" s="3"/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</row>
    <row r="39" spans="1:24" ht="15.75">
      <c r="A39" s="15" t="s">
        <v>206</v>
      </c>
      <c r="B39" s="19">
        <v>1</v>
      </c>
      <c r="C39" s="19">
        <v>1</v>
      </c>
      <c r="D39" s="19"/>
      <c r="E39" s="33"/>
      <c r="F39" s="19"/>
      <c r="I39" s="1"/>
      <c r="J39" s="3"/>
      <c r="K39" s="3"/>
      <c r="L39" s="3"/>
      <c r="M39" s="3"/>
      <c r="N39" s="3"/>
      <c r="O39" s="3"/>
      <c r="P39" s="3"/>
      <c r="Q39" s="3"/>
      <c r="R39" s="3"/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</row>
    <row r="40" spans="1:24" ht="15.75">
      <c r="A40" s="15" t="s">
        <v>247</v>
      </c>
      <c r="B40" s="19">
        <v>1</v>
      </c>
      <c r="C40" s="19">
        <v>1</v>
      </c>
      <c r="D40" s="19"/>
      <c r="E40" s="33"/>
      <c r="F40" s="19"/>
      <c r="I40" s="1"/>
      <c r="J40" s="3"/>
      <c r="K40" s="3"/>
      <c r="L40" s="3"/>
      <c r="M40" s="3"/>
      <c r="N40" s="3"/>
      <c r="O40" s="3"/>
      <c r="P40" s="3"/>
      <c r="Q40" s="3"/>
      <c r="R40" s="3"/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</row>
    <row r="41" spans="1:24" ht="15.75">
      <c r="A41" s="15" t="s">
        <v>196</v>
      </c>
      <c r="B41" s="19">
        <v>1</v>
      </c>
      <c r="C41" s="19">
        <v>1</v>
      </c>
      <c r="D41" s="19"/>
      <c r="E41" s="33"/>
      <c r="F41" s="19"/>
      <c r="I41" s="1"/>
      <c r="J41" s="3"/>
      <c r="K41" s="3"/>
      <c r="L41" s="3"/>
      <c r="M41" s="3"/>
      <c r="N41" s="3"/>
      <c r="O41" s="3"/>
      <c r="P41" s="3"/>
      <c r="Q41" s="3"/>
      <c r="R41" s="3"/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</row>
    <row r="42" spans="1:24" ht="18">
      <c r="A42" s="15" t="s">
        <v>197</v>
      </c>
      <c r="B42" s="21">
        <v>1</v>
      </c>
      <c r="C42" s="21">
        <v>1</v>
      </c>
      <c r="D42" s="19"/>
      <c r="E42" s="33"/>
      <c r="F42" s="19"/>
      <c r="I42" s="1"/>
      <c r="J42" s="3"/>
      <c r="K42" s="3"/>
      <c r="L42" s="3"/>
      <c r="M42" s="3"/>
      <c r="N42" s="3"/>
      <c r="O42" s="3"/>
      <c r="P42" s="3"/>
      <c r="Q42" s="3"/>
      <c r="R42" s="3"/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</row>
    <row r="43" spans="1:24" ht="15.75">
      <c r="A43" s="15" t="s">
        <v>20</v>
      </c>
      <c r="B43" s="19">
        <f>SUM(B33:B42)</f>
        <v>10</v>
      </c>
      <c r="C43" s="19">
        <f>SUM(C33:C42)</f>
        <v>10</v>
      </c>
      <c r="D43" s="19"/>
      <c r="E43" s="33"/>
      <c r="F43" s="19"/>
      <c r="I43" s="1"/>
      <c r="J43" s="3"/>
      <c r="K43" s="3"/>
      <c r="L43" s="3"/>
      <c r="M43" s="3"/>
      <c r="N43" s="3"/>
      <c r="O43" s="3"/>
      <c r="P43" s="3"/>
      <c r="Q43" s="3"/>
      <c r="R43" s="3"/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</row>
    <row r="44" spans="1:24" ht="15.75">
      <c r="A44" s="15" t="s">
        <v>66</v>
      </c>
      <c r="B44" s="19" t="s">
        <v>17</v>
      </c>
      <c r="C44" s="19" t="s">
        <v>17</v>
      </c>
      <c r="D44" s="19"/>
      <c r="E44" s="33"/>
      <c r="F44" s="19"/>
      <c r="I44" s="1"/>
      <c r="J44" s="3"/>
      <c r="K44" s="3"/>
      <c r="L44" s="3"/>
      <c r="M44" s="3"/>
      <c r="N44" s="3"/>
      <c r="O44" s="3"/>
      <c r="P44" s="3"/>
      <c r="Q44" s="3"/>
      <c r="R44" s="3"/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</row>
    <row r="45" spans="1:24" ht="15.75">
      <c r="A45" s="15" t="s">
        <v>311</v>
      </c>
      <c r="B45" s="19">
        <v>7</v>
      </c>
      <c r="C45" s="19">
        <v>7</v>
      </c>
      <c r="D45" s="19"/>
      <c r="E45" s="33"/>
      <c r="F45" s="19"/>
      <c r="I45" s="1"/>
      <c r="J45" s="3"/>
      <c r="K45" s="3"/>
      <c r="L45" s="3"/>
      <c r="M45" s="3"/>
      <c r="N45" s="3"/>
      <c r="O45" s="3"/>
      <c r="P45" s="3"/>
      <c r="Q45" s="3"/>
      <c r="R45" s="3"/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</row>
    <row r="46" spans="1:24" ht="15.75">
      <c r="A46" s="15" t="s">
        <v>64</v>
      </c>
      <c r="B46" s="19">
        <v>1</v>
      </c>
      <c r="C46" s="19">
        <v>1</v>
      </c>
      <c r="D46" s="19"/>
      <c r="E46" s="33"/>
      <c r="F46" s="19"/>
      <c r="I46" s="1"/>
      <c r="J46" s="3"/>
      <c r="K46" s="3"/>
      <c r="L46" s="3"/>
      <c r="M46" s="3"/>
      <c r="N46" s="3"/>
      <c r="O46" s="3"/>
      <c r="P46" s="3"/>
      <c r="Q46" s="3"/>
      <c r="R46" s="3"/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</row>
    <row r="47" spans="1:24" ht="18">
      <c r="A47" s="15" t="s">
        <v>65</v>
      </c>
      <c r="B47" s="21">
        <v>1</v>
      </c>
      <c r="C47" s="21">
        <v>1</v>
      </c>
      <c r="D47" s="19"/>
      <c r="E47" s="33"/>
      <c r="F47" s="19"/>
      <c r="I47" s="1"/>
      <c r="J47" s="5"/>
      <c r="K47" s="5"/>
      <c r="L47" s="5"/>
      <c r="M47" s="5"/>
      <c r="N47" s="5"/>
      <c r="O47" s="5"/>
      <c r="P47" s="5"/>
      <c r="Q47" s="5"/>
      <c r="R47" s="5"/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</row>
    <row r="48" spans="1:24" ht="18">
      <c r="A48" s="15" t="s">
        <v>22</v>
      </c>
      <c r="B48" s="21">
        <f>SUM(B45:B47)</f>
        <v>9</v>
      </c>
      <c r="C48" s="21">
        <f>SUM(C45:C47)</f>
        <v>9</v>
      </c>
      <c r="D48" s="19"/>
      <c r="E48" s="33"/>
      <c r="F48" s="19"/>
      <c r="I48" s="1"/>
      <c r="J48" s="3"/>
      <c r="K48" s="3"/>
      <c r="L48" s="3"/>
      <c r="M48" s="3"/>
      <c r="N48" s="3"/>
      <c r="O48" s="3"/>
      <c r="P48" s="3"/>
      <c r="Q48" s="3"/>
      <c r="R48" s="3"/>
      <c r="S48" s="3">
        <f aca="true" t="shared" si="3" ref="S48:X48">SUM(S37:S47)</f>
        <v>0</v>
      </c>
      <c r="T48" s="3">
        <f t="shared" si="3"/>
        <v>0</v>
      </c>
      <c r="U48" s="3">
        <f t="shared" si="3"/>
        <v>0</v>
      </c>
      <c r="V48" s="3">
        <f t="shared" si="3"/>
        <v>0</v>
      </c>
      <c r="W48" s="3">
        <f t="shared" si="3"/>
        <v>0</v>
      </c>
      <c r="X48" s="3">
        <f t="shared" si="3"/>
        <v>0</v>
      </c>
    </row>
    <row r="49" spans="1:23" ht="15.75">
      <c r="A49" s="15" t="s">
        <v>7</v>
      </c>
      <c r="B49" s="19">
        <f>+B43+B48</f>
        <v>19</v>
      </c>
      <c r="C49" s="19">
        <f>+C43+C48</f>
        <v>19</v>
      </c>
      <c r="D49" s="19"/>
      <c r="E49" s="33"/>
      <c r="F49" s="19"/>
      <c r="I49" s="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>
      <c r="A50" s="15"/>
      <c r="B50" s="19"/>
      <c r="C50" s="19"/>
      <c r="D50" s="19"/>
      <c r="E50" s="33"/>
      <c r="F50" s="19"/>
      <c r="I50" s="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>
      <c r="A51" s="14" t="s">
        <v>23</v>
      </c>
      <c r="B51" s="19"/>
      <c r="C51" s="19"/>
      <c r="D51" s="19"/>
      <c r="E51" s="33"/>
      <c r="F51" s="19"/>
      <c r="I51" s="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>
      <c r="A52" s="15" t="s">
        <v>42</v>
      </c>
      <c r="B52" s="19" t="s">
        <v>17</v>
      </c>
      <c r="C52" s="19">
        <v>4500</v>
      </c>
      <c r="D52" s="19"/>
      <c r="E52" s="33"/>
      <c r="F52" s="19"/>
      <c r="I52" s="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>
      <c r="A53" s="15" t="s">
        <v>211</v>
      </c>
      <c r="B53" s="19" t="s">
        <v>17</v>
      </c>
      <c r="C53" s="19">
        <v>1</v>
      </c>
      <c r="D53" s="19"/>
      <c r="E53" s="33"/>
      <c r="F53" s="19"/>
      <c r="I53" s="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>
      <c r="A54" s="15" t="s">
        <v>190</v>
      </c>
      <c r="B54" s="19" t="s">
        <v>17</v>
      </c>
      <c r="C54" s="19">
        <v>3300</v>
      </c>
      <c r="D54" s="19"/>
      <c r="E54" s="33"/>
      <c r="F54" s="19"/>
      <c r="I54" s="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>
      <c r="A55" s="15" t="s">
        <v>395</v>
      </c>
      <c r="B55" s="19"/>
      <c r="C55" s="19">
        <v>250000</v>
      </c>
      <c r="D55" s="19"/>
      <c r="E55" s="33"/>
      <c r="F55" s="19"/>
      <c r="I55" s="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>
      <c r="A56" s="15" t="s">
        <v>252</v>
      </c>
      <c r="B56" s="19"/>
      <c r="C56" s="19">
        <v>10000</v>
      </c>
      <c r="D56" s="19"/>
      <c r="E56" s="33"/>
      <c r="F56" s="19"/>
      <c r="I56" s="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8">
      <c r="A57" s="15" t="s">
        <v>230</v>
      </c>
      <c r="B57" s="19" t="s">
        <v>17</v>
      </c>
      <c r="C57" s="21">
        <v>5000</v>
      </c>
      <c r="D57" s="19"/>
      <c r="E57" s="33"/>
      <c r="F57" s="19"/>
      <c r="I57" s="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>
      <c r="A58" s="15" t="s">
        <v>7</v>
      </c>
      <c r="B58" s="19" t="s">
        <v>17</v>
      </c>
      <c r="C58" s="19">
        <f>SUM(C52:C57)</f>
        <v>272801</v>
      </c>
      <c r="D58" s="19"/>
      <c r="E58" s="33"/>
      <c r="F58" s="19"/>
      <c r="I58" s="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4:23" ht="15.75">
      <c r="D59" s="19"/>
      <c r="E59" s="33"/>
      <c r="F59" s="19"/>
      <c r="I59" s="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ht="15.75">
      <c r="F60" s="19"/>
    </row>
    <row r="61" ht="15.75">
      <c r="F61" s="19"/>
    </row>
    <row r="62" ht="15.75">
      <c r="F62" s="19"/>
    </row>
    <row r="63" ht="15.75">
      <c r="F63" s="19"/>
    </row>
    <row r="64" ht="15.75">
      <c r="F64" s="19"/>
    </row>
    <row r="65" ht="15.75">
      <c r="F65" s="19"/>
    </row>
  </sheetData>
  <mergeCells count="5">
    <mergeCell ref="E5:F5"/>
    <mergeCell ref="A1:F1"/>
    <mergeCell ref="I1:W1"/>
    <mergeCell ref="A2:F2"/>
    <mergeCell ref="I2:W2"/>
  </mergeCells>
  <printOptions gridLines="1"/>
  <pageMargins left="0.75" right="0.75" top="1" bottom="1" header="0.5" footer="0.5"/>
  <pageSetup fitToHeight="1" fitToWidth="1" horizontalDpi="600" verticalDpi="600" orientation="portrait" scale="69" r:id="rId1"/>
  <rowBreaks count="1" manualBreakCount="1">
    <brk id="3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4">
      <selection activeCell="E23" sqref="E23"/>
    </sheetView>
  </sheetViews>
  <sheetFormatPr defaultColWidth="9.140625" defaultRowHeight="12.75"/>
  <cols>
    <col min="1" max="1" width="55.00390625" style="0" customWidth="1"/>
    <col min="2" max="5" width="12.7109375" style="0" customWidth="1"/>
    <col min="6" max="6" width="10.8515625" style="0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217</v>
      </c>
      <c r="B2" s="71"/>
      <c r="C2" s="71"/>
      <c r="D2" s="71"/>
      <c r="E2" s="71"/>
      <c r="F2" s="71"/>
      <c r="I2" s="72" t="str">
        <f>+A2</f>
        <v>PARKS AND RECREATION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/>
      <c r="R5" s="1"/>
      <c r="S5" s="1"/>
      <c r="T5" s="1"/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318</v>
      </c>
      <c r="O6" s="2" t="s">
        <v>12</v>
      </c>
      <c r="P6" s="2" t="s">
        <v>13</v>
      </c>
      <c r="Q6" s="2" t="s">
        <v>350</v>
      </c>
      <c r="R6" s="2" t="s">
        <v>45</v>
      </c>
      <c r="S6" s="2" t="s">
        <v>45</v>
      </c>
      <c r="T6" s="2" t="s">
        <v>45</v>
      </c>
    </row>
    <row r="7" spans="1:20" ht="15.75">
      <c r="A7" s="15" t="s">
        <v>328</v>
      </c>
      <c r="B7" s="19">
        <v>321640</v>
      </c>
      <c r="C7" s="19">
        <v>310921</v>
      </c>
      <c r="D7" s="19">
        <v>326010</v>
      </c>
      <c r="E7" s="19">
        <f>+D7-C7</f>
        <v>15089</v>
      </c>
      <c r="F7" s="29">
        <f>ROUND(E7/C7,4)</f>
        <v>0.0485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298392</v>
      </c>
      <c r="C8" s="19">
        <v>311034</v>
      </c>
      <c r="D8" s="19">
        <v>330750</v>
      </c>
      <c r="E8" s="33">
        <f>+D8-C8</f>
        <v>19716</v>
      </c>
      <c r="F8" s="29">
        <f>ROUND(E8/C8,4)</f>
        <v>0.0634</v>
      </c>
      <c r="I8">
        <v>102</v>
      </c>
      <c r="J8" s="3">
        <f aca="true" t="shared" si="0" ref="J8:J25">SUM(K8:T8)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96108</v>
      </c>
      <c r="C9" s="22">
        <v>0</v>
      </c>
      <c r="D9" s="22">
        <v>96100</v>
      </c>
      <c r="E9" s="37">
        <f>+D9-C9</f>
        <v>96100</v>
      </c>
      <c r="F9" s="29">
        <v>0</v>
      </c>
      <c r="I9">
        <v>103</v>
      </c>
      <c r="J9" s="3">
        <f t="shared" si="0"/>
        <v>57740</v>
      </c>
      <c r="K9" s="3">
        <v>1664</v>
      </c>
      <c r="L9" s="3">
        <v>901</v>
      </c>
      <c r="M9" s="3">
        <v>1979</v>
      </c>
      <c r="N9" s="3">
        <v>53196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716140</v>
      </c>
      <c r="C10" s="19">
        <f>SUM(C7:C9)</f>
        <v>621955</v>
      </c>
      <c r="D10" s="19">
        <f>SUM(D7:D9)</f>
        <v>752860</v>
      </c>
      <c r="E10" s="33">
        <f>SUM(E7:E9)</f>
        <v>130905</v>
      </c>
      <c r="F10" s="29">
        <f>ROUND(E10/C10,4)</f>
        <v>0.2105</v>
      </c>
      <c r="I10">
        <v>104</v>
      </c>
      <c r="J10" s="3">
        <f t="shared" si="0"/>
        <v>-33488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-33488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33"/>
      <c r="F11" s="19"/>
      <c r="I11">
        <v>105</v>
      </c>
      <c r="J11" s="3">
        <f t="shared" si="0"/>
        <v>455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455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33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351</v>
      </c>
      <c r="B13" s="19"/>
      <c r="C13" s="19"/>
      <c r="D13" s="19"/>
      <c r="E13" s="33">
        <v>37888</v>
      </c>
      <c r="F13" s="19"/>
      <c r="I13">
        <v>107</v>
      </c>
      <c r="J13" s="3">
        <f t="shared" si="0"/>
        <v>-12675</v>
      </c>
      <c r="K13" s="3">
        <v>0</v>
      </c>
      <c r="L13" s="3">
        <v>0</v>
      </c>
      <c r="M13" s="3">
        <v>0</v>
      </c>
      <c r="N13" s="3">
        <v>-36372</v>
      </c>
      <c r="O13" s="3">
        <v>-93</v>
      </c>
      <c r="P13" s="3">
        <v>0</v>
      </c>
      <c r="Q13" s="3">
        <v>23790</v>
      </c>
      <c r="R13" s="3">
        <v>0</v>
      </c>
      <c r="S13" s="3">
        <v>0</v>
      </c>
      <c r="T13" s="3">
        <v>0</v>
      </c>
    </row>
    <row r="14" spans="1:20" ht="15.75">
      <c r="A14" s="15" t="s">
        <v>427</v>
      </c>
      <c r="B14" s="19"/>
      <c r="C14" s="19"/>
      <c r="D14" s="19"/>
      <c r="E14" s="33">
        <v>-28268</v>
      </c>
      <c r="F14" s="1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15" t="s">
        <v>31</v>
      </c>
      <c r="B15" s="19"/>
      <c r="C15" s="19"/>
      <c r="D15" s="19"/>
      <c r="E15" s="33">
        <v>2799</v>
      </c>
      <c r="F15" s="19"/>
      <c r="J15" s="3"/>
      <c r="K15" s="3">
        <v>0</v>
      </c>
      <c r="L15" s="3">
        <v>0</v>
      </c>
      <c r="M15" s="3">
        <v>0</v>
      </c>
      <c r="N15" s="3">
        <v>0</v>
      </c>
      <c r="O15" s="3"/>
      <c r="P15" s="3"/>
      <c r="Q15" s="3"/>
      <c r="R15" s="3"/>
      <c r="S15" s="3"/>
      <c r="T15" s="3"/>
    </row>
    <row r="16" spans="1:20" ht="15.75">
      <c r="A16" s="15" t="s">
        <v>32</v>
      </c>
      <c r="B16" s="19"/>
      <c r="C16" s="19"/>
      <c r="D16" s="19"/>
      <c r="E16" s="33">
        <v>304</v>
      </c>
      <c r="F16" s="19"/>
      <c r="I16">
        <v>111</v>
      </c>
      <c r="J16" s="3">
        <f t="shared" si="0"/>
        <v>500</v>
      </c>
      <c r="K16" s="3">
        <v>192</v>
      </c>
      <c r="L16" s="3">
        <v>0</v>
      </c>
      <c r="M16" s="3">
        <v>0</v>
      </c>
      <c r="N16" s="3">
        <v>0</v>
      </c>
      <c r="O16" s="3">
        <v>0</v>
      </c>
      <c r="P16" s="3">
        <v>308</v>
      </c>
      <c r="Q16" s="3">
        <v>0</v>
      </c>
      <c r="R16" s="3">
        <v>0</v>
      </c>
      <c r="S16" s="3">
        <v>0</v>
      </c>
      <c r="T16" s="3">
        <v>0</v>
      </c>
    </row>
    <row r="17" spans="1:20" ht="15.75">
      <c r="A17" s="15" t="s">
        <v>333</v>
      </c>
      <c r="B17" s="19"/>
      <c r="C17" s="19"/>
      <c r="D17" s="19"/>
      <c r="E17" s="33">
        <v>2366</v>
      </c>
      <c r="F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15" t="s">
        <v>402</v>
      </c>
      <c r="E18" s="33">
        <v>12000</v>
      </c>
      <c r="F18" s="19"/>
      <c r="I18">
        <v>125</v>
      </c>
      <c r="J18" s="3">
        <f t="shared" si="0"/>
        <v>959.6980000000003</v>
      </c>
      <c r="K18" s="3">
        <f aca="true" t="shared" si="1" ref="K18:P18">+SUM(K9:K16)*0.0765</f>
        <v>141.984</v>
      </c>
      <c r="L18" s="3">
        <f t="shared" si="1"/>
        <v>68.9265</v>
      </c>
      <c r="M18" s="3">
        <f t="shared" si="1"/>
        <v>151.3935</v>
      </c>
      <c r="N18" s="3">
        <f t="shared" si="1"/>
        <v>1287.036</v>
      </c>
      <c r="O18" s="3">
        <f t="shared" si="1"/>
        <v>-7.1145</v>
      </c>
      <c r="P18" s="3">
        <f t="shared" si="1"/>
        <v>58.3695</v>
      </c>
      <c r="Q18" s="3">
        <f>+SUM(Q9:Q16)*0.0765+1</f>
        <v>-740.8969999999999</v>
      </c>
      <c r="R18" s="3">
        <v>0</v>
      </c>
      <c r="S18" s="3">
        <v>0</v>
      </c>
      <c r="T18" s="3">
        <v>0</v>
      </c>
    </row>
    <row r="19" spans="1:20" ht="15.75">
      <c r="A19" s="15" t="s">
        <v>348</v>
      </c>
      <c r="E19" s="33">
        <v>6549</v>
      </c>
      <c r="F19" s="19"/>
      <c r="I19">
        <v>128</v>
      </c>
      <c r="J19" s="3">
        <f t="shared" si="0"/>
        <v>2265.0424000000003</v>
      </c>
      <c r="K19" s="3">
        <v>19</v>
      </c>
      <c r="L19" s="3">
        <f>+SUM(L9:L16)*0.0874</f>
        <v>78.7474</v>
      </c>
      <c r="M19" s="3">
        <f>+SUM(M9:M16)*0.0874</f>
        <v>172.96460000000002</v>
      </c>
      <c r="N19" s="3">
        <f>+SUM(N9)*0.0874</f>
        <v>4649.330400000001</v>
      </c>
      <c r="O19" s="3">
        <v>0</v>
      </c>
      <c r="P19" s="3">
        <v>30</v>
      </c>
      <c r="Q19" s="3">
        <v>-2685</v>
      </c>
      <c r="R19" s="3">
        <v>0</v>
      </c>
      <c r="S19" s="3">
        <v>0</v>
      </c>
      <c r="T19" s="3">
        <v>0</v>
      </c>
    </row>
    <row r="20" spans="1:20" ht="15.75">
      <c r="A20" s="15" t="s">
        <v>426</v>
      </c>
      <c r="E20" s="33">
        <v>-4150</v>
      </c>
      <c r="F20" s="1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15" t="s">
        <v>349</v>
      </c>
      <c r="E21" s="33">
        <v>3325</v>
      </c>
      <c r="F21" s="19"/>
      <c r="I21">
        <v>131</v>
      </c>
      <c r="J21" s="3">
        <f>SUM(K21:T21)</f>
        <v>725.0799999999999</v>
      </c>
      <c r="K21" s="3">
        <v>-22</v>
      </c>
      <c r="L21" s="3">
        <v>1197</v>
      </c>
      <c r="M21" s="3">
        <v>0</v>
      </c>
      <c r="N21" s="3">
        <f>+N9*-0.02+14000</f>
        <v>12936.08</v>
      </c>
      <c r="O21" s="3">
        <v>0</v>
      </c>
      <c r="P21" s="3">
        <v>0</v>
      </c>
      <c r="Q21" s="3">
        <v>-13386</v>
      </c>
      <c r="R21" s="3">
        <v>0</v>
      </c>
      <c r="S21" s="3">
        <v>0</v>
      </c>
      <c r="T21" s="3">
        <v>0</v>
      </c>
    </row>
    <row r="22" spans="1:20" ht="15.75">
      <c r="A22" s="15" t="s">
        <v>220</v>
      </c>
      <c r="B22" s="19"/>
      <c r="C22" s="19"/>
      <c r="D22" s="19"/>
      <c r="E22" s="33">
        <v>96100</v>
      </c>
      <c r="F22" s="19"/>
      <c r="I22">
        <v>132</v>
      </c>
      <c r="J22" s="3">
        <f t="shared" si="0"/>
        <v>100</v>
      </c>
      <c r="K22" s="3">
        <v>0</v>
      </c>
      <c r="L22" s="3">
        <v>100</v>
      </c>
      <c r="M22" s="3">
        <v>0</v>
      </c>
      <c r="N22" s="3">
        <v>1150</v>
      </c>
      <c r="O22" s="3">
        <v>0</v>
      </c>
      <c r="P22" s="3">
        <v>0</v>
      </c>
      <c r="Q22" s="3">
        <v>-1150</v>
      </c>
      <c r="R22" s="3">
        <v>0</v>
      </c>
      <c r="S22" s="3">
        <v>0</v>
      </c>
      <c r="T22" s="3">
        <v>0</v>
      </c>
    </row>
    <row r="23" spans="1:20" ht="18">
      <c r="A23" s="15" t="s">
        <v>60</v>
      </c>
      <c r="B23" s="19"/>
      <c r="C23" s="19"/>
      <c r="D23" s="19"/>
      <c r="E23" s="38">
        <v>1992</v>
      </c>
      <c r="F23" s="19"/>
      <c r="I23">
        <v>133</v>
      </c>
      <c r="J23" s="3">
        <f t="shared" si="0"/>
        <v>-90</v>
      </c>
      <c r="K23" s="3">
        <v>0</v>
      </c>
      <c r="L23" s="3">
        <v>-90</v>
      </c>
      <c r="M23" s="3">
        <v>0</v>
      </c>
      <c r="N23" s="3">
        <v>130</v>
      </c>
      <c r="O23" s="3">
        <v>0</v>
      </c>
      <c r="P23" s="3">
        <v>0</v>
      </c>
      <c r="Q23" s="3">
        <v>-130</v>
      </c>
      <c r="R23" s="3">
        <v>0</v>
      </c>
      <c r="S23" s="3">
        <v>0</v>
      </c>
      <c r="T23" s="3">
        <v>0</v>
      </c>
    </row>
    <row r="24" spans="1:20" ht="15.75">
      <c r="A24" s="15" t="s">
        <v>33</v>
      </c>
      <c r="B24" s="19"/>
      <c r="C24" s="19"/>
      <c r="D24" s="19"/>
      <c r="E24" s="33">
        <f>SUM(E13:E23)</f>
        <v>130905</v>
      </c>
      <c r="F24" s="19"/>
      <c r="I24">
        <v>134</v>
      </c>
      <c r="J24" s="3">
        <f t="shared" si="0"/>
        <v>-90</v>
      </c>
      <c r="K24" s="3">
        <v>0</v>
      </c>
      <c r="L24" s="3">
        <v>-90</v>
      </c>
      <c r="M24" s="3">
        <v>0</v>
      </c>
      <c r="N24" s="3">
        <v>375</v>
      </c>
      <c r="O24" s="3">
        <v>0</v>
      </c>
      <c r="P24" s="3">
        <v>0</v>
      </c>
      <c r="Q24" s="3">
        <v>-375</v>
      </c>
      <c r="R24" s="3">
        <v>0</v>
      </c>
      <c r="S24" s="3">
        <v>0</v>
      </c>
      <c r="T24" s="3">
        <v>0</v>
      </c>
    </row>
    <row r="25" spans="1:20" ht="15.75">
      <c r="A25" s="15"/>
      <c r="B25" s="19"/>
      <c r="C25" s="19"/>
      <c r="D25" s="19"/>
      <c r="E25" s="19"/>
      <c r="F25" s="19"/>
      <c r="I25">
        <v>135</v>
      </c>
      <c r="J25" s="3">
        <f t="shared" si="0"/>
        <v>-1314.1494000000002</v>
      </c>
      <c r="K25" s="3">
        <f>+(+K9+K10)*0.0318</f>
        <v>52.915200000000006</v>
      </c>
      <c r="L25" s="3">
        <v>-1862</v>
      </c>
      <c r="M25" s="3">
        <f>+M9*0.0318</f>
        <v>62.9322</v>
      </c>
      <c r="N25" s="3">
        <f>+(N9+N13)*0.0318</f>
        <v>535.0032</v>
      </c>
      <c r="O25" s="3">
        <v>0</v>
      </c>
      <c r="P25" s="3">
        <v>0</v>
      </c>
      <c r="Q25" s="3">
        <v>-103</v>
      </c>
      <c r="R25" s="3">
        <v>0</v>
      </c>
      <c r="S25" s="3">
        <v>0</v>
      </c>
      <c r="T25" s="3">
        <v>0</v>
      </c>
    </row>
    <row r="26" spans="1:20" ht="15.75">
      <c r="A26" s="14" t="s">
        <v>327</v>
      </c>
      <c r="B26" s="23" t="s">
        <v>17</v>
      </c>
      <c r="C26" s="23" t="s">
        <v>17</v>
      </c>
      <c r="D26" s="19"/>
      <c r="E26" s="19"/>
      <c r="F26" s="19"/>
      <c r="I26">
        <v>136</v>
      </c>
      <c r="J26" s="4">
        <f>SUM(K26:T26)</f>
        <v>1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ht="15.75">
      <c r="A27" s="15" t="s">
        <v>17</v>
      </c>
      <c r="B27" s="23" t="s">
        <v>3</v>
      </c>
      <c r="C27" s="23" t="s">
        <v>3</v>
      </c>
      <c r="D27" s="19"/>
      <c r="E27" s="19"/>
      <c r="F27" s="19"/>
      <c r="I27" s="1" t="s">
        <v>7</v>
      </c>
      <c r="J27" s="3">
        <f>SUM(J7:J26)</f>
        <v>15088.671</v>
      </c>
      <c r="K27" s="3">
        <f aca="true" t="shared" si="2" ref="K27:T27">SUM(K7:K26)</f>
        <v>2047.8991999999998</v>
      </c>
      <c r="L27" s="3">
        <f t="shared" si="2"/>
        <v>303.6738999999998</v>
      </c>
      <c r="M27" s="3">
        <f t="shared" si="2"/>
        <v>2366.2903000000006</v>
      </c>
      <c r="N27" s="3">
        <f t="shared" si="2"/>
        <v>37887.4496</v>
      </c>
      <c r="O27" s="3">
        <f t="shared" si="2"/>
        <v>-100.11449999999999</v>
      </c>
      <c r="P27" s="3">
        <f t="shared" si="2"/>
        <v>851.3695</v>
      </c>
      <c r="Q27" s="3">
        <f t="shared" si="2"/>
        <v>-28267.897</v>
      </c>
      <c r="R27" s="3">
        <f t="shared" si="2"/>
        <v>0</v>
      </c>
      <c r="S27" s="3">
        <f t="shared" si="2"/>
        <v>0</v>
      </c>
      <c r="T27" s="3">
        <f t="shared" si="2"/>
        <v>0</v>
      </c>
    </row>
    <row r="28" spans="1:20" ht="15.75">
      <c r="A28" s="15" t="s">
        <v>17</v>
      </c>
      <c r="B28" s="18" t="s">
        <v>303</v>
      </c>
      <c r="C28" s="18" t="s">
        <v>329</v>
      </c>
      <c r="D28" s="19"/>
      <c r="E28" s="19"/>
      <c r="F28" s="19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>
      <c r="A29" s="15" t="s">
        <v>18</v>
      </c>
      <c r="B29" s="19"/>
      <c r="C29" s="19"/>
      <c r="D29" s="19"/>
      <c r="E29" s="19"/>
      <c r="F29" s="19"/>
      <c r="I29" s="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 t="s">
        <v>48</v>
      </c>
      <c r="B30" s="19">
        <v>0</v>
      </c>
      <c r="C30" s="19">
        <v>1</v>
      </c>
      <c r="D30" s="19"/>
      <c r="E30" s="19"/>
      <c r="F30" s="19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5" t="s">
        <v>49</v>
      </c>
      <c r="B31" s="19">
        <v>1</v>
      </c>
      <c r="C31" s="19">
        <v>1</v>
      </c>
      <c r="D31" s="19"/>
      <c r="E31" s="19"/>
      <c r="F31" s="19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>
      <c r="A32" s="15" t="s">
        <v>19</v>
      </c>
      <c r="B32" s="22">
        <v>1</v>
      </c>
      <c r="C32" s="22">
        <v>0</v>
      </c>
      <c r="D32" s="19"/>
      <c r="E32" s="19"/>
      <c r="F32" s="19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5" t="s">
        <v>20</v>
      </c>
      <c r="B33" s="19">
        <f>SUM(B30:B32)</f>
        <v>2</v>
      </c>
      <c r="C33" s="19">
        <f>SUM(C30:C32)</f>
        <v>2</v>
      </c>
      <c r="D33" s="19"/>
      <c r="E33" s="19"/>
      <c r="F33" s="19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>
      <c r="A34" s="15" t="s">
        <v>93</v>
      </c>
      <c r="B34" s="19"/>
      <c r="C34" s="19"/>
      <c r="D34" s="19"/>
      <c r="E34" s="19"/>
      <c r="F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>
      <c r="A35" s="15" t="s">
        <v>48</v>
      </c>
      <c r="B35" s="19">
        <v>1</v>
      </c>
      <c r="C35" s="19">
        <v>0</v>
      </c>
      <c r="D35" s="19"/>
      <c r="E35" s="19"/>
      <c r="F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8">
      <c r="A36" s="15" t="s">
        <v>19</v>
      </c>
      <c r="B36" s="21">
        <v>0</v>
      </c>
      <c r="C36" s="21">
        <v>1</v>
      </c>
      <c r="D36" s="19"/>
      <c r="E36" s="19"/>
      <c r="F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>
      <c r="A37" s="15" t="s">
        <v>7</v>
      </c>
      <c r="B37" s="19">
        <f>SUM(B33:B36)</f>
        <v>3</v>
      </c>
      <c r="C37" s="19">
        <f>SUM(C33:C36)</f>
        <v>3</v>
      </c>
      <c r="D37" s="19"/>
      <c r="E37" s="19"/>
      <c r="F37" s="1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75">
      <c r="A38" s="15"/>
      <c r="B38" s="19"/>
      <c r="C38" s="19"/>
      <c r="D38" s="19"/>
      <c r="E38" s="19"/>
      <c r="F38" s="1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.75">
      <c r="A39" s="14" t="s">
        <v>23</v>
      </c>
      <c r="B39" s="19"/>
      <c r="C39" s="19"/>
      <c r="D39" s="19"/>
      <c r="E39" s="19"/>
      <c r="F39" s="1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75">
      <c r="A40" s="15" t="s">
        <v>270</v>
      </c>
      <c r="C40" s="19">
        <v>10000</v>
      </c>
      <c r="D40" s="19"/>
      <c r="E40" s="19"/>
      <c r="F40" s="1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.75">
      <c r="A41" s="15" t="s">
        <v>279</v>
      </c>
      <c r="C41" s="19">
        <v>75000</v>
      </c>
      <c r="D41" s="19"/>
      <c r="E41" s="19"/>
      <c r="F41" s="1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8">
      <c r="A42" s="15" t="s">
        <v>347</v>
      </c>
      <c r="C42" s="21">
        <v>11100</v>
      </c>
      <c r="D42" s="19"/>
      <c r="E42" s="19"/>
      <c r="F42" s="1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.75">
      <c r="A43" s="15" t="s">
        <v>7</v>
      </c>
      <c r="C43" s="19">
        <f>SUM(C40:C42)</f>
        <v>96100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8" r:id="rId1"/>
  <rowBreaks count="1" manualBreakCount="1">
    <brk id="3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workbookViewId="0" topLeftCell="A7">
      <selection activeCell="D9" sqref="D9"/>
    </sheetView>
  </sheetViews>
  <sheetFormatPr defaultColWidth="9.140625" defaultRowHeight="12.75"/>
  <cols>
    <col min="1" max="1" width="58.7109375" style="0" bestFit="1" customWidth="1"/>
    <col min="2" max="4" width="12.8515625" style="0" bestFit="1" customWidth="1"/>
    <col min="5" max="5" width="13.7109375" style="0" bestFit="1" customWidth="1"/>
    <col min="6" max="6" width="10.421875" style="0" bestFit="1" customWidth="1"/>
  </cols>
  <sheetData>
    <row r="1" spans="1:20" ht="15.75">
      <c r="A1" s="71" t="s">
        <v>302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123</v>
      </c>
      <c r="B2" s="71"/>
      <c r="C2" s="71"/>
      <c r="D2" s="71"/>
      <c r="E2" s="71"/>
      <c r="F2" s="71"/>
      <c r="I2" s="72" t="str">
        <f>+A2</f>
        <v>LIBRARY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T5" s="1"/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235</v>
      </c>
      <c r="R6" s="2" t="s">
        <v>237</v>
      </c>
      <c r="S6" s="2" t="s">
        <v>274</v>
      </c>
      <c r="T6" s="2" t="s">
        <v>17</v>
      </c>
    </row>
    <row r="7" spans="1:20" ht="15.75">
      <c r="A7" s="15" t="s">
        <v>328</v>
      </c>
      <c r="B7" s="19">
        <v>934544</v>
      </c>
      <c r="C7" s="19">
        <v>1003857</v>
      </c>
      <c r="D7" s="19">
        <v>1030469</v>
      </c>
      <c r="E7" s="19">
        <f>+D7-C7</f>
        <v>26612</v>
      </c>
      <c r="F7" s="29">
        <f>ROUND(E7/C7,4)</f>
        <v>0.0265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331766</v>
      </c>
      <c r="C8" s="19">
        <v>273394</v>
      </c>
      <c r="D8" s="19">
        <v>222542</v>
      </c>
      <c r="E8" s="19">
        <f>+D8-C8</f>
        <v>-50852</v>
      </c>
      <c r="F8" s="29">
        <f>ROUND(E8/C8,4)</f>
        <v>-0.186</v>
      </c>
      <c r="I8" t="s">
        <v>276</v>
      </c>
      <c r="J8" s="3">
        <f aca="true" t="shared" si="0" ref="J8:J24">SUM(K8:T8)</f>
        <v>4625</v>
      </c>
      <c r="K8" s="3">
        <v>-3364</v>
      </c>
      <c r="L8" s="3">
        <v>0</v>
      </c>
      <c r="M8" s="3">
        <v>7989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2" ht="15.75">
      <c r="A9" s="15" t="s">
        <v>15</v>
      </c>
      <c r="B9" s="22">
        <v>141757</v>
      </c>
      <c r="C9" s="22">
        <v>9001</v>
      </c>
      <c r="D9" s="22">
        <v>15000</v>
      </c>
      <c r="E9" s="22">
        <f>+D9-C9</f>
        <v>5999</v>
      </c>
      <c r="F9" s="29">
        <f>ROUND(E9/C9,4)</f>
        <v>0.6665</v>
      </c>
      <c r="I9">
        <v>103</v>
      </c>
      <c r="J9" s="3">
        <f t="shared" si="0"/>
        <v>13557</v>
      </c>
      <c r="K9" s="3">
        <v>8212</v>
      </c>
      <c r="L9" s="3">
        <v>0</v>
      </c>
      <c r="M9" s="3">
        <v>5345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V9" t="s">
        <v>17</v>
      </c>
    </row>
    <row r="10" spans="1:22" ht="15.75">
      <c r="A10" s="15" t="s">
        <v>7</v>
      </c>
      <c r="B10" s="19">
        <f>SUM(B7:B9)</f>
        <v>1408067</v>
      </c>
      <c r="C10" s="19">
        <f>SUM(C7:C9)</f>
        <v>1286252</v>
      </c>
      <c r="D10" s="19">
        <f>SUM(D7:D9)</f>
        <v>1268011</v>
      </c>
      <c r="E10" s="19">
        <f>SUM(E7:E9)</f>
        <v>-18241</v>
      </c>
      <c r="F10" s="29">
        <f>ROUND(E10/C10,4)</f>
        <v>-0.0142</v>
      </c>
      <c r="I10" t="s">
        <v>275</v>
      </c>
      <c r="J10" s="3">
        <f t="shared" si="0"/>
        <v>15061</v>
      </c>
      <c r="K10" s="3">
        <v>11596</v>
      </c>
      <c r="L10" s="3">
        <v>0</v>
      </c>
      <c r="M10" s="3">
        <v>3465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 t="s">
        <v>17</v>
      </c>
      <c r="V10" t="s">
        <v>17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131</v>
      </c>
      <c r="J12" s="3">
        <f>SUM(K12:T12)</f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/>
      <c r="E13" s="19">
        <v>21538</v>
      </c>
      <c r="F13" s="19" t="s">
        <v>17</v>
      </c>
      <c r="I13" t="s">
        <v>296</v>
      </c>
      <c r="J13" s="3">
        <f t="shared" si="0"/>
        <v>1883</v>
      </c>
      <c r="K13" s="3">
        <v>1144</v>
      </c>
      <c r="L13" s="3">
        <v>0</v>
      </c>
      <c r="M13" s="3">
        <v>739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32</v>
      </c>
      <c r="B14" s="19"/>
      <c r="C14" s="19"/>
      <c r="D14" s="19"/>
      <c r="E14" s="19">
        <v>-15063</v>
      </c>
      <c r="F14" s="19"/>
      <c r="I14">
        <v>111</v>
      </c>
      <c r="J14" s="3">
        <f t="shared" si="0"/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5.75">
      <c r="A15" s="15" t="s">
        <v>333</v>
      </c>
      <c r="B15" s="19"/>
      <c r="C15" s="19"/>
      <c r="D15" s="19"/>
      <c r="E15" s="19">
        <v>20137</v>
      </c>
      <c r="F15" s="19"/>
      <c r="I15">
        <v>125</v>
      </c>
      <c r="J15" s="3">
        <f t="shared" si="0"/>
        <v>2722.87</v>
      </c>
      <c r="K15" s="3">
        <f>+SUM(K8:K13,K16)*0.0765+1</f>
        <v>1367.3665</v>
      </c>
      <c r="L15" s="3">
        <f>+SUM(L8:L13,L16)*0.0765</f>
        <v>0</v>
      </c>
      <c r="M15" s="3">
        <f>+SUM(M8:M13,M16)*0.0765</f>
        <v>1355.5035</v>
      </c>
      <c r="N15" s="3">
        <f>+SUM(N8:N13,N16)*0.0765</f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378</v>
      </c>
      <c r="B16" s="19"/>
      <c r="C16" s="19"/>
      <c r="D16" s="19"/>
      <c r="E16" s="19">
        <v>-2999</v>
      </c>
      <c r="F16" s="19"/>
      <c r="I16" t="s">
        <v>297</v>
      </c>
      <c r="J16" s="3">
        <f t="shared" si="0"/>
        <v>454</v>
      </c>
      <c r="K16" s="3">
        <v>273</v>
      </c>
      <c r="L16" s="3">
        <v>0</v>
      </c>
      <c r="M16" s="3">
        <v>181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5.75">
      <c r="A17" s="15" t="s">
        <v>394</v>
      </c>
      <c r="B17" s="19"/>
      <c r="C17" s="19"/>
      <c r="D17" s="19"/>
      <c r="E17" s="19">
        <v>-38654</v>
      </c>
      <c r="F17" s="19"/>
      <c r="I17">
        <v>131</v>
      </c>
      <c r="J17" s="3">
        <f t="shared" si="0"/>
        <v>-14143.98</v>
      </c>
      <c r="K17" s="3">
        <f>+SUM(K9+K10+K13)*0.02</f>
        <v>419.04</v>
      </c>
      <c r="L17" s="3">
        <v>-14754</v>
      </c>
      <c r="M17" s="3">
        <f>+SUM(M9+M10+M13)*0.02</f>
        <v>190.98000000000002</v>
      </c>
      <c r="N17" s="3">
        <v>0</v>
      </c>
      <c r="O17" s="3">
        <v>0</v>
      </c>
      <c r="P17" s="3">
        <v>0</v>
      </c>
      <c r="Q17" s="3">
        <v>0</v>
      </c>
      <c r="R17" s="3"/>
      <c r="S17" s="3"/>
      <c r="T17" s="3"/>
    </row>
    <row r="18" spans="1:20" ht="15.75">
      <c r="A18" s="15" t="s">
        <v>393</v>
      </c>
      <c r="B18" s="19"/>
      <c r="C18" s="19"/>
      <c r="D18" s="19"/>
      <c r="E18" s="19">
        <v>-4200</v>
      </c>
      <c r="F18" s="1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15" t="s">
        <v>15</v>
      </c>
      <c r="B19" s="19"/>
      <c r="C19" s="19"/>
      <c r="D19" s="19"/>
      <c r="E19" s="19">
        <v>5999</v>
      </c>
      <c r="F19" s="19"/>
      <c r="I19">
        <v>128</v>
      </c>
      <c r="J19" s="3">
        <f t="shared" si="0"/>
        <v>2681.7874</v>
      </c>
      <c r="K19" s="3">
        <f>+SUM(K9+K10+K13)*0.0874+16</f>
        <v>1847.2048000000002</v>
      </c>
      <c r="L19" s="3">
        <f>+SUM(L9+L10+L13)*0.0874</f>
        <v>0</v>
      </c>
      <c r="M19" s="3">
        <f>+SUM(M9+M10+M13)*0.0874</f>
        <v>834.5826000000001</v>
      </c>
      <c r="N19" s="3">
        <f>+SUM(N9+N10+N13)*0.0874</f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8">
      <c r="A20" s="15" t="s">
        <v>60</v>
      </c>
      <c r="B20" s="19"/>
      <c r="C20" s="19"/>
      <c r="D20" s="19"/>
      <c r="E20" s="21">
        <v>-4999</v>
      </c>
      <c r="F20" s="19"/>
      <c r="I20">
        <v>132</v>
      </c>
      <c r="J20" s="3">
        <f t="shared" si="0"/>
        <v>550</v>
      </c>
      <c r="K20" s="3">
        <v>0</v>
      </c>
      <c r="L20" s="3">
        <v>550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5.75">
      <c r="A21" s="15" t="s">
        <v>33</v>
      </c>
      <c r="B21" s="19"/>
      <c r="C21" s="19"/>
      <c r="D21" s="19"/>
      <c r="E21" s="19">
        <f>SUM(E12:E20)</f>
        <v>-18241</v>
      </c>
      <c r="F21" s="19"/>
      <c r="I21">
        <v>133</v>
      </c>
      <c r="J21" s="3">
        <f t="shared" si="0"/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5.75">
      <c r="A22" s="15"/>
      <c r="B22" s="19"/>
      <c r="C22" s="19"/>
      <c r="D22" s="19"/>
      <c r="E22" s="19"/>
      <c r="F22" s="19"/>
      <c r="I22">
        <v>134</v>
      </c>
      <c r="J22" s="3">
        <f t="shared" si="0"/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5.75">
      <c r="A23" s="15"/>
      <c r="B23" s="19"/>
      <c r="C23" s="19"/>
      <c r="D23" s="19"/>
      <c r="E23" s="19"/>
      <c r="F23" s="19"/>
      <c r="I23">
        <v>135</v>
      </c>
      <c r="J23" s="3">
        <f t="shared" si="0"/>
        <v>-784.282</v>
      </c>
      <c r="K23" s="3">
        <f>+SUM(K8:K14,K16)*0.0021</f>
        <v>37.5081</v>
      </c>
      <c r="L23" s="3">
        <v>-859</v>
      </c>
      <c r="M23" s="3">
        <f>+SUM(M8:M14,M16)*0.0021</f>
        <v>37.2099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1" ht="15.75">
      <c r="A24" s="14" t="s">
        <v>327</v>
      </c>
      <c r="B24" s="23" t="s">
        <v>17</v>
      </c>
      <c r="C24" s="23" t="s">
        <v>17</v>
      </c>
      <c r="D24" s="19"/>
      <c r="E24" s="19"/>
      <c r="F24" s="19"/>
      <c r="I24">
        <v>136</v>
      </c>
      <c r="J24" s="5">
        <f t="shared" si="0"/>
        <v>5</v>
      </c>
      <c r="K24" s="5">
        <v>5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t="s">
        <v>17</v>
      </c>
    </row>
    <row r="25" spans="1:20" ht="15.75">
      <c r="A25" s="15" t="s">
        <v>17</v>
      </c>
      <c r="B25" s="23" t="s">
        <v>3</v>
      </c>
      <c r="C25" s="23" t="s">
        <v>3</v>
      </c>
      <c r="D25" s="19"/>
      <c r="E25" s="19"/>
      <c r="F25" s="1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15" t="s">
        <v>17</v>
      </c>
      <c r="B26" s="18" t="s">
        <v>303</v>
      </c>
      <c r="C26" s="18" t="s">
        <v>329</v>
      </c>
      <c r="D26" s="19"/>
      <c r="E26" s="19"/>
      <c r="F26" s="19"/>
      <c r="I26" s="1" t="s">
        <v>7</v>
      </c>
      <c r="J26" s="3">
        <f>SUM(J7:J24)</f>
        <v>26611.395400000005</v>
      </c>
      <c r="K26" s="3">
        <f aca="true" t="shared" si="1" ref="K26:T26">SUM(K7:K24)</f>
        <v>21537.1194</v>
      </c>
      <c r="L26" s="3">
        <f t="shared" si="1"/>
        <v>-15063</v>
      </c>
      <c r="M26" s="3">
        <f t="shared" si="1"/>
        <v>20137.276</v>
      </c>
      <c r="N26" s="3">
        <f t="shared" si="1"/>
        <v>0</v>
      </c>
      <c r="O26" s="3">
        <f t="shared" si="1"/>
        <v>0</v>
      </c>
      <c r="P26" s="3">
        <f t="shared" si="1"/>
        <v>0</v>
      </c>
      <c r="Q26" s="3">
        <f>SUM(Q7:Q24)</f>
        <v>0</v>
      </c>
      <c r="R26" s="3">
        <f>SUM(R7:R24)</f>
        <v>0</v>
      </c>
      <c r="S26" s="3">
        <f>SUM(S7:S24)</f>
        <v>0</v>
      </c>
      <c r="T26" s="3">
        <f t="shared" si="1"/>
        <v>0</v>
      </c>
    </row>
    <row r="27" spans="1:20" ht="15.75">
      <c r="A27" s="15" t="s">
        <v>18</v>
      </c>
      <c r="B27" s="19"/>
      <c r="C27" s="19"/>
      <c r="D27" s="19"/>
      <c r="E27" s="19"/>
      <c r="F27" s="19"/>
      <c r="I27" s="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75">
      <c r="A28" s="15" t="s">
        <v>124</v>
      </c>
      <c r="B28" s="19">
        <v>1</v>
      </c>
      <c r="C28" s="19">
        <v>1</v>
      </c>
      <c r="D28" s="19"/>
      <c r="E28" s="19"/>
      <c r="F28" s="19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>
      <c r="A29" s="15" t="s">
        <v>209</v>
      </c>
      <c r="B29" s="19">
        <v>1</v>
      </c>
      <c r="C29" s="19">
        <v>1</v>
      </c>
      <c r="D29" s="19"/>
      <c r="E29" s="19"/>
      <c r="F29" s="19"/>
      <c r="I29" s="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 t="s">
        <v>125</v>
      </c>
      <c r="B30" s="19">
        <v>1</v>
      </c>
      <c r="C30" s="19">
        <v>1</v>
      </c>
      <c r="D30" s="19"/>
      <c r="E30" s="19"/>
      <c r="F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5" t="s">
        <v>273</v>
      </c>
      <c r="B31" s="19">
        <v>1</v>
      </c>
      <c r="C31" s="19">
        <v>1</v>
      </c>
      <c r="D31" s="19"/>
      <c r="E31" s="19"/>
      <c r="F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>
      <c r="A32" s="15" t="s">
        <v>298</v>
      </c>
      <c r="B32" s="19">
        <v>1</v>
      </c>
      <c r="C32" s="19">
        <v>1</v>
      </c>
      <c r="D32" s="19"/>
      <c r="E32" s="19"/>
      <c r="F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5" t="s">
        <v>130</v>
      </c>
      <c r="B33" s="19">
        <v>0</v>
      </c>
      <c r="C33" s="19">
        <v>1</v>
      </c>
      <c r="D33" s="19"/>
      <c r="E33" s="19"/>
      <c r="F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>
      <c r="A34" s="15" t="s">
        <v>126</v>
      </c>
      <c r="B34" s="19">
        <v>1</v>
      </c>
      <c r="C34" s="19">
        <v>1</v>
      </c>
      <c r="D34" s="19"/>
      <c r="E34" s="19"/>
      <c r="F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>
      <c r="A35" s="15" t="s">
        <v>198</v>
      </c>
      <c r="B35" s="19">
        <v>1</v>
      </c>
      <c r="C35" s="19">
        <v>1</v>
      </c>
      <c r="D35" s="19"/>
      <c r="E35" s="19"/>
      <c r="F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>
      <c r="A36" s="15" t="s">
        <v>218</v>
      </c>
      <c r="B36" s="19">
        <v>3</v>
      </c>
      <c r="C36" s="19">
        <v>2</v>
      </c>
      <c r="D36" s="19"/>
      <c r="E36" s="19"/>
      <c r="F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>
      <c r="A37" s="15" t="s">
        <v>127</v>
      </c>
      <c r="B37" s="22">
        <v>1</v>
      </c>
      <c r="C37" s="22">
        <v>1</v>
      </c>
      <c r="D37" s="19"/>
      <c r="E37" s="19"/>
      <c r="F37" s="1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75">
      <c r="A38" s="15" t="s">
        <v>20</v>
      </c>
      <c r="B38" s="19">
        <f>SUM(B28:B37)</f>
        <v>11</v>
      </c>
      <c r="C38" s="19">
        <f>SUM(C28:C37)</f>
        <v>11</v>
      </c>
      <c r="D38" s="19"/>
      <c r="E38" s="19"/>
      <c r="F38" s="1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.75">
      <c r="A39" s="15" t="s">
        <v>72</v>
      </c>
      <c r="B39" s="19"/>
      <c r="C39" s="19"/>
      <c r="D39" s="19"/>
      <c r="E39" s="19"/>
      <c r="F39" s="1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6" ht="15.75">
      <c r="A40" s="15" t="s">
        <v>128</v>
      </c>
      <c r="B40" s="19">
        <v>4</v>
      </c>
      <c r="C40" s="19">
        <v>5</v>
      </c>
      <c r="D40" s="19"/>
      <c r="E40" s="19"/>
      <c r="F40" s="19"/>
    </row>
    <row r="41" spans="1:6" ht="15.75">
      <c r="A41" s="15" t="s">
        <v>231</v>
      </c>
      <c r="B41" s="19">
        <v>1</v>
      </c>
      <c r="C41" s="19">
        <v>1</v>
      </c>
      <c r="D41" s="19"/>
      <c r="E41" s="19"/>
      <c r="F41" s="19"/>
    </row>
    <row r="42" spans="1:6" ht="15.75">
      <c r="A42" s="15" t="s">
        <v>126</v>
      </c>
      <c r="B42" s="19">
        <v>2</v>
      </c>
      <c r="C42" s="19">
        <v>2</v>
      </c>
      <c r="D42" s="19" t="s">
        <v>17</v>
      </c>
      <c r="E42" s="19"/>
      <c r="F42" s="19"/>
    </row>
    <row r="43" spans="1:6" ht="15.75">
      <c r="A43" s="15" t="s">
        <v>129</v>
      </c>
      <c r="B43" s="19">
        <v>10</v>
      </c>
      <c r="C43" s="19">
        <v>12</v>
      </c>
      <c r="D43" s="19" t="s">
        <v>17</v>
      </c>
      <c r="E43" s="19"/>
      <c r="F43" s="19"/>
    </row>
    <row r="44" spans="1:6" ht="15.75">
      <c r="A44" s="15" t="s">
        <v>198</v>
      </c>
      <c r="B44" s="19">
        <v>1</v>
      </c>
      <c r="C44" s="19">
        <v>1</v>
      </c>
      <c r="D44" s="19"/>
      <c r="E44" s="19"/>
      <c r="F44" s="19"/>
    </row>
    <row r="45" spans="1:6" ht="15.75">
      <c r="A45" s="15" t="s">
        <v>184</v>
      </c>
      <c r="B45" s="19">
        <v>1</v>
      </c>
      <c r="C45" s="19">
        <v>1</v>
      </c>
      <c r="D45" s="19" t="s">
        <v>17</v>
      </c>
      <c r="E45" s="19"/>
      <c r="F45" s="19"/>
    </row>
    <row r="46" spans="1:6" ht="18">
      <c r="A46" s="15" t="s">
        <v>130</v>
      </c>
      <c r="B46" s="21">
        <v>1</v>
      </c>
      <c r="C46" s="21">
        <v>0</v>
      </c>
      <c r="D46" s="19"/>
      <c r="E46" s="19"/>
      <c r="F46" s="19"/>
    </row>
    <row r="47" spans="1:6" ht="18">
      <c r="A47" s="15" t="s">
        <v>22</v>
      </c>
      <c r="B47" s="21">
        <f>SUM(B40:B46)</f>
        <v>20</v>
      </c>
      <c r="C47" s="21">
        <f>SUM(C40:C46)</f>
        <v>22</v>
      </c>
      <c r="D47" s="19"/>
      <c r="E47" s="19"/>
      <c r="F47" s="19"/>
    </row>
    <row r="48" spans="1:6" ht="15.75">
      <c r="A48" s="15" t="s">
        <v>7</v>
      </c>
      <c r="B48" s="19">
        <f>+B38+B47</f>
        <v>31</v>
      </c>
      <c r="C48" s="19">
        <f>+C38+C47</f>
        <v>33</v>
      </c>
      <c r="D48" s="19"/>
      <c r="E48" s="19"/>
      <c r="F48" s="19"/>
    </row>
    <row r="49" spans="1:6" ht="15.75">
      <c r="A49" s="15"/>
      <c r="B49" s="19"/>
      <c r="C49" s="19"/>
      <c r="D49" s="19"/>
      <c r="E49" s="19"/>
      <c r="F49" s="19"/>
    </row>
    <row r="50" spans="1:6" ht="15.75">
      <c r="A50" s="14" t="s">
        <v>23</v>
      </c>
      <c r="B50" s="19"/>
      <c r="C50" s="19"/>
      <c r="D50" s="19"/>
      <c r="E50" s="19"/>
      <c r="F50" s="19"/>
    </row>
    <row r="51" spans="1:6" ht="15.75">
      <c r="A51" s="15" t="s">
        <v>131</v>
      </c>
      <c r="C51" s="19">
        <v>2000</v>
      </c>
      <c r="D51" s="19"/>
      <c r="E51" s="19"/>
      <c r="F51" s="19"/>
    </row>
    <row r="52" spans="1:6" ht="15.75">
      <c r="A52" s="15" t="s">
        <v>392</v>
      </c>
      <c r="C52" s="19">
        <v>10000</v>
      </c>
      <c r="D52" s="19"/>
      <c r="E52" s="19"/>
      <c r="F52" s="19"/>
    </row>
    <row r="53" spans="1:6" ht="15.75">
      <c r="A53" s="15" t="s">
        <v>42</v>
      </c>
      <c r="C53" s="19">
        <v>2000</v>
      </c>
      <c r="D53" s="19"/>
      <c r="E53" s="19"/>
      <c r="F53" s="19"/>
    </row>
    <row r="54" spans="1:6" ht="15.75">
      <c r="A54" s="15" t="s">
        <v>232</v>
      </c>
      <c r="C54" s="19">
        <v>500</v>
      </c>
      <c r="D54" s="19"/>
      <c r="E54" s="19"/>
      <c r="F54" s="19"/>
    </row>
    <row r="55" spans="1:6" ht="15.75">
      <c r="A55" s="15" t="s">
        <v>233</v>
      </c>
      <c r="C55" s="22">
        <v>500</v>
      </c>
      <c r="D55" s="19"/>
      <c r="E55" s="19"/>
      <c r="F55" s="19"/>
    </row>
    <row r="56" spans="1:6" ht="15.75">
      <c r="A56" s="15" t="s">
        <v>7</v>
      </c>
      <c r="C56" s="19">
        <f>SUM(C51:C55)</f>
        <v>15000</v>
      </c>
      <c r="D56" s="19"/>
      <c r="E56" s="15"/>
      <c r="F56" s="19"/>
    </row>
    <row r="57" ht="12.75">
      <c r="B57" s="3"/>
    </row>
    <row r="58" ht="12.75">
      <c r="B58" s="3"/>
    </row>
    <row r="59" ht="12.75">
      <c r="B59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F10" sqref="F10"/>
    </sheetView>
  </sheetViews>
  <sheetFormatPr defaultColWidth="9.140625" defaultRowHeight="12.75"/>
  <cols>
    <col min="1" max="1" width="60.7109375" style="0" bestFit="1" customWidth="1"/>
    <col min="2" max="3" width="13.140625" style="0" customWidth="1"/>
    <col min="4" max="4" width="12.8515625" style="0" customWidth="1"/>
    <col min="5" max="5" width="13.28125" style="0" customWidth="1"/>
    <col min="6" max="6" width="11.00390625" style="0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132</v>
      </c>
      <c r="B2" s="71"/>
      <c r="C2" s="71"/>
      <c r="D2" s="71"/>
      <c r="E2" s="71"/>
      <c r="F2" s="71"/>
      <c r="I2" s="72" t="str">
        <f>+A2</f>
        <v>EQUIPMENT MAINTENANCE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/>
      <c r="R5" s="1"/>
      <c r="S5" s="1"/>
      <c r="T5" s="1"/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315</v>
      </c>
      <c r="P6" s="2" t="s">
        <v>13</v>
      </c>
      <c r="Q6" s="2" t="s">
        <v>45</v>
      </c>
      <c r="R6" s="2" t="s">
        <v>45</v>
      </c>
      <c r="S6" s="2" t="s">
        <v>45</v>
      </c>
      <c r="T6" s="2" t="s">
        <v>45</v>
      </c>
    </row>
    <row r="7" spans="1:20" ht="15.75">
      <c r="A7" s="15" t="s">
        <v>328</v>
      </c>
      <c r="B7" s="19">
        <v>316622</v>
      </c>
      <c r="C7" s="19">
        <v>343811</v>
      </c>
      <c r="D7" s="19">
        <v>362616</v>
      </c>
      <c r="E7" s="19">
        <f>+D7-C7</f>
        <v>18805</v>
      </c>
      <c r="F7" s="29">
        <f>ROUND(E7/C7,4)</f>
        <v>0.0547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25927</v>
      </c>
      <c r="C8" s="19">
        <v>27811</v>
      </c>
      <c r="D8" s="19">
        <v>28003</v>
      </c>
      <c r="E8" s="19">
        <f>+D8-C8</f>
        <v>192</v>
      </c>
      <c r="F8" s="29">
        <f>ROUND(E8/C8,4)</f>
        <v>0.0069</v>
      </c>
      <c r="I8" t="s">
        <v>245</v>
      </c>
      <c r="J8" s="3">
        <f aca="true" t="shared" si="0" ref="J8:J22">SUM(K8:T8)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5955</v>
      </c>
      <c r="C9" s="22">
        <v>0</v>
      </c>
      <c r="D9" s="22">
        <v>0</v>
      </c>
      <c r="E9" s="22">
        <f>+D9-C9</f>
        <v>0</v>
      </c>
      <c r="F9" s="29">
        <v>0</v>
      </c>
      <c r="I9">
        <v>103</v>
      </c>
      <c r="J9" s="3">
        <f t="shared" si="0"/>
        <v>3322</v>
      </c>
      <c r="K9" s="3">
        <v>2340</v>
      </c>
      <c r="L9" s="3">
        <v>0</v>
      </c>
      <c r="M9" s="3">
        <v>982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348504</v>
      </c>
      <c r="C10" s="19">
        <f>SUM(C7:C9)</f>
        <v>371622</v>
      </c>
      <c r="D10" s="19">
        <f>SUM(D7:D9)</f>
        <v>390619</v>
      </c>
      <c r="E10" s="19">
        <f>SUM(E7:E9)</f>
        <v>18997</v>
      </c>
      <c r="F10" s="29">
        <f>ROUND(E10/C10,4)</f>
        <v>0.0511</v>
      </c>
      <c r="I10">
        <v>104</v>
      </c>
      <c r="J10" s="3">
        <f t="shared" si="0"/>
        <v>12318</v>
      </c>
      <c r="K10" s="3">
        <v>8944</v>
      </c>
      <c r="L10" s="3">
        <v>0</v>
      </c>
      <c r="M10" s="3">
        <v>3374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-225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-225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/>
      <c r="E13" s="19">
        <f>13181-376</f>
        <v>12805</v>
      </c>
      <c r="F13" s="19"/>
      <c r="I13">
        <v>107</v>
      </c>
      <c r="J13" s="3">
        <f t="shared" si="0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32</v>
      </c>
      <c r="B14" s="19"/>
      <c r="C14" s="19"/>
      <c r="D14" s="19"/>
      <c r="E14" s="19">
        <v>912</v>
      </c>
      <c r="F14" s="19"/>
      <c r="I14">
        <v>111</v>
      </c>
      <c r="J14" s="3">
        <f t="shared" si="0"/>
        <v>-93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-93</v>
      </c>
      <c r="Q14" s="3">
        <v>0</v>
      </c>
      <c r="R14" s="3">
        <v>0</v>
      </c>
      <c r="S14" s="3">
        <v>0</v>
      </c>
      <c r="T14" s="3">
        <v>0</v>
      </c>
    </row>
    <row r="15" spans="1:20" ht="15.75">
      <c r="A15" s="15" t="s">
        <v>333</v>
      </c>
      <c r="B15" s="19"/>
      <c r="C15" s="19"/>
      <c r="D15" s="19"/>
      <c r="E15" s="19">
        <v>5088</v>
      </c>
      <c r="F15" s="19"/>
      <c r="J15" s="3"/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/>
      <c r="S15" s="3"/>
      <c r="T15" s="3"/>
    </row>
    <row r="16" spans="1:20" ht="15.75">
      <c r="A16" s="15" t="s">
        <v>15</v>
      </c>
      <c r="B16" s="19"/>
      <c r="C16" s="19"/>
      <c r="D16" s="19"/>
      <c r="E16" s="19">
        <v>0</v>
      </c>
      <c r="F16" s="19"/>
      <c r="I16">
        <v>125</v>
      </c>
      <c r="J16" s="3">
        <f t="shared" si="0"/>
        <v>1172.133</v>
      </c>
      <c r="K16" s="3">
        <f aca="true" t="shared" si="1" ref="K16:P16">+SUM(K9:K14)*0.0765</f>
        <v>863.226</v>
      </c>
      <c r="L16" s="3">
        <f t="shared" si="1"/>
        <v>0</v>
      </c>
      <c r="M16" s="3">
        <f t="shared" si="1"/>
        <v>333.234</v>
      </c>
      <c r="N16" s="3">
        <f t="shared" si="1"/>
        <v>0</v>
      </c>
      <c r="O16" s="3">
        <f t="shared" si="1"/>
        <v>0</v>
      </c>
      <c r="P16" s="3">
        <f t="shared" si="1"/>
        <v>-24.326999999999998</v>
      </c>
      <c r="Q16" s="3">
        <v>0</v>
      </c>
      <c r="R16" s="3">
        <v>0</v>
      </c>
      <c r="S16" s="3">
        <v>0</v>
      </c>
      <c r="T16" s="3">
        <v>0</v>
      </c>
    </row>
    <row r="17" spans="1:20" ht="18">
      <c r="A17" s="15" t="s">
        <v>60</v>
      </c>
      <c r="B17" s="19"/>
      <c r="C17" s="19"/>
      <c r="D17" s="19"/>
      <c r="E17" s="21">
        <v>192</v>
      </c>
      <c r="F17" s="19"/>
      <c r="I17">
        <v>128</v>
      </c>
      <c r="J17" s="3">
        <f t="shared" si="0"/>
        <v>1340.1428</v>
      </c>
      <c r="K17" s="3">
        <f>+SUM(K9:K14)*0.0874+1</f>
        <v>987.2216000000001</v>
      </c>
      <c r="L17" s="3">
        <f>+SUM(L9:L14)*0.0874</f>
        <v>0</v>
      </c>
      <c r="M17" s="3">
        <f>+SUM(M9:M14)*0.0874</f>
        <v>380.7144</v>
      </c>
      <c r="N17" s="3">
        <f>+SUM(N9:N14)*0.0874</f>
        <v>0</v>
      </c>
      <c r="O17" s="3">
        <f>+SUM(O9:O14)*0.0874</f>
        <v>0</v>
      </c>
      <c r="P17" s="3">
        <f>+SUM(P9:P14)*0.0874</f>
        <v>-27.793200000000002</v>
      </c>
      <c r="Q17" s="3">
        <v>0</v>
      </c>
      <c r="R17" s="3">
        <v>0</v>
      </c>
      <c r="S17" s="3">
        <v>0</v>
      </c>
      <c r="T17" s="3">
        <v>0</v>
      </c>
    </row>
    <row r="18" spans="1:20" ht="15.75">
      <c r="A18" s="15" t="s">
        <v>33</v>
      </c>
      <c r="B18" s="19"/>
      <c r="C18" s="19"/>
      <c r="D18" s="19"/>
      <c r="E18" s="19">
        <f>SUM(E13:E17)</f>
        <v>18997</v>
      </c>
      <c r="F18" s="19"/>
      <c r="I18">
        <v>131</v>
      </c>
      <c r="J18" s="3">
        <f t="shared" si="0"/>
        <v>2611.2000000000003</v>
      </c>
      <c r="K18" s="3">
        <f>+SUM(K9:K10)*-0.02</f>
        <v>-225.68</v>
      </c>
      <c r="L18" s="3">
        <v>2924</v>
      </c>
      <c r="M18" s="3">
        <f>+SUM(M9:M10)*-0.02</f>
        <v>-87.12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5.75">
      <c r="A19" s="15"/>
      <c r="B19" s="19"/>
      <c r="C19" s="19"/>
      <c r="D19" s="19"/>
      <c r="E19" s="19"/>
      <c r="F19" s="19"/>
      <c r="I19">
        <v>132</v>
      </c>
      <c r="J19" s="3">
        <f t="shared" si="0"/>
        <v>250</v>
      </c>
      <c r="K19" s="3">
        <v>0</v>
      </c>
      <c r="L19" s="3">
        <v>250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5.75">
      <c r="A20" s="14" t="s">
        <v>327</v>
      </c>
      <c r="B20" s="23" t="s">
        <v>17</v>
      </c>
      <c r="C20" s="23" t="s">
        <v>17</v>
      </c>
      <c r="D20" s="19"/>
      <c r="E20" s="19"/>
      <c r="F20" s="19"/>
      <c r="I20">
        <v>133</v>
      </c>
      <c r="J20" s="3">
        <f t="shared" si="0"/>
        <v>0</v>
      </c>
      <c r="K20" s="3">
        <v>0</v>
      </c>
      <c r="L20" s="3"/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5.75">
      <c r="A21" s="15" t="s">
        <v>17</v>
      </c>
      <c r="B21" s="23" t="s">
        <v>3</v>
      </c>
      <c r="C21" s="23" t="s">
        <v>3</v>
      </c>
      <c r="D21" s="19"/>
      <c r="E21" s="19"/>
      <c r="F21" s="19"/>
      <c r="I21">
        <v>134</v>
      </c>
      <c r="J21" s="3">
        <f t="shared" si="0"/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5.75">
      <c r="A22" s="15" t="s">
        <v>17</v>
      </c>
      <c r="B22" s="18" t="s">
        <v>281</v>
      </c>
      <c r="C22" s="18" t="s">
        <v>303</v>
      </c>
      <c r="D22" s="19"/>
      <c r="E22" s="19"/>
      <c r="F22" s="19"/>
      <c r="I22">
        <v>135</v>
      </c>
      <c r="J22" s="3">
        <f t="shared" si="0"/>
        <v>-1890.210746</v>
      </c>
      <c r="K22" s="3">
        <f>+SUM(K9:K10)*0.0241</f>
        <v>271.9444</v>
      </c>
      <c r="L22" s="3">
        <v>-2262</v>
      </c>
      <c r="M22" s="3">
        <f>+SUM(M9:M10)*0.0241</f>
        <v>104.9796</v>
      </c>
      <c r="N22" s="3">
        <v>0</v>
      </c>
      <c r="O22" s="3">
        <v>0</v>
      </c>
      <c r="P22" s="3">
        <f>+SUM(P11:P14)*0.67*0.0241</f>
        <v>-5.134746</v>
      </c>
      <c r="Q22" s="3">
        <v>0</v>
      </c>
      <c r="R22" s="3">
        <v>0</v>
      </c>
      <c r="S22" s="3">
        <v>0</v>
      </c>
      <c r="T22" s="3">
        <v>0</v>
      </c>
    </row>
    <row r="23" spans="1:20" ht="15.75">
      <c r="A23" s="15" t="s">
        <v>18</v>
      </c>
      <c r="B23" s="19"/>
      <c r="C23" s="19"/>
      <c r="D23" s="19"/>
      <c r="E23" s="19"/>
      <c r="F23" s="19"/>
      <c r="I23">
        <v>136</v>
      </c>
      <c r="J23" s="4">
        <f>SUM(K23:T23)</f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5">
        <v>0</v>
      </c>
      <c r="R23" s="4">
        <v>0</v>
      </c>
      <c r="S23" s="4">
        <v>0</v>
      </c>
      <c r="T23" s="4">
        <v>0</v>
      </c>
    </row>
    <row r="24" spans="1:20" ht="15.75">
      <c r="A24" s="15" t="s">
        <v>100</v>
      </c>
      <c r="B24" s="19">
        <v>1</v>
      </c>
      <c r="C24" s="19">
        <v>1</v>
      </c>
      <c r="D24" s="19"/>
      <c r="E24" s="19"/>
      <c r="F24" s="19"/>
      <c r="I24" s="1" t="s">
        <v>7</v>
      </c>
      <c r="J24" s="3">
        <f>SUM(J7:J23)</f>
        <v>18805.265054000003</v>
      </c>
      <c r="K24" s="3">
        <f aca="true" t="shared" si="2" ref="K24:T24">SUM(K7:K23)</f>
        <v>13180.712000000001</v>
      </c>
      <c r="L24" s="3">
        <f t="shared" si="2"/>
        <v>912</v>
      </c>
      <c r="M24" s="3">
        <f t="shared" si="2"/>
        <v>5087.808</v>
      </c>
      <c r="N24" s="3">
        <f t="shared" si="2"/>
        <v>0</v>
      </c>
      <c r="O24" s="3">
        <f t="shared" si="2"/>
        <v>0</v>
      </c>
      <c r="P24" s="3">
        <f t="shared" si="2"/>
        <v>-375.254946</v>
      </c>
      <c r="Q24" s="3">
        <f t="shared" si="2"/>
        <v>0</v>
      </c>
      <c r="R24" s="3">
        <f t="shared" si="2"/>
        <v>0</v>
      </c>
      <c r="S24" s="3">
        <f t="shared" si="2"/>
        <v>0</v>
      </c>
      <c r="T24" s="3">
        <f t="shared" si="2"/>
        <v>0</v>
      </c>
    </row>
    <row r="25" spans="1:20" ht="15.75">
      <c r="A25" s="15" t="s">
        <v>120</v>
      </c>
      <c r="B25" s="19">
        <v>3</v>
      </c>
      <c r="C25" s="19">
        <v>3</v>
      </c>
      <c r="D25" s="19"/>
      <c r="E25" s="19"/>
      <c r="F25" s="19"/>
      <c r="I25" s="1"/>
      <c r="J25" s="4">
        <f>SUM(K25:T25)</f>
        <v>0</v>
      </c>
      <c r="K25" s="5">
        <v>0</v>
      </c>
      <c r="L25" s="3" t="s">
        <v>203</v>
      </c>
      <c r="M25" s="3"/>
      <c r="N25" s="3"/>
      <c r="O25" s="3"/>
      <c r="P25" s="3"/>
      <c r="Q25" s="3"/>
      <c r="R25" s="3"/>
      <c r="S25" s="3"/>
      <c r="T25" s="3"/>
    </row>
    <row r="26" spans="1:20" ht="15.75">
      <c r="A26" s="15" t="s">
        <v>121</v>
      </c>
      <c r="B26" s="22">
        <v>1</v>
      </c>
      <c r="C26" s="22">
        <v>1</v>
      </c>
      <c r="D26" s="19"/>
      <c r="E26" s="19"/>
      <c r="F26" s="19"/>
      <c r="I26" s="1"/>
      <c r="J26" s="3">
        <f>SUM(J24:J25)</f>
        <v>18805.265054000003</v>
      </c>
      <c r="K26" s="3">
        <f>SUM(K24:K25)</f>
        <v>13180.712000000001</v>
      </c>
      <c r="L26" s="3"/>
      <c r="M26" s="3"/>
      <c r="N26" s="3"/>
      <c r="O26" s="3"/>
      <c r="P26" s="3"/>
      <c r="Q26" s="3"/>
      <c r="R26" s="3"/>
      <c r="S26" s="3"/>
      <c r="T26" s="3"/>
    </row>
    <row r="27" spans="1:20" ht="15.75">
      <c r="A27" s="15" t="s">
        <v>20</v>
      </c>
      <c r="B27" s="19">
        <f>SUM(B24:B26)</f>
        <v>5</v>
      </c>
      <c r="C27" s="19">
        <f>SUM(C24:C26)</f>
        <v>5</v>
      </c>
      <c r="D27" s="19"/>
      <c r="E27" s="19"/>
      <c r="F27" s="19"/>
      <c r="I27" s="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">
      <c r="A28" s="15" t="s">
        <v>93</v>
      </c>
      <c r="B28" s="21">
        <v>0</v>
      </c>
      <c r="C28" s="21">
        <v>0</v>
      </c>
      <c r="D28" s="19"/>
      <c r="E28" s="19"/>
      <c r="F28" s="1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>
      <c r="A29" s="15" t="s">
        <v>7</v>
      </c>
      <c r="B29" s="19">
        <f>SUM(B27:B28)</f>
        <v>5</v>
      </c>
      <c r="C29" s="19">
        <f>SUM(C27:C28)</f>
        <v>5</v>
      </c>
      <c r="D29" s="19"/>
      <c r="E29" s="19"/>
      <c r="F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/>
      <c r="B30" s="19"/>
      <c r="C30" s="19"/>
      <c r="D30" s="19"/>
      <c r="E30" s="19"/>
      <c r="F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4" t="s">
        <v>23</v>
      </c>
      <c r="B31" s="19"/>
      <c r="C31" s="19"/>
      <c r="D31" s="19"/>
      <c r="E31" s="19"/>
      <c r="F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6" ht="15.75">
      <c r="A32" s="26" t="s">
        <v>352</v>
      </c>
      <c r="C32" s="19">
        <v>0</v>
      </c>
      <c r="D32" s="15"/>
      <c r="E32" s="19"/>
      <c r="F32" s="15"/>
    </row>
    <row r="33" spans="1:3" ht="15.75">
      <c r="A33" s="15"/>
      <c r="C33" s="3"/>
    </row>
    <row r="35" ht="12.75">
      <c r="A35" s="7" t="s">
        <v>17</v>
      </c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3">
      <selection activeCell="E19" sqref="E19"/>
    </sheetView>
  </sheetViews>
  <sheetFormatPr defaultColWidth="9.140625" defaultRowHeight="12.75"/>
  <cols>
    <col min="1" max="1" width="63.140625" style="0" bestFit="1" customWidth="1"/>
    <col min="2" max="2" width="14.28125" style="0" customWidth="1"/>
    <col min="3" max="3" width="13.8515625" style="0" customWidth="1"/>
    <col min="4" max="5" width="14.00390625" style="0" customWidth="1"/>
    <col min="6" max="6" width="12.28125" style="0" bestFit="1" customWidth="1"/>
  </cols>
  <sheetData>
    <row r="1" spans="1:19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.75">
      <c r="A2" s="71" t="s">
        <v>219</v>
      </c>
      <c r="B2" s="71"/>
      <c r="C2" s="71"/>
      <c r="D2" s="71"/>
      <c r="E2" s="71"/>
      <c r="F2" s="71"/>
      <c r="I2" s="72" t="str">
        <f>+A2</f>
        <v>BUILDINGS AND GROUNDS</v>
      </c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19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12</v>
      </c>
      <c r="R5" s="1"/>
      <c r="S5" s="1"/>
    </row>
    <row r="6" spans="1:19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193</v>
      </c>
      <c r="R6" s="2" t="s">
        <v>45</v>
      </c>
      <c r="S6" s="2" t="s">
        <v>45</v>
      </c>
    </row>
    <row r="7" spans="1:19" ht="15.75">
      <c r="A7" s="15" t="s">
        <v>328</v>
      </c>
      <c r="B7" s="19">
        <v>200075</v>
      </c>
      <c r="C7" s="19">
        <v>217080</v>
      </c>
      <c r="D7" s="19">
        <v>217533</v>
      </c>
      <c r="E7" s="19">
        <f>+D7-C7</f>
        <v>453</v>
      </c>
      <c r="F7" s="29">
        <f>ROUND(E7/C7,4)</f>
        <v>0.0021</v>
      </c>
      <c r="I7">
        <v>101</v>
      </c>
      <c r="J7" s="3">
        <f>SUM(K7:S7)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5.75">
      <c r="A8" s="15" t="s">
        <v>14</v>
      </c>
      <c r="B8" s="19">
        <v>84430</v>
      </c>
      <c r="C8" s="19">
        <v>92938</v>
      </c>
      <c r="D8" s="19">
        <v>90565</v>
      </c>
      <c r="E8" s="19">
        <f>+D8-C8</f>
        <v>-2373</v>
      </c>
      <c r="F8" s="29">
        <f>ROUND(E8/C8,4)</f>
        <v>-0.0255</v>
      </c>
      <c r="I8">
        <v>102</v>
      </c>
      <c r="J8" s="3">
        <f aca="true" t="shared" si="0" ref="J8:J23">SUM(K8:S8)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8">
      <c r="A9" s="15" t="s">
        <v>15</v>
      </c>
      <c r="B9" s="21">
        <v>58025</v>
      </c>
      <c r="C9" s="21">
        <v>1150</v>
      </c>
      <c r="D9" s="21">
        <v>22425</v>
      </c>
      <c r="E9" s="22">
        <f>+D9-C9</f>
        <v>21275</v>
      </c>
      <c r="F9" s="29">
        <f>ROUND(E9/C9,4)</f>
        <v>18.5</v>
      </c>
      <c r="I9">
        <v>103</v>
      </c>
      <c r="J9" s="3">
        <f t="shared" si="0"/>
        <v>2813</v>
      </c>
      <c r="K9" s="3">
        <v>1768</v>
      </c>
      <c r="L9" s="3">
        <v>50</v>
      </c>
      <c r="M9" s="3">
        <v>995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5.75">
      <c r="A10" s="15" t="s">
        <v>7</v>
      </c>
      <c r="B10" s="19">
        <f>SUM(B7:B9)</f>
        <v>342530</v>
      </c>
      <c r="C10" s="19">
        <f>SUM(C7:C9)</f>
        <v>311168</v>
      </c>
      <c r="D10" s="19">
        <f>SUM(D7:D9)</f>
        <v>330523</v>
      </c>
      <c r="E10" s="19">
        <f>SUM(E7:E9)</f>
        <v>19355</v>
      </c>
      <c r="F10" s="29">
        <f>ROUND(E10/C10,4)</f>
        <v>0.0622</v>
      </c>
      <c r="I10">
        <v>104</v>
      </c>
      <c r="J10" s="3">
        <f t="shared" si="0"/>
        <v>3087</v>
      </c>
      <c r="K10" s="3">
        <v>1976</v>
      </c>
      <c r="L10" s="3">
        <v>0</v>
      </c>
      <c r="M10" s="3">
        <v>1111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-5229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-5229</v>
      </c>
      <c r="Q11" s="3">
        <v>0</v>
      </c>
      <c r="R11" s="3">
        <v>0</v>
      </c>
      <c r="S11" s="3">
        <v>0</v>
      </c>
    </row>
    <row r="12" spans="1:19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5.75">
      <c r="A13" s="15" t="s">
        <v>31</v>
      </c>
      <c r="B13" s="19"/>
      <c r="C13" s="19"/>
      <c r="D13" s="19"/>
      <c r="E13" s="19">
        <v>5227</v>
      </c>
      <c r="F13" s="19"/>
      <c r="G13" s="3" t="s">
        <v>17</v>
      </c>
      <c r="I13">
        <v>107</v>
      </c>
      <c r="J13" s="3">
        <f t="shared" si="0"/>
        <v>1055</v>
      </c>
      <c r="K13" s="3">
        <v>672</v>
      </c>
      <c r="L13" s="3">
        <v>0</v>
      </c>
      <c r="M13" s="3">
        <v>383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5.75">
      <c r="A14" s="15" t="s">
        <v>32</v>
      </c>
      <c r="B14" s="19"/>
      <c r="C14" s="19"/>
      <c r="D14" s="19"/>
      <c r="E14" s="19">
        <v>-1490</v>
      </c>
      <c r="F14" s="19"/>
      <c r="I14">
        <v>111</v>
      </c>
      <c r="J14" s="3">
        <f t="shared" si="0"/>
        <v>113</v>
      </c>
      <c r="K14" s="3">
        <v>113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5.75">
      <c r="A15" s="15" t="s">
        <v>403</v>
      </c>
      <c r="B15" s="19"/>
      <c r="C15" s="19"/>
      <c r="D15" s="19"/>
      <c r="E15" s="19">
        <v>-6155</v>
      </c>
      <c r="F15" s="19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.75">
      <c r="A16" s="15" t="s">
        <v>357</v>
      </c>
      <c r="E16" s="19">
        <v>2871</v>
      </c>
      <c r="F16" s="3"/>
      <c r="I16">
        <v>125</v>
      </c>
      <c r="J16" s="3">
        <f t="shared" si="0"/>
        <v>141.68349999999998</v>
      </c>
      <c r="K16" s="3">
        <f>+SUM(K9:K14)*0.0765+1</f>
        <v>347.4685</v>
      </c>
      <c r="L16" s="3">
        <f>+SUM(L9:L14)*0.0765</f>
        <v>3.8249999999999997</v>
      </c>
      <c r="M16" s="3">
        <f>+SUM(M9:M14)*0.0765</f>
        <v>190.4085</v>
      </c>
      <c r="N16" s="3">
        <f>+SUM(N9:N14)*0.0765</f>
        <v>0</v>
      </c>
      <c r="O16" s="3">
        <f>+SUM(O9:O14)*0.0765</f>
        <v>0</v>
      </c>
      <c r="P16" s="3">
        <f>+SUM(P9:P14)*0.0765</f>
        <v>-400.0185</v>
      </c>
      <c r="Q16" s="3">
        <v>0</v>
      </c>
      <c r="R16" s="3">
        <v>0</v>
      </c>
      <c r="S16" s="3">
        <v>0</v>
      </c>
    </row>
    <row r="17" spans="1:19" ht="15.75">
      <c r="A17" s="15" t="s">
        <v>222</v>
      </c>
      <c r="B17" s="19"/>
      <c r="C17" s="19"/>
      <c r="D17" s="19"/>
      <c r="E17" s="19">
        <v>-3300</v>
      </c>
      <c r="F17" s="19"/>
      <c r="I17" t="s">
        <v>301</v>
      </c>
      <c r="J17" s="3">
        <f t="shared" si="0"/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5.75">
      <c r="A18" s="15" t="s">
        <v>15</v>
      </c>
      <c r="B18" s="19"/>
      <c r="C18" s="19"/>
      <c r="D18" s="19"/>
      <c r="E18" s="19">
        <v>21275</v>
      </c>
      <c r="F18" s="19"/>
      <c r="I18">
        <v>128</v>
      </c>
      <c r="J18" s="3">
        <f t="shared" si="0"/>
        <v>67.52159999999998</v>
      </c>
      <c r="K18" s="3">
        <f>(+SUM(K9:K12)+K14)*0.0874-1</f>
        <v>336.1018</v>
      </c>
      <c r="L18" s="3">
        <f>(+SUM(L9:L12)+L14)*0.0874</f>
        <v>4.37</v>
      </c>
      <c r="M18" s="3">
        <f>(+SUM(M9:M12)+M14)*0.0874</f>
        <v>184.0644</v>
      </c>
      <c r="N18" s="3">
        <f>(+SUM(N9:N12)+N14)*0.0874</f>
        <v>0</v>
      </c>
      <c r="O18" s="3">
        <f>(+SUM(O9:O12)+O14)*0.0874</f>
        <v>0</v>
      </c>
      <c r="P18" s="3">
        <f>(+SUM(P9:P12)+P14)*0.0874</f>
        <v>-457.01460000000003</v>
      </c>
      <c r="Q18" s="3">
        <v>0</v>
      </c>
      <c r="R18" s="3">
        <v>0</v>
      </c>
      <c r="S18" s="3">
        <v>0</v>
      </c>
    </row>
    <row r="19" spans="1:19" ht="18">
      <c r="A19" s="15" t="s">
        <v>60</v>
      </c>
      <c r="B19" s="19"/>
      <c r="C19" s="19"/>
      <c r="D19" s="19"/>
      <c r="E19" s="21">
        <v>927</v>
      </c>
      <c r="F19" s="19"/>
      <c r="I19">
        <v>131</v>
      </c>
      <c r="J19" s="3">
        <f t="shared" si="0"/>
        <v>1755</v>
      </c>
      <c r="K19" s="3">
        <f>+SUM(K9:K10)*-0.02</f>
        <v>-74.88</v>
      </c>
      <c r="L19" s="3">
        <v>1872</v>
      </c>
      <c r="M19" s="3">
        <f>+SUM(M9:M10)*-0.02</f>
        <v>-42.12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5.75">
      <c r="A20" s="15" t="s">
        <v>33</v>
      </c>
      <c r="B20" s="19"/>
      <c r="C20" s="19"/>
      <c r="D20" s="19"/>
      <c r="E20" s="19">
        <f>SUM(E13:E19)</f>
        <v>19355</v>
      </c>
      <c r="F20" s="19"/>
      <c r="I20">
        <v>132</v>
      </c>
      <c r="J20" s="3">
        <f t="shared" si="0"/>
        <v>150</v>
      </c>
      <c r="K20" s="3">
        <v>0</v>
      </c>
      <c r="L20" s="3">
        <v>150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5.75">
      <c r="A21" s="15"/>
      <c r="B21" s="19"/>
      <c r="C21" s="19"/>
      <c r="D21" s="19"/>
      <c r="E21" s="19"/>
      <c r="F21" s="19"/>
      <c r="I21">
        <v>133</v>
      </c>
      <c r="J21" s="3">
        <f t="shared" si="0"/>
        <v>-135</v>
      </c>
      <c r="K21" s="3">
        <v>0</v>
      </c>
      <c r="L21" s="3">
        <v>-135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5.75">
      <c r="A22" s="14" t="s">
        <v>327</v>
      </c>
      <c r="B22" s="23" t="s">
        <v>17</v>
      </c>
      <c r="C22" s="23" t="s">
        <v>17</v>
      </c>
      <c r="D22" s="19"/>
      <c r="E22" s="19"/>
      <c r="F22" s="19"/>
      <c r="I22">
        <v>134</v>
      </c>
      <c r="J22" s="3">
        <f t="shared" si="0"/>
        <v>-135</v>
      </c>
      <c r="K22" s="3">
        <v>0</v>
      </c>
      <c r="L22" s="3">
        <v>-135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5.75">
      <c r="A23" s="15" t="s">
        <v>17</v>
      </c>
      <c r="B23" s="23" t="s">
        <v>3</v>
      </c>
      <c r="C23" s="23" t="s">
        <v>3</v>
      </c>
      <c r="D23" s="19"/>
      <c r="E23" s="19"/>
      <c r="F23" s="19"/>
      <c r="I23">
        <v>135</v>
      </c>
      <c r="J23" s="3">
        <f t="shared" si="0"/>
        <v>-3231.149856</v>
      </c>
      <c r="K23" s="3">
        <f>(+SUM(K9:K10)+K13+K14*0.67)*0.0198</f>
        <v>88.93585800000001</v>
      </c>
      <c r="L23" s="3">
        <v>-3300</v>
      </c>
      <c r="M23" s="3">
        <f>(+SUM(M9:M10)+M13+M14*0.67)*0.0198</f>
        <v>49.2822</v>
      </c>
      <c r="N23" s="3">
        <f>(+SUM(N9:N10)+N13+N14*0.67)*0.0198</f>
        <v>0</v>
      </c>
      <c r="O23" s="3">
        <f>(+SUM(O9:O10)+O13+O14*0.67)*0.0198</f>
        <v>0</v>
      </c>
      <c r="P23" s="3">
        <f>+P11*0.67*0.0198</f>
        <v>-69.36791400000001</v>
      </c>
      <c r="Q23" s="3">
        <v>0</v>
      </c>
      <c r="R23" s="3">
        <v>0</v>
      </c>
      <c r="S23" s="3">
        <v>0</v>
      </c>
    </row>
    <row r="24" spans="1:19" ht="15.75">
      <c r="A24" s="15" t="s">
        <v>17</v>
      </c>
      <c r="B24" s="18" t="s">
        <v>303</v>
      </c>
      <c r="C24" s="18" t="s">
        <v>329</v>
      </c>
      <c r="D24" s="19"/>
      <c r="E24" s="19"/>
      <c r="F24" s="19"/>
      <c r="I24">
        <v>136</v>
      </c>
      <c r="J24" s="4">
        <f>SUM(K24:S24)</f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</row>
    <row r="25" spans="1:19" ht="15.75">
      <c r="A25" s="15" t="s">
        <v>18</v>
      </c>
      <c r="B25" s="19"/>
      <c r="C25" s="19"/>
      <c r="D25" s="19"/>
      <c r="E25" s="19"/>
      <c r="F25" s="19"/>
      <c r="I25" s="1" t="s">
        <v>7</v>
      </c>
      <c r="J25" s="3">
        <f>SUM(J7:J24)</f>
        <v>452.05524400000013</v>
      </c>
      <c r="K25" s="3">
        <f aca="true" t="shared" si="1" ref="K25:S25">SUM(K7:K24)</f>
        <v>5226.626158</v>
      </c>
      <c r="L25" s="3">
        <f t="shared" si="1"/>
        <v>-1489.8050000000003</v>
      </c>
      <c r="M25" s="3">
        <f t="shared" si="1"/>
        <v>2870.6351000000004</v>
      </c>
      <c r="N25" s="3">
        <f t="shared" si="1"/>
        <v>0</v>
      </c>
      <c r="O25" s="3">
        <f t="shared" si="1"/>
        <v>0</v>
      </c>
      <c r="P25" s="3">
        <f t="shared" si="1"/>
        <v>-6155.401014000001</v>
      </c>
      <c r="Q25" s="3">
        <f t="shared" si="1"/>
        <v>0</v>
      </c>
      <c r="R25" s="3">
        <f t="shared" si="1"/>
        <v>0</v>
      </c>
      <c r="S25" s="3">
        <f t="shared" si="1"/>
        <v>0</v>
      </c>
    </row>
    <row r="26" spans="1:19" ht="15.75">
      <c r="A26" s="15" t="s">
        <v>49</v>
      </c>
      <c r="B26" s="19">
        <v>1</v>
      </c>
      <c r="C26" s="19">
        <v>1</v>
      </c>
      <c r="D26" s="19"/>
      <c r="E26" s="19"/>
      <c r="F26" s="19"/>
      <c r="I26" s="1">
        <v>8204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75">
      <c r="A27" s="15" t="s">
        <v>127</v>
      </c>
      <c r="B27" s="22">
        <v>2</v>
      </c>
      <c r="C27" s="22">
        <v>2</v>
      </c>
      <c r="D27" s="19"/>
      <c r="E27" s="19"/>
      <c r="F27" s="19"/>
      <c r="I27" s="1"/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ht="15.75">
      <c r="A28" s="15" t="s">
        <v>20</v>
      </c>
      <c r="B28" s="19">
        <f>SUM(B26:B27)</f>
        <v>3</v>
      </c>
      <c r="C28" s="19">
        <f>SUM(C26:C27)</f>
        <v>3</v>
      </c>
      <c r="D28" s="19"/>
      <c r="E28" s="19"/>
      <c r="F28" s="19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>
      <c r="A29" s="15" t="s">
        <v>72</v>
      </c>
      <c r="B29" s="19"/>
      <c r="C29" s="19"/>
      <c r="D29" s="19"/>
      <c r="E29" s="19"/>
      <c r="F29" s="19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">
      <c r="A30" s="15" t="s">
        <v>127</v>
      </c>
      <c r="B30" s="21">
        <v>1</v>
      </c>
      <c r="C30" s="21">
        <v>1</v>
      </c>
      <c r="D30" s="19"/>
      <c r="E30" s="19"/>
      <c r="F30" s="19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>
      <c r="A31" s="15" t="s">
        <v>7</v>
      </c>
      <c r="B31" s="19">
        <f>SUM(B28:B30)</f>
        <v>4</v>
      </c>
      <c r="C31" s="19">
        <f>SUM(C28:C30)</f>
        <v>4</v>
      </c>
      <c r="D31" s="19"/>
      <c r="E31" s="19"/>
      <c r="F31" s="19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>
      <c r="A32" s="15"/>
      <c r="B32" s="19"/>
      <c r="C32" s="19"/>
      <c r="D32" s="19"/>
      <c r="E32" s="19"/>
      <c r="F32" s="19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6" ht="15.75">
      <c r="A33" s="31" t="s">
        <v>23</v>
      </c>
      <c r="B33" s="19"/>
      <c r="C33" s="19"/>
      <c r="D33" s="19"/>
      <c r="E33" s="19"/>
      <c r="F33" s="19"/>
    </row>
    <row r="34" spans="1:4" ht="15.75">
      <c r="A34" s="15" t="s">
        <v>353</v>
      </c>
      <c r="B34" s="15"/>
      <c r="C34" s="23">
        <v>7740</v>
      </c>
      <c r="D34" s="45"/>
    </row>
    <row r="35" spans="1:4" ht="15.75">
      <c r="A35" s="15" t="s">
        <v>354</v>
      </c>
      <c r="B35" s="15"/>
      <c r="C35" s="23">
        <v>4685</v>
      </c>
      <c r="D35" s="45"/>
    </row>
    <row r="36" spans="1:4" ht="15.75">
      <c r="A36" s="15" t="s">
        <v>355</v>
      </c>
      <c r="B36" s="15"/>
      <c r="C36" s="23">
        <v>5000</v>
      </c>
      <c r="D36" s="45"/>
    </row>
    <row r="37" spans="1:4" ht="18">
      <c r="A37" s="15" t="s">
        <v>356</v>
      </c>
      <c r="B37" s="15"/>
      <c r="C37" s="47">
        <v>5000</v>
      </c>
      <c r="D37" s="45"/>
    </row>
    <row r="38" spans="1:3" ht="15.75">
      <c r="A38" s="15" t="s">
        <v>7</v>
      </c>
      <c r="C38" s="19">
        <f>SUM(C34:C37)</f>
        <v>22425</v>
      </c>
    </row>
  </sheetData>
  <mergeCells count="5">
    <mergeCell ref="E5:F5"/>
    <mergeCell ref="A1:F1"/>
    <mergeCell ref="I1:S1"/>
    <mergeCell ref="A2:F2"/>
    <mergeCell ref="I2:S2"/>
  </mergeCells>
  <printOptions gridLines="1"/>
  <pageMargins left="0.75" right="0.75" top="1" bottom="1" header="0.5" footer="0.5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E14" sqref="E14"/>
    </sheetView>
  </sheetViews>
  <sheetFormatPr defaultColWidth="9.140625" defaultRowHeight="12.75"/>
  <cols>
    <col min="1" max="1" width="43.7109375" style="0" bestFit="1" customWidth="1"/>
    <col min="2" max="2" width="13.421875" style="0" customWidth="1"/>
    <col min="3" max="3" width="12.8515625" style="0" customWidth="1"/>
    <col min="4" max="4" width="13.140625" style="0" customWidth="1"/>
    <col min="5" max="5" width="12.421875" style="0" customWidth="1"/>
    <col min="6" max="6" width="11.8515625" style="0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24</v>
      </c>
      <c r="B2" s="71"/>
      <c r="C2" s="71"/>
      <c r="D2" s="71"/>
      <c r="E2" s="71"/>
      <c r="F2" s="71"/>
      <c r="I2" s="72" t="str">
        <f>+A2</f>
        <v>COMMUNITY DEVELOPMENT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17</v>
      </c>
      <c r="T5" s="1" t="s">
        <v>29</v>
      </c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361</v>
      </c>
      <c r="P6" s="2" t="s">
        <v>12</v>
      </c>
      <c r="Q6" s="2" t="s">
        <v>181</v>
      </c>
      <c r="R6" s="2" t="s">
        <v>12</v>
      </c>
      <c r="S6" s="2" t="s">
        <v>29</v>
      </c>
      <c r="T6" s="2" t="s">
        <v>30</v>
      </c>
    </row>
    <row r="7" spans="1:20" ht="15.75">
      <c r="A7" s="15" t="s">
        <v>328</v>
      </c>
      <c r="B7" s="19">
        <v>657145</v>
      </c>
      <c r="C7" s="19">
        <v>726037</v>
      </c>
      <c r="D7" s="19">
        <f>771232-2</f>
        <v>771230</v>
      </c>
      <c r="E7" s="19">
        <f>+D7-C7</f>
        <v>45193</v>
      </c>
      <c r="F7" s="29">
        <f>ROUND(E7/C7,4)</f>
        <v>0.0622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f>-66064+182130</f>
        <v>116066</v>
      </c>
      <c r="C8" s="19">
        <v>169559</v>
      </c>
      <c r="D8" s="19">
        <v>177913</v>
      </c>
      <c r="E8" s="19">
        <f>+D8-C8</f>
        <v>8354</v>
      </c>
      <c r="F8" s="29">
        <f>ROUND(E8/C8,4)</f>
        <v>0.0493</v>
      </c>
      <c r="I8">
        <v>102</v>
      </c>
      <c r="J8" s="3">
        <f aca="true" t="shared" si="0" ref="J8:J25">SUM(K8:T8)</f>
        <v>5872</v>
      </c>
      <c r="K8" s="3">
        <v>3694</v>
      </c>
      <c r="L8" s="3">
        <v>100</v>
      </c>
      <c r="M8" s="3">
        <v>2078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10507</v>
      </c>
      <c r="C9" s="22">
        <v>7225</v>
      </c>
      <c r="D9" s="22">
        <v>7500</v>
      </c>
      <c r="E9" s="22">
        <f>+D9-C9</f>
        <v>275</v>
      </c>
      <c r="F9" s="29">
        <f>ROUND(E9/C9,4)</f>
        <v>0.0381</v>
      </c>
      <c r="I9">
        <v>103</v>
      </c>
      <c r="J9" s="3">
        <f t="shared" si="0"/>
        <v>15012</v>
      </c>
      <c r="K9" s="3">
        <v>8877</v>
      </c>
      <c r="L9" s="3">
        <v>1138</v>
      </c>
      <c r="M9" s="3">
        <v>4997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783718</v>
      </c>
      <c r="C10" s="19">
        <f>SUM(C7:C9)</f>
        <v>902821</v>
      </c>
      <c r="D10" s="19">
        <f>SUM(D7:D9)</f>
        <v>956643</v>
      </c>
      <c r="E10" s="19">
        <f>SUM(E7:E9)</f>
        <v>53822</v>
      </c>
      <c r="F10" s="29">
        <f>ROUND(E10/C10,4)</f>
        <v>0.0596</v>
      </c>
      <c r="I10">
        <v>104</v>
      </c>
      <c r="J10" s="3">
        <f t="shared" si="0"/>
        <v>15828</v>
      </c>
      <c r="K10" s="3">
        <v>12784</v>
      </c>
      <c r="L10" s="3">
        <v>365</v>
      </c>
      <c r="M10" s="3">
        <v>2679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/>
      <c r="E13" s="19">
        <f>29649</f>
        <v>29649</v>
      </c>
      <c r="F13" s="19"/>
      <c r="I13">
        <v>107</v>
      </c>
      <c r="J13" s="3">
        <f t="shared" si="0"/>
        <v>364</v>
      </c>
      <c r="K13" s="3">
        <v>364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32</v>
      </c>
      <c r="B14" s="19"/>
      <c r="C14" s="19"/>
      <c r="D14" s="19"/>
      <c r="E14" s="19">
        <v>4092</v>
      </c>
      <c r="F14" s="19"/>
      <c r="I14">
        <v>111</v>
      </c>
      <c r="J14" s="3">
        <f t="shared" si="0"/>
        <v>-351</v>
      </c>
      <c r="K14" s="3">
        <v>-351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5.75">
      <c r="A15" s="15" t="s">
        <v>333</v>
      </c>
      <c r="B15" s="19"/>
      <c r="C15" s="19"/>
      <c r="D15" s="19"/>
      <c r="E15" s="19">
        <v>11452</v>
      </c>
      <c r="F15" s="19"/>
      <c r="I15">
        <v>125</v>
      </c>
      <c r="J15" s="3">
        <f t="shared" si="0"/>
        <v>2808.4625</v>
      </c>
      <c r="K15" s="3">
        <f>+SUM(K8:K14)*0.0765-1</f>
        <v>1939.652</v>
      </c>
      <c r="L15" s="3">
        <f>+SUM(L8:L14)*0.0765</f>
        <v>122.6295</v>
      </c>
      <c r="M15" s="3">
        <f>+SUM(M8:M14)*0.0765</f>
        <v>746.181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278</v>
      </c>
      <c r="B16" s="19"/>
      <c r="C16" s="19"/>
      <c r="D16" s="19"/>
      <c r="E16" s="19">
        <v>10000</v>
      </c>
      <c r="F16" s="19"/>
      <c r="I16" t="s">
        <v>301</v>
      </c>
      <c r="J16" s="3">
        <f t="shared" si="0"/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5.75">
      <c r="A17" s="15" t="s">
        <v>15</v>
      </c>
      <c r="B17" s="19"/>
      <c r="C17" s="19"/>
      <c r="D17" s="19"/>
      <c r="E17" s="19">
        <v>275</v>
      </c>
      <c r="F17" s="19"/>
      <c r="J17" s="3">
        <f t="shared" si="0"/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5.75">
      <c r="A18" s="15" t="s">
        <v>391</v>
      </c>
      <c r="B18" s="19"/>
      <c r="C18" s="19"/>
      <c r="D18" s="19"/>
      <c r="E18" s="19">
        <v>-15000</v>
      </c>
      <c r="F18" s="19"/>
      <c r="J18" s="3"/>
      <c r="K18" s="3"/>
      <c r="L18" s="3"/>
      <c r="M18" s="3"/>
      <c r="N18" s="3"/>
      <c r="O18" s="3">
        <v>0</v>
      </c>
      <c r="P18" s="3"/>
      <c r="Q18" s="3"/>
      <c r="R18" s="3"/>
      <c r="S18" s="3"/>
      <c r="T18" s="3"/>
    </row>
    <row r="19" spans="1:20" ht="15.75">
      <c r="A19" s="15" t="s">
        <v>418</v>
      </c>
      <c r="B19" s="19"/>
      <c r="C19" s="19"/>
      <c r="D19" s="19"/>
      <c r="E19" s="19">
        <v>15000</v>
      </c>
      <c r="F19" s="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8">
      <c r="A20" s="15" t="s">
        <v>60</v>
      </c>
      <c r="B20" s="19"/>
      <c r="C20" s="19"/>
      <c r="D20" s="19"/>
      <c r="E20" s="21">
        <v>-1646</v>
      </c>
      <c r="F20" s="19"/>
      <c r="I20">
        <v>128</v>
      </c>
      <c r="J20" s="3">
        <f t="shared" si="0"/>
        <v>3175.9514</v>
      </c>
      <c r="K20" s="3">
        <f>+SUM(K8:K12)*0.0874+K14*0.0874-2</f>
        <v>2183.3496</v>
      </c>
      <c r="L20" s="3">
        <f>+SUM(L8:L12)*0.0874+L14*0.0874</f>
        <v>140.1022</v>
      </c>
      <c r="M20" s="3">
        <f>+SUM(M8:M12)*0.0874+M14*0.0874</f>
        <v>852.4996000000001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5.75">
      <c r="A21" s="15" t="s">
        <v>33</v>
      </c>
      <c r="B21" s="19"/>
      <c r="C21" s="19"/>
      <c r="D21" s="19"/>
      <c r="E21" s="19">
        <f>SUM(E13:E20)</f>
        <v>53822</v>
      </c>
      <c r="F21" s="19"/>
      <c r="I21">
        <v>131</v>
      </c>
      <c r="J21" s="3">
        <f t="shared" si="0"/>
        <v>4891.82</v>
      </c>
      <c r="K21" s="3">
        <f>+SUM(K8:K10)*-0.02</f>
        <v>-507.1</v>
      </c>
      <c r="L21" s="3">
        <v>5594</v>
      </c>
      <c r="M21" s="3">
        <f>+SUM(M8:M10)*-0.02</f>
        <v>-195.08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5.75">
      <c r="A22" s="15"/>
      <c r="B22" s="19"/>
      <c r="C22" s="19"/>
      <c r="D22" s="19"/>
      <c r="E22" s="19"/>
      <c r="F22" s="19"/>
      <c r="I22">
        <v>132</v>
      </c>
      <c r="J22" s="3">
        <f t="shared" si="0"/>
        <v>500</v>
      </c>
      <c r="K22" s="3">
        <v>0</v>
      </c>
      <c r="L22" s="3">
        <v>500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5.75">
      <c r="A23" s="14" t="s">
        <v>327</v>
      </c>
      <c r="B23" s="23" t="s">
        <v>17</v>
      </c>
      <c r="C23" s="23" t="s">
        <v>17</v>
      </c>
      <c r="D23" s="19"/>
      <c r="E23" s="19"/>
      <c r="F23" s="19"/>
      <c r="I23">
        <v>133</v>
      </c>
      <c r="J23" s="3">
        <f t="shared" si="0"/>
        <v>-450</v>
      </c>
      <c r="K23" s="3">
        <v>0</v>
      </c>
      <c r="L23" s="3">
        <v>-450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5.75">
      <c r="A24" s="15" t="s">
        <v>17</v>
      </c>
      <c r="B24" s="23" t="s">
        <v>3</v>
      </c>
      <c r="C24" s="23" t="s">
        <v>3</v>
      </c>
      <c r="D24" s="19"/>
      <c r="E24" s="19"/>
      <c r="F24" s="19"/>
      <c r="I24">
        <v>134</v>
      </c>
      <c r="J24" s="3">
        <f t="shared" si="0"/>
        <v>-450</v>
      </c>
      <c r="K24" s="3">
        <v>0</v>
      </c>
      <c r="L24" s="3">
        <v>-450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5.75">
      <c r="A25" s="15" t="s">
        <v>17</v>
      </c>
      <c r="B25" s="18" t="s">
        <v>303</v>
      </c>
      <c r="C25" s="18" t="s">
        <v>329</v>
      </c>
      <c r="D25" s="19"/>
      <c r="E25" s="19"/>
      <c r="F25" s="19"/>
      <c r="I25">
        <v>135</v>
      </c>
      <c r="J25" s="3">
        <f t="shared" si="0"/>
        <v>-2009.4536</v>
      </c>
      <c r="K25" s="3">
        <f>+K8*0.0021+K9*0.0486+K10*0.0176</f>
        <v>664.178</v>
      </c>
      <c r="L25" s="3">
        <v>-2968</v>
      </c>
      <c r="M25" s="3">
        <f>+M8*0.0021+M9*0.0486+M10*0.0176</f>
        <v>294.3684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5.75">
      <c r="A26" s="15" t="s">
        <v>18</v>
      </c>
      <c r="B26" s="19"/>
      <c r="C26" s="19"/>
      <c r="D26" s="19"/>
      <c r="E26" s="19"/>
      <c r="F26" s="19"/>
      <c r="I26">
        <v>136</v>
      </c>
      <c r="J26" s="4">
        <f>SUM(K26:T26)</f>
        <v>1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5">
        <v>0</v>
      </c>
      <c r="R26" s="4">
        <v>0</v>
      </c>
      <c r="S26" s="4">
        <v>0</v>
      </c>
      <c r="T26" s="4">
        <v>0</v>
      </c>
    </row>
    <row r="27" spans="1:20" ht="15.75">
      <c r="A27" s="15" t="s">
        <v>34</v>
      </c>
      <c r="B27" s="19">
        <v>1</v>
      </c>
      <c r="C27" s="19">
        <v>1</v>
      </c>
      <c r="D27" s="19"/>
      <c r="E27" s="19"/>
      <c r="F27" s="19"/>
      <c r="I27" s="1" t="s">
        <v>7</v>
      </c>
      <c r="J27" s="3">
        <f>SUM(J7:J26)</f>
        <v>45192.7803</v>
      </c>
      <c r="K27" s="3">
        <f aca="true" t="shared" si="1" ref="K27:T27">SUM(K7:K26)</f>
        <v>29649.079600000005</v>
      </c>
      <c r="L27" s="3">
        <f t="shared" si="1"/>
        <v>4091.7317000000003</v>
      </c>
      <c r="M27" s="3">
        <f t="shared" si="1"/>
        <v>11451.969</v>
      </c>
      <c r="N27" s="3">
        <f t="shared" si="1"/>
        <v>0</v>
      </c>
      <c r="O27" s="3">
        <f t="shared" si="1"/>
        <v>0</v>
      </c>
      <c r="P27" s="3">
        <f t="shared" si="1"/>
        <v>0</v>
      </c>
      <c r="Q27" s="3">
        <f t="shared" si="1"/>
        <v>0</v>
      </c>
      <c r="R27" s="3">
        <f t="shared" si="1"/>
        <v>0</v>
      </c>
      <c r="S27" s="3">
        <f t="shared" si="1"/>
        <v>0</v>
      </c>
      <c r="T27" s="3">
        <f t="shared" si="1"/>
        <v>0</v>
      </c>
    </row>
    <row r="28" spans="1:20" ht="15.75">
      <c r="A28" s="15" t="s">
        <v>35</v>
      </c>
      <c r="B28" s="19">
        <v>1</v>
      </c>
      <c r="C28" s="19">
        <v>1</v>
      </c>
      <c r="D28" s="19"/>
      <c r="E28" s="19"/>
      <c r="F28" s="19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>
      <c r="A29" s="15" t="s">
        <v>36</v>
      </c>
      <c r="B29" s="19">
        <v>1</v>
      </c>
      <c r="C29" s="19">
        <v>1</v>
      </c>
      <c r="D29" s="19"/>
      <c r="E29" s="19"/>
      <c r="F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 t="s">
        <v>39</v>
      </c>
      <c r="B30" s="19">
        <v>1</v>
      </c>
      <c r="C30" s="19">
        <v>1</v>
      </c>
      <c r="D30" s="19"/>
      <c r="E30" s="19"/>
      <c r="F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5" t="s">
        <v>38</v>
      </c>
      <c r="B31" s="19">
        <v>1</v>
      </c>
      <c r="C31" s="19">
        <v>1</v>
      </c>
      <c r="D31" s="19"/>
      <c r="E31" s="19"/>
      <c r="F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>
      <c r="A32" s="15" t="s">
        <v>37</v>
      </c>
      <c r="B32" s="19">
        <v>1</v>
      </c>
      <c r="C32" s="19">
        <v>1</v>
      </c>
      <c r="D32" s="19"/>
      <c r="E32" s="19"/>
      <c r="F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5" t="s">
        <v>41</v>
      </c>
      <c r="B33" s="19">
        <v>1</v>
      </c>
      <c r="C33" s="19">
        <v>1</v>
      </c>
      <c r="D33" s="19"/>
      <c r="E33" s="19"/>
      <c r="F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>
      <c r="A34" s="15" t="s">
        <v>40</v>
      </c>
      <c r="B34" s="19">
        <v>1</v>
      </c>
      <c r="C34" s="19">
        <v>1</v>
      </c>
      <c r="D34" s="19"/>
      <c r="E34" s="19"/>
      <c r="F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>
      <c r="A35" s="15" t="s">
        <v>19</v>
      </c>
      <c r="B35" s="19">
        <v>1</v>
      </c>
      <c r="C35" s="19">
        <v>1</v>
      </c>
      <c r="D35" s="19"/>
      <c r="E35" s="19"/>
      <c r="F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6" ht="15.75">
      <c r="A36" s="15" t="s">
        <v>195</v>
      </c>
      <c r="B36" s="22">
        <v>1</v>
      </c>
      <c r="C36" s="22">
        <v>1</v>
      </c>
      <c r="D36" s="19"/>
      <c r="E36" s="19"/>
      <c r="F36" s="19"/>
    </row>
    <row r="37" spans="1:6" ht="15.75">
      <c r="A37" s="15" t="s">
        <v>20</v>
      </c>
      <c r="B37" s="19">
        <f>SUM(B27:B36)</f>
        <v>10</v>
      </c>
      <c r="C37" s="19">
        <f>SUM(C27:C36)</f>
        <v>10</v>
      </c>
      <c r="D37" s="19"/>
      <c r="E37" s="19"/>
      <c r="F37" s="19"/>
    </row>
    <row r="38" spans="1:6" ht="15.75">
      <c r="A38" s="15" t="s">
        <v>186</v>
      </c>
      <c r="B38" s="19"/>
      <c r="C38" s="19"/>
      <c r="D38" s="19"/>
      <c r="E38" s="19"/>
      <c r="F38" s="19"/>
    </row>
    <row r="39" spans="1:6" ht="18">
      <c r="A39" s="15" t="s">
        <v>316</v>
      </c>
      <c r="B39" s="21">
        <v>1</v>
      </c>
      <c r="C39" s="21">
        <v>1</v>
      </c>
      <c r="D39" s="19"/>
      <c r="E39" s="19"/>
      <c r="F39" s="19"/>
    </row>
    <row r="40" spans="1:6" ht="15.75">
      <c r="A40" s="15" t="s">
        <v>7</v>
      </c>
      <c r="B40" s="19">
        <f>SUM(B37:B39)</f>
        <v>11</v>
      </c>
      <c r="C40" s="19">
        <f>SUM(C37:C39)</f>
        <v>11</v>
      </c>
      <c r="D40" s="19"/>
      <c r="E40" s="19"/>
      <c r="F40" s="19"/>
    </row>
    <row r="41" spans="1:6" ht="15.75">
      <c r="A41" s="15"/>
      <c r="B41" s="19"/>
      <c r="C41" s="19"/>
      <c r="D41" s="19"/>
      <c r="E41" s="19"/>
      <c r="F41" s="19"/>
    </row>
    <row r="42" spans="1:6" ht="15.75">
      <c r="A42" s="14" t="s">
        <v>23</v>
      </c>
      <c r="B42" s="19"/>
      <c r="C42" s="19"/>
      <c r="D42" s="19"/>
      <c r="E42" s="19"/>
      <c r="F42" s="19"/>
    </row>
    <row r="43" spans="1:6" ht="15.75">
      <c r="A43" s="15" t="s">
        <v>42</v>
      </c>
      <c r="C43" s="19">
        <v>7500</v>
      </c>
      <c r="D43" s="19"/>
      <c r="E43" s="19"/>
      <c r="F43" s="19"/>
    </row>
    <row r="44" ht="12.75">
      <c r="B44" s="3"/>
    </row>
    <row r="45" ht="12.75">
      <c r="B45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F9" sqref="F9"/>
    </sheetView>
  </sheetViews>
  <sheetFormatPr defaultColWidth="9.140625" defaultRowHeight="12.75"/>
  <cols>
    <col min="1" max="1" width="61.00390625" style="0" bestFit="1" customWidth="1"/>
    <col min="2" max="5" width="12.7109375" style="0" customWidth="1"/>
    <col min="6" max="6" width="11.7109375" style="0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52</v>
      </c>
      <c r="B2" s="71"/>
      <c r="C2" s="71"/>
      <c r="D2" s="71"/>
      <c r="E2" s="71"/>
      <c r="F2" s="71"/>
      <c r="I2" s="72" t="str">
        <f>+A2</f>
        <v>TOWN CLERK/TAX COLLECTOR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17</v>
      </c>
      <c r="R5" s="1" t="s">
        <v>17</v>
      </c>
      <c r="S5" s="1" t="s">
        <v>17</v>
      </c>
      <c r="T5" s="1" t="s">
        <v>17</v>
      </c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317</v>
      </c>
      <c r="O6" s="2" t="s">
        <v>12</v>
      </c>
      <c r="P6" s="2" t="s">
        <v>13</v>
      </c>
      <c r="Q6" s="2" t="s">
        <v>45</v>
      </c>
      <c r="R6" s="2" t="s">
        <v>45</v>
      </c>
      <c r="S6" s="2" t="s">
        <v>45</v>
      </c>
      <c r="T6" s="2" t="s">
        <v>45</v>
      </c>
    </row>
    <row r="7" spans="1:20" ht="15.75">
      <c r="A7" s="15" t="s">
        <v>328</v>
      </c>
      <c r="B7" s="19">
        <v>313883</v>
      </c>
      <c r="C7" s="19">
        <v>310084</v>
      </c>
      <c r="D7" s="19">
        <v>330686</v>
      </c>
      <c r="E7" s="19">
        <f>+D7-C7</f>
        <v>20602</v>
      </c>
      <c r="F7" s="29">
        <f>ROUND(E7/C7,4)</f>
        <v>0.0664</v>
      </c>
      <c r="I7">
        <v>101</v>
      </c>
      <c r="J7" s="3">
        <f>SUM(K7:T7)</f>
        <v>3418</v>
      </c>
      <c r="K7" s="3">
        <v>2249</v>
      </c>
      <c r="L7" s="3">
        <v>-75</v>
      </c>
      <c r="M7" s="3">
        <v>1244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59903</v>
      </c>
      <c r="C8" s="19">
        <v>65746</v>
      </c>
      <c r="D8" s="19">
        <v>65137</v>
      </c>
      <c r="E8" s="19">
        <f>+D8-C8</f>
        <v>-609</v>
      </c>
      <c r="F8" s="29">
        <f>ROUND(E8/C8,4)</f>
        <v>-0.0093</v>
      </c>
      <c r="I8">
        <v>102</v>
      </c>
      <c r="J8" s="3">
        <f aca="true" t="shared" si="0" ref="J8:J21">SUM(K8:T8)</f>
        <v>8440</v>
      </c>
      <c r="K8" s="3">
        <v>6656</v>
      </c>
      <c r="L8" s="3">
        <v>0</v>
      </c>
      <c r="M8" s="3">
        <v>1784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11055</v>
      </c>
      <c r="C9" s="22">
        <v>1275</v>
      </c>
      <c r="D9" s="22">
        <v>1275</v>
      </c>
      <c r="E9" s="22">
        <f>+D9-C9</f>
        <v>0</v>
      </c>
      <c r="F9" s="29">
        <f>ROUND(E9/C9,4)</f>
        <v>0</v>
      </c>
      <c r="I9">
        <v>103</v>
      </c>
      <c r="J9" s="3">
        <f t="shared" si="0"/>
        <v>2411</v>
      </c>
      <c r="K9" s="3">
        <v>1550</v>
      </c>
      <c r="L9" s="3">
        <v>0</v>
      </c>
      <c r="M9" s="3">
        <v>861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384841</v>
      </c>
      <c r="C10" s="19">
        <f>SUM(C7:C9)</f>
        <v>377105</v>
      </c>
      <c r="D10" s="19">
        <f>SUM(D7:D9)</f>
        <v>397098</v>
      </c>
      <c r="E10" s="19">
        <f>SUM(E7:E9)</f>
        <v>19993</v>
      </c>
      <c r="F10" s="29">
        <f>ROUND(E10/C10,4)</f>
        <v>0.053</v>
      </c>
      <c r="I10">
        <v>104</v>
      </c>
      <c r="J10" s="3">
        <f t="shared" si="0"/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 t="s">
        <v>301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/>
      <c r="E13" s="19">
        <v>13121</v>
      </c>
      <c r="F13" s="19"/>
      <c r="I13">
        <v>107</v>
      </c>
      <c r="J13" s="3">
        <f t="shared" si="0"/>
        <v>1438</v>
      </c>
      <c r="K13" s="3">
        <v>1158</v>
      </c>
      <c r="L13" s="3">
        <v>0</v>
      </c>
      <c r="M13" s="3">
        <v>280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32</v>
      </c>
      <c r="B14" s="19"/>
      <c r="C14" s="19"/>
      <c r="D14" s="19"/>
      <c r="E14" s="19">
        <v>2799</v>
      </c>
      <c r="F14" s="19"/>
      <c r="G14" s="3" t="s">
        <v>17</v>
      </c>
      <c r="I14">
        <v>111</v>
      </c>
      <c r="J14" s="3">
        <f t="shared" si="0"/>
        <v>25</v>
      </c>
      <c r="K14" s="3">
        <v>25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5.75">
      <c r="A15" s="15" t="s">
        <v>345</v>
      </c>
      <c r="B15" s="19"/>
      <c r="C15" s="19"/>
      <c r="D15" s="19"/>
      <c r="E15" s="19">
        <v>4682</v>
      </c>
      <c r="F15" s="19"/>
      <c r="I15">
        <v>125</v>
      </c>
      <c r="J15" s="3">
        <f t="shared" si="0"/>
        <v>991.5820000000001</v>
      </c>
      <c r="K15" s="3">
        <f>+SUM(K8:K14)*0.0765+K7*0.0145</f>
        <v>750.869</v>
      </c>
      <c r="L15" s="3">
        <f>+SUM(L8:L14)*0.0765+L7*0.0145</f>
        <v>-1.0875000000000001</v>
      </c>
      <c r="M15" s="3">
        <f>+SUM(M8:M14)*0.0765+M7*0.0145</f>
        <v>241.8005</v>
      </c>
      <c r="N15" s="3">
        <f>+SUM(N8:N14)*0.0765+N7*0.0145</f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15</v>
      </c>
      <c r="B16" s="19"/>
      <c r="C16" s="19"/>
      <c r="D16" s="19"/>
      <c r="E16" s="19">
        <v>0</v>
      </c>
      <c r="F16" s="19"/>
      <c r="I16">
        <v>128</v>
      </c>
      <c r="J16" s="3">
        <f t="shared" si="0"/>
        <v>1250.2956000000001</v>
      </c>
      <c r="K16" s="3">
        <f>+SUM(K7:K12)*0.0874+K14*0.0874+1</f>
        <v>916.952</v>
      </c>
      <c r="L16" s="3">
        <f>+SUM(L7:L12)*0.0874+L14*0.0874</f>
        <v>-6.555000000000001</v>
      </c>
      <c r="M16" s="3">
        <f>+SUM(M7:M12)*0.0874+M14*0.0874</f>
        <v>339.89860000000004</v>
      </c>
      <c r="N16" s="3">
        <f>+SUM(N7:N12)*0.0874+N14*0.0874</f>
        <v>0</v>
      </c>
      <c r="O16" s="3">
        <f>+SUM(O7:O12)*0.0874+O14*0.0874</f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8">
      <c r="A17" s="15" t="s">
        <v>60</v>
      </c>
      <c r="B17" s="19"/>
      <c r="C17" s="19"/>
      <c r="D17" s="19"/>
      <c r="E17" s="21">
        <v>-609</v>
      </c>
      <c r="F17" s="19"/>
      <c r="I17">
        <v>131</v>
      </c>
      <c r="J17" s="3">
        <f t="shared" si="0"/>
        <v>2758.12</v>
      </c>
      <c r="K17" s="3">
        <f>+SUM(K7:K12)*-0.02</f>
        <v>-209.1</v>
      </c>
      <c r="L17" s="3">
        <v>3045</v>
      </c>
      <c r="M17" s="3">
        <f>+SUM(M7:M12)*-0.02</f>
        <v>-77.78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5.75">
      <c r="A18" s="15" t="s">
        <v>33</v>
      </c>
      <c r="B18" s="19"/>
      <c r="C18" s="19"/>
      <c r="D18" s="19"/>
      <c r="E18" s="19">
        <f>SUM(E13:E17)</f>
        <v>19993</v>
      </c>
      <c r="F18" s="19"/>
      <c r="I18">
        <v>132</v>
      </c>
      <c r="J18" s="3">
        <f t="shared" si="0"/>
        <v>250</v>
      </c>
      <c r="K18" s="3">
        <v>0</v>
      </c>
      <c r="L18" s="3">
        <v>250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5.75">
      <c r="A19" s="15" t="s">
        <v>17</v>
      </c>
      <c r="B19" s="19"/>
      <c r="C19" s="19"/>
      <c r="D19" s="19"/>
      <c r="E19" s="19" t="s">
        <v>17</v>
      </c>
      <c r="F19" s="19"/>
      <c r="I19">
        <v>133</v>
      </c>
      <c r="J19" s="3">
        <f t="shared" si="0"/>
        <v>-225</v>
      </c>
      <c r="K19" s="3">
        <v>0</v>
      </c>
      <c r="L19" s="3">
        <v>-225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5.75">
      <c r="A20" s="15"/>
      <c r="B20" s="19"/>
      <c r="C20" s="19"/>
      <c r="D20" s="19"/>
      <c r="E20" s="19"/>
      <c r="F20" s="19"/>
      <c r="I20">
        <v>134</v>
      </c>
      <c r="J20" s="3">
        <f t="shared" si="0"/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5.75">
      <c r="A21" s="14" t="s">
        <v>327</v>
      </c>
      <c r="B21" s="23" t="s">
        <v>17</v>
      </c>
      <c r="C21" s="23" t="s">
        <v>17</v>
      </c>
      <c r="D21" s="19"/>
      <c r="E21" s="19"/>
      <c r="F21" s="19"/>
      <c r="I21">
        <v>135</v>
      </c>
      <c r="J21" s="3">
        <f t="shared" si="0"/>
        <v>-154.82262500000002</v>
      </c>
      <c r="K21" s="3">
        <f>+SUM(K7:K13)*0.0021+K14*0.67*0.0021</f>
        <v>24.422475</v>
      </c>
      <c r="L21" s="3">
        <v>-188</v>
      </c>
      <c r="M21" s="3">
        <f>+SUM(M7:M13)*0.0021+M14*0.67*0.0021</f>
        <v>8.7549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5.75">
      <c r="A22" s="15" t="s">
        <v>17</v>
      </c>
      <c r="B22" s="23" t="s">
        <v>3</v>
      </c>
      <c r="C22" s="23" t="s">
        <v>3</v>
      </c>
      <c r="D22" s="19"/>
      <c r="E22" s="19"/>
      <c r="F22" s="19"/>
      <c r="I22">
        <v>136</v>
      </c>
      <c r="J22" s="4">
        <f>SUM(K22:T22)</f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v>0</v>
      </c>
      <c r="R22" s="4">
        <v>0</v>
      </c>
      <c r="S22" s="4">
        <v>0</v>
      </c>
      <c r="T22" s="4">
        <v>0</v>
      </c>
    </row>
    <row r="23" spans="1:20" ht="15.75">
      <c r="A23" s="15" t="s">
        <v>17</v>
      </c>
      <c r="B23" s="18" t="s">
        <v>303</v>
      </c>
      <c r="C23" s="18" t="s">
        <v>329</v>
      </c>
      <c r="D23" s="19"/>
      <c r="E23" s="19"/>
      <c r="F23" s="19"/>
      <c r="I23" s="1" t="s">
        <v>7</v>
      </c>
      <c r="J23" s="3">
        <f>SUM(J7:J22)</f>
        <v>20602.174974999998</v>
      </c>
      <c r="K23" s="3">
        <f aca="true" t="shared" si="1" ref="K23:T23">SUM(K7:K22)</f>
        <v>13121.143474999999</v>
      </c>
      <c r="L23" s="3">
        <f t="shared" si="1"/>
        <v>2799.3575</v>
      </c>
      <c r="M23" s="3">
        <f t="shared" si="1"/>
        <v>4681.674000000001</v>
      </c>
      <c r="N23" s="3">
        <f t="shared" si="1"/>
        <v>0</v>
      </c>
      <c r="O23" s="3">
        <f t="shared" si="1"/>
        <v>0</v>
      </c>
      <c r="P23" s="3">
        <f t="shared" si="1"/>
        <v>0</v>
      </c>
      <c r="Q23" s="3">
        <f t="shared" si="1"/>
        <v>0</v>
      </c>
      <c r="R23" s="3">
        <f t="shared" si="1"/>
        <v>0</v>
      </c>
      <c r="S23" s="3">
        <f t="shared" si="1"/>
        <v>0</v>
      </c>
      <c r="T23" s="3">
        <f t="shared" si="1"/>
        <v>0</v>
      </c>
    </row>
    <row r="24" spans="1:20" ht="15.75">
      <c r="A24" s="15" t="s">
        <v>18</v>
      </c>
      <c r="B24" s="19"/>
      <c r="C24" s="19"/>
      <c r="D24" s="19"/>
      <c r="E24" s="19"/>
      <c r="F24" s="1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>
      <c r="A25" s="15" t="s">
        <v>53</v>
      </c>
      <c r="B25" s="19">
        <v>1</v>
      </c>
      <c r="C25" s="19">
        <v>1</v>
      </c>
      <c r="D25" s="19"/>
      <c r="E25" s="19"/>
      <c r="F25" s="1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>
      <c r="A26" s="15" t="s">
        <v>54</v>
      </c>
      <c r="B26" s="19">
        <v>3</v>
      </c>
      <c r="C26" s="19">
        <v>3</v>
      </c>
      <c r="D26" s="19"/>
      <c r="E26" s="19"/>
      <c r="F26" s="1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75">
      <c r="A27" s="15" t="s">
        <v>55</v>
      </c>
      <c r="B27" s="22">
        <v>1</v>
      </c>
      <c r="C27" s="22">
        <v>1</v>
      </c>
      <c r="D27" s="19"/>
      <c r="E27" s="19"/>
      <c r="F27" s="1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75">
      <c r="A28" s="15" t="s">
        <v>20</v>
      </c>
      <c r="B28" s="19">
        <f>SUM(B25:B27)</f>
        <v>5</v>
      </c>
      <c r="C28" s="19">
        <f>SUM(C25:C27)</f>
        <v>5</v>
      </c>
      <c r="D28" s="19"/>
      <c r="E28" s="19"/>
      <c r="F28" s="1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6" ht="18">
      <c r="A29" s="15" t="s">
        <v>186</v>
      </c>
      <c r="B29" s="21">
        <v>1</v>
      </c>
      <c r="C29" s="21">
        <v>1</v>
      </c>
      <c r="D29" s="19"/>
      <c r="E29" s="19"/>
      <c r="F29" s="19"/>
    </row>
    <row r="30" spans="1:6" ht="15.75">
      <c r="A30" s="15" t="s">
        <v>7</v>
      </c>
      <c r="B30" s="19">
        <f>SUM(B28:B29)</f>
        <v>6</v>
      </c>
      <c r="C30" s="19">
        <f>SUM(C28:C29)</f>
        <v>6</v>
      </c>
      <c r="D30" s="19"/>
      <c r="E30" s="19"/>
      <c r="F30" s="19"/>
    </row>
    <row r="31" spans="1:6" ht="15.75">
      <c r="A31" s="15"/>
      <c r="B31" s="19"/>
      <c r="C31" s="19"/>
      <c r="D31" s="19"/>
      <c r="E31" s="19"/>
      <c r="F31" s="19"/>
    </row>
    <row r="32" spans="1:6" ht="15.75">
      <c r="A32" s="14" t="s">
        <v>23</v>
      </c>
      <c r="B32" s="19"/>
      <c r="C32" s="19"/>
      <c r="D32" s="19"/>
      <c r="E32" s="19"/>
      <c r="F32" s="19"/>
    </row>
    <row r="33" spans="1:6" ht="15.75">
      <c r="A33" s="15" t="s">
        <v>42</v>
      </c>
      <c r="C33" s="19">
        <v>1275</v>
      </c>
      <c r="D33" s="19"/>
      <c r="E33" s="19"/>
      <c r="F33" s="19"/>
    </row>
    <row r="34" ht="12.75">
      <c r="B34" s="3"/>
    </row>
    <row r="35" ht="12.75">
      <c r="B35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workbookViewId="0" topLeftCell="C4">
      <selection activeCell="F10" sqref="F10"/>
    </sheetView>
  </sheetViews>
  <sheetFormatPr defaultColWidth="9.140625" defaultRowHeight="12.75"/>
  <cols>
    <col min="1" max="1" width="43.7109375" style="0" bestFit="1" customWidth="1"/>
    <col min="2" max="2" width="13.00390625" style="0" customWidth="1"/>
    <col min="3" max="3" width="12.8515625" style="0" customWidth="1"/>
    <col min="4" max="4" width="13.28125" style="0" customWidth="1"/>
    <col min="5" max="5" width="12.7109375" style="0" customWidth="1"/>
    <col min="6" max="6" width="11.8515625" style="0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50</v>
      </c>
      <c r="B2" s="71"/>
      <c r="C2" s="71"/>
      <c r="D2" s="71"/>
      <c r="E2" s="71"/>
      <c r="F2" s="71"/>
      <c r="I2" s="72" t="str">
        <f>+A2</f>
        <v>WELFARE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27</v>
      </c>
      <c r="T5" s="1" t="s">
        <v>29</v>
      </c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28</v>
      </c>
      <c r="R6" s="2" t="s">
        <v>25</v>
      </c>
      <c r="S6" s="2" t="s">
        <v>26</v>
      </c>
      <c r="T6" s="2" t="s">
        <v>30</v>
      </c>
    </row>
    <row r="7" spans="1:20" ht="15.75">
      <c r="A7" s="15" t="s">
        <v>328</v>
      </c>
      <c r="B7" s="19">
        <v>32934</v>
      </c>
      <c r="C7" s="19">
        <v>32767</v>
      </c>
      <c r="D7" s="19">
        <v>36837</v>
      </c>
      <c r="E7" s="19">
        <f>+D7-C7</f>
        <v>4070</v>
      </c>
      <c r="F7" s="29">
        <f>ROUND(E7/C7,4)</f>
        <v>0.1242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139798</v>
      </c>
      <c r="C8" s="19">
        <v>146391</v>
      </c>
      <c r="D8" s="19">
        <v>146861</v>
      </c>
      <c r="E8" s="19">
        <f>+D8-C8</f>
        <v>470</v>
      </c>
      <c r="F8" s="29">
        <f>ROUND(E8/C8,4)</f>
        <v>0.0032</v>
      </c>
      <c r="I8">
        <v>102</v>
      </c>
      <c r="J8" s="3">
        <f aca="true" t="shared" si="0" ref="J8:J26">SUM(K8:T8)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0</v>
      </c>
      <c r="C9" s="22">
        <v>0</v>
      </c>
      <c r="D9" s="22">
        <v>1300</v>
      </c>
      <c r="E9" s="22">
        <f>+D9-C9</f>
        <v>1300</v>
      </c>
      <c r="F9" s="29">
        <v>1</v>
      </c>
      <c r="I9">
        <v>103</v>
      </c>
      <c r="J9" s="3">
        <f t="shared" si="0"/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172732</v>
      </c>
      <c r="C10" s="19">
        <f>SUM(C7:C9)</f>
        <v>179158</v>
      </c>
      <c r="D10" s="19">
        <f>SUM(D7:D9)</f>
        <v>184998</v>
      </c>
      <c r="E10" s="19">
        <f>SUM(E7:E9)</f>
        <v>5840</v>
      </c>
      <c r="F10" s="29">
        <f>ROUND(E10/C10,4)</f>
        <v>0.0326</v>
      </c>
      <c r="I10">
        <v>104</v>
      </c>
      <c r="J10" s="3">
        <f t="shared" si="0"/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 t="s">
        <v>301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359</v>
      </c>
      <c r="B13" s="19"/>
      <c r="C13" s="19"/>
      <c r="D13" s="19"/>
      <c r="E13" s="19">
        <v>1220</v>
      </c>
      <c r="F13" s="19"/>
      <c r="G13" s="3" t="s">
        <v>17</v>
      </c>
      <c r="I13">
        <v>107</v>
      </c>
      <c r="J13" s="3">
        <f t="shared" si="0"/>
        <v>3798</v>
      </c>
      <c r="K13" s="3">
        <v>1131</v>
      </c>
      <c r="L13" s="3">
        <v>0</v>
      </c>
      <c r="M13" s="3">
        <v>644</v>
      </c>
      <c r="N13" s="3">
        <v>0</v>
      </c>
      <c r="O13" s="3">
        <v>2023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413</v>
      </c>
      <c r="B14" s="19"/>
      <c r="C14" s="19"/>
      <c r="D14" s="19"/>
      <c r="E14" s="19">
        <v>2182</v>
      </c>
      <c r="F14" s="19"/>
      <c r="G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15" t="s">
        <v>32</v>
      </c>
      <c r="B15" s="19"/>
      <c r="C15" s="19"/>
      <c r="D15" s="19"/>
      <c r="E15" s="19">
        <v>-27</v>
      </c>
      <c r="F15" s="19"/>
      <c r="I15">
        <v>111</v>
      </c>
      <c r="J15" s="3">
        <f t="shared" si="0"/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333</v>
      </c>
      <c r="B16" s="19"/>
      <c r="C16" s="19"/>
      <c r="D16" s="19"/>
      <c r="E16" s="19">
        <v>695</v>
      </c>
      <c r="F16" s="1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>
      <c r="A17" s="15" t="s">
        <v>285</v>
      </c>
      <c r="B17" s="19"/>
      <c r="C17" s="19"/>
      <c r="D17" s="19"/>
      <c r="E17" s="19">
        <v>1655</v>
      </c>
      <c r="F17" s="19"/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/>
      <c r="S17" s="3"/>
      <c r="T17" s="3"/>
    </row>
    <row r="18" spans="1:20" ht="15.75">
      <c r="A18" s="15" t="s">
        <v>286</v>
      </c>
      <c r="B18" s="19"/>
      <c r="C18" s="19"/>
      <c r="D18" s="19"/>
      <c r="E18" s="19">
        <v>-1200</v>
      </c>
      <c r="F18" s="19"/>
      <c r="J18" s="3"/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/>
      <c r="S18" s="3"/>
      <c r="T18" s="3"/>
    </row>
    <row r="19" spans="1:20" ht="15.75">
      <c r="A19" s="15" t="s">
        <v>23</v>
      </c>
      <c r="B19" s="19"/>
      <c r="C19" s="19"/>
      <c r="D19" s="19"/>
      <c r="E19" s="19">
        <v>1300</v>
      </c>
      <c r="F19" s="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8">
      <c r="A20" s="15" t="s">
        <v>60</v>
      </c>
      <c r="B20" s="19"/>
      <c r="C20" s="19"/>
      <c r="D20" s="19"/>
      <c r="E20" s="21">
        <v>15</v>
      </c>
      <c r="F20" s="19"/>
      <c r="I20">
        <v>125</v>
      </c>
      <c r="J20" s="3">
        <f t="shared" si="0"/>
        <v>290.547</v>
      </c>
      <c r="K20" s="3">
        <f>+K13*0.0765</f>
        <v>86.5215</v>
      </c>
      <c r="L20" s="3">
        <f>+L13*0.0765</f>
        <v>0</v>
      </c>
      <c r="M20" s="3">
        <f>+M13*0.0765</f>
        <v>49.266</v>
      </c>
      <c r="N20" s="3">
        <f>+N13*0.0765</f>
        <v>0</v>
      </c>
      <c r="O20" s="3">
        <f>+O13*0.0765</f>
        <v>154.7595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5.75">
      <c r="A21" s="15" t="s">
        <v>33</v>
      </c>
      <c r="B21" s="19"/>
      <c r="C21" s="19"/>
      <c r="D21" s="19"/>
      <c r="E21" s="19">
        <f>SUM(E13:E20)</f>
        <v>5840</v>
      </c>
      <c r="F21" s="19"/>
      <c r="I21">
        <v>128</v>
      </c>
      <c r="J21" s="3">
        <f t="shared" si="0"/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5.75">
      <c r="A22" s="15"/>
      <c r="B22" s="19"/>
      <c r="C22" s="19"/>
      <c r="D22" s="19"/>
      <c r="E22" s="19"/>
      <c r="F22" s="19"/>
      <c r="I22">
        <v>131</v>
      </c>
      <c r="J22" s="3">
        <f t="shared" si="0"/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5.75">
      <c r="A23" s="14" t="s">
        <v>327</v>
      </c>
      <c r="B23" s="23" t="s">
        <v>17</v>
      </c>
      <c r="C23" s="23" t="s">
        <v>17</v>
      </c>
      <c r="D23" s="19"/>
      <c r="E23" s="19"/>
      <c r="F23" s="19"/>
      <c r="I23">
        <v>132</v>
      </c>
      <c r="J23" s="3">
        <f t="shared" si="0"/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5.75">
      <c r="A24" s="15" t="s">
        <v>17</v>
      </c>
      <c r="B24" s="23" t="s">
        <v>3</v>
      </c>
      <c r="C24" s="23" t="s">
        <v>3</v>
      </c>
      <c r="D24" s="19"/>
      <c r="E24" s="19"/>
      <c r="F24" s="19"/>
      <c r="I24">
        <v>133</v>
      </c>
      <c r="J24" s="3">
        <f t="shared" si="0"/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5.75">
      <c r="A25" s="15" t="s">
        <v>17</v>
      </c>
      <c r="B25" s="18" t="s">
        <v>281</v>
      </c>
      <c r="C25" s="18" t="s">
        <v>303</v>
      </c>
      <c r="D25" s="19"/>
      <c r="E25" s="19"/>
      <c r="F25" s="19"/>
      <c r="I25">
        <v>134</v>
      </c>
      <c r="J25" s="3">
        <f t="shared" si="0"/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5.75">
      <c r="A26" s="15" t="s">
        <v>51</v>
      </c>
      <c r="B26" s="19">
        <v>1</v>
      </c>
      <c r="C26" s="19">
        <v>1</v>
      </c>
      <c r="D26" s="19"/>
      <c r="E26" s="19"/>
      <c r="F26" s="19"/>
      <c r="I26">
        <v>135</v>
      </c>
      <c r="J26" s="3">
        <f t="shared" si="0"/>
        <v>-19.0242</v>
      </c>
      <c r="K26" s="3">
        <f>+K13*0.0021</f>
        <v>2.3750999999999998</v>
      </c>
      <c r="L26" s="3">
        <v>-27</v>
      </c>
      <c r="M26" s="3">
        <f>+M13*0.0021</f>
        <v>1.3523999999999998</v>
      </c>
      <c r="N26" s="3">
        <f>+N13*0.0021</f>
        <v>0</v>
      </c>
      <c r="O26" s="3">
        <f>+O13*0.0021</f>
        <v>4.2482999999999995</v>
      </c>
      <c r="P26" s="3">
        <f>+P13*0.0021</f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5.75">
      <c r="A27" s="15"/>
      <c r="B27" s="19"/>
      <c r="C27" s="19"/>
      <c r="D27" s="19"/>
      <c r="E27" s="19"/>
      <c r="F27" s="19"/>
      <c r="I27">
        <v>136</v>
      </c>
      <c r="J27" s="4">
        <f>SUM(K27:T27)</f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5">
        <v>0</v>
      </c>
      <c r="R27" s="4">
        <v>0</v>
      </c>
      <c r="S27" s="4">
        <v>0</v>
      </c>
      <c r="T27" s="4">
        <v>0</v>
      </c>
    </row>
    <row r="28" spans="1:20" ht="15.75">
      <c r="A28" s="14" t="s">
        <v>23</v>
      </c>
      <c r="B28" s="19"/>
      <c r="C28" s="19"/>
      <c r="D28" s="19"/>
      <c r="E28" s="19"/>
      <c r="F28" s="19"/>
      <c r="I28" s="1" t="s">
        <v>7</v>
      </c>
      <c r="J28" s="3">
        <f>SUM(J7:J27)</f>
        <v>4069.5228</v>
      </c>
      <c r="K28" s="3">
        <f aca="true" t="shared" si="1" ref="K28:T28">SUM(K7:K27)</f>
        <v>1219.8966</v>
      </c>
      <c r="L28" s="3">
        <f t="shared" si="1"/>
        <v>-27</v>
      </c>
      <c r="M28" s="3">
        <f t="shared" si="1"/>
        <v>694.6184</v>
      </c>
      <c r="N28" s="3">
        <f t="shared" si="1"/>
        <v>0</v>
      </c>
      <c r="O28" s="3">
        <f t="shared" si="1"/>
        <v>2182.0078000000003</v>
      </c>
      <c r="P28" s="3">
        <f t="shared" si="1"/>
        <v>0</v>
      </c>
      <c r="Q28" s="3">
        <f t="shared" si="1"/>
        <v>0</v>
      </c>
      <c r="R28" s="3">
        <f t="shared" si="1"/>
        <v>0</v>
      </c>
      <c r="S28" s="3">
        <f t="shared" si="1"/>
        <v>0</v>
      </c>
      <c r="T28" s="3">
        <f t="shared" si="1"/>
        <v>0</v>
      </c>
    </row>
    <row r="29" spans="1:20" ht="15.75">
      <c r="A29" s="15" t="s">
        <v>358</v>
      </c>
      <c r="C29" s="19">
        <v>1300</v>
      </c>
      <c r="D29" s="19"/>
      <c r="E29" s="19"/>
      <c r="F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6" ht="12.75">
      <c r="A30" t="s">
        <v>17</v>
      </c>
      <c r="B30" s="3" t="s">
        <v>17</v>
      </c>
      <c r="C30" s="3"/>
      <c r="D30" s="3"/>
      <c r="E30" s="3"/>
      <c r="F30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22">
      <selection activeCell="A5" sqref="A5"/>
    </sheetView>
  </sheetViews>
  <sheetFormatPr defaultColWidth="9.140625" defaultRowHeight="12.75"/>
  <cols>
    <col min="1" max="1" width="48.28125" style="0" bestFit="1" customWidth="1"/>
    <col min="2" max="3" width="12.7109375" style="0" customWidth="1"/>
    <col min="4" max="4" width="13.7109375" style="0" bestFit="1" customWidth="1"/>
    <col min="5" max="5" width="13.28125" style="0" bestFit="1" customWidth="1"/>
    <col min="6" max="6" width="9.7109375" style="0" bestFit="1" customWidth="1"/>
  </cols>
  <sheetData>
    <row r="1" spans="1:6" ht="15.75">
      <c r="A1" s="71" t="s">
        <v>330</v>
      </c>
      <c r="B1" s="71"/>
      <c r="C1" s="71"/>
      <c r="D1" s="71"/>
      <c r="E1" s="71"/>
      <c r="F1" s="71"/>
    </row>
    <row r="2" spans="1:6" ht="15.75">
      <c r="A2" s="71" t="s">
        <v>133</v>
      </c>
      <c r="B2" s="71"/>
      <c r="C2" s="71"/>
      <c r="D2" s="71"/>
      <c r="E2" s="71"/>
      <c r="F2" s="71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6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</row>
    <row r="6" spans="1:6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</row>
    <row r="7" spans="1:6" ht="15.75">
      <c r="A7" s="15" t="s">
        <v>328</v>
      </c>
      <c r="B7" s="19">
        <v>0</v>
      </c>
      <c r="C7" s="19">
        <v>0</v>
      </c>
      <c r="D7" s="19">
        <v>0</v>
      </c>
      <c r="E7" s="19">
        <f>+D7-C7</f>
        <v>0</v>
      </c>
      <c r="F7" s="29"/>
    </row>
    <row r="8" spans="1:6" ht="15.75">
      <c r="A8" s="15" t="s">
        <v>14</v>
      </c>
      <c r="B8" s="19">
        <v>0</v>
      </c>
      <c r="C8" s="19">
        <v>0</v>
      </c>
      <c r="D8" s="19">
        <v>0</v>
      </c>
      <c r="E8" s="19">
        <f>+D8-C8</f>
        <v>0</v>
      </c>
      <c r="F8" s="29"/>
    </row>
    <row r="9" spans="1:6" ht="15.75">
      <c r="A9" s="15" t="s">
        <v>15</v>
      </c>
      <c r="B9" s="19">
        <v>0</v>
      </c>
      <c r="C9" s="19">
        <v>0</v>
      </c>
      <c r="D9" s="19">
        <v>0</v>
      </c>
      <c r="E9" s="19">
        <f>+D9-C9</f>
        <v>0</v>
      </c>
      <c r="F9" s="29"/>
    </row>
    <row r="10" spans="1:6" ht="15.75">
      <c r="A10" s="15" t="s">
        <v>134</v>
      </c>
      <c r="B10" s="22">
        <v>769072</v>
      </c>
      <c r="C10" s="22">
        <v>2511592</v>
      </c>
      <c r="D10" s="22">
        <f>1600000+40000+897134</f>
        <v>2537134</v>
      </c>
      <c r="E10" s="22">
        <f>+D10-C10</f>
        <v>25542</v>
      </c>
      <c r="F10" s="29">
        <f>ROUND(E10/C10,4)</f>
        <v>0.0102</v>
      </c>
    </row>
    <row r="11" spans="1:6" ht="15.75">
      <c r="A11" s="15" t="s">
        <v>7</v>
      </c>
      <c r="B11" s="19">
        <f>SUM(B7:B10)</f>
        <v>769072</v>
      </c>
      <c r="C11" s="19">
        <f>SUM(C7:C10)</f>
        <v>2511592</v>
      </c>
      <c r="D11" s="19">
        <f>SUM(D7:D10)</f>
        <v>2537134</v>
      </c>
      <c r="E11" s="19">
        <f>SUM(E7:E10)</f>
        <v>25542</v>
      </c>
      <c r="F11" s="29">
        <f>ROUND(E11/C11,4)</f>
        <v>0.0102</v>
      </c>
    </row>
    <row r="12" spans="1:6" ht="15.75">
      <c r="A12" s="15"/>
      <c r="B12" s="19"/>
      <c r="C12" s="19"/>
      <c r="D12" s="19"/>
      <c r="E12" s="19"/>
      <c r="F12" s="19"/>
    </row>
    <row r="13" spans="1:6" ht="15.75">
      <c r="A13" s="14" t="s">
        <v>16</v>
      </c>
      <c r="B13" s="19"/>
      <c r="C13" s="19"/>
      <c r="D13" s="19"/>
      <c r="E13" s="19"/>
      <c r="F13" s="19"/>
    </row>
    <row r="14" spans="1:6" ht="15.75">
      <c r="A14" s="15" t="s">
        <v>135</v>
      </c>
      <c r="B14" s="19">
        <v>367449</v>
      </c>
      <c r="C14" s="19">
        <v>367449</v>
      </c>
      <c r="D14" s="19">
        <v>367449</v>
      </c>
      <c r="E14" s="19">
        <f>+D14-C14</f>
        <v>0</v>
      </c>
      <c r="F14" s="19"/>
    </row>
    <row r="15" spans="1:6" ht="15.75">
      <c r="A15" s="15" t="s">
        <v>212</v>
      </c>
      <c r="B15" s="19">
        <v>401623</v>
      </c>
      <c r="C15" s="19">
        <f>-1752143+2144142</f>
        <v>391999</v>
      </c>
      <c r="D15" s="19">
        <f>-152899+529684</f>
        <v>376785</v>
      </c>
      <c r="E15" s="19">
        <f>+D15-C15</f>
        <v>-15214</v>
      </c>
      <c r="F15" s="19"/>
    </row>
    <row r="16" spans="1:6" ht="15.75">
      <c r="A16" s="15" t="s">
        <v>416</v>
      </c>
      <c r="B16" s="19">
        <v>0</v>
      </c>
      <c r="C16" s="19">
        <f>1708000+44143</f>
        <v>1752143</v>
      </c>
      <c r="D16" s="19">
        <v>152899</v>
      </c>
      <c r="E16" s="19">
        <f>+D16-C16</f>
        <v>-1599244</v>
      </c>
      <c r="F16" s="19"/>
    </row>
    <row r="17" spans="1:6" ht="15.75">
      <c r="A17" s="15" t="s">
        <v>431</v>
      </c>
      <c r="B17" s="19">
        <v>0</v>
      </c>
      <c r="C17" s="19">
        <v>0</v>
      </c>
      <c r="D17" s="19">
        <f>1600000+40000</f>
        <v>1640000</v>
      </c>
      <c r="E17" s="19">
        <f>+D17-C17</f>
        <v>1640000</v>
      </c>
      <c r="F17" s="19"/>
    </row>
    <row r="18" spans="1:6" ht="18">
      <c r="A18" s="15" t="s">
        <v>136</v>
      </c>
      <c r="B18" s="21">
        <v>0</v>
      </c>
      <c r="C18" s="21">
        <v>1</v>
      </c>
      <c r="D18" s="21">
        <v>1</v>
      </c>
      <c r="E18" s="21">
        <f>+D18-C18</f>
        <v>0</v>
      </c>
      <c r="F18" s="19"/>
    </row>
    <row r="19" spans="1:6" ht="15.75">
      <c r="A19" s="15" t="s">
        <v>33</v>
      </c>
      <c r="B19" s="19">
        <f>SUM(B14:B18)</f>
        <v>769072</v>
      </c>
      <c r="C19" s="19">
        <f>SUM(C14:C18)</f>
        <v>2511592</v>
      </c>
      <c r="D19" s="19">
        <f>SUM(D14:D18)</f>
        <v>2537134</v>
      </c>
      <c r="E19" s="19">
        <f>SUM(E14:E18)</f>
        <v>25542</v>
      </c>
      <c r="F19" s="19"/>
    </row>
    <row r="20" spans="1:6" ht="15.75">
      <c r="A20" s="15"/>
      <c r="B20" s="19"/>
      <c r="C20" s="19"/>
      <c r="D20" s="19"/>
      <c r="E20" s="19"/>
      <c r="F20" s="19"/>
    </row>
    <row r="21" spans="1:6" ht="15.75">
      <c r="A21" s="14" t="s">
        <v>327</v>
      </c>
      <c r="B21" s="23" t="s">
        <v>17</v>
      </c>
      <c r="C21" s="23" t="s">
        <v>17</v>
      </c>
      <c r="D21" s="19"/>
      <c r="E21" s="19"/>
      <c r="F21" s="19"/>
    </row>
    <row r="22" spans="1:6" ht="15.75">
      <c r="A22" s="15" t="s">
        <v>44</v>
      </c>
      <c r="B22" s="23">
        <v>0</v>
      </c>
      <c r="C22" s="23" t="s">
        <v>17</v>
      </c>
      <c r="D22" s="19"/>
      <c r="E22" s="19"/>
      <c r="F22" s="19"/>
    </row>
    <row r="23" spans="1:6" ht="15.75">
      <c r="A23" s="15"/>
      <c r="B23" s="19"/>
      <c r="C23" s="19"/>
      <c r="D23" s="19"/>
      <c r="E23" s="19"/>
      <c r="F23" s="19"/>
    </row>
    <row r="24" spans="1:6" ht="15.75">
      <c r="A24" s="14" t="s">
        <v>23</v>
      </c>
      <c r="B24" s="19"/>
      <c r="C24" s="19"/>
      <c r="D24" s="19"/>
      <c r="E24" s="19"/>
      <c r="F24" s="19"/>
    </row>
    <row r="25" spans="1:6" ht="15.75">
      <c r="A25" s="15" t="s">
        <v>44</v>
      </c>
      <c r="B25" s="19">
        <v>0</v>
      </c>
      <c r="C25" s="19"/>
      <c r="D25" s="19"/>
      <c r="E25" s="19"/>
      <c r="F25" s="19"/>
    </row>
    <row r="26" ht="12.75">
      <c r="F26" s="3"/>
    </row>
  </sheetData>
  <mergeCells count="3">
    <mergeCell ref="A1:F1"/>
    <mergeCell ref="A2:F2"/>
    <mergeCell ref="E5:F5"/>
  </mergeCells>
  <printOptions gridLines="1"/>
  <pageMargins left="0.75" right="0.75" top="1" bottom="1" header="0.5" footer="0.5"/>
  <pageSetup fitToHeight="1" fitToWidth="1" horizontalDpi="600" verticalDpi="600" orientation="portrait" scale="82" r:id="rId2"/>
  <headerFooter alignWithMargins="0">
    <oddFooter>&amp;L&amp;D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selection activeCell="D9" sqref="D9"/>
    </sheetView>
  </sheetViews>
  <sheetFormatPr defaultColWidth="9.140625" defaultRowHeight="12.75"/>
  <cols>
    <col min="1" max="1" width="53.140625" style="0" bestFit="1" customWidth="1"/>
    <col min="2" max="4" width="12.8515625" style="0" bestFit="1" customWidth="1"/>
    <col min="5" max="5" width="12.8515625" style="39" customWidth="1"/>
    <col min="6" max="6" width="11.57421875" style="0" customWidth="1"/>
  </cols>
  <sheetData>
    <row r="1" spans="1:19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.75">
      <c r="A2" s="71" t="s">
        <v>111</v>
      </c>
      <c r="B2" s="71"/>
      <c r="C2" s="71"/>
      <c r="D2" s="71"/>
      <c r="E2" s="71"/>
      <c r="F2" s="71"/>
      <c r="I2" s="72" t="str">
        <f>+A2</f>
        <v>WASTEWATER TREATMENT</v>
      </c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6" ht="15.75">
      <c r="A3" s="15"/>
      <c r="B3" s="15"/>
      <c r="C3" s="15"/>
      <c r="D3" s="15"/>
      <c r="E3" s="34"/>
      <c r="F3" s="15"/>
    </row>
    <row r="4" spans="1:6" ht="15.75">
      <c r="A4" s="14" t="s">
        <v>1</v>
      </c>
      <c r="B4" s="15"/>
      <c r="C4" s="15"/>
      <c r="D4" s="15"/>
      <c r="E4" s="34"/>
      <c r="F4" s="15"/>
    </row>
    <row r="5" spans="1:19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/>
      <c r="R5" s="1"/>
      <c r="S5" s="1"/>
    </row>
    <row r="6" spans="1:19" ht="15.75">
      <c r="A6" s="14"/>
      <c r="B6" s="18" t="s">
        <v>281</v>
      </c>
      <c r="C6" s="18" t="s">
        <v>303</v>
      </c>
      <c r="D6" s="18" t="s">
        <v>329</v>
      </c>
      <c r="E6" s="36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254</v>
      </c>
      <c r="R6" s="2" t="s">
        <v>45</v>
      </c>
      <c r="S6" s="2" t="s">
        <v>45</v>
      </c>
    </row>
    <row r="7" spans="1:19" ht="15.75">
      <c r="A7" s="15" t="s">
        <v>328</v>
      </c>
      <c r="B7" s="19">
        <v>1606589</v>
      </c>
      <c r="C7" s="19">
        <v>1675303</v>
      </c>
      <c r="D7" s="19">
        <v>1698426</v>
      </c>
      <c r="E7" s="33">
        <f>+D7-C7</f>
        <v>23123</v>
      </c>
      <c r="F7" s="29">
        <f>ROUND(E7/C7,4)</f>
        <v>0.0138</v>
      </c>
      <c r="I7">
        <v>101</v>
      </c>
      <c r="J7" s="3">
        <f>SUM(K7:S7)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5.75">
      <c r="A8" s="15" t="s">
        <v>14</v>
      </c>
      <c r="B8" s="19">
        <v>1288404</v>
      </c>
      <c r="C8" s="19">
        <v>1526515</v>
      </c>
      <c r="D8" s="19">
        <v>1415409</v>
      </c>
      <c r="E8" s="33">
        <f>+D8-C8</f>
        <v>-111106</v>
      </c>
      <c r="F8" s="29">
        <f>ROUND(E8/C8,4)</f>
        <v>-0.0728</v>
      </c>
      <c r="I8">
        <v>102</v>
      </c>
      <c r="J8" s="3">
        <f aca="true" t="shared" si="0" ref="J8:J28">SUM(K8:S8)</f>
        <v>2274</v>
      </c>
      <c r="K8" s="3">
        <v>1508</v>
      </c>
      <c r="L8" s="3">
        <v>0</v>
      </c>
      <c r="M8" s="3">
        <v>866</v>
      </c>
      <c r="N8" s="3">
        <v>-100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5.75">
      <c r="A9" s="15" t="s">
        <v>15</v>
      </c>
      <c r="B9" s="22">
        <v>20510</v>
      </c>
      <c r="C9" s="22">
        <v>5000</v>
      </c>
      <c r="D9" s="22">
        <v>11600</v>
      </c>
      <c r="E9" s="37">
        <f>+D9-C9</f>
        <v>6600</v>
      </c>
      <c r="F9" s="29">
        <f>ROUND(E9/C9,4)</f>
        <v>1.32</v>
      </c>
      <c r="I9">
        <v>103</v>
      </c>
      <c r="J9" s="3">
        <f t="shared" si="0"/>
        <v>21971</v>
      </c>
      <c r="K9" s="3">
        <v>16016</v>
      </c>
      <c r="L9" s="3">
        <v>0</v>
      </c>
      <c r="M9" s="3">
        <v>7636</v>
      </c>
      <c r="N9" s="3">
        <v>-1681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5.75">
      <c r="A10" s="15" t="s">
        <v>7</v>
      </c>
      <c r="B10" s="19">
        <f>SUM(B7:B9)</f>
        <v>2915503</v>
      </c>
      <c r="C10" s="19">
        <f>SUM(C7:C9)</f>
        <v>3206818</v>
      </c>
      <c r="D10" s="19">
        <f>SUM(D7:D9)</f>
        <v>3125435</v>
      </c>
      <c r="E10" s="33">
        <f>SUM(E7:E9)</f>
        <v>-81383</v>
      </c>
      <c r="F10" s="29">
        <f>ROUND(E10/C10,4)</f>
        <v>-0.0254</v>
      </c>
      <c r="I10">
        <v>104</v>
      </c>
      <c r="J10" s="3">
        <f t="shared" si="0"/>
        <v>11387</v>
      </c>
      <c r="K10" s="3">
        <v>-1248</v>
      </c>
      <c r="L10" s="3">
        <v>0</v>
      </c>
      <c r="M10" s="3">
        <v>11881</v>
      </c>
      <c r="N10" s="3">
        <v>754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5.75">
      <c r="A11" s="15"/>
      <c r="B11" s="19"/>
      <c r="C11" s="19"/>
      <c r="D11" s="19"/>
      <c r="E11" s="33"/>
      <c r="F11" s="19"/>
      <c r="I11">
        <v>105</v>
      </c>
      <c r="J11" s="3">
        <f t="shared" si="0"/>
        <v>-19463</v>
      </c>
      <c r="K11" s="3">
        <v>580</v>
      </c>
      <c r="L11" s="3">
        <v>0</v>
      </c>
      <c r="M11" s="3">
        <v>0</v>
      </c>
      <c r="N11" s="3">
        <v>0</v>
      </c>
      <c r="O11" s="3">
        <v>0</v>
      </c>
      <c r="P11" s="3">
        <v>-20043</v>
      </c>
      <c r="Q11" s="3">
        <v>0</v>
      </c>
      <c r="R11" s="3">
        <v>0</v>
      </c>
      <c r="S11" s="3">
        <v>0</v>
      </c>
    </row>
    <row r="12" spans="1:19" ht="15.75">
      <c r="A12" s="14" t="s">
        <v>16</v>
      </c>
      <c r="B12" s="19"/>
      <c r="C12" s="19"/>
      <c r="D12" s="19"/>
      <c r="E12" s="33"/>
      <c r="F12" s="19"/>
      <c r="G12" t="s">
        <v>17</v>
      </c>
      <c r="I12" t="s">
        <v>17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5.75">
      <c r="A13" s="15" t="s">
        <v>31</v>
      </c>
      <c r="B13" s="19"/>
      <c r="C13" s="19"/>
      <c r="D13" s="19"/>
      <c r="E13" s="33">
        <v>20560</v>
      </c>
      <c r="F13" s="19" t="s">
        <v>17</v>
      </c>
      <c r="G13" s="3" t="s">
        <v>17</v>
      </c>
      <c r="I13">
        <v>107</v>
      </c>
      <c r="J13" s="3">
        <f t="shared" si="0"/>
        <v>-1532</v>
      </c>
      <c r="K13" s="3">
        <v>0</v>
      </c>
      <c r="L13" s="3">
        <v>0</v>
      </c>
      <c r="M13" s="3">
        <v>0</v>
      </c>
      <c r="N13" s="3">
        <v>0</v>
      </c>
      <c r="O13" s="3">
        <v>-1532</v>
      </c>
      <c r="P13" s="3">
        <v>0</v>
      </c>
      <c r="Q13" s="3">
        <v>0</v>
      </c>
      <c r="R13" s="3">
        <v>0</v>
      </c>
      <c r="S13" s="3">
        <v>0</v>
      </c>
    </row>
    <row r="14" spans="1:19" ht="15.75">
      <c r="A14" s="15" t="s">
        <v>32</v>
      </c>
      <c r="B14" s="19"/>
      <c r="C14" s="19"/>
      <c r="D14" s="19"/>
      <c r="E14" s="33">
        <f>-1209+3613</f>
        <v>2404</v>
      </c>
      <c r="F14" s="19" t="s">
        <v>17</v>
      </c>
      <c r="I14">
        <v>111</v>
      </c>
      <c r="J14" s="3">
        <f t="shared" si="0"/>
        <v>2381</v>
      </c>
      <c r="K14" s="3">
        <v>893</v>
      </c>
      <c r="L14" s="3">
        <v>0</v>
      </c>
      <c r="M14" s="3">
        <v>0</v>
      </c>
      <c r="N14" s="3">
        <v>0</v>
      </c>
      <c r="O14" s="3">
        <v>0</v>
      </c>
      <c r="P14" s="3">
        <v>1488</v>
      </c>
      <c r="Q14" s="3">
        <v>0</v>
      </c>
      <c r="R14" s="3">
        <v>0</v>
      </c>
      <c r="S14" s="3">
        <v>0</v>
      </c>
    </row>
    <row r="15" spans="1:19" ht="15.75">
      <c r="A15" s="15" t="s">
        <v>47</v>
      </c>
      <c r="B15" s="19"/>
      <c r="C15" s="19"/>
      <c r="D15" s="19"/>
      <c r="E15" s="33">
        <v>-21774</v>
      </c>
      <c r="F15" s="19"/>
      <c r="I15">
        <v>125</v>
      </c>
      <c r="J15" s="3">
        <f t="shared" si="0"/>
        <v>1301.877</v>
      </c>
      <c r="K15" s="3">
        <f aca="true" t="shared" si="1" ref="K15:Q15">+SUM(K8:K14)*0.0765</f>
        <v>1357.7984999999999</v>
      </c>
      <c r="L15" s="3">
        <f t="shared" si="1"/>
        <v>0</v>
      </c>
      <c r="M15" s="3">
        <f t="shared" si="1"/>
        <v>1559.2995</v>
      </c>
      <c r="N15" s="3">
        <f t="shared" si="1"/>
        <v>-78.5655</v>
      </c>
      <c r="O15" s="3">
        <f t="shared" si="1"/>
        <v>-117.198</v>
      </c>
      <c r="P15" s="3">
        <f t="shared" si="1"/>
        <v>-1419.4575</v>
      </c>
      <c r="Q15" s="3">
        <f t="shared" si="1"/>
        <v>0</v>
      </c>
      <c r="R15" s="3">
        <v>0</v>
      </c>
      <c r="S15" s="3">
        <v>0</v>
      </c>
    </row>
    <row r="16" spans="1:19" ht="15.75">
      <c r="A16" s="15" t="s">
        <v>379</v>
      </c>
      <c r="B16" s="19"/>
      <c r="C16" s="19"/>
      <c r="D16" s="19"/>
      <c r="E16" s="33">
        <v>-1664</v>
      </c>
      <c r="F16" s="19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>
      <c r="A17" s="15" t="s">
        <v>333</v>
      </c>
      <c r="B17" s="19"/>
      <c r="C17" s="19"/>
      <c r="D17" s="19"/>
      <c r="E17" s="33">
        <v>23597</v>
      </c>
      <c r="F17" s="19"/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/>
      <c r="S17" s="3"/>
    </row>
    <row r="18" spans="1:19" ht="15.75">
      <c r="A18" s="15" t="s">
        <v>288</v>
      </c>
      <c r="B18" s="19"/>
      <c r="C18" s="19"/>
      <c r="D18" s="19"/>
      <c r="E18" s="33">
        <v>-3361</v>
      </c>
      <c r="F18" s="19"/>
      <c r="I18">
        <v>128</v>
      </c>
      <c r="J18" s="3">
        <f t="shared" si="0"/>
        <v>1620.2700000000002</v>
      </c>
      <c r="K18" s="3">
        <f>+SUM(K8:K14)*0.0874-1</f>
        <v>1550.2626</v>
      </c>
      <c r="L18" s="3">
        <f>+SUM(L8:L14)*0.0874</f>
        <v>0</v>
      </c>
      <c r="M18" s="3">
        <f>+SUM(M8:M14)*0.0874</f>
        <v>1781.4742</v>
      </c>
      <c r="N18" s="3">
        <f>+SUM(N8:N14)*0.0874</f>
        <v>-89.75980000000001</v>
      </c>
      <c r="O18" s="3">
        <v>0</v>
      </c>
      <c r="P18" s="3">
        <f>+SUM(P8:P14)*0.0874</f>
        <v>-1621.707</v>
      </c>
      <c r="Q18" s="3">
        <v>0</v>
      </c>
      <c r="R18" s="3">
        <v>0</v>
      </c>
      <c r="S18" s="3">
        <v>0</v>
      </c>
    </row>
    <row r="19" spans="1:19" ht="15.75">
      <c r="A19" s="15" t="s">
        <v>222</v>
      </c>
      <c r="B19" s="19"/>
      <c r="C19" s="19"/>
      <c r="D19" s="19"/>
      <c r="E19" s="33">
        <v>-52198</v>
      </c>
      <c r="F19" s="19"/>
      <c r="J19" s="3">
        <f t="shared" si="0"/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5.75">
      <c r="A20" s="15" t="s">
        <v>263</v>
      </c>
      <c r="B20" s="19"/>
      <c r="C20" s="19"/>
      <c r="D20" s="19"/>
      <c r="E20" s="33">
        <v>3642</v>
      </c>
      <c r="F20" s="19"/>
      <c r="I20">
        <v>131</v>
      </c>
      <c r="J20" s="3">
        <f t="shared" si="0"/>
        <v>11648.82</v>
      </c>
      <c r="K20" s="3">
        <f>+SUM(K8:K10)*-0.02</f>
        <v>-325.52</v>
      </c>
      <c r="L20" s="3">
        <v>12382</v>
      </c>
      <c r="M20" s="3">
        <f>+SUM(M8:M10)*-0.02</f>
        <v>-407.66</v>
      </c>
      <c r="N20" s="3">
        <v>0</v>
      </c>
      <c r="O20" s="3">
        <f>+SUM(O8:O10)*-0.02</f>
        <v>0</v>
      </c>
      <c r="P20" s="3">
        <f>+SUM(P8:P10)*-0.02</f>
        <v>0</v>
      </c>
      <c r="Q20" s="3">
        <v>0</v>
      </c>
      <c r="R20" s="3">
        <v>0</v>
      </c>
      <c r="S20" s="3">
        <v>0</v>
      </c>
    </row>
    <row r="21" spans="1:19" ht="15.75">
      <c r="A21" s="15" t="s">
        <v>268</v>
      </c>
      <c r="B21" s="19"/>
      <c r="C21" s="19"/>
      <c r="D21" s="19"/>
      <c r="E21" s="33">
        <v>-22960</v>
      </c>
      <c r="F21" s="19"/>
      <c r="J21" s="3"/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/>
    </row>
    <row r="22" spans="1:19" ht="15.75">
      <c r="A22" s="15" t="s">
        <v>294</v>
      </c>
      <c r="B22" s="19"/>
      <c r="C22" s="19"/>
      <c r="D22" s="19"/>
      <c r="E22" s="33">
        <v>-41055</v>
      </c>
      <c r="F22" s="19"/>
      <c r="J22" s="3"/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/>
    </row>
    <row r="23" spans="1:19" ht="15.75">
      <c r="A23" s="15" t="s">
        <v>404</v>
      </c>
      <c r="B23" s="19"/>
      <c r="C23" s="19"/>
      <c r="D23" s="19"/>
      <c r="E23" s="33">
        <v>-5239</v>
      </c>
      <c r="F23" s="19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15" t="s">
        <v>378</v>
      </c>
      <c r="B24" s="19"/>
      <c r="C24" s="19"/>
      <c r="D24" s="19"/>
      <c r="E24" s="33">
        <v>-7000</v>
      </c>
      <c r="F24" s="19"/>
      <c r="I24" t="s">
        <v>301</v>
      </c>
      <c r="J24" s="3">
        <f t="shared" si="0"/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5.75">
      <c r="A25" s="15" t="s">
        <v>306</v>
      </c>
      <c r="B25" s="19"/>
      <c r="C25" s="19"/>
      <c r="D25" s="19"/>
      <c r="E25" s="33">
        <v>4238</v>
      </c>
      <c r="F25" s="19"/>
      <c r="I25">
        <v>132</v>
      </c>
      <c r="J25" s="3">
        <f t="shared" si="0"/>
        <v>1100</v>
      </c>
      <c r="K25" s="3">
        <v>0</v>
      </c>
      <c r="L25" s="3">
        <v>1100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5.75">
      <c r="A26" s="15" t="s">
        <v>23</v>
      </c>
      <c r="B26" s="19"/>
      <c r="C26" s="19"/>
      <c r="D26" s="19"/>
      <c r="E26" s="33">
        <v>6600</v>
      </c>
      <c r="F26" s="19"/>
      <c r="I26">
        <v>133</v>
      </c>
      <c r="J26" s="3">
        <f t="shared" si="0"/>
        <v>-90</v>
      </c>
      <c r="K26" s="3">
        <v>0</v>
      </c>
      <c r="L26" s="3">
        <v>-90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8">
      <c r="A27" s="15" t="s">
        <v>60</v>
      </c>
      <c r="B27" s="19"/>
      <c r="C27" s="19"/>
      <c r="D27" s="19"/>
      <c r="E27" s="38">
        <v>12827</v>
      </c>
      <c r="F27" s="19"/>
      <c r="I27">
        <v>134</v>
      </c>
      <c r="J27" s="3">
        <f t="shared" si="0"/>
        <v>-90</v>
      </c>
      <c r="K27" s="3">
        <v>0</v>
      </c>
      <c r="L27" s="3">
        <v>-90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5.75">
      <c r="A28" s="15" t="s">
        <v>33</v>
      </c>
      <c r="B28" s="19"/>
      <c r="C28" s="19"/>
      <c r="D28" s="19"/>
      <c r="E28" s="33">
        <f>SUM(E13:E27)</f>
        <v>-81383</v>
      </c>
      <c r="F28" s="19"/>
      <c r="I28">
        <v>135</v>
      </c>
      <c r="J28" s="3">
        <f t="shared" si="0"/>
        <v>-9385.545934</v>
      </c>
      <c r="K28" s="3">
        <f>+K8*0.0021+SUM(K9:K10)*0.0143+SUM(K11:K14)*0.67*0.0143</f>
        <v>228.46201299999998</v>
      </c>
      <c r="L28" s="3">
        <v>-9689</v>
      </c>
      <c r="M28" s="3">
        <f>+M8*0.0021+SUM(M9:M10)*0.0143+SUM(M11:M14)*0.67*0.0143</f>
        <v>280.9117</v>
      </c>
      <c r="N28" s="3">
        <f>+N8*0.0021+SUM(N9:N10)*0.0143+SUM(N11:N14)*0.67*0.0143</f>
        <v>-13.4661</v>
      </c>
      <c r="O28" s="3">
        <f>+O8*0.0021+SUM(O9:O10)*0.0143+SUM(O11:O14)*0.67*0.0143</f>
        <v>-14.678092000000001</v>
      </c>
      <c r="P28" s="3">
        <f>+P8*0.0021+SUM(P9:P10)*0.0143+SUM(P11:P14)*0.67*0.0143</f>
        <v>-177.775455</v>
      </c>
      <c r="Q28" s="3">
        <v>0</v>
      </c>
      <c r="R28" s="3">
        <v>0</v>
      </c>
      <c r="S28" s="3">
        <v>0</v>
      </c>
    </row>
    <row r="29" spans="1:19" ht="15.75">
      <c r="A29" s="15"/>
      <c r="B29" s="19"/>
      <c r="C29" s="19"/>
      <c r="D29" s="19"/>
      <c r="E29" s="33"/>
      <c r="F29" s="19"/>
      <c r="I29">
        <v>136</v>
      </c>
      <c r="J29" s="4">
        <f>SUM(K29:S29)</f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</row>
    <row r="30" spans="1:19" ht="15.75">
      <c r="A30" s="14" t="s">
        <v>327</v>
      </c>
      <c r="B30" s="23" t="s">
        <v>17</v>
      </c>
      <c r="C30" s="23" t="s">
        <v>17</v>
      </c>
      <c r="D30" s="19"/>
      <c r="E30" s="33"/>
      <c r="F30" s="19"/>
      <c r="I30" s="1" t="s">
        <v>7</v>
      </c>
      <c r="J30" s="3">
        <f>SUM(J7:J29)</f>
        <v>23123.421066000003</v>
      </c>
      <c r="K30" s="3">
        <f aca="true" t="shared" si="2" ref="K30:S30">SUM(K7:K29)</f>
        <v>20560.003113</v>
      </c>
      <c r="L30" s="3">
        <f t="shared" si="2"/>
        <v>3613</v>
      </c>
      <c r="M30" s="3">
        <f t="shared" si="2"/>
        <v>23597.025400000002</v>
      </c>
      <c r="N30" s="3">
        <f t="shared" si="2"/>
        <v>-1208.7914</v>
      </c>
      <c r="O30" s="3">
        <f t="shared" si="2"/>
        <v>-1663.8760920000002</v>
      </c>
      <c r="P30" s="3">
        <f t="shared" si="2"/>
        <v>-21773.939954999998</v>
      </c>
      <c r="Q30" s="3">
        <f t="shared" si="2"/>
        <v>0</v>
      </c>
      <c r="R30" s="3">
        <f t="shared" si="2"/>
        <v>0</v>
      </c>
      <c r="S30" s="3">
        <f t="shared" si="2"/>
        <v>0</v>
      </c>
    </row>
    <row r="31" spans="1:19" ht="15.75">
      <c r="A31" s="15" t="s">
        <v>17</v>
      </c>
      <c r="B31" s="23" t="s">
        <v>3</v>
      </c>
      <c r="C31" s="23" t="s">
        <v>3</v>
      </c>
      <c r="D31" s="19"/>
      <c r="E31" s="33"/>
      <c r="F31" s="19"/>
      <c r="I31" s="1">
        <v>204</v>
      </c>
      <c r="J31" s="4">
        <f>SUM(K31:S31)</f>
        <v>0</v>
      </c>
      <c r="K31" s="5">
        <v>0</v>
      </c>
      <c r="L31" s="3" t="s">
        <v>17</v>
      </c>
      <c r="M31" s="3"/>
      <c r="N31" s="3"/>
      <c r="O31" s="3"/>
      <c r="P31" s="3"/>
      <c r="Q31" s="3"/>
      <c r="R31" s="3"/>
      <c r="S31" s="3"/>
    </row>
    <row r="32" spans="1:19" ht="15.75">
      <c r="A32" s="15" t="s">
        <v>17</v>
      </c>
      <c r="B32" s="18" t="s">
        <v>303</v>
      </c>
      <c r="C32" s="18" t="s">
        <v>329</v>
      </c>
      <c r="D32" s="19"/>
      <c r="E32" s="33"/>
      <c r="F32" s="19"/>
      <c r="I32" s="1"/>
      <c r="J32" s="3">
        <f>SUM(J30:J31)</f>
        <v>23123.421066000003</v>
      </c>
      <c r="K32" s="3">
        <f>SUM(K30:K31)</f>
        <v>20560.003113</v>
      </c>
      <c r="L32" s="3"/>
      <c r="M32" s="3"/>
      <c r="N32" s="3"/>
      <c r="O32" s="3"/>
      <c r="P32" s="3"/>
      <c r="Q32" s="3"/>
      <c r="R32" s="3"/>
      <c r="S32" s="3"/>
    </row>
    <row r="33" spans="1:19" ht="15.75">
      <c r="A33" s="15" t="s">
        <v>18</v>
      </c>
      <c r="B33" s="19"/>
      <c r="C33" s="19"/>
      <c r="D33" s="19"/>
      <c r="E33" s="33"/>
      <c r="F33" s="19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>
      <c r="A34" s="15" t="s">
        <v>99</v>
      </c>
      <c r="B34" s="19">
        <v>1</v>
      </c>
      <c r="C34" s="19">
        <v>1</v>
      </c>
      <c r="D34" s="19"/>
      <c r="E34" s="33"/>
      <c r="F34" s="19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.75">
      <c r="A35" s="15" t="s">
        <v>112</v>
      </c>
      <c r="B35" s="19">
        <v>1</v>
      </c>
      <c r="C35" s="19">
        <v>1</v>
      </c>
      <c r="D35" s="19"/>
      <c r="E35" s="33"/>
      <c r="F35" s="19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>
      <c r="A36" s="15" t="s">
        <v>113</v>
      </c>
      <c r="B36" s="19">
        <v>0</v>
      </c>
      <c r="C36" s="19">
        <v>0</v>
      </c>
      <c r="D36" s="19"/>
      <c r="E36" s="33"/>
      <c r="F36" s="19"/>
      <c r="I36" s="1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>
      <c r="A37" s="15" t="s">
        <v>114</v>
      </c>
      <c r="B37" s="19">
        <v>1</v>
      </c>
      <c r="C37" s="19">
        <v>1</v>
      </c>
      <c r="D37" s="19"/>
      <c r="E37" s="33"/>
      <c r="F37" s="19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>
      <c r="A38" s="15" t="s">
        <v>115</v>
      </c>
      <c r="B38" s="19">
        <v>1</v>
      </c>
      <c r="C38" s="19">
        <v>1</v>
      </c>
      <c r="D38" s="19"/>
      <c r="E38" s="33"/>
      <c r="F38" s="19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>
      <c r="A39" s="15" t="s">
        <v>116</v>
      </c>
      <c r="B39" s="19">
        <v>1</v>
      </c>
      <c r="C39" s="19">
        <v>1</v>
      </c>
      <c r="D39" s="19"/>
      <c r="E39" s="33"/>
      <c r="F39" s="19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>
      <c r="A40" s="15" t="s">
        <v>117</v>
      </c>
      <c r="B40" s="19">
        <v>1</v>
      </c>
      <c r="C40" s="19">
        <v>1</v>
      </c>
      <c r="D40" s="19"/>
      <c r="E40" s="33"/>
      <c r="F40" s="19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>
      <c r="A41" s="15" t="s">
        <v>86</v>
      </c>
      <c r="B41" s="19">
        <v>1</v>
      </c>
      <c r="C41" s="19">
        <v>1</v>
      </c>
      <c r="D41" s="19"/>
      <c r="E41" s="33"/>
      <c r="F41" s="19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6" ht="15.75">
      <c r="A42" s="15" t="s">
        <v>118</v>
      </c>
      <c r="B42" s="19">
        <v>1</v>
      </c>
      <c r="C42" s="19">
        <v>1</v>
      </c>
      <c r="D42" s="19"/>
      <c r="E42" s="33"/>
      <c r="F42" s="19"/>
    </row>
    <row r="43" spans="1:6" ht="15.75">
      <c r="A43" s="15" t="s">
        <v>122</v>
      </c>
      <c r="B43" s="19">
        <v>1</v>
      </c>
      <c r="C43" s="19">
        <v>1</v>
      </c>
      <c r="D43" s="19"/>
      <c r="E43" s="33"/>
      <c r="F43" s="19"/>
    </row>
    <row r="44" spans="1:6" ht="15.75">
      <c r="A44" s="15" t="s">
        <v>119</v>
      </c>
      <c r="B44" s="19">
        <v>3</v>
      </c>
      <c r="C44" s="19">
        <v>3</v>
      </c>
      <c r="D44" s="19"/>
      <c r="E44" s="33"/>
      <c r="F44" s="19"/>
    </row>
    <row r="45" spans="1:6" ht="15.75">
      <c r="A45" s="15" t="s">
        <v>101</v>
      </c>
      <c r="B45" s="19">
        <v>4</v>
      </c>
      <c r="C45" s="19">
        <v>4</v>
      </c>
      <c r="D45" s="19"/>
      <c r="E45" s="33"/>
      <c r="F45" s="19"/>
    </row>
    <row r="46" spans="1:6" ht="15.75">
      <c r="A46" s="15" t="s">
        <v>120</v>
      </c>
      <c r="B46" s="19">
        <v>5</v>
      </c>
      <c r="C46" s="19">
        <v>5</v>
      </c>
      <c r="D46" s="19"/>
      <c r="E46" s="33"/>
      <c r="F46" s="19"/>
    </row>
    <row r="47" spans="1:6" ht="15.75">
      <c r="A47" s="15" t="s">
        <v>121</v>
      </c>
      <c r="B47" s="22">
        <v>1</v>
      </c>
      <c r="C47" s="22">
        <v>1</v>
      </c>
      <c r="D47" s="19"/>
      <c r="E47" s="33"/>
      <c r="F47" s="19"/>
    </row>
    <row r="48" spans="1:6" ht="15.75">
      <c r="A48" s="15" t="s">
        <v>20</v>
      </c>
      <c r="B48" s="19">
        <f>SUM(B34:B47)</f>
        <v>22</v>
      </c>
      <c r="C48" s="19">
        <f>SUM(C34:C47)</f>
        <v>22</v>
      </c>
      <c r="D48" s="19"/>
      <c r="E48" s="33"/>
      <c r="F48" s="19"/>
    </row>
    <row r="49" spans="1:6" ht="18">
      <c r="A49" s="15" t="s">
        <v>72</v>
      </c>
      <c r="B49" s="21">
        <v>0</v>
      </c>
      <c r="C49" s="21">
        <v>0</v>
      </c>
      <c r="D49" s="19"/>
      <c r="E49" s="33"/>
      <c r="F49" s="19"/>
    </row>
    <row r="50" spans="1:6" ht="15.75">
      <c r="A50" s="15" t="s">
        <v>7</v>
      </c>
      <c r="B50" s="19">
        <f>SUM(B48:B49)</f>
        <v>22</v>
      </c>
      <c r="C50" s="19">
        <f>SUM(C48:C49)</f>
        <v>22</v>
      </c>
      <c r="D50" s="19"/>
      <c r="E50" s="33"/>
      <c r="F50" s="19"/>
    </row>
    <row r="51" spans="1:6" ht="15.75">
      <c r="A51" s="15"/>
      <c r="B51" s="19"/>
      <c r="C51" s="19"/>
      <c r="D51" s="19"/>
      <c r="E51" s="33"/>
      <c r="F51" s="19"/>
    </row>
    <row r="52" spans="1:6" ht="15.75">
      <c r="A52" s="14" t="s">
        <v>23</v>
      </c>
      <c r="B52" s="19"/>
      <c r="C52" s="19"/>
      <c r="D52" s="19"/>
      <c r="E52" s="33"/>
      <c r="F52" s="19"/>
    </row>
    <row r="53" spans="1:6" ht="15.75">
      <c r="A53" s="15" t="s">
        <v>377</v>
      </c>
      <c r="C53" s="19">
        <v>1600</v>
      </c>
      <c r="D53" s="19"/>
      <c r="E53" s="33"/>
      <c r="F53" s="19"/>
    </row>
    <row r="54" spans="1:6" ht="15.75">
      <c r="A54" s="15" t="s">
        <v>376</v>
      </c>
      <c r="C54" s="19">
        <v>5000</v>
      </c>
      <c r="D54" s="19"/>
      <c r="E54" s="33"/>
      <c r="F54" s="19"/>
    </row>
    <row r="55" spans="1:6" ht="15.75">
      <c r="A55" s="15" t="s">
        <v>42</v>
      </c>
      <c r="C55" s="22">
        <v>5000</v>
      </c>
      <c r="D55" s="15"/>
      <c r="E55" s="34"/>
      <c r="F55" s="19"/>
    </row>
    <row r="56" spans="1:6" ht="15.75">
      <c r="A56" s="15" t="s">
        <v>7</v>
      </c>
      <c r="C56" s="19">
        <f>SUM(C53:C55)</f>
        <v>11600</v>
      </c>
      <c r="D56" s="15"/>
      <c r="E56" s="34"/>
      <c r="F56" s="15"/>
    </row>
    <row r="57" ht="12.75">
      <c r="B57" s="3"/>
    </row>
  </sheetData>
  <mergeCells count="5">
    <mergeCell ref="E5:F5"/>
    <mergeCell ref="A1:F1"/>
    <mergeCell ref="I1:S1"/>
    <mergeCell ref="A2:F2"/>
    <mergeCell ref="I2:S2"/>
  </mergeCells>
  <printOptions gridLines="1"/>
  <pageMargins left="0.75" right="0.75" top="1" bottom="1" header="0.5" footer="0.5"/>
  <pageSetup fitToHeight="1" fitToWidth="1" horizontalDpi="600" verticalDpi="600" orientation="portrait" scale="75" r:id="rId1"/>
  <rowBreaks count="1" manualBreakCount="1">
    <brk id="3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1">
      <selection activeCell="E15" sqref="E15"/>
    </sheetView>
  </sheetViews>
  <sheetFormatPr defaultColWidth="9.140625" defaultRowHeight="12.75"/>
  <cols>
    <col min="1" max="1" width="48.28125" style="0" bestFit="1" customWidth="1"/>
    <col min="2" max="4" width="12.7109375" style="0" customWidth="1"/>
    <col min="5" max="5" width="11.57421875" style="0" customWidth="1"/>
    <col min="6" max="6" width="9.7109375" style="0" bestFit="1" customWidth="1"/>
    <col min="15" max="15" width="10.421875" style="0" bestFit="1" customWidth="1"/>
  </cols>
  <sheetData>
    <row r="1" spans="1:20" ht="15.75">
      <c r="A1" s="71" t="s">
        <v>302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321</v>
      </c>
      <c r="B2" s="71"/>
      <c r="C2" s="71"/>
      <c r="D2" s="71"/>
      <c r="E2" s="71"/>
      <c r="F2" s="71"/>
      <c r="I2" s="72" t="str">
        <f>+A2</f>
        <v>MEDIA CATV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17</v>
      </c>
      <c r="T5" s="1" t="s">
        <v>17</v>
      </c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28</v>
      </c>
      <c r="O6" s="2" t="s">
        <v>312</v>
      </c>
      <c r="P6" s="2" t="s">
        <v>13</v>
      </c>
      <c r="Q6" s="2" t="s">
        <v>13</v>
      </c>
      <c r="R6" s="2" t="s">
        <v>181</v>
      </c>
      <c r="S6" s="2" t="s">
        <v>28</v>
      </c>
      <c r="T6" s="2" t="s">
        <v>17</v>
      </c>
    </row>
    <row r="7" spans="1:20" ht="15.75">
      <c r="A7" s="15" t="s">
        <v>328</v>
      </c>
      <c r="B7" s="19">
        <v>107128</v>
      </c>
      <c r="C7" s="19">
        <v>161472</v>
      </c>
      <c r="D7" s="19">
        <v>173285</v>
      </c>
      <c r="E7" s="19">
        <f>+D7-C7</f>
        <v>11813</v>
      </c>
      <c r="F7" s="29">
        <f>ROUND(E7/C7,4)</f>
        <v>0.0732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19066</v>
      </c>
      <c r="C8" s="19">
        <v>45011</v>
      </c>
      <c r="D8" s="19">
        <v>43955</v>
      </c>
      <c r="E8" s="19">
        <f>+D8-C8</f>
        <v>-1056</v>
      </c>
      <c r="F8" s="29">
        <f>ROUND(E8/C8,4)</f>
        <v>-0.0235</v>
      </c>
      <c r="I8">
        <v>102</v>
      </c>
      <c r="J8" s="3">
        <f aca="true" t="shared" si="0" ref="J8:J26">SUM(K8:T8)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45230</v>
      </c>
      <c r="C9" s="22">
        <v>75000</v>
      </c>
      <c r="D9" s="22">
        <v>150000</v>
      </c>
      <c r="E9" s="22">
        <f>+D9-C9</f>
        <v>75000</v>
      </c>
      <c r="F9" s="29">
        <f>ROUND(E9/C9,4)</f>
        <v>1</v>
      </c>
      <c r="I9">
        <v>103</v>
      </c>
      <c r="J9" s="3">
        <f t="shared" si="0"/>
        <v>8915</v>
      </c>
      <c r="K9" s="3">
        <v>3423</v>
      </c>
      <c r="L9" s="3">
        <v>0</v>
      </c>
      <c r="M9" s="3">
        <v>1944</v>
      </c>
      <c r="N9" s="3">
        <v>3548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171424</v>
      </c>
      <c r="C10" s="19">
        <f>SUM(C7:C9)</f>
        <v>281483</v>
      </c>
      <c r="D10" s="19">
        <f>SUM(D7:D9)</f>
        <v>367240</v>
      </c>
      <c r="E10" s="19">
        <f>SUM(E7:E9)</f>
        <v>85757</v>
      </c>
      <c r="F10" s="29">
        <f>ROUND(E10/C10,4)</f>
        <v>0.3047</v>
      </c>
      <c r="I10">
        <v>104</v>
      </c>
      <c r="J10" s="3">
        <f t="shared" si="0"/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4" t="s">
        <v>323</v>
      </c>
      <c r="B13" s="19"/>
      <c r="C13" s="19"/>
      <c r="D13" s="19"/>
      <c r="E13" s="19"/>
      <c r="F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15" t="s">
        <v>31</v>
      </c>
      <c r="B14" s="19"/>
      <c r="C14" s="19"/>
      <c r="D14" s="19"/>
      <c r="E14" s="33">
        <v>8011</v>
      </c>
      <c r="F14" s="19"/>
      <c r="I14">
        <v>107</v>
      </c>
      <c r="J14" s="3">
        <f t="shared" si="0"/>
        <v>411</v>
      </c>
      <c r="K14" s="3">
        <v>0</v>
      </c>
      <c r="L14" s="3">
        <v>0</v>
      </c>
      <c r="M14" s="3">
        <v>411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5.75">
      <c r="A15" s="15" t="s">
        <v>32</v>
      </c>
      <c r="B15" s="19"/>
      <c r="C15" s="19"/>
      <c r="D15" s="19"/>
      <c r="E15" s="33">
        <v>1120</v>
      </c>
      <c r="F15" s="19"/>
      <c r="J15" s="3">
        <f t="shared" si="0"/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357</v>
      </c>
      <c r="B16" s="19"/>
      <c r="C16" s="19"/>
      <c r="D16" s="19"/>
      <c r="E16" s="33">
        <v>2682</v>
      </c>
      <c r="F16" s="19"/>
      <c r="I16">
        <v>111</v>
      </c>
      <c r="J16" s="3">
        <f t="shared" si="0"/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5.75">
      <c r="A17" s="15" t="s">
        <v>360</v>
      </c>
      <c r="B17" s="19"/>
      <c r="C17" s="19"/>
      <c r="D17" s="19"/>
      <c r="E17" s="33">
        <v>75000</v>
      </c>
      <c r="F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8">
      <c r="A18" s="15" t="s">
        <v>205</v>
      </c>
      <c r="B18" s="19"/>
      <c r="C18" s="19"/>
      <c r="D18" s="19"/>
      <c r="E18" s="38">
        <v>-1056</v>
      </c>
      <c r="F18" s="19"/>
      <c r="I18" t="s">
        <v>301</v>
      </c>
      <c r="J18" s="3">
        <f t="shared" si="0"/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5.75">
      <c r="A19" s="15" t="s">
        <v>33</v>
      </c>
      <c r="B19" s="19"/>
      <c r="C19" s="19"/>
      <c r="D19" s="19"/>
      <c r="E19" s="19">
        <f>SUM(E14:E18)</f>
        <v>85757</v>
      </c>
      <c r="F19" s="19"/>
      <c r="I19">
        <v>125</v>
      </c>
      <c r="J19" s="3">
        <f t="shared" si="0"/>
        <v>714.4389999999999</v>
      </c>
      <c r="K19" s="3">
        <f>+SUM(K9:K16)*0.0765+1</f>
        <v>262.85949999999997</v>
      </c>
      <c r="L19" s="3">
        <f>+SUM(L9:L16)*0.0765</f>
        <v>0</v>
      </c>
      <c r="M19" s="3">
        <f>+SUM(M9:M16)*0.0765</f>
        <v>180.1575</v>
      </c>
      <c r="N19" s="3">
        <f>+SUM(N9:N16)*0.0765</f>
        <v>271.42199999999997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5.75">
      <c r="A20" s="15"/>
      <c r="B20" s="19"/>
      <c r="C20" s="19"/>
      <c r="D20" s="19"/>
      <c r="E20" s="19"/>
      <c r="F20" s="19"/>
      <c r="I20">
        <v>128</v>
      </c>
      <c r="J20" s="3">
        <f t="shared" si="0"/>
        <v>779.171</v>
      </c>
      <c r="K20" s="3">
        <f>+K9*0.0874</f>
        <v>299.1702</v>
      </c>
      <c r="L20" s="3">
        <f>+L9*0.0874</f>
        <v>0</v>
      </c>
      <c r="M20" s="3">
        <f>+M9*0.0874</f>
        <v>169.90560000000002</v>
      </c>
      <c r="N20" s="3">
        <f>+N9*0.0874</f>
        <v>310.09520000000003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5.75">
      <c r="A21" s="14" t="s">
        <v>327</v>
      </c>
      <c r="B21" s="23" t="s">
        <v>17</v>
      </c>
      <c r="C21" s="23" t="s">
        <v>17</v>
      </c>
      <c r="D21" s="19"/>
      <c r="E21" s="19"/>
      <c r="F21" s="19"/>
      <c r="I21">
        <v>131</v>
      </c>
      <c r="J21" s="3">
        <f t="shared" si="0"/>
        <v>950.6999999999999</v>
      </c>
      <c r="K21" s="3">
        <f>+K9*-0.02</f>
        <v>-68.46000000000001</v>
      </c>
      <c r="L21" s="3">
        <v>1129</v>
      </c>
      <c r="M21" s="3">
        <f>+M9*-0.02</f>
        <v>-38.88</v>
      </c>
      <c r="N21" s="3">
        <f>+N9*-0.02</f>
        <v>-70.96000000000001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5.75">
      <c r="A22" s="15" t="s">
        <v>17</v>
      </c>
      <c r="B22" s="23" t="s">
        <v>3</v>
      </c>
      <c r="C22" s="23" t="s">
        <v>3</v>
      </c>
      <c r="D22" s="19"/>
      <c r="E22" s="19"/>
      <c r="F22" s="19"/>
      <c r="I22">
        <v>132</v>
      </c>
      <c r="J22" s="3">
        <f t="shared" si="0"/>
        <v>100</v>
      </c>
      <c r="K22" s="3">
        <v>0</v>
      </c>
      <c r="L22" s="3">
        <v>100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5.75">
      <c r="A23" s="15" t="s">
        <v>17</v>
      </c>
      <c r="B23" s="18" t="s">
        <v>303</v>
      </c>
      <c r="C23" s="18" t="s">
        <v>329</v>
      </c>
      <c r="D23" s="19"/>
      <c r="E23" s="19"/>
      <c r="F23" s="19"/>
      <c r="I23">
        <v>133</v>
      </c>
      <c r="J23" s="3">
        <f t="shared" si="0"/>
        <v>-110</v>
      </c>
      <c r="K23" s="3">
        <v>14</v>
      </c>
      <c r="L23" s="3">
        <v>-132</v>
      </c>
      <c r="M23" s="3">
        <v>8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5.75">
      <c r="A24" s="15" t="s">
        <v>18</v>
      </c>
      <c r="B24" s="19"/>
      <c r="C24" s="19"/>
      <c r="D24" s="19"/>
      <c r="E24" s="19"/>
      <c r="F24" s="19"/>
      <c r="I24">
        <v>134</v>
      </c>
      <c r="J24" s="3">
        <f t="shared" si="0"/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5.75">
      <c r="A25" s="15" t="s">
        <v>271</v>
      </c>
      <c r="B25" s="19">
        <v>1</v>
      </c>
      <c r="C25" s="19">
        <v>1</v>
      </c>
      <c r="D25" s="19"/>
      <c r="E25" s="19"/>
      <c r="F25" s="19"/>
      <c r="J25" s="3">
        <f t="shared" si="0"/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8">
      <c r="A26" s="15" t="s">
        <v>308</v>
      </c>
      <c r="B26" s="21">
        <v>0</v>
      </c>
      <c r="C26" s="21">
        <v>1</v>
      </c>
      <c r="D26" s="19"/>
      <c r="E26" s="19"/>
      <c r="F26" s="19"/>
      <c r="I26">
        <v>135</v>
      </c>
      <c r="J26" s="3">
        <f t="shared" si="0"/>
        <v>52.8432</v>
      </c>
      <c r="K26" s="3">
        <f>+SUM(K9+K14)*0.0032</f>
        <v>10.9536</v>
      </c>
      <c r="L26" s="3">
        <v>23</v>
      </c>
      <c r="M26" s="3">
        <f>+SUM(M9+M14)*0.0032</f>
        <v>7.5360000000000005</v>
      </c>
      <c r="N26" s="3">
        <f>+SUM(N9+N14)*0.0032</f>
        <v>11.3536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5.75">
      <c r="A27" s="15" t="s">
        <v>20</v>
      </c>
      <c r="B27" s="19">
        <f>SUM(B14:B26)</f>
        <v>1</v>
      </c>
      <c r="C27" s="19">
        <f>SUM(C14:C26)</f>
        <v>2</v>
      </c>
      <c r="D27" s="19"/>
      <c r="E27" s="19"/>
      <c r="F27" s="19"/>
      <c r="I27">
        <v>136</v>
      </c>
      <c r="J27" s="5">
        <v>0</v>
      </c>
      <c r="K27" s="5">
        <v>0</v>
      </c>
      <c r="L27" s="5">
        <v>0</v>
      </c>
      <c r="M27" s="5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5">
        <v>0</v>
      </c>
      <c r="T27" s="4">
        <v>0</v>
      </c>
    </row>
    <row r="28" spans="1:20" ht="15.75">
      <c r="A28" s="15" t="s">
        <v>66</v>
      </c>
      <c r="B28" s="19" t="s">
        <v>17</v>
      </c>
      <c r="C28" s="19" t="s">
        <v>17</v>
      </c>
      <c r="I28" s="1" t="s">
        <v>7</v>
      </c>
      <c r="J28" s="3">
        <f aca="true" t="shared" si="1" ref="J28:T28">SUM(J7:J27)</f>
        <v>11813.1532</v>
      </c>
      <c r="K28" s="3">
        <f t="shared" si="1"/>
        <v>3941.5233</v>
      </c>
      <c r="L28" s="3">
        <f t="shared" si="1"/>
        <v>1120</v>
      </c>
      <c r="M28" s="3">
        <f t="shared" si="1"/>
        <v>2681.7191</v>
      </c>
      <c r="N28" s="3">
        <f t="shared" si="1"/>
        <v>4069.9108</v>
      </c>
      <c r="O28" s="3">
        <f t="shared" si="1"/>
        <v>0</v>
      </c>
      <c r="P28" s="3">
        <f t="shared" si="1"/>
        <v>0</v>
      </c>
      <c r="Q28" s="3">
        <f t="shared" si="1"/>
        <v>0</v>
      </c>
      <c r="R28" s="3">
        <f t="shared" si="1"/>
        <v>0</v>
      </c>
      <c r="S28" s="3">
        <f t="shared" si="1"/>
        <v>0</v>
      </c>
      <c r="T28" s="3">
        <f t="shared" si="1"/>
        <v>0</v>
      </c>
    </row>
    <row r="29" spans="1:20" ht="15.75">
      <c r="A29" s="15" t="s">
        <v>272</v>
      </c>
      <c r="B29" s="22">
        <v>2</v>
      </c>
      <c r="C29" s="22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 t="s">
        <v>7</v>
      </c>
      <c r="B30" s="19">
        <f>+B29+B27</f>
        <v>3</v>
      </c>
      <c r="C30" s="19">
        <f>+C29+C27</f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5"/>
      <c r="B31" s="19"/>
      <c r="C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>
      <c r="A32" s="14" t="s">
        <v>23</v>
      </c>
      <c r="B32" s="19"/>
      <c r="C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5"/>
      <c r="C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>
      <c r="A34" s="15" t="s">
        <v>324</v>
      </c>
      <c r="C34" s="19">
        <v>150000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0:20" ht="12.75"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0:20" ht="12.75"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</sheetData>
  <mergeCells count="5">
    <mergeCell ref="A1:F1"/>
    <mergeCell ref="A2:F2"/>
    <mergeCell ref="E5:F5"/>
    <mergeCell ref="I1:T1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workbookViewId="0" topLeftCell="A1">
      <selection activeCell="B5" sqref="B5:D6"/>
    </sheetView>
  </sheetViews>
  <sheetFormatPr defaultColWidth="9.140625" defaultRowHeight="12.75"/>
  <cols>
    <col min="1" max="1" width="43.00390625" style="0" customWidth="1"/>
    <col min="2" max="2" width="13.421875" style="0" customWidth="1"/>
    <col min="3" max="4" width="11.00390625" style="0" bestFit="1" customWidth="1"/>
    <col min="5" max="5" width="11.7109375" style="0" customWidth="1"/>
    <col min="6" max="6" width="11.8515625" style="0" customWidth="1"/>
    <col min="15" max="15" width="10.421875" style="0" bestFit="1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43</v>
      </c>
      <c r="B2" s="71"/>
      <c r="C2" s="71"/>
      <c r="D2" s="71"/>
      <c r="E2" s="71"/>
      <c r="F2" s="71"/>
      <c r="I2" s="72" t="str">
        <f>+A2</f>
        <v>ASSESSING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17</v>
      </c>
      <c r="T5" s="1" t="s">
        <v>17</v>
      </c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28</v>
      </c>
      <c r="O6" s="2" t="s">
        <v>312</v>
      </c>
      <c r="P6" s="2" t="s">
        <v>13</v>
      </c>
      <c r="Q6" s="2" t="s">
        <v>13</v>
      </c>
      <c r="R6" s="2" t="s">
        <v>181</v>
      </c>
      <c r="S6" s="2" t="s">
        <v>28</v>
      </c>
      <c r="T6" s="2" t="s">
        <v>17</v>
      </c>
    </row>
    <row r="7" spans="1:20" ht="15.75">
      <c r="A7" s="15" t="s">
        <v>328</v>
      </c>
      <c r="B7" s="19">
        <v>214340</v>
      </c>
      <c r="C7" s="19">
        <v>201635</v>
      </c>
      <c r="D7" s="19">
        <v>210070</v>
      </c>
      <c r="E7" s="19">
        <f>+D7-C7</f>
        <v>8435</v>
      </c>
      <c r="F7" s="29">
        <f>ROUND(E7/C7,4)</f>
        <v>0.0418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61983</v>
      </c>
      <c r="C8" s="19">
        <v>68781</v>
      </c>
      <c r="D8" s="19">
        <v>73694</v>
      </c>
      <c r="E8" s="19">
        <f>+D8-C8</f>
        <v>4913</v>
      </c>
      <c r="F8" s="29">
        <f>ROUND(E8/C8,4)</f>
        <v>0.0714</v>
      </c>
      <c r="I8">
        <v>102</v>
      </c>
      <c r="J8" s="3">
        <f aca="true" t="shared" si="0" ref="J8:J26">SUM(K8:T8)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8">
      <c r="A9" s="15" t="s">
        <v>15</v>
      </c>
      <c r="B9" s="21">
        <v>7679</v>
      </c>
      <c r="C9" s="21">
        <v>650</v>
      </c>
      <c r="D9" s="21">
        <v>3900</v>
      </c>
      <c r="E9" s="22">
        <f>+D9-C9</f>
        <v>3250</v>
      </c>
      <c r="F9" s="29">
        <f>ROUND(E9/C9,4)</f>
        <v>5</v>
      </c>
      <c r="I9">
        <v>103</v>
      </c>
      <c r="J9" s="3">
        <f t="shared" si="0"/>
        <v>2102</v>
      </c>
      <c r="K9" s="3">
        <v>1159</v>
      </c>
      <c r="L9" s="3">
        <v>0</v>
      </c>
      <c r="M9" s="3">
        <v>943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284002</v>
      </c>
      <c r="C10" s="19">
        <f>SUM(C7:C9)</f>
        <v>271066</v>
      </c>
      <c r="D10" s="19">
        <f>SUM(D7:D9)</f>
        <v>287664</v>
      </c>
      <c r="E10" s="19">
        <f>SUM(E7:E9)</f>
        <v>16598</v>
      </c>
      <c r="F10" s="29">
        <f>ROUND(E10/C10,4)</f>
        <v>0.0612</v>
      </c>
      <c r="I10">
        <v>104</v>
      </c>
      <c r="J10" s="3">
        <f t="shared" si="0"/>
        <v>4249</v>
      </c>
      <c r="K10" s="3">
        <v>2548</v>
      </c>
      <c r="L10" s="3">
        <v>0</v>
      </c>
      <c r="M10" s="3">
        <v>1701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333</v>
      </c>
      <c r="B13" s="19"/>
      <c r="C13" s="19"/>
      <c r="D13" s="19"/>
      <c r="E13" s="19">
        <v>3050</v>
      </c>
      <c r="F13" s="19"/>
      <c r="G13" s="3" t="s">
        <v>17</v>
      </c>
      <c r="I13">
        <v>107</v>
      </c>
      <c r="J13" s="3">
        <f t="shared" si="0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32</v>
      </c>
      <c r="B14" s="19"/>
      <c r="C14" s="19"/>
      <c r="D14" s="19"/>
      <c r="E14" s="19">
        <v>1112</v>
      </c>
      <c r="F14" s="19"/>
      <c r="G14" s="3"/>
      <c r="J14" s="3">
        <f t="shared" si="0"/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/>
    </row>
    <row r="15" spans="1:20" ht="15.75">
      <c r="A15" s="15" t="s">
        <v>180</v>
      </c>
      <c r="B15" s="19"/>
      <c r="C15" s="19"/>
      <c r="D15" s="19"/>
      <c r="E15" s="19">
        <v>4273</v>
      </c>
      <c r="F15" s="19"/>
      <c r="I15">
        <v>111</v>
      </c>
      <c r="J15" s="3">
        <f t="shared" si="0"/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313</v>
      </c>
      <c r="B16" s="19"/>
      <c r="C16" s="19"/>
      <c r="D16" s="19"/>
      <c r="E16" s="19">
        <v>5300</v>
      </c>
      <c r="F16" s="1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>
      <c r="A17" s="15" t="s">
        <v>331</v>
      </c>
      <c r="B17" s="19"/>
      <c r="C17" s="19"/>
      <c r="D17" s="19"/>
      <c r="E17" s="19">
        <v>3250</v>
      </c>
      <c r="F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8">
      <c r="A18" s="15" t="s">
        <v>60</v>
      </c>
      <c r="B18" s="19"/>
      <c r="C18" s="19"/>
      <c r="D18" s="19"/>
      <c r="E18" s="21">
        <v>-387</v>
      </c>
      <c r="F18" s="19"/>
      <c r="I18" t="s">
        <v>301</v>
      </c>
      <c r="J18" s="3">
        <f t="shared" si="0"/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5.75">
      <c r="A19" s="15" t="s">
        <v>33</v>
      </c>
      <c r="B19" s="19"/>
      <c r="C19" s="19"/>
      <c r="D19" s="19"/>
      <c r="E19" s="19">
        <f>SUM(E13:E18)</f>
        <v>16598</v>
      </c>
      <c r="F19" s="19"/>
      <c r="I19">
        <v>125</v>
      </c>
      <c r="J19" s="3">
        <f t="shared" si="0"/>
        <v>485.8515</v>
      </c>
      <c r="K19" s="3">
        <f>+SUM(K9:K10)*0.0765</f>
        <v>283.58549999999997</v>
      </c>
      <c r="L19" s="3">
        <f>+SUM(L9:L10)*0.0765</f>
        <v>0</v>
      </c>
      <c r="M19" s="3">
        <f>+SUM(M9:M10)*0.0765</f>
        <v>202.266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6:20" ht="15.75">
      <c r="F20" s="19"/>
      <c r="I20">
        <v>128</v>
      </c>
      <c r="J20" s="3">
        <f t="shared" si="0"/>
        <v>555.0774</v>
      </c>
      <c r="K20" s="3">
        <f>+SUM(K9:K10)*0.0874</f>
        <v>323.9918</v>
      </c>
      <c r="L20" s="3">
        <f>+SUM(L9:L10)*0.0874</f>
        <v>0</v>
      </c>
      <c r="M20" s="3">
        <f>+SUM(M9:M10)*0.0874</f>
        <v>231.08560000000003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5.75">
      <c r="A21" s="15"/>
      <c r="B21" s="19"/>
      <c r="C21" s="19"/>
      <c r="D21" s="19"/>
      <c r="E21" s="19"/>
      <c r="F21" s="19"/>
      <c r="I21">
        <v>131</v>
      </c>
      <c r="J21" s="3">
        <f t="shared" si="0"/>
        <v>1595.9799999999998</v>
      </c>
      <c r="K21" s="3">
        <f>-SUM(K9:K10)*0.02</f>
        <v>-74.14</v>
      </c>
      <c r="L21" s="3">
        <v>1723</v>
      </c>
      <c r="M21" s="3">
        <f>-SUM(M9:M10)*0.02</f>
        <v>-52.88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5.75">
      <c r="A22" s="14" t="s">
        <v>327</v>
      </c>
      <c r="B22" s="23" t="s">
        <v>17</v>
      </c>
      <c r="C22" s="23" t="s">
        <v>17</v>
      </c>
      <c r="D22" s="19"/>
      <c r="E22" s="19"/>
      <c r="F22" s="19"/>
      <c r="I22">
        <v>132</v>
      </c>
      <c r="J22" s="3">
        <f t="shared" si="0"/>
        <v>150</v>
      </c>
      <c r="K22" s="3">
        <v>0</v>
      </c>
      <c r="L22" s="3">
        <v>150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5.75">
      <c r="A23" s="15" t="s">
        <v>17</v>
      </c>
      <c r="B23" s="23" t="s">
        <v>3</v>
      </c>
      <c r="C23" s="23" t="s">
        <v>3</v>
      </c>
      <c r="D23" s="19"/>
      <c r="E23" s="19"/>
      <c r="F23" s="19"/>
      <c r="I23">
        <v>133</v>
      </c>
      <c r="J23" s="3">
        <f t="shared" si="0"/>
        <v>-135</v>
      </c>
      <c r="K23" s="3">
        <v>0</v>
      </c>
      <c r="L23" s="3">
        <v>-135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5.75">
      <c r="A24" s="15" t="s">
        <v>17</v>
      </c>
      <c r="B24" s="18" t="s">
        <v>303</v>
      </c>
      <c r="C24" s="18" t="s">
        <v>329</v>
      </c>
      <c r="D24" s="19"/>
      <c r="E24" s="19"/>
      <c r="F24" s="19"/>
      <c r="I24">
        <v>134</v>
      </c>
      <c r="J24" s="3">
        <f t="shared" si="0"/>
        <v>-135</v>
      </c>
      <c r="K24" s="3">
        <v>0</v>
      </c>
      <c r="L24" s="3">
        <v>-135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5.75">
      <c r="A25" s="15" t="s">
        <v>18</v>
      </c>
      <c r="B25" s="19"/>
      <c r="C25" s="19"/>
      <c r="D25" s="19"/>
      <c r="E25" s="19"/>
      <c r="F25" s="19"/>
      <c r="J25" s="3">
        <f t="shared" si="0"/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5.75">
      <c r="A26" s="15" t="s">
        <v>213</v>
      </c>
      <c r="B26" s="19">
        <v>1</v>
      </c>
      <c r="C26" s="19">
        <v>1</v>
      </c>
      <c r="D26" s="19"/>
      <c r="E26" s="19"/>
      <c r="F26" s="19"/>
      <c r="I26">
        <v>135</v>
      </c>
      <c r="J26" s="3">
        <f t="shared" si="0"/>
        <v>-433</v>
      </c>
      <c r="K26" s="3">
        <v>33</v>
      </c>
      <c r="L26" s="3">
        <v>-492</v>
      </c>
      <c r="M26" s="3">
        <v>26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5.75">
      <c r="A27" s="15" t="s">
        <v>213</v>
      </c>
      <c r="B27" s="19">
        <v>1</v>
      </c>
      <c r="C27" s="19">
        <v>0</v>
      </c>
      <c r="D27" s="19"/>
      <c r="E27" s="19"/>
      <c r="F27" s="19"/>
      <c r="I27">
        <v>136</v>
      </c>
      <c r="J27" s="5">
        <f>SUM(K27:T27)</f>
        <v>0</v>
      </c>
      <c r="K27" s="5">
        <v>0</v>
      </c>
      <c r="L27" s="5">
        <v>0</v>
      </c>
      <c r="M27" s="5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5">
        <v>0</v>
      </c>
      <c r="T27" s="4">
        <v>0</v>
      </c>
    </row>
    <row r="28" spans="1:20" ht="15.75">
      <c r="A28" s="15" t="s">
        <v>194</v>
      </c>
      <c r="B28" s="19">
        <v>1</v>
      </c>
      <c r="C28" s="19">
        <v>1</v>
      </c>
      <c r="D28" s="19"/>
      <c r="E28" s="19"/>
      <c r="F28" s="19"/>
      <c r="I28" s="1" t="s">
        <v>7</v>
      </c>
      <c r="J28" s="3">
        <f aca="true" t="shared" si="1" ref="J28:T28">SUM(J7:J27)</f>
        <v>8434.9089</v>
      </c>
      <c r="K28" s="3">
        <f t="shared" si="1"/>
        <v>4273.4373</v>
      </c>
      <c r="L28" s="3">
        <f t="shared" si="1"/>
        <v>1111</v>
      </c>
      <c r="M28" s="3">
        <f t="shared" si="1"/>
        <v>3050.4716</v>
      </c>
      <c r="N28" s="3">
        <f t="shared" si="1"/>
        <v>0</v>
      </c>
      <c r="O28" s="3">
        <f t="shared" si="1"/>
        <v>0</v>
      </c>
      <c r="P28" s="3">
        <f t="shared" si="1"/>
        <v>0</v>
      </c>
      <c r="Q28" s="3">
        <f t="shared" si="1"/>
        <v>0</v>
      </c>
      <c r="R28" s="3">
        <f t="shared" si="1"/>
        <v>0</v>
      </c>
      <c r="S28" s="3">
        <f t="shared" si="1"/>
        <v>0</v>
      </c>
      <c r="T28" s="3">
        <f t="shared" si="1"/>
        <v>0</v>
      </c>
    </row>
    <row r="29" spans="1:20" ht="15.75">
      <c r="A29" s="15" t="s">
        <v>214</v>
      </c>
      <c r="B29" s="22">
        <v>1</v>
      </c>
      <c r="C29" s="22">
        <v>1</v>
      </c>
      <c r="D29" s="19"/>
      <c r="E29" s="19"/>
      <c r="F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 t="s">
        <v>20</v>
      </c>
      <c r="B30" s="19">
        <f>SUM(B26:B29)</f>
        <v>4</v>
      </c>
      <c r="C30" s="19">
        <f>SUM(C26:C29)</f>
        <v>3</v>
      </c>
      <c r="D30" s="19"/>
      <c r="E30" s="19"/>
      <c r="F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5" t="s">
        <v>21</v>
      </c>
      <c r="B31" s="19"/>
      <c r="C31" s="19"/>
      <c r="D31" s="19"/>
      <c r="E31" s="19"/>
      <c r="F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8">
      <c r="A32" s="15" t="s">
        <v>207</v>
      </c>
      <c r="B32" s="21">
        <v>0</v>
      </c>
      <c r="C32" s="21">
        <v>0</v>
      </c>
      <c r="D32" s="19"/>
      <c r="E32" s="19"/>
      <c r="F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5" t="s">
        <v>7</v>
      </c>
      <c r="B33" s="19">
        <f>SUM(B30:B32)</f>
        <v>4</v>
      </c>
      <c r="C33" s="19">
        <f>SUM(C30:C32)</f>
        <v>3</v>
      </c>
      <c r="D33" s="19"/>
      <c r="E33" s="19"/>
      <c r="F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>
      <c r="A34" s="15"/>
      <c r="B34" s="19"/>
      <c r="C34" s="19"/>
      <c r="D34" s="19"/>
      <c r="E34" s="19"/>
      <c r="F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>
      <c r="A35" s="14" t="s">
        <v>23</v>
      </c>
      <c r="B35" s="19"/>
      <c r="C35" s="19"/>
      <c r="D35" s="19"/>
      <c r="E35" s="19"/>
      <c r="F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>
      <c r="A36" s="15" t="s">
        <v>282</v>
      </c>
      <c r="C36" s="19">
        <v>3900</v>
      </c>
      <c r="D36" s="19"/>
      <c r="E36" s="19"/>
      <c r="F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ht="12.75">
      <c r="B37" s="3"/>
    </row>
    <row r="38" ht="12.75">
      <c r="B38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D8" sqref="D8"/>
    </sheetView>
  </sheetViews>
  <sheetFormatPr defaultColWidth="9.140625" defaultRowHeight="12.75"/>
  <cols>
    <col min="1" max="1" width="48.28125" style="0" bestFit="1" customWidth="1"/>
    <col min="2" max="4" width="12.7109375" style="0" customWidth="1"/>
    <col min="5" max="5" width="11.57421875" style="0" customWidth="1"/>
    <col min="6" max="6" width="9.7109375" style="0" bestFit="1" customWidth="1"/>
  </cols>
  <sheetData>
    <row r="1" spans="1:6" ht="15.75">
      <c r="A1" s="71" t="s">
        <v>330</v>
      </c>
      <c r="B1" s="71"/>
      <c r="C1" s="71"/>
      <c r="D1" s="71"/>
      <c r="E1" s="71"/>
      <c r="F1" s="71"/>
    </row>
    <row r="2" spans="1:6" ht="15.75">
      <c r="A2" s="71" t="s">
        <v>412</v>
      </c>
      <c r="B2" s="71"/>
      <c r="C2" s="71"/>
      <c r="D2" s="71"/>
      <c r="E2" s="71"/>
      <c r="F2" s="71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6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</row>
    <row r="6" spans="1:6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</row>
    <row r="7" spans="1:6" ht="15.75">
      <c r="A7" s="15" t="s">
        <v>328</v>
      </c>
      <c r="B7" s="19">
        <v>0</v>
      </c>
      <c r="C7" s="19">
        <v>0</v>
      </c>
      <c r="D7" s="19">
        <v>0</v>
      </c>
      <c r="E7" s="19">
        <f>+D7-C7</f>
        <v>0</v>
      </c>
      <c r="F7" s="29">
        <v>0</v>
      </c>
    </row>
    <row r="8" spans="1:6" ht="15.75">
      <c r="A8" s="15" t="s">
        <v>14</v>
      </c>
      <c r="B8" s="19">
        <v>485912</v>
      </c>
      <c r="C8" s="19">
        <v>627496</v>
      </c>
      <c r="D8" s="19">
        <v>788689</v>
      </c>
      <c r="E8" s="19">
        <f>+D8-C8</f>
        <v>161193</v>
      </c>
      <c r="F8" s="29">
        <f>ROUND(E8/C8,4)</f>
        <v>0.2569</v>
      </c>
    </row>
    <row r="9" spans="1:6" ht="15.75">
      <c r="A9" s="15" t="s">
        <v>15</v>
      </c>
      <c r="B9" s="22">
        <v>0</v>
      </c>
      <c r="C9" s="22">
        <v>0</v>
      </c>
      <c r="D9" s="22">
        <v>0</v>
      </c>
      <c r="E9" s="22">
        <f>+D9-C9</f>
        <v>0</v>
      </c>
      <c r="F9" s="29">
        <v>0</v>
      </c>
    </row>
    <row r="10" spans="1:6" ht="15.75">
      <c r="A10" s="15" t="s">
        <v>7</v>
      </c>
      <c r="B10" s="19">
        <f>SUM(B7:B9)</f>
        <v>485912</v>
      </c>
      <c r="C10" s="19">
        <f>SUM(C7:C9)</f>
        <v>627496</v>
      </c>
      <c r="D10" s="19">
        <f>SUM(D7:D9)</f>
        <v>788689</v>
      </c>
      <c r="E10" s="19">
        <f>SUM(E7:E9)</f>
        <v>161193</v>
      </c>
      <c r="F10" s="29">
        <f>ROUND(E10/C10,4)</f>
        <v>0.2569</v>
      </c>
    </row>
    <row r="11" spans="1:6" ht="15.75">
      <c r="A11" s="15"/>
      <c r="B11" s="19"/>
      <c r="C11" s="19"/>
      <c r="D11" s="19"/>
      <c r="E11" s="19"/>
      <c r="F11" s="19"/>
    </row>
    <row r="12" spans="1:6" ht="18">
      <c r="A12" s="14" t="s">
        <v>398</v>
      </c>
      <c r="B12" s="19"/>
      <c r="C12" s="19"/>
      <c r="D12" s="19"/>
      <c r="E12" s="38"/>
      <c r="F12" s="19"/>
    </row>
    <row r="13" spans="1:6" ht="15.75">
      <c r="A13" s="52" t="s">
        <v>410</v>
      </c>
      <c r="B13" s="19"/>
      <c r="C13" s="19"/>
      <c r="D13" s="19"/>
      <c r="E13" s="33">
        <f>73056+52608</f>
        <v>125664</v>
      </c>
      <c r="F13" s="19"/>
    </row>
    <row r="14" spans="1:6" ht="15.75">
      <c r="A14" s="53" t="s">
        <v>411</v>
      </c>
      <c r="B14" s="19"/>
      <c r="C14" s="19"/>
      <c r="D14" s="19"/>
      <c r="E14" s="22">
        <v>35529</v>
      </c>
      <c r="F14" s="19"/>
    </row>
    <row r="15" spans="1:6" ht="15.75">
      <c r="A15" s="15"/>
      <c r="B15" s="19"/>
      <c r="C15" s="19"/>
      <c r="E15" s="54">
        <f>SUM(E13:E14)</f>
        <v>161193</v>
      </c>
      <c r="F15" s="19"/>
    </row>
    <row r="16" spans="1:6" ht="15.75">
      <c r="A16" s="15"/>
      <c r="B16" s="22"/>
      <c r="C16" s="22"/>
      <c r="F16" s="19"/>
    </row>
    <row r="17" spans="1:6" ht="15.75">
      <c r="A17" s="15"/>
      <c r="B17" s="19"/>
      <c r="C17" s="19"/>
      <c r="F17" s="19"/>
    </row>
    <row r="18" spans="1:6" ht="15.75">
      <c r="A18" s="15"/>
      <c r="B18" s="19"/>
      <c r="C18" s="19"/>
      <c r="F18" s="19"/>
    </row>
    <row r="19" spans="1:3" ht="15.75">
      <c r="A19" s="14" t="s">
        <v>23</v>
      </c>
      <c r="B19" s="19"/>
      <c r="C19" s="19"/>
    </row>
    <row r="20" spans="1:3" ht="15.75">
      <c r="A20" s="15"/>
      <c r="C20" s="19"/>
    </row>
    <row r="21" spans="1:3" ht="15.75">
      <c r="A21" s="15"/>
      <c r="C21" s="19"/>
    </row>
    <row r="22" spans="1:3" ht="15.75">
      <c r="A22" s="15"/>
      <c r="B22" s="19"/>
      <c r="C22" s="19"/>
    </row>
    <row r="23" spans="1:3" ht="15.75">
      <c r="A23" s="14"/>
      <c r="B23" s="19"/>
      <c r="C23" s="19"/>
    </row>
    <row r="24" spans="1:3" ht="15.75">
      <c r="A24" s="15"/>
      <c r="C24" s="19"/>
    </row>
    <row r="25" spans="1:3" ht="15.75">
      <c r="A25" s="15"/>
      <c r="C25" s="19"/>
    </row>
  </sheetData>
  <mergeCells count="3">
    <mergeCell ref="A1:F1"/>
    <mergeCell ref="A2:F2"/>
    <mergeCell ref="E5:F5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08"/>
  <sheetViews>
    <sheetView workbookViewId="0" topLeftCell="B31">
      <selection activeCell="E44" sqref="E44:E50"/>
    </sheetView>
  </sheetViews>
  <sheetFormatPr defaultColWidth="9.140625" defaultRowHeight="12.75"/>
  <cols>
    <col min="1" max="1" width="59.28125" style="0" customWidth="1"/>
    <col min="2" max="2" width="19.140625" style="0" customWidth="1"/>
    <col min="3" max="3" width="16.421875" style="39" customWidth="1"/>
    <col min="4" max="4" width="14.28125" style="39" bestFit="1" customWidth="1"/>
    <col min="5" max="5" width="13.7109375" style="44" bestFit="1" customWidth="1"/>
    <col min="6" max="6" width="12.8515625" style="0" bestFit="1" customWidth="1"/>
    <col min="7" max="7" width="10.8515625" style="0" bestFit="1" customWidth="1"/>
    <col min="9" max="9" width="8.57421875" style="0" customWidth="1"/>
    <col min="10" max="10" width="12.28125" style="0" bestFit="1" customWidth="1"/>
    <col min="11" max="11" width="10.7109375" style="0" bestFit="1" customWidth="1"/>
    <col min="12" max="12" width="10.8515625" style="0" bestFit="1" customWidth="1"/>
    <col min="13" max="13" width="11.421875" style="0" bestFit="1" customWidth="1"/>
    <col min="14" max="14" width="9.57421875" style="0" bestFit="1" customWidth="1"/>
    <col min="15" max="15" width="9.7109375" style="0" bestFit="1" customWidth="1"/>
    <col min="16" max="16" width="10.421875" style="0" bestFit="1" customWidth="1"/>
    <col min="17" max="17" width="9.7109375" style="0" bestFit="1" customWidth="1"/>
    <col min="18" max="18" width="10.8515625" style="0" bestFit="1" customWidth="1"/>
    <col min="19" max="19" width="9.7109375" style="0" bestFit="1" customWidth="1"/>
    <col min="20" max="20" width="9.421875" style="0" bestFit="1" customWidth="1"/>
    <col min="21" max="21" width="9.57421875" style="0" bestFit="1" customWidth="1"/>
  </cols>
  <sheetData>
    <row r="1" spans="1:21" ht="15.75">
      <c r="A1" s="71" t="s">
        <v>407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5.75">
      <c r="A2" s="71" t="s">
        <v>17</v>
      </c>
      <c r="B2" s="71"/>
      <c r="C2" s="71"/>
      <c r="D2" s="71"/>
      <c r="E2" s="71"/>
      <c r="F2" s="7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6" ht="15.75">
      <c r="A3" s="71" t="s">
        <v>17</v>
      </c>
      <c r="B3" s="71"/>
      <c r="C3" s="71"/>
      <c r="D3" s="71"/>
      <c r="E3" s="71"/>
      <c r="F3" s="71"/>
    </row>
    <row r="4" spans="1:6" ht="15.75">
      <c r="A4" s="14" t="s">
        <v>1</v>
      </c>
      <c r="B4" s="15"/>
      <c r="C4" s="34"/>
      <c r="D4" s="34"/>
      <c r="E4" s="34"/>
      <c r="F4" s="15"/>
    </row>
    <row r="5" spans="1:21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P5" s="1"/>
      <c r="R5" s="1"/>
      <c r="S5" s="1"/>
      <c r="T5" s="1"/>
      <c r="U5" s="1"/>
    </row>
    <row r="6" spans="1:21" ht="15.75">
      <c r="A6" s="14"/>
      <c r="B6" s="18" t="s">
        <v>281</v>
      </c>
      <c r="C6" s="18" t="s">
        <v>303</v>
      </c>
      <c r="D6" s="18" t="s">
        <v>329</v>
      </c>
      <c r="E6" s="36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405</v>
      </c>
      <c r="Q6" s="2" t="s">
        <v>13</v>
      </c>
      <c r="R6" s="2" t="s">
        <v>170</v>
      </c>
      <c r="S6" s="2" t="s">
        <v>187</v>
      </c>
      <c r="T6" s="2" t="s">
        <v>295</v>
      </c>
      <c r="U6" s="2" t="s">
        <v>169</v>
      </c>
    </row>
    <row r="7" spans="1:22" ht="15.75">
      <c r="A7" s="15" t="s">
        <v>328</v>
      </c>
      <c r="B7" s="19">
        <f>+'01-gen govt'!B7+'02-assessing'!B7+'03-fire'!B7+'04-police'!B7+'05-comm'!B7+'07-pub works'!B7+'08-highway'!B7+'09-solid waste'!B7+'10-wastewater'!B7+'11-parks mntc'!B7+'13-park &amp; rec'!B7+'15-library'!B7+'16-equip mntc'!B7+'17-bldg &amp; grounds'!B7+'21-comm dev'!B7+'24-tax coll'!B7+'25-welfare'!B7+'27-debt svc'!B7+'32- media'!B7</f>
        <v>15567492.92</v>
      </c>
      <c r="C7" s="33">
        <f>+'01-gen govt'!C7+'02-assessing'!C7+'03-fire'!C7+'04-police'!C7+'05-comm'!C7+'07-pub works'!C7+'08-highway'!C7+'09-solid waste'!C7+'10-wastewater'!C7+'11-parks mntc'!C7+'13-park &amp; rec'!C7+'15-library'!C7+'16-equip mntc'!C7+'17-bldg &amp; grounds'!C7+'21-comm dev'!C7+'24-tax coll'!C7+'25-welfare'!C7+'27-debt svc'!C7+'32- media'!C7</f>
        <v>17371603</v>
      </c>
      <c r="D7" s="33">
        <f>+'01-gen govt'!D7+'02-assessing'!D7+'03-fire'!D7+'04-police'!D7+'05-comm'!D7+'07-pub works'!D7+'08-highway'!D7+'09-solid waste'!D7+'10-wastewater'!D7+'11-parks mntc'!D7+'13-park &amp; rec'!D7+'15-library'!D7+'16-equip mntc'!D7+'17-bldg &amp; grounds'!D7+'21-comm dev'!D7+'24-tax coll'!D7+'25-welfare'!D7+'27-debt svc'!D7+'32- media'!D7</f>
        <v>17457999.32</v>
      </c>
      <c r="E7" s="33">
        <f>+D7-C7</f>
        <v>86396.3200000003</v>
      </c>
      <c r="F7" s="20">
        <f>ROUND((E7/C7)*100,2)</f>
        <v>0.5</v>
      </c>
      <c r="I7" s="8" t="s">
        <v>137</v>
      </c>
      <c r="J7" s="3">
        <f>SUM(K7:U7)</f>
        <v>-559584</v>
      </c>
      <c r="K7" s="3">
        <v>28632</v>
      </c>
      <c r="L7" s="3">
        <v>14316</v>
      </c>
      <c r="M7" s="3">
        <v>13332</v>
      </c>
      <c r="N7" s="3">
        <v>0</v>
      </c>
      <c r="O7" s="3">
        <v>3746</v>
      </c>
      <c r="P7" s="3">
        <v>0</v>
      </c>
      <c r="Q7" s="3">
        <v>0</v>
      </c>
      <c r="R7" s="3">
        <v>0</v>
      </c>
      <c r="S7" s="3">
        <v>-68883</v>
      </c>
      <c r="T7" s="3">
        <v>0</v>
      </c>
      <c r="U7" s="3">
        <v>-550727</v>
      </c>
      <c r="V7" t="s">
        <v>17</v>
      </c>
    </row>
    <row r="8" spans="1:21" ht="15.75">
      <c r="A8" s="15" t="s">
        <v>378</v>
      </c>
      <c r="B8" s="19">
        <f>+'01-gen govt'!B8+'02-assessing'!B8+'03-fire'!B8+'04-police'!B8+'05-comm'!B8+'07-pub works'!B8+'08-highway'!B8+'09-solid waste'!B8+'10-wastewater'!B8+'11-parks mntc'!B8+'13-park &amp; rec'!B8+'15-library'!B8+'16-equip mntc'!B8+'17-bldg &amp; grounds'!B8+'21-comm dev'!B8+'24-tax coll'!B8+'25-welfare'!B8+'27-debt svc'!B8+'32- media'!B8+other!B8</f>
        <v>5854822.01</v>
      </c>
      <c r="C8" s="33">
        <f>+'01-gen govt'!C8+'02-assessing'!C8+'03-fire'!C8+'04-police'!C8+'05-comm'!C8+'07-pub works'!C8+'08-highway'!C8+'09-solid waste'!C8+'10-wastewater'!C8+'11-parks mntc'!C8+'13-park &amp; rec'!C8+'15-library'!C8+'16-equip mntc'!C8+'17-bldg &amp; grounds'!C8+'21-comm dev'!C8+'24-tax coll'!C8+'25-welfare'!C8+'27-debt svc'!C8+'32- media'!C8+other!C8</f>
        <v>6440117</v>
      </c>
      <c r="D8" s="33">
        <f>+'01-gen govt'!D8+'02-assessing'!D8+'03-fire'!D8+'04-police'!D8+'05-comm'!D8+'07-pub works'!D8+'08-highway'!D8+'09-solid waste'!D8+'10-wastewater'!D8+'11-parks mntc'!D8+'13-park &amp; rec'!D8+'15-library'!D8+'16-equip mntc'!D8+'17-bldg &amp; grounds'!D8+'21-comm dev'!D8+'24-tax coll'!D8+'25-welfare'!D8+'27-debt svc'!D8+'32- media'!D8+other!D8</f>
        <v>6506008</v>
      </c>
      <c r="E8" s="33">
        <f>+D8-C8</f>
        <v>65891</v>
      </c>
      <c r="F8" s="20">
        <f>ROUND((E8/C8)*100,2)</f>
        <v>1.02</v>
      </c>
      <c r="I8" s="8" t="s">
        <v>138</v>
      </c>
      <c r="J8" s="3">
        <f aca="true" t="shared" si="0" ref="J8:J26">SUM(K8:U8)</f>
        <v>8435</v>
      </c>
      <c r="K8" s="3">
        <v>4274</v>
      </c>
      <c r="L8" s="3">
        <v>1111</v>
      </c>
      <c r="M8" s="3">
        <v>3050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15.75">
      <c r="A9" s="15" t="s">
        <v>23</v>
      </c>
      <c r="B9" s="19">
        <f>+'01-gen govt'!B9+'02-assessing'!B9+'03-fire'!B9+'04-police'!B9+'05-comm'!B9+'07-pub works'!B9+'08-highway'!B9+'09-solid waste'!B9+'10-wastewater'!B9+'11-parks mntc'!B9+'13-park &amp; rec'!B9+'15-library'!B9+'16-equip mntc'!B9+'17-bldg &amp; grounds'!B9+'21-comm dev'!B9+'24-tax coll'!B9+'25-welfare'!B9+'27-debt svc'!B9+'32- media'!B9</f>
        <v>2119441</v>
      </c>
      <c r="C9" s="33">
        <f>+'01-gen govt'!C9+'02-assessing'!C9+'03-fire'!C9+'04-police'!C9+'05-comm'!C9+'07-pub works'!C9+'08-highway'!C9+'09-solid waste'!C9+'10-wastewater'!C9+'11-parks mntc'!C9+'13-park &amp; rec'!C9+'15-library'!C9+'16-equip mntc'!C9+'17-bldg &amp; grounds'!C9+'21-comm dev'!C9+'24-tax coll'!C9+'25-welfare'!C9+'27-debt svc'!C9+'32- media'!C9</f>
        <v>1383942</v>
      </c>
      <c r="D9" s="33">
        <f>+'01-gen govt'!D9+'02-assessing'!D9+'03-fire'!D9+'04-police'!D9+'05-comm'!D9+'07-pub works'!D9+'08-highway'!D9+'09-solid waste'!D9+'10-wastewater'!D9+'11-parks mntc'!D9+'13-park &amp; rec'!D9+'15-library'!D9+'16-equip mntc'!D9+'17-bldg &amp; grounds'!D9+'21-comm dev'!D9+'24-tax coll'!D9+'25-welfare'!D9+'27-debt svc'!D9+'32- media'!D9</f>
        <v>1960051</v>
      </c>
      <c r="E9" s="33">
        <f>+D9-C9</f>
        <v>576109</v>
      </c>
      <c r="F9" s="20">
        <f>ROUND((E9/C9)*100,2)</f>
        <v>41.63</v>
      </c>
      <c r="I9" s="8" t="s">
        <v>139</v>
      </c>
      <c r="J9" s="3">
        <f t="shared" si="0"/>
        <v>141029</v>
      </c>
      <c r="K9" s="3">
        <v>119766</v>
      </c>
      <c r="L9" s="3">
        <v>-57587</v>
      </c>
      <c r="M9" s="3">
        <v>50015</v>
      </c>
      <c r="N9" s="3">
        <v>0</v>
      </c>
      <c r="O9" s="3">
        <v>2633</v>
      </c>
      <c r="P9" s="3">
        <v>-4173</v>
      </c>
      <c r="Q9" s="3">
        <v>-7378</v>
      </c>
      <c r="R9" s="3">
        <v>37753</v>
      </c>
      <c r="S9" s="3">
        <v>0</v>
      </c>
      <c r="T9" s="3">
        <v>0</v>
      </c>
      <c r="U9" s="3">
        <v>0</v>
      </c>
    </row>
    <row r="10" spans="1:21" ht="18">
      <c r="A10" s="15" t="s">
        <v>421</v>
      </c>
      <c r="B10" s="21">
        <f>+'27-debt svc'!B10</f>
        <v>769072</v>
      </c>
      <c r="C10" s="38">
        <f>+'27-debt svc'!C10</f>
        <v>2511592</v>
      </c>
      <c r="D10" s="38">
        <f>+'27-debt svc'!D10</f>
        <v>2537134</v>
      </c>
      <c r="E10" s="37">
        <f>+D10-C10</f>
        <v>25542</v>
      </c>
      <c r="F10" s="48">
        <f>ROUND((E10/C10)*100,2)</f>
        <v>1.02</v>
      </c>
      <c r="I10" s="8" t="s">
        <v>140</v>
      </c>
      <c r="J10" s="3">
        <f t="shared" si="0"/>
        <v>29099</v>
      </c>
      <c r="K10" s="3">
        <v>-20983</v>
      </c>
      <c r="L10" s="3">
        <v>-1427</v>
      </c>
      <c r="M10" s="3">
        <v>51509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5.75">
      <c r="A11" s="15" t="s">
        <v>7</v>
      </c>
      <c r="B11" s="19">
        <f>SUM(B7:B10)</f>
        <v>24310827.93</v>
      </c>
      <c r="C11" s="33">
        <f>SUM(C7:C10)</f>
        <v>27707254</v>
      </c>
      <c r="D11" s="33">
        <f>SUM(D7:D10)</f>
        <v>28461192.32</v>
      </c>
      <c r="E11" s="33">
        <f>SUM(E7:E10)</f>
        <v>753938.3200000003</v>
      </c>
      <c r="F11" s="20">
        <f>ROUND((E11/C11)*100,2)</f>
        <v>2.72</v>
      </c>
      <c r="I11" s="8" t="s">
        <v>141</v>
      </c>
      <c r="J11" s="3">
        <f t="shared" si="0"/>
        <v>29428</v>
      </c>
      <c r="K11" s="3">
        <v>17334</v>
      </c>
      <c r="L11" s="3">
        <v>4304</v>
      </c>
      <c r="M11" s="3">
        <v>7504</v>
      </c>
      <c r="N11" s="3">
        <v>0</v>
      </c>
      <c r="O11" s="3">
        <v>0</v>
      </c>
      <c r="P11" s="3">
        <v>0</v>
      </c>
      <c r="Q11" s="3">
        <v>286</v>
      </c>
      <c r="R11" s="3">
        <v>0</v>
      </c>
      <c r="S11" s="3">
        <v>0</v>
      </c>
      <c r="T11" s="3">
        <v>0</v>
      </c>
      <c r="U11" s="3">
        <v>0</v>
      </c>
    </row>
    <row r="12" spans="1:21" ht="15.75">
      <c r="A12" s="15"/>
      <c r="B12" s="19"/>
      <c r="C12" s="33"/>
      <c r="D12" s="33"/>
      <c r="E12" s="33"/>
      <c r="F12" s="19"/>
      <c r="I12" s="8" t="s">
        <v>142</v>
      </c>
      <c r="J12" s="3">
        <f t="shared" si="0"/>
        <v>16371</v>
      </c>
      <c r="K12" s="3">
        <v>12328</v>
      </c>
      <c r="L12" s="3">
        <f>-495+1746</f>
        <v>1251</v>
      </c>
      <c r="M12" s="3">
        <v>2297</v>
      </c>
      <c r="N12" s="3">
        <f>425+33+37</f>
        <v>495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15.75">
      <c r="A13" s="14" t="s">
        <v>16</v>
      </c>
      <c r="B13" s="19"/>
      <c r="C13" s="33"/>
      <c r="D13" s="33"/>
      <c r="E13" s="33"/>
      <c r="F13" s="19"/>
      <c r="G13" t="s">
        <v>17</v>
      </c>
      <c r="I13" s="8" t="s">
        <v>143</v>
      </c>
      <c r="J13" s="3">
        <f t="shared" si="0"/>
        <v>63628</v>
      </c>
      <c r="K13" s="3">
        <v>45039</v>
      </c>
      <c r="L13" s="3">
        <v>9566</v>
      </c>
      <c r="M13" s="3">
        <v>14975</v>
      </c>
      <c r="N13" s="3">
        <v>0</v>
      </c>
      <c r="O13" s="3">
        <v>0</v>
      </c>
      <c r="P13" s="3">
        <v>0</v>
      </c>
      <c r="Q13" s="3">
        <v>-5952</v>
      </c>
      <c r="R13" s="3">
        <v>0</v>
      </c>
      <c r="S13" s="3">
        <v>0</v>
      </c>
      <c r="T13" s="3">
        <v>0</v>
      </c>
      <c r="U13" s="3">
        <v>0</v>
      </c>
    </row>
    <row r="14" spans="1:21" ht="15.75">
      <c r="A14" s="15" t="s">
        <v>31</v>
      </c>
      <c r="B14" s="19"/>
      <c r="C14" s="33"/>
      <c r="D14" s="33"/>
      <c r="E14" s="33">
        <f>-4175+361096</f>
        <v>356921</v>
      </c>
      <c r="F14" s="19"/>
      <c r="G14" s="3" t="s">
        <v>17</v>
      </c>
      <c r="I14" s="8" t="s">
        <v>144</v>
      </c>
      <c r="J14" s="3">
        <f t="shared" si="0"/>
        <v>32873</v>
      </c>
      <c r="K14" s="3">
        <v>21713</v>
      </c>
      <c r="L14" s="3">
        <v>2283</v>
      </c>
      <c r="M14" s="3">
        <v>6178</v>
      </c>
      <c r="N14" s="3">
        <v>0</v>
      </c>
      <c r="O14" s="3">
        <v>2699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ht="15.75">
      <c r="A15" s="15" t="s">
        <v>171</v>
      </c>
      <c r="B15" s="19"/>
      <c r="C15" s="33"/>
      <c r="D15" s="33"/>
      <c r="E15" s="33">
        <f>+E86</f>
        <v>186857</v>
      </c>
      <c r="F15" s="19"/>
      <c r="I15" s="8" t="s">
        <v>145</v>
      </c>
      <c r="J15" s="3">
        <f t="shared" si="0"/>
        <v>23123</v>
      </c>
      <c r="K15" s="3">
        <v>20560</v>
      </c>
      <c r="L15" s="3">
        <v>3613</v>
      </c>
      <c r="M15" s="3">
        <v>23597</v>
      </c>
      <c r="N15" s="3">
        <v>-1209</v>
      </c>
      <c r="O15" s="3">
        <v>-1664</v>
      </c>
      <c r="P15" s="3">
        <v>0</v>
      </c>
      <c r="Q15" s="3">
        <v>-21774</v>
      </c>
      <c r="R15" s="3">
        <v>0</v>
      </c>
      <c r="S15" s="3">
        <v>0</v>
      </c>
      <c r="T15" s="3">
        <v>0</v>
      </c>
      <c r="U15" s="3">
        <v>0</v>
      </c>
    </row>
    <row r="16" spans="1:21" ht="15.75">
      <c r="A16" s="15" t="s">
        <v>333</v>
      </c>
      <c r="B16" s="19"/>
      <c r="C16" s="33"/>
      <c r="D16" s="33"/>
      <c r="E16" s="33">
        <f>+M83</f>
        <v>226601</v>
      </c>
      <c r="F16" s="19"/>
      <c r="I16" s="8">
        <v>11</v>
      </c>
      <c r="J16" s="3">
        <f t="shared" si="0"/>
        <v>21547</v>
      </c>
      <c r="K16" s="3">
        <v>18439</v>
      </c>
      <c r="L16" s="3">
        <v>-1063</v>
      </c>
      <c r="M16" s="3">
        <v>4171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ht="15.75">
      <c r="A17" s="15" t="s">
        <v>46</v>
      </c>
      <c r="B17" s="19"/>
      <c r="C17" s="33"/>
      <c r="D17" s="33"/>
      <c r="E17" s="33">
        <f>+O29</f>
        <v>9496</v>
      </c>
      <c r="F17" s="19"/>
      <c r="I17" s="8">
        <v>13</v>
      </c>
      <c r="J17" s="3">
        <f t="shared" si="0"/>
        <v>16137</v>
      </c>
      <c r="K17" s="3">
        <v>2048</v>
      </c>
      <c r="L17" s="3">
        <v>304</v>
      </c>
      <c r="M17" s="3">
        <v>2366</v>
      </c>
      <c r="N17" s="3">
        <f>901+69+79</f>
        <v>1049</v>
      </c>
      <c r="O17" s="3">
        <v>-100</v>
      </c>
      <c r="P17" s="3">
        <v>0</v>
      </c>
      <c r="Q17" s="3">
        <v>851</v>
      </c>
      <c r="R17" s="3">
        <f>-28268+37887</f>
        <v>9619</v>
      </c>
      <c r="S17" s="3">
        <v>0</v>
      </c>
      <c r="T17" s="3">
        <v>0</v>
      </c>
      <c r="U17" s="3">
        <v>0</v>
      </c>
    </row>
    <row r="18" spans="1:21" ht="15.75">
      <c r="A18" s="15" t="s">
        <v>47</v>
      </c>
      <c r="B18" s="19"/>
      <c r="C18" s="33"/>
      <c r="D18" s="33"/>
      <c r="E18" s="33">
        <f>+Q29</f>
        <v>-40497</v>
      </c>
      <c r="F18" s="19"/>
      <c r="I18" s="8">
        <v>15</v>
      </c>
      <c r="J18" s="3">
        <f t="shared" si="0"/>
        <v>16057</v>
      </c>
      <c r="K18" s="3">
        <v>21537</v>
      </c>
      <c r="L18" s="3">
        <v>-15063</v>
      </c>
      <c r="M18" s="3">
        <v>20137</v>
      </c>
      <c r="N18" s="3">
        <v>0</v>
      </c>
      <c r="O18" s="3">
        <v>0</v>
      </c>
      <c r="P18" s="3">
        <v>0</v>
      </c>
      <c r="Q18" s="3">
        <v>0</v>
      </c>
      <c r="R18" s="3">
        <v>-10554</v>
      </c>
      <c r="S18" s="3">
        <v>0</v>
      </c>
      <c r="T18" s="3">
        <v>0</v>
      </c>
      <c r="U18" s="3">
        <v>0</v>
      </c>
    </row>
    <row r="19" spans="1:21" ht="15.75">
      <c r="A19" s="15" t="s">
        <v>172</v>
      </c>
      <c r="B19" s="19"/>
      <c r="C19" s="33"/>
      <c r="D19" s="33"/>
      <c r="E19" s="33">
        <f>+'01-gen govt'!E16</f>
        <v>-68883</v>
      </c>
      <c r="F19" s="19"/>
      <c r="I19" s="8">
        <v>16</v>
      </c>
      <c r="J19" s="3">
        <f t="shared" si="0"/>
        <v>18805</v>
      </c>
      <c r="K19" s="3">
        <v>13180</v>
      </c>
      <c r="L19" s="3">
        <v>912</v>
      </c>
      <c r="M19" s="3">
        <v>5088</v>
      </c>
      <c r="N19" s="3">
        <v>0</v>
      </c>
      <c r="O19" s="3">
        <v>0</v>
      </c>
      <c r="P19" s="3">
        <v>0</v>
      </c>
      <c r="Q19" s="3">
        <v>-375</v>
      </c>
      <c r="R19" s="3">
        <v>0</v>
      </c>
      <c r="S19" s="3">
        <v>0</v>
      </c>
      <c r="T19" s="3">
        <v>0</v>
      </c>
      <c r="U19" s="3">
        <v>0</v>
      </c>
    </row>
    <row r="20" spans="1:21" ht="15.75">
      <c r="A20" s="15" t="s">
        <v>390</v>
      </c>
      <c r="B20" s="19"/>
      <c r="C20" s="33"/>
      <c r="D20" s="33"/>
      <c r="E20" s="33">
        <v>-202926</v>
      </c>
      <c r="F20" s="19"/>
      <c r="I20" s="8">
        <v>17</v>
      </c>
      <c r="J20" s="3">
        <f t="shared" si="0"/>
        <v>454</v>
      </c>
      <c r="K20" s="3">
        <v>5228</v>
      </c>
      <c r="L20" s="3">
        <f>-1490-58</f>
        <v>-1548</v>
      </c>
      <c r="M20" s="3">
        <v>2871</v>
      </c>
      <c r="N20" s="3">
        <v>58</v>
      </c>
      <c r="O20" s="3">
        <v>0</v>
      </c>
      <c r="P20" s="3">
        <v>0</v>
      </c>
      <c r="Q20" s="3">
        <v>-6155</v>
      </c>
      <c r="R20" s="3">
        <v>0</v>
      </c>
      <c r="S20" s="3">
        <v>0</v>
      </c>
      <c r="T20" s="3">
        <v>0</v>
      </c>
      <c r="U20" s="3">
        <v>0</v>
      </c>
    </row>
    <row r="21" spans="1:21" ht="15.75">
      <c r="A21" s="15" t="s">
        <v>389</v>
      </c>
      <c r="B21" s="19"/>
      <c r="C21" s="33"/>
      <c r="D21" s="33"/>
      <c r="E21" s="33">
        <v>-347801</v>
      </c>
      <c r="F21" s="19"/>
      <c r="I21" s="8">
        <v>32</v>
      </c>
      <c r="J21" s="3">
        <f t="shared" si="0"/>
        <v>11813</v>
      </c>
      <c r="K21" s="3">
        <v>8011</v>
      </c>
      <c r="L21" s="3">
        <v>1120</v>
      </c>
      <c r="M21" s="3">
        <v>2682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5.75">
      <c r="A22" s="15" t="s">
        <v>173</v>
      </c>
      <c r="B22" s="19"/>
      <c r="C22" s="33"/>
      <c r="D22" s="33"/>
      <c r="E22" s="33">
        <f>+L72</f>
        <v>99836</v>
      </c>
      <c r="F22" s="19"/>
      <c r="I22" s="8" t="s">
        <v>147</v>
      </c>
      <c r="J22" s="3">
        <f t="shared" si="0"/>
        <v>45193</v>
      </c>
      <c r="K22" s="3">
        <v>29649</v>
      </c>
      <c r="L22" s="3">
        <f>-1866+4092</f>
        <v>2226</v>
      </c>
      <c r="M22" s="3">
        <v>11452</v>
      </c>
      <c r="N22" s="3">
        <v>1866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</row>
    <row r="23" spans="1:21" ht="15.75">
      <c r="A23" s="15" t="s">
        <v>382</v>
      </c>
      <c r="B23" s="19"/>
      <c r="C23" s="33"/>
      <c r="D23" s="33"/>
      <c r="E23" s="33">
        <f>+M72</f>
        <v>9900</v>
      </c>
      <c r="F23" s="19"/>
      <c r="I23" s="8"/>
      <c r="J23" s="3">
        <f t="shared" si="0"/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5.75">
      <c r="A24" s="15" t="s">
        <v>406</v>
      </c>
      <c r="B24" s="19"/>
      <c r="C24" s="33"/>
      <c r="D24" s="33"/>
      <c r="E24" s="33">
        <f>+P72</f>
        <v>-134982</v>
      </c>
      <c r="F24" s="19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>
      <c r="A25" s="15" t="s">
        <v>383</v>
      </c>
      <c r="B25" s="19"/>
      <c r="C25" s="33"/>
      <c r="D25" s="33"/>
      <c r="E25" s="33">
        <f>-6633+207</f>
        <v>-6426</v>
      </c>
      <c r="F25" s="19"/>
      <c r="I25" s="8" t="s">
        <v>148</v>
      </c>
      <c r="J25" s="3">
        <f t="shared" si="0"/>
        <v>20602</v>
      </c>
      <c r="K25" s="3">
        <v>13121</v>
      </c>
      <c r="L25" s="3">
        <f>83+2799</f>
        <v>2882</v>
      </c>
      <c r="M25" s="3">
        <v>4682</v>
      </c>
      <c r="N25" s="3">
        <v>-83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5.75">
      <c r="A26" s="15" t="s">
        <v>344</v>
      </c>
      <c r="B26" s="19"/>
      <c r="C26" s="33"/>
      <c r="D26" s="33"/>
      <c r="E26" s="33">
        <v>15482</v>
      </c>
      <c r="F26" s="19"/>
      <c r="G26" s="3" t="s">
        <v>17</v>
      </c>
      <c r="I26" s="8" t="s">
        <v>149</v>
      </c>
      <c r="J26" s="35">
        <f t="shared" si="0"/>
        <v>4070</v>
      </c>
      <c r="K26" s="5">
        <v>1220</v>
      </c>
      <c r="L26" s="5">
        <v>-27</v>
      </c>
      <c r="M26" s="5">
        <v>695</v>
      </c>
      <c r="N26" s="5">
        <v>0</v>
      </c>
      <c r="O26" s="5">
        <v>2182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.75">
      <c r="A27" s="15" t="s">
        <v>342</v>
      </c>
      <c r="B27" s="19"/>
      <c r="C27" s="33"/>
      <c r="D27" s="33"/>
      <c r="E27" s="33">
        <v>50000</v>
      </c>
      <c r="F27" s="19"/>
      <c r="G27" s="3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>
      <c r="A28" s="15" t="s">
        <v>340</v>
      </c>
      <c r="B28" s="19"/>
      <c r="C28" s="33"/>
      <c r="D28" s="33"/>
      <c r="E28" s="33">
        <v>12200</v>
      </c>
      <c r="F28" s="19"/>
      <c r="G28" s="3"/>
      <c r="I28" s="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.75">
      <c r="A29" s="15" t="s">
        <v>381</v>
      </c>
      <c r="B29" s="19"/>
      <c r="C29" s="33"/>
      <c r="D29" s="33"/>
      <c r="E29" s="33">
        <v>-48330</v>
      </c>
      <c r="F29" s="19"/>
      <c r="I29" s="1" t="s">
        <v>7</v>
      </c>
      <c r="J29" s="49">
        <f>SUM(J7:J26)</f>
        <v>-60920</v>
      </c>
      <c r="K29" s="69">
        <f aca="true" t="shared" si="1" ref="K29:U29">SUM(K7:K26)</f>
        <v>361096</v>
      </c>
      <c r="L29" s="3">
        <f t="shared" si="1"/>
        <v>-32827</v>
      </c>
      <c r="M29" s="69">
        <f t="shared" si="1"/>
        <v>226601</v>
      </c>
      <c r="N29" s="3">
        <f t="shared" si="1"/>
        <v>2176</v>
      </c>
      <c r="O29" s="69">
        <f t="shared" si="1"/>
        <v>9496</v>
      </c>
      <c r="P29" s="69">
        <f t="shared" si="1"/>
        <v>-4173</v>
      </c>
      <c r="Q29" s="69">
        <f t="shared" si="1"/>
        <v>-40497</v>
      </c>
      <c r="R29" s="69">
        <f t="shared" si="1"/>
        <v>36818</v>
      </c>
      <c r="S29" s="69">
        <f t="shared" si="1"/>
        <v>-68883</v>
      </c>
      <c r="T29" s="3">
        <f t="shared" si="1"/>
        <v>0</v>
      </c>
      <c r="U29" s="69">
        <f t="shared" si="1"/>
        <v>-550727</v>
      </c>
    </row>
    <row r="30" spans="1:21" ht="15.75">
      <c r="A30" s="15" t="s">
        <v>399</v>
      </c>
      <c r="B30" s="19"/>
      <c r="C30" s="33"/>
      <c r="D30" s="33"/>
      <c r="E30" s="33">
        <v>25883</v>
      </c>
      <c r="F30" s="19"/>
      <c r="I30" s="1" t="s">
        <v>291</v>
      </c>
      <c r="J30" s="3"/>
      <c r="K30" s="3" t="s">
        <v>17</v>
      </c>
      <c r="L30" s="3"/>
      <c r="M30" s="3"/>
      <c r="N30" s="3"/>
      <c r="O30" s="3"/>
      <c r="P30" s="3"/>
      <c r="Q30" s="3"/>
      <c r="R30" s="6">
        <v>0</v>
      </c>
      <c r="S30" s="3"/>
      <c r="T30" s="3"/>
      <c r="U30" s="3"/>
    </row>
    <row r="31" spans="1:21" ht="15.75">
      <c r="A31" s="15" t="s">
        <v>322</v>
      </c>
      <c r="B31" s="19"/>
      <c r="C31" s="33"/>
      <c r="D31" s="33"/>
      <c r="E31" s="33">
        <v>10000</v>
      </c>
      <c r="F31" s="19"/>
      <c r="I31" s="1"/>
      <c r="J31" s="3">
        <f>+J29-E7</f>
        <v>-147316.3200000003</v>
      </c>
      <c r="K31" s="3"/>
      <c r="L31" s="3">
        <f>+L29-R72</f>
        <v>-3168</v>
      </c>
      <c r="M31" s="3"/>
      <c r="N31" s="3"/>
      <c r="O31" s="3"/>
      <c r="P31" s="3"/>
      <c r="Q31" s="3"/>
      <c r="R31" s="6"/>
      <c r="S31" s="3"/>
      <c r="T31" s="3"/>
      <c r="U31" s="3"/>
    </row>
    <row r="32" spans="1:21" ht="15.75">
      <c r="A32" s="15" t="s">
        <v>373</v>
      </c>
      <c r="B32" s="19"/>
      <c r="C32" s="33"/>
      <c r="D32" s="33"/>
      <c r="E32" s="33">
        <v>11000</v>
      </c>
      <c r="F32" s="19"/>
      <c r="I32" s="1"/>
      <c r="J32" s="3"/>
      <c r="K32" s="3"/>
      <c r="L32" s="3"/>
      <c r="M32" s="3"/>
      <c r="N32" s="3"/>
      <c r="O32" s="3"/>
      <c r="P32" s="3"/>
      <c r="Q32" s="3"/>
      <c r="R32" s="6">
        <f>+R29-E87</f>
        <v>36818</v>
      </c>
      <c r="S32" s="3"/>
      <c r="T32" s="3"/>
      <c r="U32" s="3"/>
    </row>
    <row r="33" spans="1:21" ht="15.75">
      <c r="A33" s="15" t="s">
        <v>201</v>
      </c>
      <c r="B33" s="19"/>
      <c r="C33" s="33"/>
      <c r="D33" s="33"/>
      <c r="E33" s="33">
        <v>11479</v>
      </c>
      <c r="F33" s="19"/>
      <c r="I33" s="1"/>
      <c r="J33" s="3"/>
      <c r="K33" s="3"/>
      <c r="L33" s="3"/>
      <c r="M33" s="3"/>
      <c r="N33" s="3"/>
      <c r="O33" s="3"/>
      <c r="P33" s="3"/>
      <c r="Q33" s="3"/>
      <c r="R33" s="6"/>
      <c r="S33" s="3"/>
      <c r="T33" s="3"/>
      <c r="U33" s="3"/>
    </row>
    <row r="34" spans="1:21" ht="15.75">
      <c r="A34" s="15" t="s">
        <v>430</v>
      </c>
      <c r="B34" s="19"/>
      <c r="C34" s="33"/>
      <c r="D34" s="33"/>
      <c r="E34" s="33">
        <v>35529</v>
      </c>
      <c r="F34" s="19"/>
      <c r="I34" s="1"/>
      <c r="J34" s="3"/>
      <c r="K34" s="3"/>
      <c r="L34" s="3"/>
      <c r="M34" s="3"/>
      <c r="N34" s="3"/>
      <c r="O34" s="3"/>
      <c r="P34" s="3"/>
      <c r="Q34" s="3"/>
      <c r="R34" s="6"/>
      <c r="S34" s="3"/>
      <c r="T34" s="3"/>
      <c r="U34" s="3"/>
    </row>
    <row r="35" spans="1:21" ht="15.75">
      <c r="A35" s="15" t="s">
        <v>305</v>
      </c>
      <c r="B35" s="19"/>
      <c r="C35" s="33"/>
      <c r="D35" s="33"/>
      <c r="E35" s="33">
        <v>-10966</v>
      </c>
      <c r="F35" s="19"/>
      <c r="I35" s="1"/>
      <c r="J35" s="3"/>
      <c r="K35" s="3"/>
      <c r="L35" s="3"/>
      <c r="M35" s="3"/>
      <c r="N35" s="3"/>
      <c r="O35" s="3"/>
      <c r="P35" s="3"/>
      <c r="Q35" s="3"/>
      <c r="R35" s="6"/>
      <c r="S35" s="3"/>
      <c r="T35" s="3"/>
      <c r="U35" s="3"/>
    </row>
    <row r="36" spans="1:21" ht="15.75">
      <c r="A36" s="15" t="s">
        <v>222</v>
      </c>
      <c r="B36" s="19"/>
      <c r="C36" s="33"/>
      <c r="D36" s="33"/>
      <c r="E36" s="33">
        <v>-62656</v>
      </c>
      <c r="F36" s="19"/>
      <c r="I36" s="1"/>
      <c r="J36" s="3"/>
      <c r="K36" s="3"/>
      <c r="L36" s="3"/>
      <c r="M36" s="3"/>
      <c r="N36" s="3"/>
      <c r="O36" s="3"/>
      <c r="P36" s="3"/>
      <c r="Q36" s="3"/>
      <c r="R36" s="6"/>
      <c r="S36" s="3"/>
      <c r="T36" s="3"/>
      <c r="U36" s="3"/>
    </row>
    <row r="37" spans="1:21" ht="15.75">
      <c r="A37" s="15" t="s">
        <v>268</v>
      </c>
      <c r="B37" s="19"/>
      <c r="C37" s="33"/>
      <c r="D37" s="33"/>
      <c r="E37" s="33">
        <v>-22960</v>
      </c>
      <c r="F37" s="19"/>
      <c r="I37" s="1"/>
      <c r="J37" s="3"/>
      <c r="K37" s="3"/>
      <c r="L37" s="3"/>
      <c r="M37" s="3"/>
      <c r="N37" s="3"/>
      <c r="O37" s="3"/>
      <c r="P37" s="3"/>
      <c r="Q37" s="3"/>
      <c r="R37" s="6"/>
      <c r="S37" s="3"/>
      <c r="T37" s="3"/>
      <c r="U37" s="3"/>
    </row>
    <row r="38" spans="1:21" ht="15.75">
      <c r="A38" s="15" t="s">
        <v>415</v>
      </c>
      <c r="B38" s="19"/>
      <c r="C38" s="33"/>
      <c r="D38" s="33"/>
      <c r="E38" s="33">
        <v>125664</v>
      </c>
      <c r="F38" s="19"/>
      <c r="I38" s="1"/>
      <c r="J38" s="3"/>
      <c r="K38" s="3"/>
      <c r="L38" s="3"/>
      <c r="M38" s="3"/>
      <c r="N38" s="3"/>
      <c r="O38" s="3"/>
      <c r="P38" s="3"/>
      <c r="Q38" s="3"/>
      <c r="R38" s="6"/>
      <c r="S38" s="3"/>
      <c r="T38" s="3"/>
      <c r="U38" s="3"/>
    </row>
    <row r="39" spans="1:21" ht="15.75">
      <c r="A39" s="15" t="s">
        <v>394</v>
      </c>
      <c r="B39" s="19"/>
      <c r="C39" s="19"/>
      <c r="D39" s="19"/>
      <c r="E39" s="19">
        <f>-28100-10554</f>
        <v>-38654</v>
      </c>
      <c r="F39" s="19"/>
      <c r="I39" s="1"/>
      <c r="J39" s="3"/>
      <c r="K39" s="3"/>
      <c r="L39" s="3"/>
      <c r="M39" s="3"/>
      <c r="N39" s="3"/>
      <c r="O39" s="3"/>
      <c r="P39" s="3"/>
      <c r="Q39" s="3"/>
      <c r="R39" s="6"/>
      <c r="S39" s="3"/>
      <c r="T39" s="3"/>
      <c r="U39" s="3"/>
    </row>
    <row r="40" spans="1:21" ht="15.75">
      <c r="A40" s="15" t="s">
        <v>294</v>
      </c>
      <c r="B40" s="19"/>
      <c r="C40" s="33"/>
      <c r="D40" s="33"/>
      <c r="E40" s="33">
        <v>-41055</v>
      </c>
      <c r="F40" s="19"/>
      <c r="I40" s="1"/>
      <c r="J40" s="3"/>
      <c r="K40" s="3"/>
      <c r="L40" s="3"/>
      <c r="M40" s="3"/>
      <c r="N40" s="3"/>
      <c r="O40" s="3"/>
      <c r="P40" s="3"/>
      <c r="Q40" s="3"/>
      <c r="R40" s="6"/>
      <c r="S40" s="3"/>
      <c r="T40" s="3"/>
      <c r="U40" s="3"/>
    </row>
    <row r="41" spans="1:21" ht="15.75">
      <c r="A41" s="15" t="s">
        <v>401</v>
      </c>
      <c r="B41" s="19"/>
      <c r="C41" s="33"/>
      <c r="D41" s="33"/>
      <c r="E41" s="33">
        <v>-10000</v>
      </c>
      <c r="F41" s="19"/>
      <c r="I41" s="1"/>
      <c r="J41" s="3"/>
      <c r="K41" s="3"/>
      <c r="L41" s="3"/>
      <c r="M41" s="3"/>
      <c r="N41" s="3"/>
      <c r="O41" s="3"/>
      <c r="P41" s="3"/>
      <c r="Q41" s="3"/>
      <c r="R41" s="6"/>
      <c r="S41" s="3"/>
      <c r="T41" s="3"/>
      <c r="U41" s="3"/>
    </row>
    <row r="42" spans="1:21" ht="15.75">
      <c r="A42" s="15" t="s">
        <v>400</v>
      </c>
      <c r="B42" s="19"/>
      <c r="C42" s="33"/>
      <c r="D42" s="33"/>
      <c r="E42" s="33">
        <v>-25000</v>
      </c>
      <c r="F42" s="19"/>
      <c r="I42" s="1"/>
      <c r="J42" s="3"/>
      <c r="K42" s="3"/>
      <c r="L42" s="3"/>
      <c r="M42" s="3"/>
      <c r="N42" s="3"/>
      <c r="O42" s="3"/>
      <c r="P42" s="3"/>
      <c r="Q42" s="3"/>
      <c r="R42" s="6"/>
      <c r="S42" s="3"/>
      <c r="T42" s="3"/>
      <c r="U42" s="3"/>
    </row>
    <row r="43" spans="1:21" ht="15.75">
      <c r="A43" s="15" t="s">
        <v>402</v>
      </c>
      <c r="B43" s="19"/>
      <c r="C43" s="33"/>
      <c r="D43" s="33"/>
      <c r="E43" s="33">
        <v>12000</v>
      </c>
      <c r="F43" s="19"/>
      <c r="I43" s="1"/>
      <c r="J43" s="3"/>
      <c r="K43" s="3"/>
      <c r="L43" s="3"/>
      <c r="M43" s="3"/>
      <c r="N43" s="3"/>
      <c r="O43" s="3"/>
      <c r="P43" s="3"/>
      <c r="Q43" s="3"/>
      <c r="R43" s="6"/>
      <c r="S43" s="3"/>
      <c r="T43" s="3"/>
      <c r="U43" s="3"/>
    </row>
    <row r="44" spans="1:21" ht="15.75">
      <c r="A44" s="15" t="s">
        <v>425</v>
      </c>
      <c r="B44" s="19"/>
      <c r="C44" s="33"/>
      <c r="D44" s="33"/>
      <c r="E44" s="33">
        <v>-1614458</v>
      </c>
      <c r="F44" s="19"/>
      <c r="I44" s="1" t="s">
        <v>201</v>
      </c>
      <c r="J44" s="3"/>
      <c r="K44" s="3"/>
      <c r="L44" s="3"/>
      <c r="M44" s="3"/>
      <c r="N44" s="3"/>
      <c r="O44" s="3"/>
      <c r="P44" s="3"/>
      <c r="Q44" s="3"/>
      <c r="R44" s="6"/>
      <c r="S44" s="3"/>
      <c r="T44" s="3"/>
      <c r="U44" s="3"/>
    </row>
    <row r="45" spans="1:21" ht="15.75">
      <c r="A45" s="15" t="s">
        <v>435</v>
      </c>
      <c r="B45" s="19"/>
      <c r="C45" s="33"/>
      <c r="D45" s="33"/>
      <c r="E45" s="33">
        <v>1640000</v>
      </c>
      <c r="F45" s="19"/>
      <c r="I45" s="1"/>
      <c r="J45" s="3"/>
      <c r="K45" s="3"/>
      <c r="L45" s="3"/>
      <c r="M45" s="3"/>
      <c r="N45" s="3"/>
      <c r="O45" s="3"/>
      <c r="P45" s="3"/>
      <c r="Q45" s="3"/>
      <c r="R45" s="6"/>
      <c r="S45" s="3"/>
      <c r="T45" s="3"/>
      <c r="U45" s="3"/>
    </row>
    <row r="46" spans="1:21" ht="15.75">
      <c r="A46" s="15" t="s">
        <v>414</v>
      </c>
      <c r="B46" s="19"/>
      <c r="C46" s="33"/>
      <c r="D46" s="33"/>
      <c r="E46" s="33">
        <v>250000</v>
      </c>
      <c r="F46" s="19"/>
      <c r="I46" s="1"/>
      <c r="J46" s="3"/>
      <c r="K46" s="3"/>
      <c r="L46" s="3"/>
      <c r="M46" s="3"/>
      <c r="N46" s="3"/>
      <c r="O46" s="3"/>
      <c r="P46" s="3"/>
      <c r="Q46" s="3"/>
      <c r="R46" s="6"/>
      <c r="S46" s="3"/>
      <c r="T46" s="3"/>
      <c r="U46" s="3"/>
    </row>
    <row r="47" spans="1:21" ht="15.75">
      <c r="A47" s="15" t="s">
        <v>199</v>
      </c>
      <c r="B47" s="19"/>
      <c r="C47" s="33"/>
      <c r="D47" s="33"/>
      <c r="E47" s="33">
        <v>96000</v>
      </c>
      <c r="F47" s="19"/>
      <c r="I47" s="1"/>
      <c r="J47" s="3"/>
      <c r="K47" s="3"/>
      <c r="L47" s="3"/>
      <c r="M47" s="3"/>
      <c r="N47" s="3"/>
      <c r="O47" s="3"/>
      <c r="P47" s="3"/>
      <c r="Q47" s="5">
        <v>0</v>
      </c>
      <c r="R47" s="5">
        <v>0</v>
      </c>
      <c r="S47" s="3">
        <v>32</v>
      </c>
      <c r="T47" s="3"/>
      <c r="U47" s="3"/>
    </row>
    <row r="48" spans="1:21" ht="15.75">
      <c r="A48" s="34" t="s">
        <v>380</v>
      </c>
      <c r="B48" s="33"/>
      <c r="C48" s="33"/>
      <c r="D48" s="33"/>
      <c r="E48" s="33">
        <v>73366</v>
      </c>
      <c r="F48" s="19"/>
      <c r="I48" s="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>
      <c r="A49" s="34" t="s">
        <v>326</v>
      </c>
      <c r="B49" s="33"/>
      <c r="C49" s="33"/>
      <c r="D49" s="33"/>
      <c r="E49" s="33">
        <v>75000</v>
      </c>
      <c r="F49" s="19"/>
      <c r="I49" s="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>
      <c r="A50" s="15" t="s">
        <v>220</v>
      </c>
      <c r="B50" s="19"/>
      <c r="C50" s="33"/>
      <c r="D50" s="33"/>
      <c r="E50" s="33">
        <f>2999+243010-73366-75000-15900</f>
        <v>81743</v>
      </c>
      <c r="F50" s="19"/>
      <c r="I50" s="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8">
      <c r="A51" s="15" t="s">
        <v>174</v>
      </c>
      <c r="B51" s="19"/>
      <c r="C51" s="33"/>
      <c r="D51" s="33"/>
      <c r="E51" s="38">
        <f>-4313+18888</f>
        <v>14575</v>
      </c>
      <c r="F51" s="19"/>
      <c r="I51" s="1"/>
      <c r="J51" s="10">
        <v>8125</v>
      </c>
      <c r="K51" s="10">
        <v>8128</v>
      </c>
      <c r="L51" s="10">
        <v>8131</v>
      </c>
      <c r="M51" s="10">
        <v>8132</v>
      </c>
      <c r="N51" s="10">
        <v>8133</v>
      </c>
      <c r="O51" s="10">
        <v>8134</v>
      </c>
      <c r="P51" s="10">
        <v>8135</v>
      </c>
      <c r="Q51" s="10">
        <v>8136</v>
      </c>
      <c r="R51" s="9" t="s">
        <v>7</v>
      </c>
      <c r="S51" s="3"/>
      <c r="T51" s="3"/>
      <c r="U51" s="3"/>
    </row>
    <row r="52" spans="1:21" ht="15.75">
      <c r="A52" s="15" t="s">
        <v>176</v>
      </c>
      <c r="B52" s="19"/>
      <c r="C52" s="33"/>
      <c r="D52" s="33"/>
      <c r="E52" s="33">
        <f>SUM(E13:E51)</f>
        <v>753938</v>
      </c>
      <c r="F52" s="19"/>
      <c r="I52" s="8" t="s">
        <v>137</v>
      </c>
      <c r="J52" s="3">
        <v>0</v>
      </c>
      <c r="K52" s="3">
        <v>0</v>
      </c>
      <c r="L52" s="3">
        <v>14854</v>
      </c>
      <c r="M52" s="3">
        <v>500</v>
      </c>
      <c r="N52" s="3">
        <v>-450</v>
      </c>
      <c r="O52" s="3">
        <v>-100</v>
      </c>
      <c r="P52" s="3">
        <v>-488</v>
      </c>
      <c r="Q52" s="3">
        <v>0</v>
      </c>
      <c r="R52" s="3">
        <f>SUM(J52:Q52)</f>
        <v>14316</v>
      </c>
      <c r="S52" s="3" t="s">
        <v>17</v>
      </c>
      <c r="T52" s="3"/>
      <c r="U52" s="3"/>
    </row>
    <row r="53" spans="1:21" ht="15.75">
      <c r="A53" s="15" t="s">
        <v>17</v>
      </c>
      <c r="B53" s="19"/>
      <c r="C53" s="33"/>
      <c r="D53" s="33"/>
      <c r="E53" s="33" t="s">
        <v>17</v>
      </c>
      <c r="F53" s="19"/>
      <c r="G53" s="3" t="s">
        <v>17</v>
      </c>
      <c r="I53" s="8" t="s">
        <v>138</v>
      </c>
      <c r="J53" s="3">
        <v>0</v>
      </c>
      <c r="K53" s="3">
        <v>0</v>
      </c>
      <c r="L53" s="3">
        <v>1723</v>
      </c>
      <c r="M53" s="3">
        <v>150</v>
      </c>
      <c r="N53" s="3">
        <v>-135</v>
      </c>
      <c r="O53" s="3">
        <v>-135</v>
      </c>
      <c r="P53" s="3">
        <v>-492</v>
      </c>
      <c r="Q53" s="3">
        <v>0</v>
      </c>
      <c r="R53" s="3">
        <f aca="true" t="shared" si="2" ref="R53:R70">SUM(J53:Q53)</f>
        <v>1111</v>
      </c>
      <c r="S53" s="3"/>
      <c r="T53" s="3"/>
      <c r="U53" s="3"/>
    </row>
    <row r="54" spans="1:21" ht="15.75">
      <c r="A54" s="15"/>
      <c r="B54" s="19"/>
      <c r="C54" s="33"/>
      <c r="D54" s="33"/>
      <c r="E54" s="33"/>
      <c r="F54" s="19"/>
      <c r="G54" s="3" t="s">
        <v>17</v>
      </c>
      <c r="I54" s="8" t="s">
        <v>139</v>
      </c>
      <c r="J54" s="3">
        <v>0</v>
      </c>
      <c r="K54" s="3">
        <v>0</v>
      </c>
      <c r="L54" s="3">
        <v>20696</v>
      </c>
      <c r="M54" s="3">
        <v>2050</v>
      </c>
      <c r="N54" s="3">
        <v>-135</v>
      </c>
      <c r="O54" s="3">
        <v>-135</v>
      </c>
      <c r="P54" s="3">
        <v>-76875</v>
      </c>
      <c r="Q54" s="3">
        <v>-20</v>
      </c>
      <c r="R54" s="3">
        <f t="shared" si="2"/>
        <v>-54419</v>
      </c>
      <c r="S54" s="3"/>
      <c r="T54" s="3"/>
      <c r="U54" s="3"/>
    </row>
    <row r="55" spans="1:21" ht="15.75">
      <c r="A55" s="14" t="s">
        <v>327</v>
      </c>
      <c r="B55" s="23" t="s">
        <v>17</v>
      </c>
      <c r="C55" s="51" t="s">
        <v>17</v>
      </c>
      <c r="D55" s="33"/>
      <c r="E55" s="33"/>
      <c r="F55" s="19"/>
      <c r="I55" s="8" t="s">
        <v>140</v>
      </c>
      <c r="J55" s="3">
        <v>0</v>
      </c>
      <c r="K55" s="3">
        <v>0</v>
      </c>
      <c r="L55" s="3">
        <v>23925</v>
      </c>
      <c r="M55" s="3">
        <v>2100</v>
      </c>
      <c r="N55" s="3">
        <v>245</v>
      </c>
      <c r="O55" s="3">
        <v>-1665</v>
      </c>
      <c r="P55" s="3">
        <v>-26032</v>
      </c>
      <c r="Q55" s="3">
        <v>0</v>
      </c>
      <c r="R55" s="3">
        <f t="shared" si="2"/>
        <v>-1427</v>
      </c>
      <c r="S55" s="3"/>
      <c r="T55" s="3"/>
      <c r="U55" s="3"/>
    </row>
    <row r="56" spans="1:21" ht="15.75">
      <c r="A56" s="15" t="s">
        <v>17</v>
      </c>
      <c r="B56" s="65" t="s">
        <v>303</v>
      </c>
      <c r="C56" s="66"/>
      <c r="D56" s="67" t="s">
        <v>329</v>
      </c>
      <c r="E56" s="68"/>
      <c r="F56" s="19"/>
      <c r="I56" s="8" t="s">
        <v>141</v>
      </c>
      <c r="J56" s="3">
        <v>0</v>
      </c>
      <c r="K56" s="3">
        <v>0</v>
      </c>
      <c r="L56" s="3">
        <v>4811</v>
      </c>
      <c r="M56" s="3">
        <v>400</v>
      </c>
      <c r="N56" s="3">
        <v>-270</v>
      </c>
      <c r="O56" s="3">
        <v>-270</v>
      </c>
      <c r="P56" s="3">
        <v>-367</v>
      </c>
      <c r="Q56" s="3">
        <v>0</v>
      </c>
      <c r="R56" s="3">
        <f t="shared" si="2"/>
        <v>4304</v>
      </c>
      <c r="S56" s="3"/>
      <c r="T56" s="3"/>
      <c r="U56" s="3"/>
    </row>
    <row r="57" spans="1:21" ht="15.75">
      <c r="A57" s="15" t="s">
        <v>17</v>
      </c>
      <c r="B57" s="25" t="s">
        <v>164</v>
      </c>
      <c r="C57" s="42" t="s">
        <v>12</v>
      </c>
      <c r="D57" s="42" t="s">
        <v>164</v>
      </c>
      <c r="E57" s="42" t="s">
        <v>12</v>
      </c>
      <c r="F57" s="19"/>
      <c r="I57" s="8" t="s">
        <v>142</v>
      </c>
      <c r="J57" s="3">
        <v>0</v>
      </c>
      <c r="K57" s="3">
        <v>0</v>
      </c>
      <c r="L57" s="3">
        <v>1231</v>
      </c>
      <c r="M57" s="3">
        <v>150</v>
      </c>
      <c r="N57" s="3">
        <v>-135</v>
      </c>
      <c r="O57" s="3">
        <v>-135</v>
      </c>
      <c r="P57" s="3">
        <v>140</v>
      </c>
      <c r="Q57" s="3">
        <v>0</v>
      </c>
      <c r="R57" s="3">
        <f t="shared" si="2"/>
        <v>1251</v>
      </c>
      <c r="S57" s="3"/>
      <c r="T57" s="3"/>
      <c r="U57" s="3"/>
    </row>
    <row r="58" spans="1:21" ht="15.75">
      <c r="A58" s="15" t="s">
        <v>150</v>
      </c>
      <c r="B58" s="19">
        <v>10</v>
      </c>
      <c r="C58" s="33">
        <v>9</v>
      </c>
      <c r="D58" s="33">
        <v>10</v>
      </c>
      <c r="E58" s="33">
        <v>9</v>
      </c>
      <c r="F58" s="19"/>
      <c r="I58" s="8" t="s">
        <v>143</v>
      </c>
      <c r="J58" s="3">
        <v>0</v>
      </c>
      <c r="K58" s="3">
        <v>0</v>
      </c>
      <c r="L58" s="3">
        <v>11477</v>
      </c>
      <c r="M58" s="3">
        <v>950</v>
      </c>
      <c r="N58" s="3">
        <v>-145</v>
      </c>
      <c r="O58" s="3">
        <v>-90</v>
      </c>
      <c r="P58" s="3">
        <v>-2626</v>
      </c>
      <c r="Q58" s="3">
        <v>0</v>
      </c>
      <c r="R58" s="3">
        <f t="shared" si="2"/>
        <v>9566</v>
      </c>
      <c r="S58" s="3"/>
      <c r="T58" s="3"/>
      <c r="U58" s="3"/>
    </row>
    <row r="59" spans="1:21" ht="15.75">
      <c r="A59" s="15" t="s">
        <v>151</v>
      </c>
      <c r="B59" s="19">
        <v>3</v>
      </c>
      <c r="C59" s="33">
        <v>0</v>
      </c>
      <c r="D59" s="33">
        <v>3</v>
      </c>
      <c r="E59" s="33">
        <v>0</v>
      </c>
      <c r="F59" s="19"/>
      <c r="I59" s="8" t="s">
        <v>144</v>
      </c>
      <c r="J59" s="3">
        <v>0</v>
      </c>
      <c r="K59" s="3">
        <v>0</v>
      </c>
      <c r="L59" s="3">
        <v>4594</v>
      </c>
      <c r="M59" s="3">
        <v>350</v>
      </c>
      <c r="N59" s="3">
        <v>0</v>
      </c>
      <c r="O59" s="3">
        <v>0</v>
      </c>
      <c r="P59" s="3">
        <v>-2661</v>
      </c>
      <c r="Q59" s="3">
        <v>0</v>
      </c>
      <c r="R59" s="3">
        <f t="shared" si="2"/>
        <v>2283</v>
      </c>
      <c r="S59" s="3"/>
      <c r="T59" s="3"/>
      <c r="U59" s="3"/>
    </row>
    <row r="60" spans="1:21" ht="15.75">
      <c r="A60" s="15" t="s">
        <v>152</v>
      </c>
      <c r="B60" s="19">
        <v>41</v>
      </c>
      <c r="C60" s="33">
        <v>4</v>
      </c>
      <c r="D60" s="33">
        <v>41</v>
      </c>
      <c r="E60" s="33">
        <v>6</v>
      </c>
      <c r="F60" s="19"/>
      <c r="I60" s="8" t="s">
        <v>145</v>
      </c>
      <c r="J60" s="3">
        <v>0</v>
      </c>
      <c r="K60" s="3">
        <v>0</v>
      </c>
      <c r="L60" s="3">
        <v>12382</v>
      </c>
      <c r="M60" s="3">
        <v>1100</v>
      </c>
      <c r="N60" s="3">
        <v>-90</v>
      </c>
      <c r="O60" s="3">
        <v>-90</v>
      </c>
      <c r="P60" s="3">
        <v>-9689</v>
      </c>
      <c r="Q60" s="3">
        <v>0</v>
      </c>
      <c r="R60" s="3">
        <f t="shared" si="2"/>
        <v>3613</v>
      </c>
      <c r="S60" s="3"/>
      <c r="T60" s="3"/>
      <c r="U60" s="3"/>
    </row>
    <row r="61" spans="1:21" ht="15.75">
      <c r="A61" s="15" t="s">
        <v>153</v>
      </c>
      <c r="B61" s="19">
        <v>42</v>
      </c>
      <c r="C61" s="33">
        <v>4</v>
      </c>
      <c r="D61" s="33">
        <v>44</v>
      </c>
      <c r="E61" s="33">
        <v>4</v>
      </c>
      <c r="F61" s="19"/>
      <c r="I61" s="8">
        <v>11</v>
      </c>
      <c r="J61" s="3">
        <v>0</v>
      </c>
      <c r="K61" s="3">
        <v>0</v>
      </c>
      <c r="L61" s="3">
        <v>3136</v>
      </c>
      <c r="M61" s="3">
        <v>250</v>
      </c>
      <c r="N61" s="3">
        <v>0</v>
      </c>
      <c r="O61" s="3">
        <v>0</v>
      </c>
      <c r="P61" s="3">
        <v>-4449</v>
      </c>
      <c r="Q61" s="3">
        <v>0</v>
      </c>
      <c r="R61" s="3">
        <f t="shared" si="2"/>
        <v>-1063</v>
      </c>
      <c r="S61" s="3"/>
      <c r="T61" s="3"/>
      <c r="U61" s="3"/>
    </row>
    <row r="62" spans="1:21" ht="15.75">
      <c r="A62" s="15" t="s">
        <v>154</v>
      </c>
      <c r="B62" s="19">
        <v>8</v>
      </c>
      <c r="C62" s="33">
        <v>0</v>
      </c>
      <c r="D62" s="33">
        <v>8</v>
      </c>
      <c r="E62" s="33">
        <v>0</v>
      </c>
      <c r="F62" s="19"/>
      <c r="I62" s="8">
        <v>13</v>
      </c>
      <c r="J62" s="3">
        <f>901+69</f>
        <v>970</v>
      </c>
      <c r="K62" s="49">
        <v>79</v>
      </c>
      <c r="L62" s="3">
        <v>1197</v>
      </c>
      <c r="M62" s="3">
        <v>100</v>
      </c>
      <c r="N62" s="3">
        <v>-90</v>
      </c>
      <c r="O62" s="3">
        <v>-90</v>
      </c>
      <c r="P62" s="3">
        <v>-1862</v>
      </c>
      <c r="Q62" s="3">
        <v>0</v>
      </c>
      <c r="R62" s="3">
        <f t="shared" si="2"/>
        <v>304</v>
      </c>
      <c r="S62" s="3"/>
      <c r="T62" s="3"/>
      <c r="U62" s="3"/>
    </row>
    <row r="63" spans="1:21" ht="15.75">
      <c r="A63" s="15" t="s">
        <v>155</v>
      </c>
      <c r="B63" s="19">
        <v>3</v>
      </c>
      <c r="C63" s="33">
        <v>1</v>
      </c>
      <c r="D63" s="33">
        <v>3</v>
      </c>
      <c r="E63" s="33">
        <v>1</v>
      </c>
      <c r="F63" s="19"/>
      <c r="I63" s="8">
        <v>15</v>
      </c>
      <c r="J63" s="3">
        <v>0</v>
      </c>
      <c r="K63" s="3">
        <v>0</v>
      </c>
      <c r="L63" s="3">
        <v>-14754</v>
      </c>
      <c r="M63" s="3">
        <v>550</v>
      </c>
      <c r="N63" s="3">
        <v>0</v>
      </c>
      <c r="O63" s="3">
        <v>0</v>
      </c>
      <c r="P63" s="3">
        <v>-859</v>
      </c>
      <c r="Q63" s="3">
        <v>0</v>
      </c>
      <c r="R63" s="3">
        <f t="shared" si="2"/>
        <v>-15063</v>
      </c>
      <c r="S63" s="3"/>
      <c r="T63" s="3"/>
      <c r="U63" s="3"/>
    </row>
    <row r="64" spans="1:21" ht="15.75">
      <c r="A64" s="15" t="s">
        <v>156</v>
      </c>
      <c r="B64" s="19">
        <v>19</v>
      </c>
      <c r="C64" s="33">
        <v>0</v>
      </c>
      <c r="D64" s="33">
        <v>19</v>
      </c>
      <c r="E64" s="33">
        <v>0</v>
      </c>
      <c r="F64" s="19"/>
      <c r="I64" s="8">
        <v>16</v>
      </c>
      <c r="J64" s="3">
        <v>0</v>
      </c>
      <c r="K64" s="3">
        <v>0</v>
      </c>
      <c r="L64" s="3">
        <v>2924</v>
      </c>
      <c r="M64" s="3">
        <v>250</v>
      </c>
      <c r="N64" s="3">
        <v>0</v>
      </c>
      <c r="O64" s="3">
        <v>0</v>
      </c>
      <c r="P64" s="3">
        <v>-2262</v>
      </c>
      <c r="Q64" s="3">
        <v>0</v>
      </c>
      <c r="R64" s="3">
        <f>SUM(J64:Q64)</f>
        <v>912</v>
      </c>
      <c r="S64" s="3"/>
      <c r="T64" s="3"/>
      <c r="U64" s="3"/>
    </row>
    <row r="65" spans="1:21" ht="15.75">
      <c r="A65" s="15" t="s">
        <v>157</v>
      </c>
      <c r="B65" s="19">
        <v>6</v>
      </c>
      <c r="C65" s="33">
        <v>0</v>
      </c>
      <c r="D65" s="33">
        <v>6</v>
      </c>
      <c r="E65" s="33">
        <v>0</v>
      </c>
      <c r="F65" s="19"/>
      <c r="I65" s="8" t="s">
        <v>146</v>
      </c>
      <c r="J65" s="3">
        <v>0</v>
      </c>
      <c r="K65" s="3">
        <v>0</v>
      </c>
      <c r="L65" s="3">
        <v>1872</v>
      </c>
      <c r="M65" s="3">
        <v>150</v>
      </c>
      <c r="N65" s="3">
        <v>-135</v>
      </c>
      <c r="O65" s="3">
        <v>-135</v>
      </c>
      <c r="P65" s="3">
        <v>-3300</v>
      </c>
      <c r="Q65" s="3">
        <v>0</v>
      </c>
      <c r="R65" s="3">
        <f>SUM(J65:Q65)</f>
        <v>-1548</v>
      </c>
      <c r="S65" s="3"/>
      <c r="T65" s="3"/>
      <c r="U65" s="3"/>
    </row>
    <row r="66" spans="1:21" ht="15.75">
      <c r="A66" s="15" t="s">
        <v>158</v>
      </c>
      <c r="B66" s="19">
        <v>22</v>
      </c>
      <c r="C66" s="33">
        <v>0</v>
      </c>
      <c r="D66" s="33">
        <v>22</v>
      </c>
      <c r="E66" s="33">
        <v>0</v>
      </c>
      <c r="F66" s="19"/>
      <c r="I66" s="8">
        <v>32</v>
      </c>
      <c r="J66" s="3">
        <v>0</v>
      </c>
      <c r="K66" s="3">
        <v>0</v>
      </c>
      <c r="L66" s="3">
        <v>1129</v>
      </c>
      <c r="M66" s="3">
        <v>100</v>
      </c>
      <c r="N66" s="3">
        <v>-132</v>
      </c>
      <c r="O66" s="3">
        <v>0</v>
      </c>
      <c r="P66" s="3">
        <v>23</v>
      </c>
      <c r="Q66" s="3">
        <v>0</v>
      </c>
      <c r="R66" s="3">
        <f t="shared" si="2"/>
        <v>1120</v>
      </c>
      <c r="S66" s="3"/>
      <c r="T66" s="3"/>
      <c r="U66" s="3"/>
    </row>
    <row r="67" spans="1:18" ht="15.75">
      <c r="A67" s="15" t="s">
        <v>234</v>
      </c>
      <c r="B67" s="19">
        <v>5</v>
      </c>
      <c r="C67" s="33">
        <v>0</v>
      </c>
      <c r="D67" s="33">
        <v>5</v>
      </c>
      <c r="E67" s="33">
        <v>0</v>
      </c>
      <c r="F67" s="19"/>
      <c r="I67" s="8" t="s">
        <v>147</v>
      </c>
      <c r="J67" s="3">
        <v>0</v>
      </c>
      <c r="K67" s="3">
        <v>0</v>
      </c>
      <c r="L67" s="3">
        <v>5594</v>
      </c>
      <c r="M67" s="3">
        <v>500</v>
      </c>
      <c r="N67" s="3">
        <v>-450</v>
      </c>
      <c r="O67" s="3">
        <v>-450</v>
      </c>
      <c r="P67" s="3">
        <v>-2968</v>
      </c>
      <c r="Q67" s="3">
        <v>0</v>
      </c>
      <c r="R67" s="3">
        <f t="shared" si="2"/>
        <v>2226</v>
      </c>
    </row>
    <row r="68" spans="1:18" ht="15.75">
      <c r="A68" s="15" t="s">
        <v>159</v>
      </c>
      <c r="B68" s="19">
        <v>2</v>
      </c>
      <c r="C68" s="33">
        <v>1</v>
      </c>
      <c r="D68" s="33">
        <v>2</v>
      </c>
      <c r="E68" s="33">
        <v>1</v>
      </c>
      <c r="F68" s="19"/>
      <c r="I68" s="8"/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f t="shared" si="2"/>
        <v>0</v>
      </c>
    </row>
    <row r="69" spans="1:18" ht="15.75">
      <c r="A69" s="15" t="s">
        <v>210</v>
      </c>
      <c r="B69" s="19">
        <v>11</v>
      </c>
      <c r="C69" s="33">
        <v>19</v>
      </c>
      <c r="D69" s="33">
        <v>11</v>
      </c>
      <c r="E69" s="33">
        <v>22</v>
      </c>
      <c r="F69" s="19"/>
      <c r="I69" s="8"/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f t="shared" si="2"/>
        <v>0</v>
      </c>
    </row>
    <row r="70" spans="1:18" ht="15.75">
      <c r="A70" s="15" t="s">
        <v>160</v>
      </c>
      <c r="B70" s="19">
        <v>5</v>
      </c>
      <c r="C70" s="33">
        <v>0</v>
      </c>
      <c r="D70" s="33">
        <v>5</v>
      </c>
      <c r="E70" s="33">
        <v>0</v>
      </c>
      <c r="F70" s="19"/>
      <c r="I70" s="8" t="s">
        <v>148</v>
      </c>
      <c r="J70" s="3">
        <v>0</v>
      </c>
      <c r="K70" s="49">
        <v>0</v>
      </c>
      <c r="L70" s="3">
        <v>3045</v>
      </c>
      <c r="M70" s="3">
        <v>250</v>
      </c>
      <c r="N70" s="3">
        <v>-225</v>
      </c>
      <c r="O70" s="3">
        <v>0</v>
      </c>
      <c r="P70" s="3">
        <v>-188</v>
      </c>
      <c r="Q70" s="3">
        <v>0</v>
      </c>
      <c r="R70" s="3">
        <f t="shared" si="2"/>
        <v>2882</v>
      </c>
    </row>
    <row r="71" spans="1:18" ht="15.75">
      <c r="A71" s="15" t="s">
        <v>188</v>
      </c>
      <c r="B71" s="19">
        <v>3</v>
      </c>
      <c r="C71" s="33">
        <v>1</v>
      </c>
      <c r="D71" s="33">
        <v>3</v>
      </c>
      <c r="E71" s="33">
        <v>1</v>
      </c>
      <c r="F71" s="19"/>
      <c r="I71" s="8" t="s">
        <v>149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-27</v>
      </c>
      <c r="Q71" s="5">
        <v>0</v>
      </c>
      <c r="R71" s="5">
        <f>SUM(J71:Q71)</f>
        <v>-27</v>
      </c>
    </row>
    <row r="72" spans="1:18" ht="15.75">
      <c r="A72" s="15" t="s">
        <v>161</v>
      </c>
      <c r="B72" s="19">
        <v>10</v>
      </c>
      <c r="C72" s="33">
        <v>0</v>
      </c>
      <c r="D72" s="33">
        <v>10</v>
      </c>
      <c r="E72" s="33">
        <v>0</v>
      </c>
      <c r="F72" s="19"/>
      <c r="I72" s="1" t="s">
        <v>7</v>
      </c>
      <c r="J72" s="3">
        <f aca="true" t="shared" si="3" ref="J72:R72">SUM(J52:J71)</f>
        <v>970</v>
      </c>
      <c r="K72" s="3">
        <f t="shared" si="3"/>
        <v>79</v>
      </c>
      <c r="L72" s="3">
        <f t="shared" si="3"/>
        <v>99836</v>
      </c>
      <c r="M72" s="3">
        <f t="shared" si="3"/>
        <v>9900</v>
      </c>
      <c r="N72" s="3">
        <f t="shared" si="3"/>
        <v>-2147</v>
      </c>
      <c r="O72" s="3">
        <f t="shared" si="3"/>
        <v>-3295</v>
      </c>
      <c r="P72" s="3">
        <f t="shared" si="3"/>
        <v>-134982</v>
      </c>
      <c r="Q72" s="3">
        <f t="shared" si="3"/>
        <v>-20</v>
      </c>
      <c r="R72" s="3">
        <f t="shared" si="3"/>
        <v>-29659</v>
      </c>
    </row>
    <row r="73" spans="1:18" ht="15.75">
      <c r="A73" s="15" t="s">
        <v>162</v>
      </c>
      <c r="B73" s="19">
        <v>5</v>
      </c>
      <c r="C73" s="33">
        <v>1</v>
      </c>
      <c r="D73" s="33">
        <v>5</v>
      </c>
      <c r="E73" s="33">
        <v>1</v>
      </c>
      <c r="F73" s="19"/>
      <c r="I73" s="1" t="s">
        <v>17</v>
      </c>
      <c r="J73" s="3"/>
      <c r="K73" s="3"/>
      <c r="L73" s="3"/>
      <c r="M73" s="3"/>
      <c r="N73" s="3"/>
      <c r="O73" s="3"/>
      <c r="P73" s="3"/>
      <c r="Q73" s="3"/>
      <c r="R73" s="3"/>
    </row>
    <row r="74" spans="1:6" ht="15.75">
      <c r="A74" s="15" t="s">
        <v>325</v>
      </c>
      <c r="B74" s="19">
        <v>2</v>
      </c>
      <c r="C74" s="33">
        <v>1</v>
      </c>
      <c r="D74" s="33">
        <v>2</v>
      </c>
      <c r="E74" s="33">
        <v>1</v>
      </c>
      <c r="F74" s="19"/>
    </row>
    <row r="75" spans="1:17" ht="18">
      <c r="A75" s="15" t="s">
        <v>163</v>
      </c>
      <c r="B75" s="21">
        <v>0</v>
      </c>
      <c r="C75" s="38">
        <v>1</v>
      </c>
      <c r="D75" s="38">
        <v>0</v>
      </c>
      <c r="E75" s="38">
        <v>1</v>
      </c>
      <c r="F75" s="19"/>
      <c r="Q75" s="3">
        <f>+Q72+O72+N72+K72+J72</f>
        <v>-4413</v>
      </c>
    </row>
    <row r="76" spans="1:6" ht="15.75">
      <c r="A76" s="26" t="s">
        <v>7</v>
      </c>
      <c r="B76" s="19">
        <f>SUM(B58:B75)</f>
        <v>197</v>
      </c>
      <c r="C76" s="33">
        <f>SUM(C58:C75)</f>
        <v>42</v>
      </c>
      <c r="D76" s="33">
        <f>SUM(D58:D75)</f>
        <v>199</v>
      </c>
      <c r="E76" s="33">
        <f>SUM(E58:E75)</f>
        <v>47</v>
      </c>
      <c r="F76" s="19"/>
    </row>
    <row r="77" spans="1:6" ht="15.75">
      <c r="A77" s="27" t="s">
        <v>178</v>
      </c>
      <c r="B77" s="19"/>
      <c r="C77" s="33"/>
      <c r="D77" s="33"/>
      <c r="E77" s="33"/>
      <c r="F77" s="19"/>
    </row>
    <row r="78" spans="1:6" ht="15.75">
      <c r="A78" s="26"/>
      <c r="B78" s="19"/>
      <c r="C78" s="33"/>
      <c r="D78" s="33"/>
      <c r="E78" s="33"/>
      <c r="F78" s="19"/>
    </row>
    <row r="79" spans="1:6" ht="15.75">
      <c r="A79" s="26"/>
      <c r="B79" s="19"/>
      <c r="C79" s="33"/>
      <c r="D79" s="33"/>
      <c r="E79" s="33"/>
      <c r="F79" s="19"/>
    </row>
    <row r="80" spans="1:6" ht="15.75">
      <c r="A80" s="26" t="s">
        <v>319</v>
      </c>
      <c r="B80" s="19"/>
      <c r="C80" s="33"/>
      <c r="D80" s="33"/>
      <c r="E80" s="33"/>
      <c r="F80" s="19"/>
    </row>
    <row r="81" spans="1:6" ht="15.75">
      <c r="A81" s="26" t="s">
        <v>292</v>
      </c>
      <c r="B81" s="19"/>
      <c r="C81" s="33"/>
      <c r="D81" s="33"/>
      <c r="E81" s="33"/>
      <c r="F81" s="19"/>
    </row>
    <row r="82" spans="1:6" ht="18">
      <c r="A82" s="17" t="s">
        <v>165</v>
      </c>
      <c r="B82" s="28" t="s">
        <v>167</v>
      </c>
      <c r="C82" s="50"/>
      <c r="D82" s="50" t="s">
        <v>166</v>
      </c>
      <c r="E82" s="43" t="s">
        <v>168</v>
      </c>
      <c r="F82" s="19"/>
    </row>
    <row r="83" spans="1:13" ht="15.75">
      <c r="A83" s="26" t="s">
        <v>375</v>
      </c>
      <c r="B83" s="40" t="s">
        <v>374</v>
      </c>
      <c r="C83" s="33"/>
      <c r="D83" s="33" t="s">
        <v>12</v>
      </c>
      <c r="E83" s="33">
        <v>37753</v>
      </c>
      <c r="F83" s="19"/>
      <c r="M83" s="3">
        <f>+'01-gen govt'!E15+'02-assessing'!E13+'03-fire'!E15+'04-police'!E15+'05-comm'!E14+'07-pub works'!E14+'08-highway'!E16+'09-solid waste'!E15+'11-parks mntc'!E15+'13-park &amp; rec'!E17+'16-equip mntc'!E15+'17-bldg &amp; grounds'!E16+'21-comm dev'!E15+'24-tax coll'!E15+'25-welfare'!E16+'10-wastewater'!E17+'15-library'!E15+'32- media'!E16</f>
        <v>226601</v>
      </c>
    </row>
    <row r="84" spans="1:13" ht="15.75">
      <c r="A84" s="26" t="s">
        <v>433</v>
      </c>
      <c r="B84" s="40" t="s">
        <v>434</v>
      </c>
      <c r="C84" s="33"/>
      <c r="D84" s="33" t="s">
        <v>164</v>
      </c>
      <c r="E84" s="33">
        <v>139484</v>
      </c>
      <c r="F84" s="19"/>
      <c r="M84" s="3"/>
    </row>
    <row r="85" spans="1:13" ht="18">
      <c r="A85" s="26" t="s">
        <v>428</v>
      </c>
      <c r="B85" s="40" t="s">
        <v>408</v>
      </c>
      <c r="C85" s="33"/>
      <c r="D85" s="33" t="s">
        <v>164</v>
      </c>
      <c r="E85" s="38">
        <v>9620</v>
      </c>
      <c r="F85" s="19"/>
      <c r="M85" s="3">
        <f>+M83-M29</f>
        <v>0</v>
      </c>
    </row>
    <row r="86" spans="1:6" ht="15.75">
      <c r="A86" s="26" t="s">
        <v>175</v>
      </c>
      <c r="B86" s="19"/>
      <c r="C86" s="33"/>
      <c r="D86" s="33"/>
      <c r="E86" s="33">
        <f>SUM(E83:E85)</f>
        <v>186857</v>
      </c>
      <c r="F86" s="19"/>
    </row>
    <row r="87" spans="1:6" ht="15.75">
      <c r="A87" s="26"/>
      <c r="B87" s="19"/>
      <c r="C87" s="33"/>
      <c r="D87" s="33"/>
      <c r="E87" s="33"/>
      <c r="F87" s="19"/>
    </row>
    <row r="88" spans="1:6" ht="15.75">
      <c r="A88" s="14" t="s">
        <v>23</v>
      </c>
      <c r="B88" s="15"/>
      <c r="C88" s="34"/>
      <c r="D88" s="34"/>
      <c r="E88" s="34"/>
      <c r="F88" s="15"/>
    </row>
    <row r="89" spans="1:6" ht="15.75">
      <c r="A89" s="15" t="s">
        <v>199</v>
      </c>
      <c r="B89" s="15"/>
      <c r="C89" s="33">
        <v>982000</v>
      </c>
      <c r="D89" s="34"/>
      <c r="E89" s="34" t="s">
        <v>17</v>
      </c>
      <c r="F89" s="15"/>
    </row>
    <row r="90" spans="1:6" ht="15.75">
      <c r="A90" s="15" t="s">
        <v>326</v>
      </c>
      <c r="B90" s="15"/>
      <c r="C90" s="33">
        <v>150000</v>
      </c>
      <c r="D90" s="34"/>
      <c r="E90" s="34"/>
      <c r="F90" s="15"/>
    </row>
    <row r="91" spans="1:6" ht="15.75">
      <c r="A91" s="15" t="s">
        <v>243</v>
      </c>
      <c r="B91" s="19"/>
      <c r="C91" s="33">
        <v>300000</v>
      </c>
      <c r="D91" s="34"/>
      <c r="E91" s="34"/>
      <c r="F91" s="15"/>
    </row>
    <row r="92" spans="1:6" ht="15.75">
      <c r="A92" s="15" t="s">
        <v>320</v>
      </c>
      <c r="B92" s="19"/>
      <c r="C92" s="33">
        <v>26500</v>
      </c>
      <c r="D92" s="34"/>
      <c r="E92" s="34"/>
      <c r="F92" s="15"/>
    </row>
    <row r="93" spans="1:6" ht="15.75">
      <c r="A93" s="15" t="s">
        <v>384</v>
      </c>
      <c r="B93" s="19"/>
      <c r="C93" s="33">
        <v>45800</v>
      </c>
      <c r="D93" s="34"/>
      <c r="E93" s="34"/>
      <c r="F93" s="15"/>
    </row>
    <row r="94" spans="1:6" ht="15.75">
      <c r="A94" s="15" t="s">
        <v>385</v>
      </c>
      <c r="B94" s="15"/>
      <c r="C94" s="19">
        <v>79400</v>
      </c>
      <c r="D94" s="34"/>
      <c r="E94" s="34"/>
      <c r="F94" s="15"/>
    </row>
    <row r="95" spans="1:6" ht="15.75">
      <c r="A95" s="15" t="s">
        <v>386</v>
      </c>
      <c r="B95" s="15"/>
      <c r="C95" s="33">
        <v>13000</v>
      </c>
      <c r="D95" s="34"/>
      <c r="E95" s="34"/>
      <c r="F95" s="15"/>
    </row>
    <row r="96" spans="1:6" ht="15.75">
      <c r="A96" s="15" t="s">
        <v>334</v>
      </c>
      <c r="B96" s="15"/>
      <c r="C96" s="33">
        <v>28000</v>
      </c>
      <c r="D96" s="34"/>
      <c r="E96" s="34"/>
      <c r="F96" s="15"/>
    </row>
    <row r="97" spans="1:6" ht="15.75">
      <c r="A97" s="15" t="s">
        <v>189</v>
      </c>
      <c r="B97" s="15"/>
      <c r="C97" s="33">
        <f>-1000+50725-13300</f>
        <v>36425</v>
      </c>
      <c r="D97" s="34" t="s">
        <v>17</v>
      </c>
      <c r="E97" s="34"/>
      <c r="F97" s="15"/>
    </row>
    <row r="98" spans="1:6" ht="15.75">
      <c r="A98" s="15" t="s">
        <v>387</v>
      </c>
      <c r="B98" s="15"/>
      <c r="C98" s="33">
        <v>11100</v>
      </c>
      <c r="D98" s="34"/>
      <c r="E98" s="34"/>
      <c r="F98" s="15"/>
    </row>
    <row r="99" spans="1:6" ht="15.75">
      <c r="A99" s="15" t="s">
        <v>236</v>
      </c>
      <c r="B99" s="15"/>
      <c r="C99" s="33">
        <v>5000</v>
      </c>
      <c r="D99" s="34"/>
      <c r="E99" s="34"/>
      <c r="F99" s="15"/>
    </row>
    <row r="100" spans="1:6" ht="15.75">
      <c r="A100" s="15" t="s">
        <v>355</v>
      </c>
      <c r="B100" s="15"/>
      <c r="C100" s="51">
        <v>5000</v>
      </c>
      <c r="D100" s="34"/>
      <c r="E100" s="34"/>
      <c r="F100" s="15"/>
    </row>
    <row r="101" spans="1:6" ht="15.75">
      <c r="A101" s="15" t="s">
        <v>356</v>
      </c>
      <c r="B101" s="15"/>
      <c r="C101" s="51">
        <v>5000</v>
      </c>
      <c r="D101" s="34"/>
      <c r="E101" s="34"/>
      <c r="F101" s="15"/>
    </row>
    <row r="102" spans="1:6" ht="15.75">
      <c r="A102" s="15" t="s">
        <v>388</v>
      </c>
      <c r="B102" s="15"/>
      <c r="C102" s="33">
        <v>250000</v>
      </c>
      <c r="D102" s="34"/>
      <c r="E102" s="34"/>
      <c r="F102" s="15"/>
    </row>
    <row r="103" spans="1:6" ht="18">
      <c r="A103" s="15" t="s">
        <v>177</v>
      </c>
      <c r="B103" s="15"/>
      <c r="C103" s="38">
        <f>19425+43500+43802-61501-4500-2000-15900</f>
        <v>22826</v>
      </c>
      <c r="D103" s="34"/>
      <c r="E103" s="34"/>
      <c r="F103" s="15"/>
    </row>
    <row r="104" spans="1:6" ht="15.75">
      <c r="A104" s="15" t="s">
        <v>7</v>
      </c>
      <c r="B104" s="15"/>
      <c r="C104" s="33">
        <f>SUM(C89:C103)</f>
        <v>1960051</v>
      </c>
      <c r="D104" s="34"/>
      <c r="E104" s="34"/>
      <c r="F104" s="15"/>
    </row>
    <row r="105" spans="1:6" ht="15.75">
      <c r="A105" s="15"/>
      <c r="B105" s="15"/>
      <c r="C105" s="34"/>
      <c r="D105" s="34"/>
      <c r="E105" s="34"/>
      <c r="F105" s="15"/>
    </row>
    <row r="106" ht="12.75">
      <c r="C106" s="32"/>
    </row>
    <row r="107" spans="1:3" ht="15.75">
      <c r="A107" s="15"/>
      <c r="C107" s="33"/>
    </row>
    <row r="108" ht="12.75">
      <c r="C108" s="32">
        <f>+C104-D8</f>
        <v>-4545957</v>
      </c>
    </row>
  </sheetData>
  <mergeCells count="5">
    <mergeCell ref="I1:U1"/>
    <mergeCell ref="E5:F5"/>
    <mergeCell ref="A1:F1"/>
    <mergeCell ref="A3:F3"/>
    <mergeCell ref="A2:F2"/>
  </mergeCells>
  <printOptions gridLines="1"/>
  <pageMargins left="0.75" right="0.17" top="0.38" bottom="0.67" header="0.5" footer="0.18"/>
  <pageSetup firstPageNumber="5" useFirstPageNumber="1" fitToHeight="2" horizontalDpi="600" verticalDpi="600" orientation="portrait" scale="72" r:id="rId1"/>
  <rowBreaks count="1" manualBreakCount="1">
    <brk id="54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96"/>
  <sheetViews>
    <sheetView view="pageBreakPreview" zoomScale="60" workbookViewId="0" topLeftCell="A1">
      <selection activeCell="E14" sqref="E14:E25"/>
    </sheetView>
  </sheetViews>
  <sheetFormatPr defaultColWidth="9.140625" defaultRowHeight="12.75"/>
  <cols>
    <col min="1" max="1" width="59.28125" style="0" customWidth="1"/>
    <col min="2" max="2" width="19.140625" style="0" customWidth="1"/>
    <col min="3" max="3" width="16.421875" style="39" customWidth="1"/>
    <col min="4" max="4" width="14.28125" style="39" bestFit="1" customWidth="1"/>
    <col min="5" max="5" width="13.7109375" style="55" bestFit="1" customWidth="1"/>
    <col min="6" max="6" width="13.28125" style="39" bestFit="1" customWidth="1"/>
    <col min="7" max="7" width="10.8515625" style="39" bestFit="1" customWidth="1"/>
    <col min="8" max="8" width="8.8515625" style="39" customWidth="1"/>
    <col min="9" max="9" width="8.57421875" style="39" customWidth="1"/>
    <col min="10" max="10" width="12.28125" style="39" bestFit="1" customWidth="1"/>
    <col min="11" max="11" width="10.7109375" style="39" bestFit="1" customWidth="1"/>
    <col min="12" max="12" width="10.8515625" style="39" bestFit="1" customWidth="1"/>
    <col min="13" max="13" width="11.421875" style="39" bestFit="1" customWidth="1"/>
    <col min="14" max="14" width="9.57421875" style="39" bestFit="1" customWidth="1"/>
    <col min="15" max="15" width="9.7109375" style="39" bestFit="1" customWidth="1"/>
    <col min="16" max="16" width="10.421875" style="39" bestFit="1" customWidth="1"/>
    <col min="17" max="17" width="9.7109375" style="39" bestFit="1" customWidth="1"/>
    <col min="18" max="18" width="10.8515625" style="0" bestFit="1" customWidth="1"/>
    <col min="19" max="19" width="9.7109375" style="0" bestFit="1" customWidth="1"/>
    <col min="20" max="20" width="9.421875" style="0" bestFit="1" customWidth="1"/>
    <col min="21" max="21" width="9.57421875" style="0" bestFit="1" customWidth="1"/>
  </cols>
  <sheetData>
    <row r="1" spans="1:21" ht="15.75">
      <c r="A1" s="71" t="s">
        <v>407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5.75">
      <c r="A2" s="71" t="s">
        <v>417</v>
      </c>
      <c r="B2" s="71"/>
      <c r="C2" s="71"/>
      <c r="D2" s="71"/>
      <c r="E2" s="71"/>
      <c r="F2" s="71"/>
      <c r="I2" s="56"/>
      <c r="J2" s="56"/>
      <c r="K2" s="56"/>
      <c r="L2" s="56"/>
      <c r="M2" s="56"/>
      <c r="N2" s="56"/>
      <c r="O2" s="56"/>
      <c r="P2" s="56"/>
      <c r="Q2" s="56"/>
      <c r="R2" s="13"/>
      <c r="S2" s="13"/>
      <c r="T2" s="13"/>
      <c r="U2" s="13"/>
    </row>
    <row r="3" spans="1:6" ht="15.75">
      <c r="A3" s="71" t="s">
        <v>17</v>
      </c>
      <c r="B3" s="71"/>
      <c r="C3" s="71"/>
      <c r="D3" s="71"/>
      <c r="E3" s="71"/>
      <c r="F3" s="71"/>
    </row>
    <row r="4" spans="1:6" ht="15.75">
      <c r="A4" s="14" t="s">
        <v>1</v>
      </c>
      <c r="B4" s="15"/>
      <c r="C4" s="34"/>
      <c r="D4" s="34"/>
      <c r="E4" s="34"/>
      <c r="F4" s="34"/>
    </row>
    <row r="5" spans="1:21" ht="15.75">
      <c r="A5" s="14"/>
      <c r="B5" s="16" t="s">
        <v>2</v>
      </c>
      <c r="C5" s="16" t="s">
        <v>3</v>
      </c>
      <c r="D5" s="16" t="s">
        <v>3</v>
      </c>
      <c r="E5" s="74" t="s">
        <v>4</v>
      </c>
      <c r="F5" s="74"/>
      <c r="O5" s="57" t="s">
        <v>17</v>
      </c>
      <c r="P5" s="57"/>
      <c r="R5" s="1"/>
      <c r="S5" s="1"/>
      <c r="T5" s="1"/>
      <c r="U5" s="1"/>
    </row>
    <row r="6" spans="1:21" ht="15.75">
      <c r="A6" s="14"/>
      <c r="B6" s="18" t="s">
        <v>281</v>
      </c>
      <c r="C6" s="18" t="s">
        <v>303</v>
      </c>
      <c r="D6" s="18" t="s">
        <v>329</v>
      </c>
      <c r="E6" s="36" t="s">
        <v>5</v>
      </c>
      <c r="F6" s="36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405</v>
      </c>
      <c r="Q6" s="58" t="s">
        <v>13</v>
      </c>
      <c r="R6" s="2" t="s">
        <v>170</v>
      </c>
      <c r="S6" s="2" t="s">
        <v>187</v>
      </c>
      <c r="T6" s="2" t="s">
        <v>295</v>
      </c>
      <c r="U6" s="2" t="s">
        <v>169</v>
      </c>
    </row>
    <row r="7" spans="1:22" ht="15.75">
      <c r="A7" s="15" t="s">
        <v>422</v>
      </c>
      <c r="B7" s="19">
        <f>+'01-gen govt'!B7+'02-assessing'!B7+'03-fire'!B7+'04-police'!B7+'05-comm'!B7+'07-pub works'!B7+'08-highway'!B7+'09-solid waste'!B7+'11-parks mntc'!B7+'13-park &amp; rec'!B7+'15-library'!B7+'16-equip mntc'!B7+'17-bldg &amp; grounds'!B7+'21-comm dev'!B7+'24-tax coll'!B7+'25-welfare'!B7+'27-debt svc'!B7</f>
        <v>13853775.92</v>
      </c>
      <c r="C7" s="19">
        <f>+'01-gen govt'!C7+'02-assessing'!C7+'03-fire'!C7+'04-police'!C7+'05-comm'!C7+'07-pub works'!C7+'08-highway'!C7+'09-solid waste'!C7+'11-parks mntc'!C7+'13-park &amp; rec'!C7+'15-library'!C7+'16-equip mntc'!C7+'17-bldg &amp; grounds'!C7+'21-comm dev'!C7+'24-tax coll'!C7+'25-welfare'!C7+'27-debt svc'!C7</f>
        <v>15534828</v>
      </c>
      <c r="D7" s="19">
        <f>+'01-gen govt'!D7+'02-assessing'!D7+'03-fire'!D7+'04-police'!D7+'05-comm'!D7+'07-pub works'!D7+'08-highway'!D7+'09-solid waste'!D7+'11-parks mntc'!D7+'13-park &amp; rec'!D7+'15-library'!D7+'16-equip mntc'!D7+'17-bldg &amp; grounds'!D7+'21-comm dev'!D7+'24-tax coll'!D7+'25-welfare'!D7+'27-debt svc'!D7</f>
        <v>15586288.32</v>
      </c>
      <c r="E7" s="33">
        <f>+D7-C7</f>
        <v>51460.3200000003</v>
      </c>
      <c r="F7" s="59">
        <f>ROUND((E7/C7)*100,2)</f>
        <v>0.33</v>
      </c>
      <c r="I7" s="60" t="s">
        <v>137</v>
      </c>
      <c r="J7" s="3">
        <f>SUM(K7:U7)</f>
        <v>-559584</v>
      </c>
      <c r="K7" s="3">
        <v>28632</v>
      </c>
      <c r="L7" s="3">
        <v>14316</v>
      </c>
      <c r="M7" s="3">
        <v>13332</v>
      </c>
      <c r="N7" s="3">
        <v>0</v>
      </c>
      <c r="O7" s="3">
        <v>3746</v>
      </c>
      <c r="P7" s="3">
        <v>0</v>
      </c>
      <c r="Q7" s="3">
        <v>0</v>
      </c>
      <c r="R7" s="3">
        <v>0</v>
      </c>
      <c r="S7" s="3">
        <v>-68883</v>
      </c>
      <c r="T7" s="3">
        <v>0</v>
      </c>
      <c r="U7" s="3">
        <v>-550727</v>
      </c>
      <c r="V7" t="s">
        <v>17</v>
      </c>
    </row>
    <row r="8" spans="1:21" ht="15.75">
      <c r="A8" s="15" t="s">
        <v>378</v>
      </c>
      <c r="B8" s="19">
        <f>+'01-gen govt'!B8+'02-assessing'!B8+'03-fire'!B8+'04-police'!B8+'05-comm'!B8+'07-pub works'!B8+'08-highway'!B8+'09-solid waste'!B8+'11-parks mntc'!B8+'13-park &amp; rec'!B8+'15-library'!B8+'16-equip mntc'!B8+'17-bldg &amp; grounds'!B8+'21-comm dev'!B8+'24-tax coll'!B8+'25-welfare'!B8+'27-debt svc'!B8</f>
        <v>4061440.01</v>
      </c>
      <c r="C8" s="19">
        <f>+'01-gen govt'!C8+'02-assessing'!C8+'03-fire'!C8+'04-police'!C8+'05-comm'!C8+'07-pub works'!C8+'08-highway'!C8+'09-solid waste'!C8+'11-parks mntc'!C8+'13-park &amp; rec'!C8+'15-library'!C8+'16-equip mntc'!C8+'17-bldg &amp; grounds'!C8+'21-comm dev'!C8+'24-tax coll'!C8+'25-welfare'!C8+'27-debt svc'!C8</f>
        <v>4241095</v>
      </c>
      <c r="D8" s="19">
        <f>+'01-gen govt'!D8+'02-assessing'!D8+'03-fire'!D8+'04-police'!D8+'05-comm'!D8+'07-pub works'!D8+'08-highway'!D8+'09-solid waste'!D8+'11-parks mntc'!D8+'13-park &amp; rec'!D8+'15-library'!D8+'16-equip mntc'!D8+'17-bldg &amp; grounds'!D8+'21-comm dev'!D8+'24-tax coll'!D8+'25-welfare'!D8+'27-debt svc'!D8</f>
        <v>4257955</v>
      </c>
      <c r="E8" s="33">
        <f>+D8-C8</f>
        <v>16860</v>
      </c>
      <c r="F8" s="59">
        <f>ROUND((E8/C8)*100,2)</f>
        <v>0.4</v>
      </c>
      <c r="I8" s="60" t="s">
        <v>138</v>
      </c>
      <c r="J8" s="3">
        <f aca="true" t="shared" si="0" ref="J8:J17">SUM(K8:U8)</f>
        <v>8435</v>
      </c>
      <c r="K8" s="3">
        <v>4274</v>
      </c>
      <c r="L8" s="3">
        <v>1111</v>
      </c>
      <c r="M8" s="3">
        <v>3050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15.75">
      <c r="A9" s="15" t="s">
        <v>23</v>
      </c>
      <c r="B9" s="19">
        <f>+'01-gen govt'!B9+'02-assessing'!B9+'03-fire'!B9+'04-police'!B9+'05-comm'!B9+'07-pub works'!B9+'08-highway'!B9+'09-solid waste'!B9+'11-parks mntc'!B9+'13-park &amp; rec'!B9+'15-library'!B9+'16-equip mntc'!B9+'17-bldg &amp; grounds'!B9+'21-comm dev'!B9+'24-tax coll'!B9+'25-welfare'!B9+'27-debt svc'!B9</f>
        <v>2053701</v>
      </c>
      <c r="C9" s="19">
        <f>+'01-gen govt'!C9+'02-assessing'!C9+'03-fire'!C9+'04-police'!C9+'05-comm'!C9+'07-pub works'!C9+'08-highway'!C9+'09-solid waste'!C9+'11-parks mntc'!C9+'13-park &amp; rec'!C9+'15-library'!C9+'16-equip mntc'!C9+'17-bldg &amp; grounds'!C9+'21-comm dev'!C9+'24-tax coll'!C9+'25-welfare'!C9+'27-debt svc'!C9</f>
        <v>1303942</v>
      </c>
      <c r="D9" s="19">
        <f>+'01-gen govt'!D9+'02-assessing'!D9+'03-fire'!D9+'04-police'!D9+'05-comm'!D9+'07-pub works'!D9+'08-highway'!D9+'09-solid waste'!D9+'11-parks mntc'!D9+'13-park &amp; rec'!D9+'15-library'!D9+'16-equip mntc'!D9+'17-bldg &amp; grounds'!D9+'21-comm dev'!D9+'24-tax coll'!D9+'25-welfare'!D9+'27-debt svc'!D9</f>
        <v>1798451</v>
      </c>
      <c r="E9" s="33">
        <f>+D9-C9</f>
        <v>494509</v>
      </c>
      <c r="F9" s="59">
        <f>ROUND((E9/C9)*100,2)</f>
        <v>37.92</v>
      </c>
      <c r="I9" s="60" t="s">
        <v>139</v>
      </c>
      <c r="J9" s="3">
        <f t="shared" si="0"/>
        <v>141029</v>
      </c>
      <c r="K9" s="3">
        <v>119766</v>
      </c>
      <c r="L9" s="3">
        <v>-57587</v>
      </c>
      <c r="M9" s="3">
        <v>50015</v>
      </c>
      <c r="N9" s="3">
        <v>0</v>
      </c>
      <c r="O9" s="3">
        <v>2633</v>
      </c>
      <c r="P9" s="3">
        <v>-4173</v>
      </c>
      <c r="Q9" s="3">
        <v>-7378</v>
      </c>
      <c r="R9" s="3">
        <v>37753</v>
      </c>
      <c r="S9" s="3">
        <v>0</v>
      </c>
      <c r="T9" s="3">
        <v>0</v>
      </c>
      <c r="U9" s="3">
        <v>0</v>
      </c>
    </row>
    <row r="10" spans="1:21" ht="18">
      <c r="A10" s="15" t="s">
        <v>421</v>
      </c>
      <c r="B10" s="64">
        <f>+'27-debt svc'!B15+'27-debt svc'!B16+'27-debt svc'!B18</f>
        <v>401623</v>
      </c>
      <c r="C10" s="64">
        <f>+'27-debt svc'!C15+'27-debt svc'!C16+'27-debt svc'!C18-1708000</f>
        <v>436143</v>
      </c>
      <c r="D10" s="64">
        <f>+'27-debt svc'!D15+'27-debt svc'!D16+'27-debt svc'!D18</f>
        <v>529685</v>
      </c>
      <c r="E10" s="37">
        <f>+D10-C10</f>
        <v>93542</v>
      </c>
      <c r="F10" s="61">
        <f>ROUND((E10/C10)*100,2)</f>
        <v>21.45</v>
      </c>
      <c r="I10" s="60" t="s">
        <v>140</v>
      </c>
      <c r="J10" s="3">
        <f t="shared" si="0"/>
        <v>29099</v>
      </c>
      <c r="K10" s="3">
        <v>-20983</v>
      </c>
      <c r="L10" s="3">
        <v>-1427</v>
      </c>
      <c r="M10" s="3">
        <v>51509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5.75">
      <c r="A11" s="15" t="s">
        <v>7</v>
      </c>
      <c r="B11" s="19">
        <f>SUM(B7:B10)</f>
        <v>20370539.93</v>
      </c>
      <c r="C11" s="33">
        <f>SUM(C7:C10)</f>
        <v>21516008</v>
      </c>
      <c r="D11" s="33">
        <f>SUM(D7:D10)</f>
        <v>22172379.32</v>
      </c>
      <c r="E11" s="33">
        <f>SUM(E7:E10)</f>
        <v>656371.3200000003</v>
      </c>
      <c r="F11" s="59">
        <f>ROUND((E11/C11)*100,2)</f>
        <v>3.05</v>
      </c>
      <c r="I11" s="60" t="s">
        <v>141</v>
      </c>
      <c r="J11" s="3">
        <f t="shared" si="0"/>
        <v>29428</v>
      </c>
      <c r="K11" s="3">
        <v>17334</v>
      </c>
      <c r="L11" s="3">
        <v>4304</v>
      </c>
      <c r="M11" s="3">
        <v>7504</v>
      </c>
      <c r="N11" s="3">
        <v>0</v>
      </c>
      <c r="O11" s="3">
        <v>0</v>
      </c>
      <c r="P11" s="3">
        <v>0</v>
      </c>
      <c r="Q11" s="3">
        <v>286</v>
      </c>
      <c r="R11" s="3">
        <v>0</v>
      </c>
      <c r="S11" s="3">
        <v>0</v>
      </c>
      <c r="T11" s="3">
        <v>0</v>
      </c>
      <c r="U11" s="3">
        <v>0</v>
      </c>
    </row>
    <row r="12" spans="1:21" ht="15.75">
      <c r="A12" s="15"/>
      <c r="B12" s="19"/>
      <c r="C12" s="33"/>
      <c r="D12" s="33"/>
      <c r="E12" s="33"/>
      <c r="F12" s="33"/>
      <c r="I12" s="60" t="s">
        <v>142</v>
      </c>
      <c r="J12" s="3">
        <f t="shared" si="0"/>
        <v>16371</v>
      </c>
      <c r="K12" s="3">
        <v>12328</v>
      </c>
      <c r="L12" s="3">
        <f>-495+1746</f>
        <v>1251</v>
      </c>
      <c r="M12" s="3">
        <v>2297</v>
      </c>
      <c r="N12" s="3">
        <f>425+33+37</f>
        <v>495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15.75">
      <c r="A13" s="14" t="s">
        <v>16</v>
      </c>
      <c r="B13" s="19"/>
      <c r="C13" s="33"/>
      <c r="D13" s="33"/>
      <c r="E13" s="33"/>
      <c r="F13" s="33"/>
      <c r="G13" s="39" t="s">
        <v>17</v>
      </c>
      <c r="I13" s="60" t="s">
        <v>143</v>
      </c>
      <c r="J13" s="3">
        <f t="shared" si="0"/>
        <v>63628</v>
      </c>
      <c r="K13" s="3">
        <v>45039</v>
      </c>
      <c r="L13" s="3">
        <v>9566</v>
      </c>
      <c r="M13" s="3">
        <v>14975</v>
      </c>
      <c r="N13" s="3">
        <v>0</v>
      </c>
      <c r="O13" s="3">
        <v>0</v>
      </c>
      <c r="P13" s="3">
        <v>0</v>
      </c>
      <c r="Q13" s="3">
        <v>-5952</v>
      </c>
      <c r="R13" s="3">
        <v>0</v>
      </c>
      <c r="S13" s="3">
        <v>0</v>
      </c>
      <c r="T13" s="3">
        <v>0</v>
      </c>
      <c r="U13" s="3">
        <v>0</v>
      </c>
    </row>
    <row r="14" spans="1:21" ht="15.75">
      <c r="A14" s="15" t="s">
        <v>31</v>
      </c>
      <c r="B14" s="19"/>
      <c r="C14" s="33"/>
      <c r="D14" s="33"/>
      <c r="E14" s="33">
        <f>+K31+P31-2</f>
        <v>328350</v>
      </c>
      <c r="F14" s="33"/>
      <c r="G14" s="32"/>
      <c r="I14" s="60" t="s">
        <v>144</v>
      </c>
      <c r="J14" s="3">
        <f t="shared" si="0"/>
        <v>32873</v>
      </c>
      <c r="K14" s="3">
        <v>21713</v>
      </c>
      <c r="L14" s="3">
        <v>2283</v>
      </c>
      <c r="M14" s="3">
        <v>6178</v>
      </c>
      <c r="N14" s="3">
        <v>0</v>
      </c>
      <c r="O14" s="3">
        <v>2699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ht="15.75">
      <c r="A15" s="15" t="s">
        <v>171</v>
      </c>
      <c r="B15" s="19"/>
      <c r="C15" s="33"/>
      <c r="D15" s="33"/>
      <c r="E15" s="33">
        <f>+E79</f>
        <v>186857</v>
      </c>
      <c r="F15" s="33"/>
      <c r="G15" s="32"/>
      <c r="I15" s="60" t="s">
        <v>145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5.75">
      <c r="A16" s="15" t="s">
        <v>333</v>
      </c>
      <c r="B16" s="19"/>
      <c r="C16" s="33"/>
      <c r="D16" s="33"/>
      <c r="E16" s="33">
        <f>+M70</f>
        <v>200322</v>
      </c>
      <c r="F16" s="33"/>
      <c r="G16" s="32"/>
      <c r="I16" s="60">
        <v>11</v>
      </c>
      <c r="J16" s="3">
        <f t="shared" si="0"/>
        <v>21547</v>
      </c>
      <c r="K16" s="3">
        <v>18439</v>
      </c>
      <c r="L16" s="3">
        <v>-1063</v>
      </c>
      <c r="M16" s="3">
        <v>4171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ht="15.75">
      <c r="A17" s="15" t="s">
        <v>46</v>
      </c>
      <c r="B17" s="19"/>
      <c r="C17" s="33"/>
      <c r="D17" s="33"/>
      <c r="E17" s="33">
        <f>+O31</f>
        <v>11160</v>
      </c>
      <c r="F17" s="33"/>
      <c r="G17" s="32"/>
      <c r="I17" s="60">
        <v>13</v>
      </c>
      <c r="J17" s="3">
        <f t="shared" si="0"/>
        <v>16137</v>
      </c>
      <c r="K17" s="3">
        <v>2048</v>
      </c>
      <c r="L17" s="3">
        <v>304</v>
      </c>
      <c r="M17" s="3">
        <v>2366</v>
      </c>
      <c r="N17" s="3">
        <f>901+69+79</f>
        <v>1049</v>
      </c>
      <c r="O17" s="3">
        <v>-100</v>
      </c>
      <c r="P17" s="3">
        <v>0</v>
      </c>
      <c r="Q17" s="3">
        <v>851</v>
      </c>
      <c r="R17" s="3">
        <f>-28268+37887</f>
        <v>9619</v>
      </c>
      <c r="S17" s="3">
        <v>0</v>
      </c>
      <c r="T17" s="3">
        <v>0</v>
      </c>
      <c r="U17" s="3">
        <v>0</v>
      </c>
    </row>
    <row r="18" spans="1:21" ht="15.75">
      <c r="A18" s="15" t="s">
        <v>47</v>
      </c>
      <c r="B18" s="19"/>
      <c r="C18" s="33"/>
      <c r="D18" s="33"/>
      <c r="E18" s="33">
        <f>+Q31</f>
        <v>-18723</v>
      </c>
      <c r="F18" s="33"/>
      <c r="G18" s="32"/>
      <c r="I18" s="60">
        <v>15</v>
      </c>
      <c r="J18" s="32">
        <f aca="true" t="shared" si="1" ref="J18:J23">SUM(K18:U18)</f>
        <v>16057</v>
      </c>
      <c r="K18" s="32">
        <v>21537</v>
      </c>
      <c r="L18" s="32">
        <v>-15063</v>
      </c>
      <c r="M18" s="32">
        <v>20137</v>
      </c>
      <c r="N18" s="32">
        <v>0</v>
      </c>
      <c r="O18" s="32">
        <v>0</v>
      </c>
      <c r="P18" s="32">
        <v>0</v>
      </c>
      <c r="Q18" s="32">
        <v>0</v>
      </c>
      <c r="R18" s="3">
        <v>-10554</v>
      </c>
      <c r="S18" s="3">
        <v>0</v>
      </c>
      <c r="T18" s="3">
        <v>0</v>
      </c>
      <c r="U18" s="3">
        <v>0</v>
      </c>
    </row>
    <row r="19" spans="1:21" ht="15.75">
      <c r="A19" s="15" t="s">
        <v>172</v>
      </c>
      <c r="B19" s="19"/>
      <c r="C19" s="33"/>
      <c r="D19" s="33"/>
      <c r="E19" s="33">
        <f>+'01-gen govt'!E16</f>
        <v>-68883</v>
      </c>
      <c r="F19" s="33"/>
      <c r="G19" s="32"/>
      <c r="I19" s="60">
        <v>16</v>
      </c>
      <c r="J19" s="32">
        <f t="shared" si="1"/>
        <v>18805</v>
      </c>
      <c r="K19" s="32">
        <v>13180</v>
      </c>
      <c r="L19" s="32">
        <v>912</v>
      </c>
      <c r="M19" s="32">
        <v>5088</v>
      </c>
      <c r="N19" s="32">
        <v>0</v>
      </c>
      <c r="O19" s="32">
        <v>0</v>
      </c>
      <c r="P19" s="32">
        <v>0</v>
      </c>
      <c r="Q19" s="32">
        <v>-375</v>
      </c>
      <c r="R19" s="3">
        <v>0</v>
      </c>
      <c r="S19" s="3">
        <v>0</v>
      </c>
      <c r="T19" s="3">
        <v>0</v>
      </c>
      <c r="U19" s="3">
        <v>0</v>
      </c>
    </row>
    <row r="20" spans="1:21" ht="15.75">
      <c r="A20" s="15" t="s">
        <v>390</v>
      </c>
      <c r="B20" s="19"/>
      <c r="C20" s="33"/>
      <c r="D20" s="33"/>
      <c r="E20" s="33">
        <v>-202926</v>
      </c>
      <c r="F20" s="33"/>
      <c r="G20" s="32"/>
      <c r="I20" s="60">
        <v>17</v>
      </c>
      <c r="J20" s="32">
        <f t="shared" si="1"/>
        <v>454</v>
      </c>
      <c r="K20" s="32">
        <v>5228</v>
      </c>
      <c r="L20" s="32">
        <f>-1490-58</f>
        <v>-1548</v>
      </c>
      <c r="M20" s="32">
        <v>2871</v>
      </c>
      <c r="N20" s="32">
        <v>58</v>
      </c>
      <c r="O20" s="32">
        <v>0</v>
      </c>
      <c r="P20" s="32">
        <v>0</v>
      </c>
      <c r="Q20" s="32">
        <v>-6155</v>
      </c>
      <c r="R20" s="3">
        <v>0</v>
      </c>
      <c r="S20" s="3">
        <v>0</v>
      </c>
      <c r="T20" s="3">
        <v>0</v>
      </c>
      <c r="U20" s="3">
        <v>0</v>
      </c>
    </row>
    <row r="21" spans="1:21" ht="15.75">
      <c r="A21" s="15" t="s">
        <v>389</v>
      </c>
      <c r="B21" s="19"/>
      <c r="C21" s="33"/>
      <c r="D21" s="33"/>
      <c r="E21" s="33">
        <v>-347801</v>
      </c>
      <c r="F21" s="33"/>
      <c r="G21" s="32"/>
      <c r="I21" s="60">
        <v>32</v>
      </c>
      <c r="J21" s="32">
        <f t="shared" si="1"/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5.75">
      <c r="A22" s="15" t="s">
        <v>173</v>
      </c>
      <c r="B22" s="19"/>
      <c r="C22" s="33"/>
      <c r="D22" s="33"/>
      <c r="E22" s="33">
        <f>+L61</f>
        <v>71471</v>
      </c>
      <c r="F22" s="33"/>
      <c r="G22" s="32"/>
      <c r="I22" s="60" t="s">
        <v>147</v>
      </c>
      <c r="J22" s="32">
        <f t="shared" si="1"/>
        <v>45193</v>
      </c>
      <c r="K22" s="32">
        <v>29649</v>
      </c>
      <c r="L22" s="32">
        <f>-1866+4092</f>
        <v>2226</v>
      </c>
      <c r="M22" s="32">
        <v>11452</v>
      </c>
      <c r="N22" s="32">
        <v>1866</v>
      </c>
      <c r="O22" s="32">
        <v>0</v>
      </c>
      <c r="P22" s="32">
        <v>0</v>
      </c>
      <c r="Q22" s="32">
        <v>0</v>
      </c>
      <c r="R22" s="3">
        <v>0</v>
      </c>
      <c r="S22" s="3">
        <v>0</v>
      </c>
      <c r="T22" s="3">
        <v>0</v>
      </c>
      <c r="U22" s="3">
        <v>0</v>
      </c>
    </row>
    <row r="23" spans="1:21" ht="15.75">
      <c r="A23" s="15" t="s">
        <v>382</v>
      </c>
      <c r="B23" s="19"/>
      <c r="C23" s="33"/>
      <c r="D23" s="33"/>
      <c r="E23" s="33">
        <f>+M61</f>
        <v>8200</v>
      </c>
      <c r="F23" s="33"/>
      <c r="G23" s="32"/>
      <c r="I23" s="60"/>
      <c r="J23" s="32">
        <f t="shared" si="1"/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5.75">
      <c r="A24" s="15" t="s">
        <v>406</v>
      </c>
      <c r="B24" s="19"/>
      <c r="C24" s="33"/>
      <c r="D24" s="33"/>
      <c r="E24" s="33">
        <f>+P61</f>
        <v>-124828</v>
      </c>
      <c r="F24" s="33"/>
      <c r="G24" s="32"/>
      <c r="I24" s="60"/>
      <c r="J24" s="32"/>
      <c r="K24" s="32"/>
      <c r="L24" s="32"/>
      <c r="M24" s="32"/>
      <c r="N24" s="32"/>
      <c r="O24" s="32"/>
      <c r="P24" s="32"/>
      <c r="Q24" s="32"/>
      <c r="R24" s="3"/>
      <c r="S24" s="3"/>
      <c r="T24" s="3"/>
      <c r="U24" s="3"/>
    </row>
    <row r="25" spans="1:21" ht="15.75">
      <c r="A25" s="15" t="s">
        <v>383</v>
      </c>
      <c r="B25" s="19"/>
      <c r="C25" s="33"/>
      <c r="D25" s="33"/>
      <c r="E25" s="33">
        <v>9961</v>
      </c>
      <c r="F25" s="33"/>
      <c r="G25" s="32"/>
      <c r="I25" s="60" t="s">
        <v>148</v>
      </c>
      <c r="J25" s="32">
        <f>SUM(K25:U25)</f>
        <v>20602</v>
      </c>
      <c r="K25" s="32">
        <v>13121</v>
      </c>
      <c r="L25" s="32">
        <f>83+2799</f>
        <v>2882</v>
      </c>
      <c r="M25" s="32">
        <v>4682</v>
      </c>
      <c r="N25" s="32">
        <v>-83</v>
      </c>
      <c r="O25" s="32">
        <v>0</v>
      </c>
      <c r="P25" s="32">
        <v>0</v>
      </c>
      <c r="Q25" s="32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5.75">
      <c r="A26" s="15" t="s">
        <v>344</v>
      </c>
      <c r="B26" s="19"/>
      <c r="C26" s="33"/>
      <c r="D26" s="33"/>
      <c r="E26" s="33">
        <v>15002</v>
      </c>
      <c r="F26" s="33"/>
      <c r="G26" s="32"/>
      <c r="I26" s="60" t="s">
        <v>149</v>
      </c>
      <c r="J26" s="62">
        <f>SUM(K26:U26)</f>
        <v>4070</v>
      </c>
      <c r="K26" s="63">
        <v>1220</v>
      </c>
      <c r="L26" s="63">
        <v>-27</v>
      </c>
      <c r="M26" s="63">
        <v>695</v>
      </c>
      <c r="N26" s="63">
        <v>0</v>
      </c>
      <c r="O26" s="63">
        <v>2182</v>
      </c>
      <c r="P26" s="63">
        <v>0</v>
      </c>
      <c r="Q26" s="63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5.75">
      <c r="A27" s="15" t="s">
        <v>342</v>
      </c>
      <c r="B27" s="19"/>
      <c r="C27" s="33"/>
      <c r="D27" s="33"/>
      <c r="E27" s="33">
        <v>50000</v>
      </c>
      <c r="F27" s="33"/>
      <c r="G27" s="32"/>
      <c r="I27" s="60"/>
      <c r="J27" s="63"/>
      <c r="K27" s="63"/>
      <c r="L27" s="63"/>
      <c r="M27" s="63"/>
      <c r="N27" s="63"/>
      <c r="O27" s="63"/>
      <c r="P27" s="63"/>
      <c r="Q27" s="63"/>
      <c r="R27" s="5"/>
      <c r="S27" s="5"/>
      <c r="T27" s="5"/>
      <c r="U27" s="5"/>
    </row>
    <row r="28" spans="1:21" ht="15.75">
      <c r="A28" s="15" t="s">
        <v>340</v>
      </c>
      <c r="B28" s="19"/>
      <c r="C28" s="33"/>
      <c r="D28" s="33"/>
      <c r="E28" s="33">
        <v>12200</v>
      </c>
      <c r="F28" s="33"/>
      <c r="G28" s="32"/>
      <c r="I28" s="60"/>
      <c r="J28" s="63"/>
      <c r="K28" s="63"/>
      <c r="L28" s="63"/>
      <c r="M28" s="63"/>
      <c r="N28" s="63"/>
      <c r="O28" s="63"/>
      <c r="P28" s="63"/>
      <c r="Q28" s="63"/>
      <c r="R28" s="5"/>
      <c r="S28" s="5"/>
      <c r="T28" s="5"/>
      <c r="U28" s="5"/>
    </row>
    <row r="29" spans="1:21" ht="15.75">
      <c r="A29" s="15" t="s">
        <v>381</v>
      </c>
      <c r="B29" s="19"/>
      <c r="C29" s="33"/>
      <c r="D29" s="33"/>
      <c r="E29" s="33">
        <v>-48330</v>
      </c>
      <c r="F29" s="33"/>
      <c r="G29" s="32"/>
      <c r="I29" s="60"/>
      <c r="J29" s="63"/>
      <c r="K29" s="63"/>
      <c r="L29" s="63"/>
      <c r="M29" s="63"/>
      <c r="N29" s="63"/>
      <c r="O29" s="63"/>
      <c r="P29" s="63"/>
      <c r="Q29" s="63"/>
      <c r="R29" s="5"/>
      <c r="S29" s="5"/>
      <c r="T29" s="5"/>
      <c r="U29" s="5"/>
    </row>
    <row r="30" spans="1:21" ht="15.75">
      <c r="A30" s="15" t="s">
        <v>429</v>
      </c>
      <c r="B30" s="19"/>
      <c r="C30" s="33"/>
      <c r="D30" s="33"/>
      <c r="E30" s="33">
        <v>26883</v>
      </c>
      <c r="F30" s="33"/>
      <c r="G30" s="32"/>
      <c r="I30" s="60"/>
      <c r="J30" s="63"/>
      <c r="K30" s="63"/>
      <c r="L30" s="63"/>
      <c r="M30" s="63"/>
      <c r="N30" s="63"/>
      <c r="O30" s="63"/>
      <c r="P30" s="63"/>
      <c r="Q30" s="63"/>
      <c r="R30" s="5"/>
      <c r="S30" s="5"/>
      <c r="T30" s="5"/>
      <c r="U30" s="5"/>
    </row>
    <row r="31" spans="1:21" ht="15.75">
      <c r="A31" s="15" t="s">
        <v>322</v>
      </c>
      <c r="B31" s="19"/>
      <c r="C31" s="33"/>
      <c r="D31" s="33"/>
      <c r="E31" s="33">
        <v>10000</v>
      </c>
      <c r="F31" s="33"/>
      <c r="G31" s="32"/>
      <c r="I31" s="57" t="s">
        <v>7</v>
      </c>
      <c r="J31" s="32">
        <f>SUM(J7:J26)</f>
        <v>-95856</v>
      </c>
      <c r="K31" s="32">
        <f aca="true" t="shared" si="2" ref="K31:U31">SUM(K7:K26)</f>
        <v>332525</v>
      </c>
      <c r="L31" s="32">
        <f t="shared" si="2"/>
        <v>-37560</v>
      </c>
      <c r="M31" s="32">
        <f t="shared" si="2"/>
        <v>200322</v>
      </c>
      <c r="N31" s="32">
        <f t="shared" si="2"/>
        <v>3385</v>
      </c>
      <c r="O31" s="32">
        <f t="shared" si="2"/>
        <v>11160</v>
      </c>
      <c r="P31" s="32">
        <f t="shared" si="2"/>
        <v>-4173</v>
      </c>
      <c r="Q31" s="32">
        <f t="shared" si="2"/>
        <v>-18723</v>
      </c>
      <c r="R31" s="41">
        <f t="shared" si="2"/>
        <v>36818</v>
      </c>
      <c r="S31" s="49">
        <f t="shared" si="2"/>
        <v>-68883</v>
      </c>
      <c r="T31" s="3">
        <f t="shared" si="2"/>
        <v>0</v>
      </c>
      <c r="U31" s="49">
        <f t="shared" si="2"/>
        <v>-550727</v>
      </c>
    </row>
    <row r="32" spans="1:21" ht="15.75">
      <c r="A32" s="15" t="s">
        <v>373</v>
      </c>
      <c r="B32" s="19"/>
      <c r="C32" s="33"/>
      <c r="D32" s="33"/>
      <c r="E32" s="33">
        <v>11000</v>
      </c>
      <c r="F32" s="33"/>
      <c r="G32" s="32"/>
      <c r="I32" s="57" t="s">
        <v>291</v>
      </c>
      <c r="J32" s="32"/>
      <c r="K32" s="32" t="s">
        <v>17</v>
      </c>
      <c r="L32" s="32"/>
      <c r="M32" s="32"/>
      <c r="N32" s="32"/>
      <c r="O32" s="32"/>
      <c r="P32" s="32"/>
      <c r="Q32" s="32"/>
      <c r="R32" s="6">
        <v>0</v>
      </c>
      <c r="S32" s="3"/>
      <c r="T32" s="3"/>
      <c r="U32" s="3"/>
    </row>
    <row r="33" spans="1:21" ht="15.75">
      <c r="A33" s="15" t="s">
        <v>201</v>
      </c>
      <c r="B33" s="19"/>
      <c r="C33" s="33"/>
      <c r="D33" s="33"/>
      <c r="E33" s="33">
        <v>10196</v>
      </c>
      <c r="F33" s="33"/>
      <c r="G33" s="32"/>
      <c r="I33" s="57"/>
      <c r="J33" s="32">
        <f>+J31-E7</f>
        <v>-147316.3200000003</v>
      </c>
      <c r="K33" s="32"/>
      <c r="L33" s="32">
        <f>+L31-R61</f>
        <v>11148</v>
      </c>
      <c r="M33" s="32"/>
      <c r="N33" s="32"/>
      <c r="O33" s="32"/>
      <c r="P33" s="32"/>
      <c r="Q33" s="32"/>
      <c r="R33" s="6"/>
      <c r="S33" s="3"/>
      <c r="T33" s="3"/>
      <c r="U33" s="3"/>
    </row>
    <row r="34" spans="1:21" ht="15.75">
      <c r="A34" s="15" t="s">
        <v>305</v>
      </c>
      <c r="B34" s="19"/>
      <c r="C34" s="33"/>
      <c r="D34" s="33"/>
      <c r="E34" s="33">
        <v>-11266</v>
      </c>
      <c r="F34" s="33"/>
      <c r="G34" s="32"/>
      <c r="I34" s="57"/>
      <c r="J34" s="32"/>
      <c r="K34" s="32"/>
      <c r="L34" s="32"/>
      <c r="M34" s="32"/>
      <c r="N34" s="32"/>
      <c r="O34" s="32"/>
      <c r="P34" s="32"/>
      <c r="Q34" s="32"/>
      <c r="R34" s="6" t="e">
        <f>+R31-E75</f>
        <v>#VALUE!</v>
      </c>
      <c r="S34" s="3"/>
      <c r="T34" s="3"/>
      <c r="U34" s="3"/>
    </row>
    <row r="35" spans="1:21" ht="15.75">
      <c r="A35" s="15" t="s">
        <v>222</v>
      </c>
      <c r="B35" s="19"/>
      <c r="C35" s="33"/>
      <c r="D35" s="33"/>
      <c r="E35" s="33">
        <v>-10458</v>
      </c>
      <c r="F35" s="33"/>
      <c r="G35" s="32"/>
      <c r="I35" s="57"/>
      <c r="J35" s="32"/>
      <c r="K35" s="32"/>
      <c r="L35" s="32"/>
      <c r="M35" s="32"/>
      <c r="N35" s="32"/>
      <c r="O35" s="32"/>
      <c r="P35" s="32"/>
      <c r="Q35" s="32"/>
      <c r="R35" s="6"/>
      <c r="S35" s="3"/>
      <c r="T35" s="3"/>
      <c r="U35" s="3"/>
    </row>
    <row r="36" spans="1:21" ht="15.75">
      <c r="A36" s="15" t="s">
        <v>304</v>
      </c>
      <c r="B36" s="19"/>
      <c r="C36" s="33"/>
      <c r="D36" s="33"/>
      <c r="E36" s="33">
        <v>-13358</v>
      </c>
      <c r="F36" s="33"/>
      <c r="G36" s="32"/>
      <c r="I36" s="57"/>
      <c r="J36" s="32"/>
      <c r="K36" s="32"/>
      <c r="L36" s="32"/>
      <c r="M36" s="32"/>
      <c r="N36" s="32"/>
      <c r="O36" s="32"/>
      <c r="P36" s="32"/>
      <c r="Q36" s="32"/>
      <c r="R36" s="6"/>
      <c r="S36" s="3"/>
      <c r="T36" s="3"/>
      <c r="U36" s="3"/>
    </row>
    <row r="37" spans="1:21" ht="15.75">
      <c r="A37" s="15" t="s">
        <v>394</v>
      </c>
      <c r="B37" s="19"/>
      <c r="C37" s="19"/>
      <c r="D37" s="19"/>
      <c r="E37" s="19">
        <f>-28100-10554</f>
        <v>-38654</v>
      </c>
      <c r="F37" s="33"/>
      <c r="G37" s="32"/>
      <c r="I37" s="57"/>
      <c r="J37" s="32"/>
      <c r="K37" s="32"/>
      <c r="L37" s="32"/>
      <c r="M37" s="32"/>
      <c r="N37" s="32"/>
      <c r="O37" s="32"/>
      <c r="P37" s="32"/>
      <c r="Q37" s="32"/>
      <c r="R37" s="6">
        <v>752</v>
      </c>
      <c r="S37" s="3"/>
      <c r="T37" s="3"/>
      <c r="U37" s="3"/>
    </row>
    <row r="38" spans="1:21" ht="15.75">
      <c r="A38" s="15" t="s">
        <v>401</v>
      </c>
      <c r="B38" s="19"/>
      <c r="C38" s="33"/>
      <c r="D38" s="33"/>
      <c r="E38" s="33">
        <v>-10000</v>
      </c>
      <c r="F38" s="33"/>
      <c r="G38" s="32"/>
      <c r="I38" s="57"/>
      <c r="J38" s="32"/>
      <c r="K38" s="32"/>
      <c r="L38" s="32"/>
      <c r="M38" s="32"/>
      <c r="N38" s="32"/>
      <c r="O38" s="32"/>
      <c r="P38" s="32"/>
      <c r="Q38" s="32"/>
      <c r="R38" s="6"/>
      <c r="S38" s="3"/>
      <c r="T38" s="3"/>
      <c r="U38" s="3"/>
    </row>
    <row r="39" spans="1:21" ht="15.75">
      <c r="A39" s="15" t="s">
        <v>400</v>
      </c>
      <c r="B39" s="19"/>
      <c r="C39" s="33"/>
      <c r="D39" s="33"/>
      <c r="E39" s="33">
        <v>-25000</v>
      </c>
      <c r="F39" s="33"/>
      <c r="G39" s="32"/>
      <c r="I39" s="57"/>
      <c r="J39" s="32"/>
      <c r="K39" s="32"/>
      <c r="L39" s="32"/>
      <c r="M39" s="32"/>
      <c r="N39" s="32"/>
      <c r="O39" s="32"/>
      <c r="P39" s="32"/>
      <c r="Q39" s="63">
        <v>0</v>
      </c>
      <c r="R39" s="5">
        <v>0</v>
      </c>
      <c r="S39" s="3">
        <v>32</v>
      </c>
      <c r="T39" s="3"/>
      <c r="U39" s="3"/>
    </row>
    <row r="40" spans="1:21" ht="15.75">
      <c r="A40" s="15" t="s">
        <v>402</v>
      </c>
      <c r="B40" s="19"/>
      <c r="C40" s="33"/>
      <c r="D40" s="33"/>
      <c r="E40" s="33">
        <v>12000</v>
      </c>
      <c r="F40" s="33"/>
      <c r="G40" s="32"/>
      <c r="I40" s="57"/>
      <c r="J40" s="10">
        <v>8125</v>
      </c>
      <c r="K40" s="10">
        <v>8128</v>
      </c>
      <c r="L40" s="10">
        <v>8131</v>
      </c>
      <c r="M40" s="10">
        <v>8132</v>
      </c>
      <c r="N40" s="10">
        <v>8133</v>
      </c>
      <c r="O40" s="10">
        <v>8134</v>
      </c>
      <c r="P40" s="10">
        <v>8135</v>
      </c>
      <c r="Q40" s="10">
        <v>8136</v>
      </c>
      <c r="R40" s="9" t="s">
        <v>7</v>
      </c>
      <c r="S40" s="3"/>
      <c r="T40" s="3"/>
      <c r="U40" s="3"/>
    </row>
    <row r="41" spans="1:21" ht="15.75">
      <c r="A41" s="15" t="s">
        <v>419</v>
      </c>
      <c r="B41" s="19"/>
      <c r="C41" s="33"/>
      <c r="D41" s="33"/>
      <c r="E41" s="33">
        <v>93542</v>
      </c>
      <c r="F41" s="33"/>
      <c r="G41" s="32"/>
      <c r="I41" s="8" t="s">
        <v>137</v>
      </c>
      <c r="J41" s="3">
        <v>0</v>
      </c>
      <c r="K41" s="3">
        <v>0</v>
      </c>
      <c r="L41" s="3">
        <v>14854</v>
      </c>
      <c r="M41" s="3">
        <v>500</v>
      </c>
      <c r="N41" s="3">
        <v>-450</v>
      </c>
      <c r="O41" s="3">
        <v>-100</v>
      </c>
      <c r="P41" s="3">
        <v>-488</v>
      </c>
      <c r="Q41" s="3">
        <v>0</v>
      </c>
      <c r="R41" s="3">
        <f>SUM(J41:Q41)</f>
        <v>14316</v>
      </c>
      <c r="S41" s="3">
        <f>+R41-L7</f>
        <v>0</v>
      </c>
      <c r="T41" s="3"/>
      <c r="U41" s="3"/>
    </row>
    <row r="42" spans="1:21" ht="15.75">
      <c r="A42" s="15" t="s">
        <v>414</v>
      </c>
      <c r="B42" s="19"/>
      <c r="C42" s="33"/>
      <c r="D42" s="33"/>
      <c r="E42" s="33">
        <v>250000</v>
      </c>
      <c r="F42" s="33"/>
      <c r="G42" s="32"/>
      <c r="I42" s="8" t="s">
        <v>138</v>
      </c>
      <c r="J42" s="3">
        <v>0</v>
      </c>
      <c r="K42" s="3">
        <v>0</v>
      </c>
      <c r="L42" s="3">
        <v>1723</v>
      </c>
      <c r="M42" s="3">
        <v>150</v>
      </c>
      <c r="N42" s="3">
        <v>-135</v>
      </c>
      <c r="O42" s="3">
        <v>-135</v>
      </c>
      <c r="P42" s="3">
        <v>-492</v>
      </c>
      <c r="Q42" s="3">
        <v>0</v>
      </c>
      <c r="R42" s="3">
        <f aca="true" t="shared" si="3" ref="R42:R56">SUM(J42:Q42)</f>
        <v>1111</v>
      </c>
      <c r="S42" s="3">
        <f aca="true" t="shared" si="4" ref="S42:S60">+R42-L8</f>
        <v>0</v>
      </c>
      <c r="T42" s="3"/>
      <c r="U42" s="3"/>
    </row>
    <row r="43" spans="1:21" ht="15.75">
      <c r="A43" s="15" t="s">
        <v>199</v>
      </c>
      <c r="B43" s="19"/>
      <c r="C43" s="33"/>
      <c r="D43" s="33"/>
      <c r="E43" s="33">
        <v>96000</v>
      </c>
      <c r="F43" s="33"/>
      <c r="G43" s="32"/>
      <c r="I43" s="8" t="s">
        <v>139</v>
      </c>
      <c r="J43" s="3">
        <v>0</v>
      </c>
      <c r="K43" s="3">
        <v>0</v>
      </c>
      <c r="L43" s="3">
        <v>20696</v>
      </c>
      <c r="M43" s="3">
        <v>2050</v>
      </c>
      <c r="N43" s="3">
        <v>-135</v>
      </c>
      <c r="O43" s="3">
        <v>-135</v>
      </c>
      <c r="P43" s="3">
        <v>-76875</v>
      </c>
      <c r="Q43" s="3">
        <v>-20</v>
      </c>
      <c r="R43" s="3">
        <f t="shared" si="3"/>
        <v>-54419</v>
      </c>
      <c r="S43" s="3">
        <f t="shared" si="4"/>
        <v>3168</v>
      </c>
      <c r="T43" s="3"/>
      <c r="U43" s="3"/>
    </row>
    <row r="44" spans="1:21" ht="15.75">
      <c r="A44" s="34" t="s">
        <v>380</v>
      </c>
      <c r="B44" s="33"/>
      <c r="C44" s="33"/>
      <c r="D44" s="33"/>
      <c r="E44" s="33">
        <v>73366</v>
      </c>
      <c r="F44" s="33"/>
      <c r="I44" s="8" t="s">
        <v>140</v>
      </c>
      <c r="J44" s="3">
        <v>0</v>
      </c>
      <c r="K44" s="3">
        <v>0</v>
      </c>
      <c r="L44" s="3">
        <v>23925</v>
      </c>
      <c r="M44" s="3">
        <v>2100</v>
      </c>
      <c r="N44" s="3">
        <v>245</v>
      </c>
      <c r="O44" s="3">
        <v>-1665</v>
      </c>
      <c r="P44" s="3">
        <v>-26032</v>
      </c>
      <c r="Q44" s="3">
        <v>0</v>
      </c>
      <c r="R44" s="3">
        <f t="shared" si="3"/>
        <v>-1427</v>
      </c>
      <c r="S44" s="3">
        <f t="shared" si="4"/>
        <v>0</v>
      </c>
      <c r="T44" s="3"/>
      <c r="U44" s="3"/>
    </row>
    <row r="45" spans="1:21" ht="15.75">
      <c r="A45" s="15" t="s">
        <v>220</v>
      </c>
      <c r="B45" s="19"/>
      <c r="C45" s="33"/>
      <c r="D45" s="33"/>
      <c r="E45" s="33">
        <f>-15900+91043</f>
        <v>75143</v>
      </c>
      <c r="F45" s="33"/>
      <c r="I45" s="8" t="s">
        <v>141</v>
      </c>
      <c r="J45" s="3">
        <v>0</v>
      </c>
      <c r="K45" s="3">
        <v>0</v>
      </c>
      <c r="L45" s="3">
        <v>4811</v>
      </c>
      <c r="M45" s="3">
        <v>400</v>
      </c>
      <c r="N45" s="3">
        <v>-270</v>
      </c>
      <c r="O45" s="3">
        <v>-270</v>
      </c>
      <c r="P45" s="3">
        <v>-367</v>
      </c>
      <c r="Q45" s="3">
        <v>0</v>
      </c>
      <c r="R45" s="3">
        <f t="shared" si="3"/>
        <v>4304</v>
      </c>
      <c r="S45" s="3">
        <f t="shared" si="4"/>
        <v>0</v>
      </c>
      <c r="T45" s="3"/>
      <c r="U45" s="3"/>
    </row>
    <row r="46" spans="1:21" ht="18">
      <c r="A46" s="15" t="s">
        <v>174</v>
      </c>
      <c r="B46" s="19"/>
      <c r="C46" s="33"/>
      <c r="D46" s="33"/>
      <c r="E46" s="38">
        <v>24945</v>
      </c>
      <c r="F46" s="33"/>
      <c r="I46" s="8" t="s">
        <v>142</v>
      </c>
      <c r="J46" s="3">
        <v>0</v>
      </c>
      <c r="K46" s="3">
        <v>0</v>
      </c>
      <c r="L46" s="3">
        <v>1231</v>
      </c>
      <c r="M46" s="3">
        <v>150</v>
      </c>
      <c r="N46" s="3">
        <v>-135</v>
      </c>
      <c r="O46" s="3">
        <v>-135</v>
      </c>
      <c r="P46" s="3">
        <v>140</v>
      </c>
      <c r="Q46" s="3">
        <v>0</v>
      </c>
      <c r="R46" s="3">
        <f t="shared" si="3"/>
        <v>1251</v>
      </c>
      <c r="S46" s="3">
        <f t="shared" si="4"/>
        <v>0</v>
      </c>
      <c r="T46" s="3"/>
      <c r="U46" s="3"/>
    </row>
    <row r="47" spans="1:21" ht="15.75">
      <c r="A47" s="15" t="s">
        <v>176</v>
      </c>
      <c r="B47" s="19"/>
      <c r="C47" s="33"/>
      <c r="D47" s="33"/>
      <c r="E47" s="33">
        <f>SUM(E13:E46)</f>
        <v>656371</v>
      </c>
      <c r="F47" s="33"/>
      <c r="I47" s="8" t="s">
        <v>143</v>
      </c>
      <c r="J47" s="3">
        <v>0</v>
      </c>
      <c r="K47" s="3">
        <v>0</v>
      </c>
      <c r="L47" s="3">
        <v>11477</v>
      </c>
      <c r="M47" s="3">
        <v>950</v>
      </c>
      <c r="N47" s="3">
        <v>-145</v>
      </c>
      <c r="O47" s="3">
        <v>-90</v>
      </c>
      <c r="P47" s="3">
        <v>-2626</v>
      </c>
      <c r="Q47" s="3">
        <v>0</v>
      </c>
      <c r="R47" s="3">
        <f t="shared" si="3"/>
        <v>9566</v>
      </c>
      <c r="S47" s="3">
        <f t="shared" si="4"/>
        <v>0</v>
      </c>
      <c r="T47" s="3"/>
      <c r="U47" s="3"/>
    </row>
    <row r="48" spans="1:21" ht="15.75">
      <c r="A48" s="15" t="s">
        <v>17</v>
      </c>
      <c r="B48" s="19"/>
      <c r="C48" s="33"/>
      <c r="D48" s="33"/>
      <c r="E48" s="33" t="s">
        <v>17</v>
      </c>
      <c r="F48" s="33"/>
      <c r="I48" s="8" t="s">
        <v>144</v>
      </c>
      <c r="J48" s="3">
        <v>0</v>
      </c>
      <c r="K48" s="3">
        <v>0</v>
      </c>
      <c r="L48" s="3">
        <v>4594</v>
      </c>
      <c r="M48" s="3">
        <v>350</v>
      </c>
      <c r="N48" s="3">
        <v>0</v>
      </c>
      <c r="O48" s="3">
        <v>0</v>
      </c>
      <c r="P48" s="3">
        <v>-2661</v>
      </c>
      <c r="Q48" s="3">
        <v>0</v>
      </c>
      <c r="R48" s="3">
        <f t="shared" si="3"/>
        <v>2283</v>
      </c>
      <c r="S48" s="3">
        <f t="shared" si="4"/>
        <v>0</v>
      </c>
      <c r="T48" s="3"/>
      <c r="U48" s="3"/>
    </row>
    <row r="49" spans="1:21" ht="15.75">
      <c r="A49" s="15"/>
      <c r="B49" s="19"/>
      <c r="C49" s="33"/>
      <c r="D49" s="33"/>
      <c r="E49" s="33"/>
      <c r="F49" s="33"/>
      <c r="I49" s="8" t="s">
        <v>145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f t="shared" si="3"/>
        <v>0</v>
      </c>
      <c r="S49" s="3">
        <f t="shared" si="4"/>
        <v>0</v>
      </c>
      <c r="T49" s="3"/>
      <c r="U49" s="3"/>
    </row>
    <row r="50" spans="1:21" ht="15.75">
      <c r="A50" s="14" t="s">
        <v>327</v>
      </c>
      <c r="B50" s="23" t="s">
        <v>17</v>
      </c>
      <c r="C50" s="51" t="s">
        <v>17</v>
      </c>
      <c r="D50" s="33"/>
      <c r="E50" s="33"/>
      <c r="F50" s="33"/>
      <c r="I50" s="8">
        <v>11</v>
      </c>
      <c r="J50" s="3">
        <v>0</v>
      </c>
      <c r="K50" s="3">
        <v>0</v>
      </c>
      <c r="L50" s="3">
        <v>3136</v>
      </c>
      <c r="M50" s="3">
        <v>250</v>
      </c>
      <c r="N50" s="3">
        <v>0</v>
      </c>
      <c r="O50" s="3">
        <v>0</v>
      </c>
      <c r="P50" s="3">
        <v>-4449</v>
      </c>
      <c r="Q50" s="3">
        <v>0</v>
      </c>
      <c r="R50" s="3">
        <f t="shared" si="3"/>
        <v>-1063</v>
      </c>
      <c r="S50" s="3">
        <f t="shared" si="4"/>
        <v>0</v>
      </c>
      <c r="T50" s="3"/>
      <c r="U50" s="3"/>
    </row>
    <row r="51" spans="1:21" ht="15.75">
      <c r="A51" s="15" t="s">
        <v>17</v>
      </c>
      <c r="B51" s="65" t="s">
        <v>303</v>
      </c>
      <c r="C51" s="66"/>
      <c r="D51" s="67" t="s">
        <v>329</v>
      </c>
      <c r="E51" s="68"/>
      <c r="F51" s="33"/>
      <c r="I51" s="8">
        <v>13</v>
      </c>
      <c r="J51" s="3">
        <f>901+69</f>
        <v>970</v>
      </c>
      <c r="K51" s="49">
        <v>79</v>
      </c>
      <c r="L51" s="3">
        <v>1197</v>
      </c>
      <c r="M51" s="3">
        <v>100</v>
      </c>
      <c r="N51" s="3">
        <v>-90</v>
      </c>
      <c r="O51" s="3">
        <v>-90</v>
      </c>
      <c r="P51" s="3">
        <v>-1862</v>
      </c>
      <c r="Q51" s="3">
        <v>0</v>
      </c>
      <c r="R51" s="3">
        <f t="shared" si="3"/>
        <v>304</v>
      </c>
      <c r="S51" s="3">
        <f t="shared" si="4"/>
        <v>0</v>
      </c>
      <c r="T51" s="3"/>
      <c r="U51" s="3"/>
    </row>
    <row r="52" spans="1:21" ht="15.75">
      <c r="A52" s="15" t="s">
        <v>17</v>
      </c>
      <c r="B52" s="25" t="s">
        <v>164</v>
      </c>
      <c r="C52" s="42" t="s">
        <v>12</v>
      </c>
      <c r="D52" s="42" t="s">
        <v>164</v>
      </c>
      <c r="E52" s="42" t="s">
        <v>12</v>
      </c>
      <c r="F52" s="33"/>
      <c r="I52" s="8">
        <v>15</v>
      </c>
      <c r="J52" s="3">
        <v>0</v>
      </c>
      <c r="K52" s="3">
        <v>0</v>
      </c>
      <c r="L52" s="3">
        <v>-14754</v>
      </c>
      <c r="M52" s="3">
        <v>550</v>
      </c>
      <c r="N52" s="3">
        <v>0</v>
      </c>
      <c r="O52" s="3">
        <v>0</v>
      </c>
      <c r="P52" s="3">
        <v>-859</v>
      </c>
      <c r="Q52" s="3">
        <v>0</v>
      </c>
      <c r="R52" s="3">
        <f t="shared" si="3"/>
        <v>-15063</v>
      </c>
      <c r="S52" s="3">
        <f t="shared" si="4"/>
        <v>0</v>
      </c>
      <c r="T52" s="3"/>
      <c r="U52" s="3"/>
    </row>
    <row r="53" spans="1:21" ht="15.75">
      <c r="A53" s="15" t="s">
        <v>150</v>
      </c>
      <c r="B53" s="19">
        <v>10</v>
      </c>
      <c r="C53" s="33">
        <v>9</v>
      </c>
      <c r="D53" s="33">
        <v>10</v>
      </c>
      <c r="E53" s="33">
        <v>9</v>
      </c>
      <c r="F53" s="33"/>
      <c r="I53" s="8">
        <v>16</v>
      </c>
      <c r="J53" s="3">
        <v>0</v>
      </c>
      <c r="K53" s="3">
        <v>0</v>
      </c>
      <c r="L53" s="3">
        <v>2924</v>
      </c>
      <c r="M53" s="3">
        <v>250</v>
      </c>
      <c r="N53" s="3">
        <v>0</v>
      </c>
      <c r="O53" s="3">
        <v>0</v>
      </c>
      <c r="P53" s="3">
        <v>-2262</v>
      </c>
      <c r="Q53" s="3">
        <v>0</v>
      </c>
      <c r="R53" s="3">
        <f>SUM(J53:Q53)</f>
        <v>912</v>
      </c>
      <c r="S53" s="3">
        <f t="shared" si="4"/>
        <v>0</v>
      </c>
      <c r="T53" s="3"/>
      <c r="U53" s="3"/>
    </row>
    <row r="54" spans="1:21" ht="15.75">
      <c r="A54" s="15" t="s">
        <v>151</v>
      </c>
      <c r="B54" s="19">
        <v>3</v>
      </c>
      <c r="C54" s="33">
        <v>0</v>
      </c>
      <c r="D54" s="33">
        <v>3</v>
      </c>
      <c r="E54" s="33">
        <v>0</v>
      </c>
      <c r="F54" s="33"/>
      <c r="I54" s="8" t="s">
        <v>146</v>
      </c>
      <c r="J54" s="3">
        <v>0</v>
      </c>
      <c r="K54" s="3">
        <v>0</v>
      </c>
      <c r="L54" s="3">
        <v>1872</v>
      </c>
      <c r="M54" s="3">
        <v>150</v>
      </c>
      <c r="N54" s="3">
        <v>-135</v>
      </c>
      <c r="O54" s="3">
        <v>-135</v>
      </c>
      <c r="P54" s="3">
        <v>-3300</v>
      </c>
      <c r="Q54" s="3">
        <v>0</v>
      </c>
      <c r="R54" s="3">
        <f>SUM(J54:Q54)</f>
        <v>-1548</v>
      </c>
      <c r="S54" s="3">
        <f t="shared" si="4"/>
        <v>0</v>
      </c>
      <c r="T54" s="3"/>
      <c r="U54" s="3"/>
    </row>
    <row r="55" spans="1:21" ht="15.75">
      <c r="A55" s="15" t="s">
        <v>152</v>
      </c>
      <c r="B55" s="19">
        <v>41</v>
      </c>
      <c r="C55" s="33">
        <v>4</v>
      </c>
      <c r="D55" s="33">
        <v>41</v>
      </c>
      <c r="E55" s="33">
        <v>6</v>
      </c>
      <c r="F55" s="33"/>
      <c r="I55" s="8">
        <v>32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f t="shared" si="3"/>
        <v>0</v>
      </c>
      <c r="S55" s="3">
        <f t="shared" si="4"/>
        <v>0</v>
      </c>
      <c r="T55" s="3"/>
      <c r="U55" s="3"/>
    </row>
    <row r="56" spans="1:21" ht="15.75">
      <c r="A56" s="15" t="s">
        <v>153</v>
      </c>
      <c r="B56" s="19">
        <v>42</v>
      </c>
      <c r="C56" s="33">
        <v>4</v>
      </c>
      <c r="D56" s="33">
        <v>44</v>
      </c>
      <c r="E56" s="33">
        <v>4</v>
      </c>
      <c r="F56" s="33"/>
      <c r="I56" s="8" t="s">
        <v>147</v>
      </c>
      <c r="J56" s="3">
        <v>0</v>
      </c>
      <c r="K56" s="3">
        <v>0</v>
      </c>
      <c r="L56" s="3">
        <v>5594</v>
      </c>
      <c r="M56" s="3">
        <v>500</v>
      </c>
      <c r="N56" s="3">
        <v>-450</v>
      </c>
      <c r="O56" s="3">
        <v>-450</v>
      </c>
      <c r="P56" s="3">
        <v>-2968</v>
      </c>
      <c r="Q56" s="3">
        <v>0</v>
      </c>
      <c r="R56" s="3">
        <f t="shared" si="3"/>
        <v>2226</v>
      </c>
      <c r="S56" s="3">
        <f t="shared" si="4"/>
        <v>0</v>
      </c>
      <c r="T56" s="3"/>
      <c r="U56" s="3"/>
    </row>
    <row r="57" spans="1:21" ht="15.75">
      <c r="A57" s="15" t="s">
        <v>154</v>
      </c>
      <c r="B57" s="19">
        <v>8</v>
      </c>
      <c r="C57" s="33">
        <v>0</v>
      </c>
      <c r="D57" s="33">
        <v>8</v>
      </c>
      <c r="E57" s="33">
        <v>0</v>
      </c>
      <c r="F57" s="33"/>
      <c r="I57" s="60"/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">
        <f>SUM(J57:Q57)</f>
        <v>0</v>
      </c>
      <c r="S57" s="3">
        <f t="shared" si="4"/>
        <v>0</v>
      </c>
      <c r="T57" s="3"/>
      <c r="U57" s="3"/>
    </row>
    <row r="58" spans="1:21" ht="15.75">
      <c r="A58" s="15" t="s">
        <v>155</v>
      </c>
      <c r="B58" s="19">
        <v>3</v>
      </c>
      <c r="C58" s="33">
        <v>1</v>
      </c>
      <c r="D58" s="33">
        <v>3</v>
      </c>
      <c r="E58" s="33">
        <v>1</v>
      </c>
      <c r="F58" s="33"/>
      <c r="I58" s="60"/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">
        <f>SUM(J58:Q58)</f>
        <v>0</v>
      </c>
      <c r="S58" s="3">
        <f t="shared" si="4"/>
        <v>0</v>
      </c>
      <c r="T58" s="3"/>
      <c r="U58" s="3"/>
    </row>
    <row r="59" spans="1:19" ht="15.75">
      <c r="A59" s="15" t="s">
        <v>156</v>
      </c>
      <c r="B59" s="19">
        <v>19</v>
      </c>
      <c r="C59" s="33">
        <v>0</v>
      </c>
      <c r="D59" s="33">
        <v>19</v>
      </c>
      <c r="E59" s="33">
        <v>0</v>
      </c>
      <c r="F59" s="33"/>
      <c r="I59" s="60" t="s">
        <v>148</v>
      </c>
      <c r="J59" s="32">
        <v>0</v>
      </c>
      <c r="K59" s="32">
        <v>0</v>
      </c>
      <c r="L59" s="32">
        <v>3045</v>
      </c>
      <c r="M59" s="32">
        <v>250</v>
      </c>
      <c r="N59" s="32">
        <v>-225</v>
      </c>
      <c r="O59" s="32">
        <v>0</v>
      </c>
      <c r="P59" s="32">
        <v>-188</v>
      </c>
      <c r="Q59" s="32">
        <v>0</v>
      </c>
      <c r="R59" s="3">
        <f>SUM(J59:Q59)</f>
        <v>2882</v>
      </c>
      <c r="S59" s="3">
        <f t="shared" si="4"/>
        <v>0</v>
      </c>
    </row>
    <row r="60" spans="1:19" ht="15.75">
      <c r="A60" s="15" t="s">
        <v>157</v>
      </c>
      <c r="B60" s="19">
        <v>6</v>
      </c>
      <c r="C60" s="33">
        <v>0</v>
      </c>
      <c r="D60" s="33">
        <v>6</v>
      </c>
      <c r="E60" s="33">
        <v>0</v>
      </c>
      <c r="F60" s="33"/>
      <c r="I60" s="60" t="s">
        <v>149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-27</v>
      </c>
      <c r="Q60" s="63">
        <v>0</v>
      </c>
      <c r="R60" s="5">
        <f>SUM(J60:Q60)</f>
        <v>-27</v>
      </c>
      <c r="S60" s="3">
        <f t="shared" si="4"/>
        <v>0</v>
      </c>
    </row>
    <row r="61" spans="1:19" ht="15.75">
      <c r="A61" s="15" t="s">
        <v>234</v>
      </c>
      <c r="B61" s="19">
        <v>5</v>
      </c>
      <c r="C61" s="33">
        <v>0</v>
      </c>
      <c r="D61" s="33">
        <v>5</v>
      </c>
      <c r="E61" s="33">
        <v>0</v>
      </c>
      <c r="F61" s="33"/>
      <c r="I61" s="57" t="s">
        <v>7</v>
      </c>
      <c r="J61" s="32">
        <f aca="true" t="shared" si="5" ref="J61:R61">SUM(J42:J60)</f>
        <v>970</v>
      </c>
      <c r="K61" s="32">
        <f t="shared" si="5"/>
        <v>79</v>
      </c>
      <c r="L61" s="32">
        <f t="shared" si="5"/>
        <v>71471</v>
      </c>
      <c r="M61" s="32">
        <f t="shared" si="5"/>
        <v>8200</v>
      </c>
      <c r="N61" s="32">
        <f t="shared" si="5"/>
        <v>-1475</v>
      </c>
      <c r="O61" s="32">
        <f t="shared" si="5"/>
        <v>-3105</v>
      </c>
      <c r="P61" s="32">
        <f t="shared" si="5"/>
        <v>-124828</v>
      </c>
      <c r="Q61" s="32">
        <f t="shared" si="5"/>
        <v>-20</v>
      </c>
      <c r="R61" s="3">
        <f t="shared" si="5"/>
        <v>-48708</v>
      </c>
      <c r="S61" s="3"/>
    </row>
    <row r="62" spans="1:18" ht="15.75">
      <c r="A62" s="15" t="s">
        <v>159</v>
      </c>
      <c r="B62" s="19">
        <v>2</v>
      </c>
      <c r="C62" s="33">
        <v>1</v>
      </c>
      <c r="D62" s="33">
        <v>2</v>
      </c>
      <c r="E62" s="33">
        <v>1</v>
      </c>
      <c r="F62" s="33"/>
      <c r="J62" s="32"/>
      <c r="K62" s="32"/>
      <c r="L62" s="32"/>
      <c r="M62" s="32"/>
      <c r="N62" s="32"/>
      <c r="O62" s="32"/>
      <c r="P62" s="32"/>
      <c r="Q62" s="32"/>
      <c r="R62" s="3"/>
    </row>
    <row r="63" spans="1:6" ht="15.75">
      <c r="A63" s="15" t="s">
        <v>210</v>
      </c>
      <c r="B63" s="19">
        <v>11</v>
      </c>
      <c r="C63" s="33">
        <v>19</v>
      </c>
      <c r="D63" s="33">
        <v>11</v>
      </c>
      <c r="E63" s="33">
        <v>22</v>
      </c>
      <c r="F63" s="33"/>
    </row>
    <row r="64" spans="1:17" ht="15.75">
      <c r="A64" s="15" t="s">
        <v>160</v>
      </c>
      <c r="B64" s="19">
        <v>5</v>
      </c>
      <c r="C64" s="33">
        <v>0</v>
      </c>
      <c r="D64" s="33">
        <v>5</v>
      </c>
      <c r="E64" s="33">
        <v>0</v>
      </c>
      <c r="F64" s="33"/>
      <c r="Q64" s="32"/>
    </row>
    <row r="65" spans="1:6" ht="15.75">
      <c r="A65" s="15" t="s">
        <v>188</v>
      </c>
      <c r="B65" s="19">
        <v>3</v>
      </c>
      <c r="C65" s="33">
        <v>1</v>
      </c>
      <c r="D65" s="33">
        <v>3</v>
      </c>
      <c r="E65" s="33">
        <v>1</v>
      </c>
      <c r="F65" s="33"/>
    </row>
    <row r="66" spans="1:6" ht="15.75">
      <c r="A66" s="15" t="s">
        <v>161</v>
      </c>
      <c r="B66" s="19">
        <v>10</v>
      </c>
      <c r="C66" s="33">
        <v>0</v>
      </c>
      <c r="D66" s="33">
        <v>10</v>
      </c>
      <c r="E66" s="33">
        <v>0</v>
      </c>
      <c r="F66" s="33"/>
    </row>
    <row r="67" spans="1:6" ht="15.75">
      <c r="A67" s="15" t="s">
        <v>162</v>
      </c>
      <c r="B67" s="19">
        <v>5</v>
      </c>
      <c r="C67" s="33">
        <v>1</v>
      </c>
      <c r="D67" s="33">
        <v>5</v>
      </c>
      <c r="E67" s="33">
        <v>1</v>
      </c>
      <c r="F67" s="33"/>
    </row>
    <row r="68" spans="1:6" ht="18">
      <c r="A68" s="15" t="s">
        <v>163</v>
      </c>
      <c r="B68" s="21">
        <v>0</v>
      </c>
      <c r="C68" s="38">
        <v>1</v>
      </c>
      <c r="D68" s="38">
        <v>0</v>
      </c>
      <c r="E68" s="38">
        <v>1</v>
      </c>
      <c r="F68" s="33"/>
    </row>
    <row r="69" spans="1:6" ht="15.75">
      <c r="A69" s="26" t="s">
        <v>7</v>
      </c>
      <c r="B69" s="19">
        <f>SUM(B53:B68)</f>
        <v>173</v>
      </c>
      <c r="C69" s="33">
        <f>SUM(C53:C68)</f>
        <v>41</v>
      </c>
      <c r="D69" s="33">
        <f>SUM(D53:D68)</f>
        <v>175</v>
      </c>
      <c r="E69" s="33">
        <f>SUM(E53:E68)</f>
        <v>46</v>
      </c>
      <c r="F69" s="33"/>
    </row>
    <row r="70" spans="1:13" ht="15.75">
      <c r="A70" s="27" t="s">
        <v>178</v>
      </c>
      <c r="B70" s="19"/>
      <c r="C70" s="33"/>
      <c r="D70" s="33"/>
      <c r="E70" s="33"/>
      <c r="F70" s="33"/>
      <c r="M70" s="32">
        <f>+'01-gen govt'!E15+'02-assessing'!E13+'03-fire'!E15+'04-police'!E15+'05-comm'!E14+'07-pub works'!E14+'08-highway'!E16+'09-solid waste'!E15+'11-parks mntc'!E15+'13-park &amp; rec'!E17+'16-equip mntc'!E15+'17-bldg &amp; grounds'!E16+'21-comm dev'!E15+'24-tax coll'!E15+'25-welfare'!E16+'15-library'!E15</f>
        <v>200322</v>
      </c>
    </row>
    <row r="71" spans="1:6" ht="15.75">
      <c r="A71" s="26"/>
      <c r="B71" s="19"/>
      <c r="C71" s="33"/>
      <c r="D71" s="33"/>
      <c r="E71" s="33"/>
      <c r="F71" s="33"/>
    </row>
    <row r="72" spans="1:6" ht="15.75">
      <c r="A72" s="26"/>
      <c r="B72" s="19"/>
      <c r="C72" s="33"/>
      <c r="D72" s="33"/>
      <c r="E72" s="33"/>
      <c r="F72" s="33"/>
    </row>
    <row r="73" spans="1:6" ht="15.75">
      <c r="A73" s="26" t="s">
        <v>319</v>
      </c>
      <c r="B73" s="19"/>
      <c r="C73" s="33"/>
      <c r="D73" s="33"/>
      <c r="E73" s="33"/>
      <c r="F73" s="34"/>
    </row>
    <row r="74" spans="1:6" ht="15.75">
      <c r="A74" s="26" t="s">
        <v>292</v>
      </c>
      <c r="B74" s="19"/>
      <c r="C74" s="33"/>
      <c r="D74" s="33"/>
      <c r="E74" s="33"/>
      <c r="F74" s="34"/>
    </row>
    <row r="75" spans="1:6" ht="18">
      <c r="A75" s="17" t="s">
        <v>165</v>
      </c>
      <c r="B75" s="28" t="s">
        <v>167</v>
      </c>
      <c r="C75" s="50"/>
      <c r="D75" s="50" t="s">
        <v>166</v>
      </c>
      <c r="E75" s="43" t="s">
        <v>168</v>
      </c>
      <c r="F75" s="34"/>
    </row>
    <row r="76" spans="1:6" ht="15.75">
      <c r="A76" s="26" t="s">
        <v>375</v>
      </c>
      <c r="B76" s="40" t="s">
        <v>374</v>
      </c>
      <c r="C76" s="33"/>
      <c r="D76" s="33" t="s">
        <v>12</v>
      </c>
      <c r="E76" s="33">
        <v>37753</v>
      </c>
      <c r="F76" s="34"/>
    </row>
    <row r="77" spans="1:6" ht="15.75">
      <c r="A77" s="26" t="s">
        <v>433</v>
      </c>
      <c r="B77" s="40" t="s">
        <v>434</v>
      </c>
      <c r="C77" s="33"/>
      <c r="D77" s="33" t="s">
        <v>164</v>
      </c>
      <c r="E77" s="33">
        <v>139484</v>
      </c>
      <c r="F77" s="34"/>
    </row>
    <row r="78" spans="1:6" ht="18">
      <c r="A78" s="26" t="s">
        <v>428</v>
      </c>
      <c r="B78" s="40" t="s">
        <v>408</v>
      </c>
      <c r="C78" s="33"/>
      <c r="D78" s="33" t="s">
        <v>164</v>
      </c>
      <c r="E78" s="38">
        <v>9620</v>
      </c>
      <c r="F78" s="34"/>
    </row>
    <row r="79" spans="1:6" ht="15.75">
      <c r="A79" s="26" t="s">
        <v>175</v>
      </c>
      <c r="B79" s="19"/>
      <c r="C79" s="33"/>
      <c r="D79" s="33"/>
      <c r="E79" s="33">
        <f>SUM(E76:E78)</f>
        <v>186857</v>
      </c>
      <c r="F79" s="34"/>
    </row>
    <row r="80" spans="1:6" ht="15.75">
      <c r="A80" s="26"/>
      <c r="B80" s="19"/>
      <c r="C80" s="33"/>
      <c r="D80" s="33"/>
      <c r="E80" s="33"/>
      <c r="F80" s="34"/>
    </row>
    <row r="81" spans="1:6" ht="15.75">
      <c r="A81" s="14" t="s">
        <v>23</v>
      </c>
      <c r="B81" s="15"/>
      <c r="C81" s="34"/>
      <c r="D81" s="34"/>
      <c r="E81" s="34"/>
      <c r="F81" s="34"/>
    </row>
    <row r="82" spans="1:6" ht="15.75">
      <c r="A82" s="15" t="s">
        <v>199</v>
      </c>
      <c r="B82" s="15"/>
      <c r="C82" s="33">
        <v>982000</v>
      </c>
      <c r="D82" s="34"/>
      <c r="E82" s="34" t="s">
        <v>17</v>
      </c>
      <c r="F82" s="34"/>
    </row>
    <row r="83" spans="1:6" ht="15.75">
      <c r="A83" s="15" t="s">
        <v>243</v>
      </c>
      <c r="B83" s="19"/>
      <c r="C83" s="33">
        <v>300000</v>
      </c>
      <c r="D83" s="34"/>
      <c r="E83" s="34"/>
      <c r="F83" s="34"/>
    </row>
    <row r="84" spans="1:6" ht="15.75">
      <c r="A84" s="15" t="s">
        <v>320</v>
      </c>
      <c r="B84" s="19"/>
      <c r="C84" s="33">
        <v>26500</v>
      </c>
      <c r="D84" s="34"/>
      <c r="E84" s="34"/>
      <c r="F84" s="34"/>
    </row>
    <row r="85" spans="1:6" ht="15.75">
      <c r="A85" s="15" t="s">
        <v>384</v>
      </c>
      <c r="B85" s="19"/>
      <c r="C85" s="33">
        <v>45800</v>
      </c>
      <c r="D85" s="34"/>
      <c r="E85" s="34"/>
      <c r="F85" s="34"/>
    </row>
    <row r="86" spans="1:6" ht="15.75">
      <c r="A86" s="15" t="s">
        <v>385</v>
      </c>
      <c r="B86" s="15"/>
      <c r="C86" s="19">
        <v>79400</v>
      </c>
      <c r="D86" s="34"/>
      <c r="E86" s="34"/>
      <c r="F86" s="34"/>
    </row>
    <row r="87" spans="1:6" ht="15.75">
      <c r="A87" s="15" t="s">
        <v>386</v>
      </c>
      <c r="B87" s="15"/>
      <c r="C87" s="33">
        <v>13000</v>
      </c>
      <c r="D87" s="34"/>
      <c r="E87" s="34"/>
      <c r="F87" s="34"/>
    </row>
    <row r="88" spans="1:6" ht="15.75">
      <c r="A88" s="15" t="s">
        <v>334</v>
      </c>
      <c r="B88" s="15"/>
      <c r="C88" s="33">
        <v>28000</v>
      </c>
      <c r="D88" s="34"/>
      <c r="E88" s="34"/>
      <c r="F88" s="34"/>
    </row>
    <row r="89" spans="1:5" ht="15.75">
      <c r="A89" s="15" t="s">
        <v>189</v>
      </c>
      <c r="B89" s="15"/>
      <c r="C89" s="33">
        <f>-1000+50725-13300</f>
        <v>36425</v>
      </c>
      <c r="D89" s="34" t="s">
        <v>17</v>
      </c>
      <c r="E89" s="34"/>
    </row>
    <row r="90" spans="1:5" ht="15.75">
      <c r="A90" s="15" t="s">
        <v>387</v>
      </c>
      <c r="B90" s="15"/>
      <c r="C90" s="33">
        <v>11100</v>
      </c>
      <c r="D90" s="34"/>
      <c r="E90" s="34"/>
    </row>
    <row r="91" spans="1:5" ht="15.75">
      <c r="A91" s="15" t="s">
        <v>236</v>
      </c>
      <c r="B91" s="15"/>
      <c r="C91" s="33">
        <v>5000</v>
      </c>
      <c r="D91" s="34"/>
      <c r="E91" s="34"/>
    </row>
    <row r="92" spans="1:5" ht="15.75">
      <c r="A92" s="15" t="s">
        <v>355</v>
      </c>
      <c r="B92" s="15"/>
      <c r="C92" s="51">
        <v>5000</v>
      </c>
      <c r="D92" s="34"/>
      <c r="E92" s="34"/>
    </row>
    <row r="93" spans="1:5" ht="15.75">
      <c r="A93" s="15" t="s">
        <v>356</v>
      </c>
      <c r="B93" s="15"/>
      <c r="C93" s="51">
        <v>5000</v>
      </c>
      <c r="D93" s="34"/>
      <c r="E93" s="34"/>
    </row>
    <row r="94" spans="1:5" ht="15.75">
      <c r="A94" s="15" t="s">
        <v>388</v>
      </c>
      <c r="B94" s="15"/>
      <c r="C94" s="33">
        <v>250000</v>
      </c>
      <c r="D94" s="34"/>
      <c r="E94" s="34"/>
    </row>
    <row r="95" spans="1:5" ht="18">
      <c r="A95" s="15" t="s">
        <v>177</v>
      </c>
      <c r="B95" s="15"/>
      <c r="C95" s="38">
        <f>19425+43500+43802-61501-4500-2000-11600-15900</f>
        <v>11226</v>
      </c>
      <c r="D95" s="34"/>
      <c r="E95" s="34"/>
    </row>
    <row r="96" spans="1:5" ht="15.75">
      <c r="A96" s="15" t="s">
        <v>7</v>
      </c>
      <c r="B96" s="15"/>
      <c r="C96" s="33">
        <f>SUM(C82:C95)</f>
        <v>1798451</v>
      </c>
      <c r="D96" s="34"/>
      <c r="E96" s="34"/>
    </row>
  </sheetData>
  <mergeCells count="5">
    <mergeCell ref="I1:U1"/>
    <mergeCell ref="E5:F5"/>
    <mergeCell ref="A1:F1"/>
    <mergeCell ref="A3:F3"/>
    <mergeCell ref="A2:F2"/>
  </mergeCells>
  <printOptions gridLines="1"/>
  <pageMargins left="0.75" right="0.17" top="0.38" bottom="0.67" header="0.5" footer="0.18"/>
  <pageSetup fitToHeight="2" horizontalDpi="600" verticalDpi="600" orientation="portrait" scale="72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workbookViewId="0" topLeftCell="A1">
      <selection activeCell="G47" sqref="G47"/>
    </sheetView>
  </sheetViews>
  <sheetFormatPr defaultColWidth="9.140625" defaultRowHeight="12.75"/>
  <cols>
    <col min="1" max="1" width="60.7109375" style="0" bestFit="1" customWidth="1"/>
    <col min="2" max="2" width="12.8515625" style="0" bestFit="1" customWidth="1"/>
    <col min="3" max="3" width="12.8515625" style="0" customWidth="1"/>
    <col min="4" max="4" width="12.8515625" style="0" bestFit="1" customWidth="1"/>
    <col min="5" max="5" width="11.7109375" style="39" bestFit="1" customWidth="1"/>
    <col min="6" max="6" width="11.140625" style="0" customWidth="1"/>
    <col min="9" max="9" width="9.421875" style="0" bestFit="1" customWidth="1"/>
    <col min="10" max="10" width="10.7109375" style="0" bestFit="1" customWidth="1"/>
    <col min="11" max="11" width="11.8515625" style="0" bestFit="1" customWidth="1"/>
    <col min="12" max="12" width="10.28125" style="0" bestFit="1" customWidth="1"/>
    <col min="13" max="13" width="10.140625" style="0" customWidth="1"/>
    <col min="14" max="15" width="10.140625" style="0" bestFit="1" customWidth="1"/>
    <col min="16" max="17" width="11.8515625" style="0" customWidth="1"/>
    <col min="18" max="18" width="11.7109375" style="0" bestFit="1" customWidth="1"/>
    <col min="19" max="19" width="12.140625" style="0" bestFit="1" customWidth="1"/>
    <col min="20" max="20" width="10.8515625" style="0" customWidth="1"/>
    <col min="21" max="21" width="9.421875" style="0" bestFit="1" customWidth="1"/>
    <col min="22" max="22" width="9.28125" style="0" bestFit="1" customWidth="1"/>
    <col min="23" max="23" width="10.28125" style="0" customWidth="1"/>
  </cols>
  <sheetData>
    <row r="1" spans="1:22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.75">
      <c r="A2" s="71" t="s">
        <v>67</v>
      </c>
      <c r="B2" s="71"/>
      <c r="C2" s="71"/>
      <c r="D2" s="71"/>
      <c r="E2" s="71"/>
      <c r="F2" s="71"/>
      <c r="I2" s="72" t="str">
        <f>+A2</f>
        <v>FIRE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6" ht="15.75">
      <c r="A3" s="15"/>
      <c r="B3" s="15"/>
      <c r="C3" s="15"/>
      <c r="D3" s="15"/>
      <c r="E3" s="34"/>
      <c r="F3" s="15"/>
    </row>
    <row r="4" spans="1:6" ht="15.75">
      <c r="A4" s="14" t="s">
        <v>1</v>
      </c>
      <c r="B4" s="15"/>
      <c r="C4" s="15"/>
      <c r="D4" s="15"/>
      <c r="E4" s="34"/>
      <c r="F4" s="15"/>
    </row>
    <row r="5" spans="1:22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R5" s="1"/>
      <c r="S5" s="1"/>
      <c r="T5" s="1"/>
      <c r="U5" s="1"/>
      <c r="V5" s="1"/>
    </row>
    <row r="6" spans="1:23" ht="15.75">
      <c r="A6" s="14"/>
      <c r="B6" s="18" t="s">
        <v>281</v>
      </c>
      <c r="C6" s="18" t="s">
        <v>303</v>
      </c>
      <c r="D6" s="18" t="s">
        <v>329</v>
      </c>
      <c r="E6" s="36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365</v>
      </c>
      <c r="O6" s="2" t="s">
        <v>13</v>
      </c>
      <c r="P6" s="2" t="s">
        <v>12</v>
      </c>
      <c r="Q6" s="2" t="s">
        <v>366</v>
      </c>
      <c r="R6" s="2" t="s">
        <v>283</v>
      </c>
      <c r="S6" s="2" t="s">
        <v>283</v>
      </c>
      <c r="T6" s="2" t="s">
        <v>255</v>
      </c>
      <c r="U6" s="2" t="s">
        <v>254</v>
      </c>
      <c r="V6" s="2" t="s">
        <v>255</v>
      </c>
      <c r="W6" s="2" t="s">
        <v>215</v>
      </c>
    </row>
    <row r="7" spans="1:23" ht="15.75">
      <c r="A7" s="15" t="s">
        <v>328</v>
      </c>
      <c r="B7" s="19">
        <v>3537212</v>
      </c>
      <c r="C7" s="19">
        <v>3934453</v>
      </c>
      <c r="D7" s="19">
        <v>4075482</v>
      </c>
      <c r="E7" s="33">
        <f>+D7-C7</f>
        <v>141029</v>
      </c>
      <c r="F7" s="29">
        <f>ROUND(E7/C7,4)</f>
        <v>0.0358</v>
      </c>
      <c r="I7">
        <v>101</v>
      </c>
      <c r="J7" s="3">
        <f>SUM(K7:W7)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f>-R7</f>
        <v>0</v>
      </c>
      <c r="T7" s="3">
        <v>0</v>
      </c>
      <c r="U7" s="3">
        <v>0</v>
      </c>
      <c r="V7" s="3">
        <v>0</v>
      </c>
      <c r="W7" s="3">
        <v>0</v>
      </c>
    </row>
    <row r="8" spans="1:23" ht="15.75">
      <c r="A8" s="15" t="s">
        <v>14</v>
      </c>
      <c r="B8" s="19">
        <v>373972</v>
      </c>
      <c r="C8" s="19">
        <v>367842</v>
      </c>
      <c r="D8" s="19">
        <v>394496</v>
      </c>
      <c r="E8" s="33">
        <f>+D8-C8</f>
        <v>26654</v>
      </c>
      <c r="F8" s="29">
        <f>ROUND(E8/C8,4)</f>
        <v>0.0725</v>
      </c>
      <c r="I8">
        <v>102</v>
      </c>
      <c r="J8" s="3">
        <f aca="true" t="shared" si="0" ref="J8:J25">SUM(K8:W8)</f>
        <v>2082</v>
      </c>
      <c r="K8" s="3">
        <v>1376</v>
      </c>
      <c r="L8" s="3">
        <v>-55</v>
      </c>
      <c r="M8" s="3">
        <v>761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f aca="true" t="shared" si="1" ref="S8:S25">-R8</f>
        <v>0</v>
      </c>
      <c r="T8" s="3">
        <v>0</v>
      </c>
      <c r="U8" s="3">
        <v>0</v>
      </c>
      <c r="V8" s="3">
        <v>0</v>
      </c>
      <c r="W8" s="3">
        <v>0</v>
      </c>
    </row>
    <row r="9" spans="1:23" ht="15.75">
      <c r="A9" s="15" t="s">
        <v>15</v>
      </c>
      <c r="B9" s="22">
        <v>184787</v>
      </c>
      <c r="C9" s="22">
        <v>180500</v>
      </c>
      <c r="D9" s="22">
        <v>206300</v>
      </c>
      <c r="E9" s="37">
        <f>+D9-C9</f>
        <v>25800</v>
      </c>
      <c r="F9" s="29">
        <f>ROUND(E9/C9,4)</f>
        <v>0.1429</v>
      </c>
      <c r="I9">
        <v>103</v>
      </c>
      <c r="J9" s="3">
        <f t="shared" si="0"/>
        <v>47230</v>
      </c>
      <c r="K9" s="3">
        <f>47230-14128</f>
        <v>33102</v>
      </c>
      <c r="L9" s="3">
        <v>0</v>
      </c>
      <c r="M9" s="3">
        <v>14128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f t="shared" si="1"/>
        <v>0</v>
      </c>
      <c r="T9" s="3">
        <v>0</v>
      </c>
      <c r="U9" s="3">
        <v>0</v>
      </c>
      <c r="V9" s="3">
        <v>0</v>
      </c>
      <c r="W9" s="3">
        <v>0</v>
      </c>
    </row>
    <row r="10" spans="1:23" ht="15.75">
      <c r="A10" s="15" t="s">
        <v>7</v>
      </c>
      <c r="B10" s="19">
        <f>SUM(B7:B9)</f>
        <v>4095971</v>
      </c>
      <c r="C10" s="19">
        <f>SUM(C7:C9)</f>
        <v>4482795</v>
      </c>
      <c r="D10" s="19">
        <f>SUM(D7:D9)</f>
        <v>4676278</v>
      </c>
      <c r="E10" s="33">
        <f>SUM(E7:E9)</f>
        <v>193483</v>
      </c>
      <c r="F10" s="29">
        <f>ROUND(E10/C10,4)</f>
        <v>0.0432</v>
      </c>
      <c r="I10">
        <v>104</v>
      </c>
      <c r="J10" s="3">
        <f t="shared" si="0"/>
        <v>91667</v>
      </c>
      <c r="K10" s="3">
        <f>91667-25389</f>
        <v>66278</v>
      </c>
      <c r="L10" s="3">
        <v>0</v>
      </c>
      <c r="M10" s="3">
        <v>25389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f t="shared" si="1"/>
        <v>0</v>
      </c>
      <c r="T10" s="3">
        <v>0</v>
      </c>
      <c r="U10" s="3">
        <v>0</v>
      </c>
      <c r="V10" s="3">
        <v>0</v>
      </c>
      <c r="W10" s="3">
        <v>0</v>
      </c>
    </row>
    <row r="11" spans="1:23" ht="15.75">
      <c r="A11" s="15"/>
      <c r="B11" s="19"/>
      <c r="C11" s="19"/>
      <c r="D11" s="19"/>
      <c r="E11" s="33"/>
      <c r="F11" s="19"/>
      <c r="I11">
        <v>105</v>
      </c>
      <c r="J11" s="3">
        <f t="shared" si="0"/>
        <v>-5521</v>
      </c>
      <c r="K11" s="3">
        <v>0</v>
      </c>
      <c r="L11" s="3">
        <v>0</v>
      </c>
      <c r="M11" s="3">
        <v>0</v>
      </c>
      <c r="N11" s="3">
        <v>0</v>
      </c>
      <c r="O11" s="3">
        <v>-5521</v>
      </c>
      <c r="P11" s="3">
        <v>0</v>
      </c>
      <c r="Q11" s="3">
        <v>0</v>
      </c>
      <c r="R11" s="3">
        <v>0</v>
      </c>
      <c r="S11" s="3">
        <f t="shared" si="1"/>
        <v>0</v>
      </c>
      <c r="T11" s="3">
        <v>0</v>
      </c>
      <c r="U11" s="3">
        <v>0</v>
      </c>
      <c r="V11" s="3">
        <v>0</v>
      </c>
      <c r="W11" s="3">
        <v>0</v>
      </c>
    </row>
    <row r="12" spans="1:23" ht="15.75">
      <c r="A12" s="14" t="s">
        <v>16</v>
      </c>
      <c r="B12" s="19"/>
      <c r="C12" s="19"/>
      <c r="D12" s="19"/>
      <c r="E12" s="33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 t="shared" si="1"/>
        <v>0</v>
      </c>
      <c r="T12" s="3">
        <v>0</v>
      </c>
      <c r="U12" s="3">
        <v>0</v>
      </c>
      <c r="V12" s="3">
        <v>0</v>
      </c>
      <c r="W12" s="3">
        <v>0</v>
      </c>
    </row>
    <row r="13" spans="1:23" ht="15.75">
      <c r="A13" s="15" t="s">
        <v>31</v>
      </c>
      <c r="B13" s="19"/>
      <c r="C13" s="19"/>
      <c r="D13" s="19"/>
      <c r="E13" s="33">
        <v>119765</v>
      </c>
      <c r="F13" s="19" t="s">
        <v>17</v>
      </c>
      <c r="G13" s="3" t="s">
        <v>17</v>
      </c>
      <c r="I13">
        <v>107</v>
      </c>
      <c r="J13" s="3">
        <f t="shared" si="0"/>
        <v>34412</v>
      </c>
      <c r="K13" s="3">
        <v>0</v>
      </c>
      <c r="L13" s="3">
        <v>0</v>
      </c>
      <c r="M13" s="3">
        <v>1878</v>
      </c>
      <c r="N13" s="3">
        <v>2366</v>
      </c>
      <c r="O13" s="3">
        <v>0</v>
      </c>
      <c r="P13" s="3">
        <f>-352+34264</f>
        <v>33912</v>
      </c>
      <c r="Q13" s="3">
        <v>-3744</v>
      </c>
      <c r="R13" s="3">
        <v>0</v>
      </c>
      <c r="S13" s="3">
        <f t="shared" si="1"/>
        <v>0</v>
      </c>
      <c r="T13" s="3">
        <v>0</v>
      </c>
      <c r="U13" s="3">
        <v>0</v>
      </c>
      <c r="V13" s="3">
        <v>0</v>
      </c>
      <c r="W13" s="3">
        <v>0</v>
      </c>
    </row>
    <row r="14" spans="1:23" ht="15.75">
      <c r="A14" s="15" t="s">
        <v>32</v>
      </c>
      <c r="B14" s="19"/>
      <c r="C14" s="19"/>
      <c r="D14" s="19"/>
      <c r="E14" s="33">
        <v>-57586</v>
      </c>
      <c r="F14" s="19" t="s">
        <v>17</v>
      </c>
      <c r="I14">
        <v>111</v>
      </c>
      <c r="J14" s="3">
        <f t="shared" si="0"/>
        <v>-637</v>
      </c>
      <c r="K14" s="3">
        <v>0</v>
      </c>
      <c r="L14" s="3">
        <v>0</v>
      </c>
      <c r="M14" s="3">
        <v>0</v>
      </c>
      <c r="N14" s="3">
        <v>0</v>
      </c>
      <c r="O14" s="3">
        <v>-637</v>
      </c>
      <c r="P14" s="3">
        <v>0</v>
      </c>
      <c r="Q14" s="3">
        <v>0</v>
      </c>
      <c r="R14" s="3">
        <v>0</v>
      </c>
      <c r="S14" s="3">
        <f t="shared" si="1"/>
        <v>0</v>
      </c>
      <c r="T14" s="3">
        <v>0</v>
      </c>
      <c r="U14" s="3">
        <v>0</v>
      </c>
      <c r="V14" s="3">
        <v>0</v>
      </c>
      <c r="W14" s="3">
        <v>0</v>
      </c>
    </row>
    <row r="15" spans="1:23" ht="15.75">
      <c r="A15" s="15" t="s">
        <v>333</v>
      </c>
      <c r="B15" s="19"/>
      <c r="C15" s="19"/>
      <c r="D15" s="19"/>
      <c r="E15" s="33">
        <v>50015</v>
      </c>
      <c r="F15" s="19"/>
      <c r="I15">
        <v>125</v>
      </c>
      <c r="J15" s="32">
        <f t="shared" si="0"/>
        <v>4717.4225</v>
      </c>
      <c r="K15" s="3">
        <f>+SUM(K8:K11)*0.0145+K14*0.0145+K13*0.0765+130</f>
        <v>1590.962</v>
      </c>
      <c r="L15" s="3">
        <f aca="true" t="shared" si="2" ref="L15:Q15">+SUM(L8:L11)*0.0145+L14*0.0145+L13*0.0765</f>
        <v>-0.7975</v>
      </c>
      <c r="M15" s="3">
        <f t="shared" si="2"/>
        <v>727.6980000000001</v>
      </c>
      <c r="N15" s="3">
        <f t="shared" si="2"/>
        <v>180.999</v>
      </c>
      <c r="O15" s="3">
        <f t="shared" si="2"/>
        <v>-89.29100000000001</v>
      </c>
      <c r="P15" s="3">
        <f t="shared" si="2"/>
        <v>2594.268</v>
      </c>
      <c r="Q15" s="3">
        <f t="shared" si="2"/>
        <v>-286.416</v>
      </c>
      <c r="R15" s="3">
        <v>0</v>
      </c>
      <c r="S15" s="3">
        <f t="shared" si="1"/>
        <v>0</v>
      </c>
      <c r="T15" s="3">
        <v>0</v>
      </c>
      <c r="U15" s="3">
        <v>0</v>
      </c>
      <c r="V15" s="3">
        <v>0</v>
      </c>
      <c r="W15" s="3">
        <v>0</v>
      </c>
    </row>
    <row r="16" spans="1:23" ht="15.75">
      <c r="A16" s="15" t="s">
        <v>47</v>
      </c>
      <c r="B16" s="19"/>
      <c r="C16" s="19"/>
      <c r="D16" s="19"/>
      <c r="E16" s="33">
        <v>-7378</v>
      </c>
      <c r="F16" s="19"/>
      <c r="I16">
        <v>128</v>
      </c>
      <c r="J16" s="3">
        <f t="shared" si="0"/>
        <v>21314.015600000002</v>
      </c>
      <c r="K16" s="3">
        <f>+K8*0.0874+SUM(K9:K12)*0.1592+K14*0.1592</f>
        <v>15941.5584</v>
      </c>
      <c r="L16" s="3">
        <f aca="true" t="shared" si="3" ref="L16:Q16">+L8*0.0874+SUM(L9:L12)*0.1592+L14*0.1592</f>
        <v>-4.807</v>
      </c>
      <c r="M16" s="3">
        <f t="shared" si="3"/>
        <v>6357.617800000001</v>
      </c>
      <c r="N16" s="3">
        <f t="shared" si="3"/>
        <v>0</v>
      </c>
      <c r="O16" s="3">
        <f t="shared" si="3"/>
        <v>-980.3536</v>
      </c>
      <c r="P16" s="3">
        <f t="shared" si="3"/>
        <v>0</v>
      </c>
      <c r="Q16" s="3">
        <f t="shared" si="3"/>
        <v>0</v>
      </c>
      <c r="R16" s="3">
        <v>0</v>
      </c>
      <c r="S16" s="3">
        <f t="shared" si="1"/>
        <v>0</v>
      </c>
      <c r="T16" s="3">
        <v>0</v>
      </c>
      <c r="U16" s="3">
        <v>0</v>
      </c>
      <c r="V16" s="3">
        <v>0</v>
      </c>
      <c r="W16" s="3">
        <v>0</v>
      </c>
    </row>
    <row r="17" spans="1:23" ht="15.75">
      <c r="A17" s="15" t="s">
        <v>368</v>
      </c>
      <c r="B17" s="19"/>
      <c r="C17" s="19"/>
      <c r="D17" s="19"/>
      <c r="E17" s="33">
        <v>2633</v>
      </c>
      <c r="F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>
      <c r="A18" s="15" t="s">
        <v>367</v>
      </c>
      <c r="B18" s="19"/>
      <c r="C18" s="19"/>
      <c r="D18" s="19"/>
      <c r="E18" s="33">
        <v>37753</v>
      </c>
      <c r="F18" s="1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>
      <c r="A19" s="15" t="s">
        <v>397</v>
      </c>
      <c r="B19" s="19"/>
      <c r="C19" s="19"/>
      <c r="D19" s="19"/>
      <c r="E19" s="33">
        <v>-4173</v>
      </c>
      <c r="F19" s="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>
      <c r="A20" s="15" t="s">
        <v>201</v>
      </c>
      <c r="B20" s="19"/>
      <c r="C20" s="19"/>
      <c r="D20" s="19"/>
      <c r="E20" s="33">
        <v>12250</v>
      </c>
      <c r="F20" s="19"/>
      <c r="I20">
        <v>131</v>
      </c>
      <c r="J20" s="3">
        <f t="shared" si="0"/>
        <v>20696.47</v>
      </c>
      <c r="K20" s="3">
        <f>+SUM(K10+K14+K8)*-0.02+(K9+K11)*-0.015+96-21086+20696</f>
        <v>-2143.6100000000006</v>
      </c>
      <c r="L20" s="3">
        <v>23575</v>
      </c>
      <c r="M20" s="3">
        <f>+SUM(M10+M14+M8)*-0.02+(M9+M11)*-0.015</f>
        <v>-734.92</v>
      </c>
      <c r="N20" s="3">
        <f>+SUM(N10+N14+N8)*-0.02+(N9+N11)*-0.015</f>
        <v>0</v>
      </c>
      <c r="O20" s="3">
        <v>0</v>
      </c>
      <c r="P20" s="3">
        <f>+SUM(P10+P14+P8)*-0.02+(P9+P11)*-0.015</f>
        <v>0</v>
      </c>
      <c r="Q20" s="3">
        <v>0</v>
      </c>
      <c r="R20" s="3">
        <v>0</v>
      </c>
      <c r="S20" s="3">
        <f t="shared" si="1"/>
        <v>0</v>
      </c>
      <c r="T20" s="3">
        <v>0</v>
      </c>
      <c r="U20" s="3">
        <v>0</v>
      </c>
      <c r="V20" s="3">
        <v>0</v>
      </c>
      <c r="W20" s="3">
        <v>0</v>
      </c>
    </row>
    <row r="21" spans="1:23" ht="15.75">
      <c r="A21" s="15" t="s">
        <v>305</v>
      </c>
      <c r="B21" s="19"/>
      <c r="C21" s="19"/>
      <c r="D21" s="19"/>
      <c r="E21" s="33">
        <v>2734</v>
      </c>
      <c r="F21" s="19"/>
      <c r="I21">
        <v>132</v>
      </c>
      <c r="J21" s="3">
        <f t="shared" si="0"/>
        <v>2050</v>
      </c>
      <c r="K21" s="3">
        <v>0</v>
      </c>
      <c r="L21" s="3">
        <v>2050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f t="shared" si="1"/>
        <v>0</v>
      </c>
      <c r="T21" s="3">
        <v>0</v>
      </c>
      <c r="U21" s="3">
        <v>0</v>
      </c>
      <c r="V21" s="3">
        <v>0</v>
      </c>
      <c r="W21" s="3">
        <v>0</v>
      </c>
    </row>
    <row r="22" spans="1:23" ht="15.75">
      <c r="A22" s="15" t="s">
        <v>304</v>
      </c>
      <c r="E22" s="33">
        <v>5500</v>
      </c>
      <c r="F22" s="19"/>
      <c r="I22">
        <v>133</v>
      </c>
      <c r="J22" s="3">
        <f t="shared" si="0"/>
        <v>-135</v>
      </c>
      <c r="K22" s="3">
        <v>0</v>
      </c>
      <c r="L22" s="3">
        <v>-135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 t="shared" si="1"/>
        <v>0</v>
      </c>
      <c r="T22" s="3">
        <v>0</v>
      </c>
      <c r="U22" s="3">
        <v>0</v>
      </c>
      <c r="V22" s="3">
        <v>0</v>
      </c>
      <c r="W22" s="3">
        <v>0</v>
      </c>
    </row>
    <row r="23" spans="1:23" ht="15.75">
      <c r="A23" s="15" t="s">
        <v>15</v>
      </c>
      <c r="B23" s="19"/>
      <c r="C23" s="19"/>
      <c r="D23" s="19"/>
      <c r="E23" s="33">
        <v>25800</v>
      </c>
      <c r="F23" s="19"/>
      <c r="I23" t="s">
        <v>293</v>
      </c>
      <c r="J23" s="3">
        <f t="shared" si="0"/>
        <v>-135</v>
      </c>
      <c r="K23" s="3">
        <v>0</v>
      </c>
      <c r="L23" s="3">
        <v>-135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f t="shared" si="1"/>
        <v>0</v>
      </c>
      <c r="T23" s="3">
        <v>0</v>
      </c>
      <c r="U23" s="3">
        <v>0</v>
      </c>
      <c r="V23" s="3">
        <v>0</v>
      </c>
      <c r="W23" s="3">
        <v>0</v>
      </c>
    </row>
    <row r="24" spans="1:23" ht="18">
      <c r="A24" s="15" t="s">
        <v>60</v>
      </c>
      <c r="B24" s="19"/>
      <c r="C24" s="19"/>
      <c r="D24" s="19"/>
      <c r="E24" s="38">
        <f>-277+6447</f>
        <v>6170</v>
      </c>
      <c r="F24" s="19"/>
      <c r="I24">
        <v>134</v>
      </c>
      <c r="J24" s="3">
        <f t="shared" si="0"/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 t="shared" si="1"/>
        <v>0</v>
      </c>
      <c r="T24" s="3">
        <v>0</v>
      </c>
      <c r="U24" s="3">
        <v>0</v>
      </c>
      <c r="V24" s="3">
        <v>0</v>
      </c>
      <c r="W24" s="3">
        <v>0</v>
      </c>
    </row>
    <row r="25" spans="1:23" ht="15.75">
      <c r="A25" s="15" t="s">
        <v>33</v>
      </c>
      <c r="B25" s="19"/>
      <c r="C25" s="19"/>
      <c r="D25" s="19"/>
      <c r="E25" s="33">
        <f>SUM(E12:E24)</f>
        <v>193483</v>
      </c>
      <c r="F25" s="19"/>
      <c r="I25">
        <v>135</v>
      </c>
      <c r="J25" s="3">
        <f t="shared" si="0"/>
        <v>-76704.24600400002</v>
      </c>
      <c r="K25" s="3">
        <f>+K8*0.0021+SUM(K9:K10)*0.0364+K13*0.0364+K11*0.67*0.0364+K14*0.67*0.0364</f>
        <v>3620.3216</v>
      </c>
      <c r="L25" s="3">
        <f>-82777-90</f>
        <v>-82867</v>
      </c>
      <c r="M25" s="3">
        <f>+M8*0.0021+SUM(M9:M10)*0.0364+M13*0.0364+M11*0.67*0.0364+M14*0.67*0.0364</f>
        <v>1508.3761000000002</v>
      </c>
      <c r="N25" s="3">
        <f>+N8*0.0021+SUM(N9:N10)*0.0364+N13*0.0364+N11*0.67*0.0364+N14*0.67*0.0364</f>
        <v>86.1224</v>
      </c>
      <c r="O25" s="3">
        <f>+O8*0.0021+SUM(O9:O10)*0.0364+O13*0.0364+O11*0.67*0.0364+O14*0.67*0.0364</f>
        <v>-150.181304</v>
      </c>
      <c r="P25" s="3">
        <f>+P8*0.0021+SUM(P9:P10)*0.0364+P13*0.0364+P11*0.67*0.0364+P14*0.67*0.0364</f>
        <v>1234.3968</v>
      </c>
      <c r="Q25" s="3">
        <f>+Q8*0.0021+SUM(Q9:Q10)*0.0364+Q13*0.0364+Q11*0.67*0.0364+Q14*0.67*0.0364</f>
        <v>-136.2816</v>
      </c>
      <c r="R25" s="3">
        <v>0</v>
      </c>
      <c r="S25" s="3">
        <f t="shared" si="1"/>
        <v>0</v>
      </c>
      <c r="T25" s="3">
        <v>0</v>
      </c>
      <c r="U25" s="3">
        <v>0</v>
      </c>
      <c r="V25" s="3">
        <v>0</v>
      </c>
      <c r="W25" s="3">
        <v>0</v>
      </c>
    </row>
    <row r="26" spans="1:23" ht="15.75">
      <c r="A26" s="15" t="s">
        <v>17</v>
      </c>
      <c r="B26" s="19"/>
      <c r="C26" s="19"/>
      <c r="D26" s="19"/>
      <c r="E26" s="33" t="s">
        <v>17</v>
      </c>
      <c r="F26" s="19"/>
      <c r="I26">
        <v>136</v>
      </c>
      <c r="J26" s="5">
        <f>SUM(K26:W26)</f>
        <v>-7.9904</v>
      </c>
      <c r="K26" s="5">
        <v>0</v>
      </c>
      <c r="L26" s="5">
        <v>-14</v>
      </c>
      <c r="M26" s="5">
        <v>0</v>
      </c>
      <c r="N26" s="5">
        <v>0</v>
      </c>
      <c r="O26" s="5">
        <v>0</v>
      </c>
      <c r="P26" s="5">
        <v>12</v>
      </c>
      <c r="Q26" s="5">
        <f>+Q13*0.0016</f>
        <v>-5.9904</v>
      </c>
      <c r="R26" s="5">
        <v>0</v>
      </c>
      <c r="S26" s="3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5.75">
      <c r="A27" s="14" t="s">
        <v>327</v>
      </c>
      <c r="B27" s="23" t="s">
        <v>17</v>
      </c>
      <c r="C27" s="23" t="s">
        <v>17</v>
      </c>
      <c r="D27" s="19"/>
      <c r="E27" s="33" t="s">
        <v>17</v>
      </c>
      <c r="F27" s="19"/>
      <c r="I27" s="1" t="s">
        <v>7</v>
      </c>
      <c r="J27" s="3">
        <f>SUM(J7:J26)</f>
        <v>141028.67169599998</v>
      </c>
      <c r="K27" s="3">
        <f aca="true" t="shared" si="4" ref="K27:W27">SUM(K7:K26)</f>
        <v>119765.23199999999</v>
      </c>
      <c r="L27" s="3">
        <f t="shared" si="4"/>
        <v>-57586.6045</v>
      </c>
      <c r="M27" s="3">
        <f t="shared" si="4"/>
        <v>50014.7719</v>
      </c>
      <c r="N27" s="3">
        <f t="shared" si="4"/>
        <v>2633.1214</v>
      </c>
      <c r="O27" s="3">
        <f t="shared" si="4"/>
        <v>-7377.825904</v>
      </c>
      <c r="P27" s="3">
        <f t="shared" si="4"/>
        <v>37752.6648</v>
      </c>
      <c r="Q27" s="3">
        <f t="shared" si="4"/>
        <v>-4172.688</v>
      </c>
      <c r="R27" s="3">
        <f t="shared" si="4"/>
        <v>0</v>
      </c>
      <c r="S27" s="3">
        <f t="shared" si="4"/>
        <v>0</v>
      </c>
      <c r="T27" s="3">
        <f t="shared" si="4"/>
        <v>0</v>
      </c>
      <c r="U27" s="3">
        <f t="shared" si="4"/>
        <v>0</v>
      </c>
      <c r="V27" s="3">
        <f t="shared" si="4"/>
        <v>0</v>
      </c>
      <c r="W27" s="3">
        <f t="shared" si="4"/>
        <v>0</v>
      </c>
    </row>
    <row r="28" spans="1:23" ht="15.75">
      <c r="A28" s="15" t="s">
        <v>17</v>
      </c>
      <c r="B28" s="23" t="s">
        <v>3</v>
      </c>
      <c r="C28" s="23" t="s">
        <v>3</v>
      </c>
      <c r="D28" s="19"/>
      <c r="E28" s="33" t="s">
        <v>17</v>
      </c>
      <c r="F28" s="19"/>
      <c r="I28" s="1">
        <v>204</v>
      </c>
      <c r="J28" s="3">
        <f>SUM(K28:W28)</f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</row>
    <row r="29" spans="1:23" ht="15.75">
      <c r="A29" s="15" t="s">
        <v>17</v>
      </c>
      <c r="B29" s="18" t="s">
        <v>303</v>
      </c>
      <c r="C29" s="18" t="s">
        <v>329</v>
      </c>
      <c r="D29" s="19"/>
      <c r="E29" s="33" t="s">
        <v>17</v>
      </c>
      <c r="F29" s="20" t="s">
        <v>17</v>
      </c>
      <c r="I29" s="1">
        <v>270</v>
      </c>
      <c r="J29" s="3">
        <f>SUM(K29:W29)</f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f>-R29</f>
        <v>0</v>
      </c>
      <c r="T29" s="3">
        <v>0</v>
      </c>
      <c r="U29" s="3">
        <v>0</v>
      </c>
      <c r="V29" s="3">
        <v>0</v>
      </c>
      <c r="W29" s="3">
        <v>0</v>
      </c>
    </row>
    <row r="30" spans="1:23" ht="15.75">
      <c r="A30" s="15" t="s">
        <v>18</v>
      </c>
      <c r="B30" s="19"/>
      <c r="C30" s="19"/>
      <c r="D30" s="19"/>
      <c r="E30" s="33" t="s">
        <v>17</v>
      </c>
      <c r="F30" s="20" t="s">
        <v>17</v>
      </c>
      <c r="I30" s="1">
        <v>352</v>
      </c>
      <c r="J30" s="3">
        <f>SUM(K30:W30)</f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>-R30</f>
        <v>0</v>
      </c>
      <c r="T30" s="3">
        <v>0</v>
      </c>
      <c r="U30" s="3">
        <v>0</v>
      </c>
      <c r="V30" s="3">
        <v>0</v>
      </c>
      <c r="W30" s="3">
        <v>0</v>
      </c>
    </row>
    <row r="31" spans="1:23" ht="15.75">
      <c r="A31" s="15" t="s">
        <v>68</v>
      </c>
      <c r="B31" s="19">
        <v>1</v>
      </c>
      <c r="C31" s="19">
        <v>1</v>
      </c>
      <c r="D31" s="19"/>
      <c r="E31" s="33" t="s">
        <v>17</v>
      </c>
      <c r="F31" s="20" t="s">
        <v>17</v>
      </c>
      <c r="I31" s="1">
        <v>459</v>
      </c>
      <c r="J31" s="5">
        <f>SUM(K31:W31)</f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5.75">
      <c r="A32" s="15" t="s">
        <v>69</v>
      </c>
      <c r="B32" s="19">
        <v>1</v>
      </c>
      <c r="C32" s="19">
        <v>1</v>
      </c>
      <c r="D32" s="19"/>
      <c r="E32" s="33" t="s">
        <v>17</v>
      </c>
      <c r="F32" s="20" t="s">
        <v>17</v>
      </c>
      <c r="I32" s="1"/>
      <c r="J32" s="3">
        <f>SUM(J27:J31)</f>
        <v>141028.67169599998</v>
      </c>
      <c r="K32" s="3">
        <f aca="true" t="shared" si="5" ref="K32:W32">SUM(K27:K31)</f>
        <v>119765.23199999999</v>
      </c>
      <c r="L32" s="3">
        <f t="shared" si="5"/>
        <v>-57586.6045</v>
      </c>
      <c r="M32" s="3">
        <f t="shared" si="5"/>
        <v>50014.7719</v>
      </c>
      <c r="N32" s="3">
        <f t="shared" si="5"/>
        <v>2633.1214</v>
      </c>
      <c r="O32" s="3">
        <f t="shared" si="5"/>
        <v>-7377.825904</v>
      </c>
      <c r="P32" s="3">
        <f t="shared" si="5"/>
        <v>37752.6648</v>
      </c>
      <c r="Q32" s="3">
        <f t="shared" si="5"/>
        <v>-4172.688</v>
      </c>
      <c r="R32" s="3">
        <f t="shared" si="5"/>
        <v>0</v>
      </c>
      <c r="S32" s="3">
        <f t="shared" si="5"/>
        <v>0</v>
      </c>
      <c r="T32" s="3">
        <f t="shared" si="5"/>
        <v>0</v>
      </c>
      <c r="U32" s="3">
        <f t="shared" si="5"/>
        <v>0</v>
      </c>
      <c r="V32" s="3">
        <f t="shared" si="5"/>
        <v>0</v>
      </c>
      <c r="W32" s="3">
        <f t="shared" si="5"/>
        <v>0</v>
      </c>
    </row>
    <row r="33" spans="1:15" ht="15.75">
      <c r="A33" s="15" t="s">
        <v>79</v>
      </c>
      <c r="B33" s="19">
        <v>1</v>
      </c>
      <c r="C33" s="19">
        <v>1</v>
      </c>
      <c r="D33" s="19"/>
      <c r="E33" s="33" t="s">
        <v>17</v>
      </c>
      <c r="F33" s="20" t="s">
        <v>17</v>
      </c>
      <c r="N33" s="3"/>
      <c r="O33" s="3"/>
    </row>
    <row r="34" spans="1:15" ht="15.75">
      <c r="A34" s="15" t="s">
        <v>70</v>
      </c>
      <c r="B34" s="19">
        <v>4</v>
      </c>
      <c r="C34" s="19">
        <v>4</v>
      </c>
      <c r="D34" s="19"/>
      <c r="E34" s="33"/>
      <c r="F34" s="20"/>
      <c r="J34" s="3">
        <f>+J27-E7</f>
        <v>-0.3283040000242181</v>
      </c>
      <c r="N34" s="3"/>
      <c r="O34" s="3"/>
    </row>
    <row r="35" spans="1:22" ht="15.75">
      <c r="A35" s="15" t="s">
        <v>71</v>
      </c>
      <c r="B35" s="19">
        <v>4</v>
      </c>
      <c r="C35" s="19">
        <v>4</v>
      </c>
      <c r="D35" s="19"/>
      <c r="E35" s="33"/>
      <c r="F35" s="19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>
      <c r="A36" s="15" t="s">
        <v>229</v>
      </c>
      <c r="B36" s="19">
        <v>1</v>
      </c>
      <c r="C36" s="19">
        <v>1</v>
      </c>
      <c r="D36" s="19"/>
      <c r="E36" s="33"/>
      <c r="F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>
      <c r="A37" s="15" t="s">
        <v>75</v>
      </c>
      <c r="B37" s="19">
        <v>28</v>
      </c>
      <c r="C37" s="33">
        <v>28</v>
      </c>
      <c r="D37" s="19"/>
      <c r="E37" s="33"/>
      <c r="F37" s="1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>
      <c r="A38" s="15" t="s">
        <v>63</v>
      </c>
      <c r="B38" s="22">
        <v>1</v>
      </c>
      <c r="C38" s="22">
        <v>1</v>
      </c>
      <c r="D38" s="19"/>
      <c r="E38" s="33"/>
      <c r="F38" s="1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>
      <c r="A39" s="15" t="s">
        <v>20</v>
      </c>
      <c r="B39" s="19">
        <f>SUM(B31:B38)</f>
        <v>41</v>
      </c>
      <c r="C39" s="19">
        <f>SUM(C31:C38)</f>
        <v>41</v>
      </c>
      <c r="D39" s="19"/>
      <c r="E39" s="33"/>
      <c r="F39" s="1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15" ht="15.75">
      <c r="A40" s="15" t="s">
        <v>72</v>
      </c>
      <c r="B40" s="19"/>
      <c r="C40" s="19"/>
      <c r="D40" s="19"/>
      <c r="E40" s="33"/>
      <c r="F40" s="19"/>
      <c r="N40" s="3"/>
      <c r="O40" s="3"/>
    </row>
    <row r="41" spans="1:15" ht="15.75">
      <c r="A41" s="15" t="s">
        <v>73</v>
      </c>
      <c r="B41" s="19">
        <v>0</v>
      </c>
      <c r="C41" s="19">
        <v>0</v>
      </c>
      <c r="D41" s="19"/>
      <c r="E41" s="33"/>
      <c r="F41" s="19"/>
      <c r="N41" s="3"/>
      <c r="O41" s="3"/>
    </row>
    <row r="42" spans="1:15" ht="15.75">
      <c r="A42" s="15" t="s">
        <v>182</v>
      </c>
      <c r="B42" s="19">
        <v>2</v>
      </c>
      <c r="C42" s="19">
        <v>4</v>
      </c>
      <c r="D42" s="19"/>
      <c r="E42" s="33"/>
      <c r="F42" s="19"/>
      <c r="N42" s="3"/>
      <c r="O42" s="3"/>
    </row>
    <row r="43" spans="1:15" ht="15.75">
      <c r="A43" s="15" t="s">
        <v>183</v>
      </c>
      <c r="B43" s="19">
        <v>1</v>
      </c>
      <c r="C43" s="19">
        <v>1</v>
      </c>
      <c r="D43" s="19"/>
      <c r="E43" s="33"/>
      <c r="F43" s="19"/>
      <c r="N43" s="3"/>
      <c r="O43" s="3"/>
    </row>
    <row r="44" spans="1:6" ht="18">
      <c r="A44" s="15" t="s">
        <v>74</v>
      </c>
      <c r="B44" s="21">
        <v>1</v>
      </c>
      <c r="C44" s="21">
        <v>0</v>
      </c>
      <c r="D44" s="19"/>
      <c r="E44" s="33"/>
      <c r="F44" s="19"/>
    </row>
    <row r="45" spans="1:6" ht="18">
      <c r="A45" s="15" t="s">
        <v>22</v>
      </c>
      <c r="B45" s="21">
        <f>SUM(B41:B44)</f>
        <v>4</v>
      </c>
      <c r="C45" s="21">
        <f>SUM(C41:C44)</f>
        <v>5</v>
      </c>
      <c r="D45" s="19"/>
      <c r="E45" s="33"/>
      <c r="F45" s="19"/>
    </row>
    <row r="46" spans="1:6" ht="15.75">
      <c r="A46" s="15" t="s">
        <v>7</v>
      </c>
      <c r="B46" s="19">
        <f>+B39+B45</f>
        <v>45</v>
      </c>
      <c r="C46" s="19">
        <f>+C39+C45</f>
        <v>46</v>
      </c>
      <c r="D46" s="19"/>
      <c r="E46" s="33"/>
      <c r="F46" s="19"/>
    </row>
    <row r="47" spans="1:6" ht="15.75">
      <c r="A47" s="15"/>
      <c r="B47" s="19"/>
      <c r="C47" s="19"/>
      <c r="D47" s="19"/>
      <c r="E47" s="33"/>
      <c r="F47" s="19"/>
    </row>
    <row r="48" spans="1:6" ht="15.75">
      <c r="A48" s="14" t="s">
        <v>23</v>
      </c>
      <c r="B48" s="19"/>
      <c r="C48" s="19"/>
      <c r="D48" s="19"/>
      <c r="E48" s="33"/>
      <c r="F48" s="19"/>
    </row>
    <row r="49" spans="1:6" ht="15.75">
      <c r="A49" s="15" t="s">
        <v>364</v>
      </c>
      <c r="C49" s="19">
        <v>27800</v>
      </c>
      <c r="D49" s="19"/>
      <c r="E49" s="33"/>
      <c r="F49" s="19"/>
    </row>
    <row r="50" spans="1:6" ht="15.75">
      <c r="A50" s="15" t="s">
        <v>362</v>
      </c>
      <c r="C50" s="19">
        <v>3500</v>
      </c>
      <c r="D50" s="19"/>
      <c r="E50" s="33"/>
      <c r="F50" s="19"/>
    </row>
    <row r="51" spans="1:6" ht="15.75">
      <c r="A51" s="15" t="s">
        <v>363</v>
      </c>
      <c r="C51" s="19">
        <v>5500</v>
      </c>
      <c r="D51" s="19"/>
      <c r="E51" s="33"/>
      <c r="F51" s="19"/>
    </row>
    <row r="52" spans="1:6" ht="15.75">
      <c r="A52" s="15" t="s">
        <v>253</v>
      </c>
      <c r="C52" s="19">
        <v>2000</v>
      </c>
      <c r="D52" s="19"/>
      <c r="E52" s="33"/>
      <c r="F52" s="19"/>
    </row>
    <row r="53" spans="1:6" ht="15.75">
      <c r="A53" s="15" t="s">
        <v>309</v>
      </c>
      <c r="C53" s="19">
        <v>17500</v>
      </c>
      <c r="D53" s="19"/>
      <c r="E53" s="33"/>
      <c r="F53" s="19"/>
    </row>
    <row r="54" spans="1:6" ht="15.75">
      <c r="A54" s="15" t="s">
        <v>76</v>
      </c>
      <c r="C54" s="19">
        <v>100000</v>
      </c>
      <c r="D54" s="19"/>
      <c r="E54" s="33"/>
      <c r="F54" s="19"/>
    </row>
    <row r="55" spans="1:6" ht="18">
      <c r="A55" s="15" t="s">
        <v>179</v>
      </c>
      <c r="C55" s="21">
        <v>50000</v>
      </c>
      <c r="D55" s="19"/>
      <c r="E55" s="33"/>
      <c r="F55" s="19"/>
    </row>
    <row r="56" spans="1:6" ht="15.75">
      <c r="A56" s="15" t="s">
        <v>7</v>
      </c>
      <c r="C56" s="19">
        <f>SUM(C49:C55)</f>
        <v>206300</v>
      </c>
      <c r="D56" s="19"/>
      <c r="E56" s="33"/>
      <c r="F56" s="19"/>
    </row>
    <row r="57" ht="15.75">
      <c r="F57" s="19"/>
    </row>
  </sheetData>
  <mergeCells count="5">
    <mergeCell ref="E5:F5"/>
    <mergeCell ref="A1:F1"/>
    <mergeCell ref="I1:V1"/>
    <mergeCell ref="A2:F2"/>
    <mergeCell ref="I2:V2"/>
  </mergeCells>
  <printOptions gridLines="1"/>
  <pageMargins left="0.75" right="0.75" top="1" bottom="1" header="0.5" footer="0.5"/>
  <pageSetup fitToHeight="1" fitToWidth="1" horizontalDpi="600" verticalDpi="600" orientation="portrait" scale="71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workbookViewId="0" topLeftCell="A22">
      <selection activeCell="C42" sqref="C42"/>
    </sheetView>
  </sheetViews>
  <sheetFormatPr defaultColWidth="9.140625" defaultRowHeight="12.75"/>
  <cols>
    <col min="1" max="1" width="60.140625" style="0" customWidth="1"/>
    <col min="2" max="4" width="12.8515625" style="0" bestFit="1" customWidth="1"/>
    <col min="5" max="5" width="11.7109375" style="0" bestFit="1" customWidth="1"/>
    <col min="6" max="6" width="11.28125" style="0" customWidth="1"/>
    <col min="7" max="7" width="9.28125" style="0" bestFit="1" customWidth="1"/>
    <col min="13" max="14" width="9.28125" style="0" bestFit="1" customWidth="1"/>
    <col min="24" max="24" width="9.28125" style="0" bestFit="1" customWidth="1"/>
  </cols>
  <sheetData>
    <row r="1" spans="1:23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5.75">
      <c r="A2" s="71" t="s">
        <v>77</v>
      </c>
      <c r="B2" s="71"/>
      <c r="C2" s="71"/>
      <c r="D2" s="71"/>
      <c r="E2" s="71"/>
      <c r="F2" s="71"/>
      <c r="I2" s="72" t="str">
        <f>+A2</f>
        <v>POLICE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3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/>
      <c r="R5" s="1"/>
      <c r="S5" s="1"/>
      <c r="T5" s="1"/>
      <c r="U5" s="1"/>
      <c r="V5" s="1" t="s">
        <v>17</v>
      </c>
      <c r="W5" s="1"/>
    </row>
    <row r="6" spans="1:23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314</v>
      </c>
      <c r="O6" s="2" t="s">
        <v>223</v>
      </c>
      <c r="P6" s="2" t="s">
        <v>223</v>
      </c>
      <c r="Q6" s="2" t="s">
        <v>223</v>
      </c>
      <c r="R6" s="2" t="s">
        <v>13</v>
      </c>
      <c r="S6" s="2" t="s">
        <v>25</v>
      </c>
      <c r="T6" s="2" t="s">
        <v>181</v>
      </c>
      <c r="U6" s="2" t="s">
        <v>284</v>
      </c>
      <c r="V6" s="2" t="s">
        <v>238</v>
      </c>
      <c r="W6" s="2" t="s">
        <v>238</v>
      </c>
    </row>
    <row r="7" spans="1:23" ht="15.75">
      <c r="A7" s="15" t="s">
        <v>328</v>
      </c>
      <c r="B7" s="19">
        <v>3677710.92</v>
      </c>
      <c r="C7" s="19">
        <v>3917246</v>
      </c>
      <c r="D7" s="19">
        <v>4084129</v>
      </c>
      <c r="E7" s="19">
        <f>+D7-C7</f>
        <v>166883</v>
      </c>
      <c r="F7" s="29">
        <f>ROUND(E7/C7,4)</f>
        <v>0.0426</v>
      </c>
      <c r="I7">
        <v>101</v>
      </c>
      <c r="J7" s="3">
        <f>SUM(K7:W7)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f>-V7-U7-Q7</f>
        <v>0</v>
      </c>
    </row>
    <row r="8" spans="1:23" ht="15.75">
      <c r="A8" s="15" t="s">
        <v>14</v>
      </c>
      <c r="B8" s="19">
        <v>313097.01</v>
      </c>
      <c r="C8" s="19">
        <v>373331</v>
      </c>
      <c r="D8" s="19">
        <v>345796</v>
      </c>
      <c r="E8" s="19">
        <f>+D8-C8</f>
        <v>-27535</v>
      </c>
      <c r="F8" s="29">
        <f>ROUND(E8/C8,4)</f>
        <v>-0.0738</v>
      </c>
      <c r="I8">
        <v>102</v>
      </c>
      <c r="J8" s="3">
        <f aca="true" t="shared" si="0" ref="J8:J26">SUM(K8:W8)</f>
        <v>7798</v>
      </c>
      <c r="K8" s="3">
        <v>5164</v>
      </c>
      <c r="L8" s="3">
        <v>0</v>
      </c>
      <c r="M8" s="3">
        <v>2634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f>-V8-U8-Q8</f>
        <v>0</v>
      </c>
    </row>
    <row r="9" spans="1:23" ht="15.75">
      <c r="A9" s="15" t="s">
        <v>15</v>
      </c>
      <c r="B9" s="22">
        <v>216725</v>
      </c>
      <c r="C9" s="22">
        <v>85500</v>
      </c>
      <c r="D9" s="22">
        <v>82100</v>
      </c>
      <c r="E9" s="22">
        <f>+D9-C9</f>
        <v>-3400</v>
      </c>
      <c r="F9" s="29">
        <f>ROUND(E9/C9,4)</f>
        <v>-0.0398</v>
      </c>
      <c r="I9">
        <v>103</v>
      </c>
      <c r="J9" s="3">
        <f t="shared" si="0"/>
        <v>36577</v>
      </c>
      <c r="K9" s="3">
        <v>22966</v>
      </c>
      <c r="L9" s="3">
        <v>0</v>
      </c>
      <c r="M9" s="3">
        <v>13611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f>-V9-U9-Q9</f>
        <v>0</v>
      </c>
    </row>
    <row r="10" spans="1:23" ht="15.75">
      <c r="A10" s="15" t="s">
        <v>7</v>
      </c>
      <c r="B10" s="19">
        <f>SUM(B7:B9)</f>
        <v>4207532.93</v>
      </c>
      <c r="C10" s="19">
        <f>SUM(C7:C9)</f>
        <v>4376077</v>
      </c>
      <c r="D10" s="19">
        <f>SUM(D7:D9)</f>
        <v>4512025</v>
      </c>
      <c r="E10" s="19">
        <f>SUM(E7:E9)</f>
        <v>135948</v>
      </c>
      <c r="F10" s="29">
        <f>ROUND(E10/C10,4)</f>
        <v>0.0311</v>
      </c>
      <c r="I10">
        <v>104</v>
      </c>
      <c r="J10" s="3">
        <f t="shared" si="0"/>
        <v>-18714</v>
      </c>
      <c r="K10" s="3">
        <v>-48728</v>
      </c>
      <c r="L10" s="3">
        <v>0</v>
      </c>
      <c r="M10" s="3">
        <v>30014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</row>
    <row r="11" spans="1:23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357</v>
      </c>
      <c r="K11" s="3">
        <v>357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f>-V11-U11-Q11</f>
        <v>0</v>
      </c>
    </row>
    <row r="12" spans="1:23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1385</v>
      </c>
      <c r="K12" s="3">
        <v>884</v>
      </c>
      <c r="L12" s="3">
        <v>0</v>
      </c>
      <c r="M12" s="3">
        <v>501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f>-V12-U12-Q12</f>
        <v>0</v>
      </c>
    </row>
    <row r="13" spans="1:23" ht="15.75">
      <c r="A13" s="15" t="s">
        <v>31</v>
      </c>
      <c r="B13" s="19"/>
      <c r="C13" s="19"/>
      <c r="D13" s="19"/>
      <c r="E13" s="19">
        <v>-20983</v>
      </c>
      <c r="F13" s="19" t="s">
        <v>17</v>
      </c>
      <c r="G13" s="3" t="s">
        <v>17</v>
      </c>
      <c r="I13">
        <v>107</v>
      </c>
      <c r="J13" s="3">
        <f t="shared" si="0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f>-V13-U13-Q13</f>
        <v>0</v>
      </c>
    </row>
    <row r="14" spans="1:23" ht="15.75">
      <c r="A14" s="15" t="s">
        <v>32</v>
      </c>
      <c r="B14" s="19"/>
      <c r="C14" s="19"/>
      <c r="D14" s="19"/>
      <c r="E14" s="19">
        <v>-1427</v>
      </c>
      <c r="F14" s="19"/>
      <c r="G14" s="3"/>
      <c r="J14" s="3"/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/>
      <c r="R14" s="3"/>
      <c r="S14" s="3"/>
      <c r="T14" s="3"/>
      <c r="U14" s="3"/>
      <c r="V14" s="3"/>
      <c r="W14" s="3"/>
    </row>
    <row r="15" spans="1:23" ht="15.75">
      <c r="A15" s="15" t="s">
        <v>333</v>
      </c>
      <c r="B15" s="19"/>
      <c r="C15" s="19"/>
      <c r="D15" s="19"/>
      <c r="E15" s="19">
        <v>51509</v>
      </c>
      <c r="F15" s="3"/>
      <c r="I15">
        <v>125</v>
      </c>
      <c r="J15" s="3">
        <f t="shared" si="0"/>
        <v>966.39</v>
      </c>
      <c r="K15" s="3">
        <v>86</v>
      </c>
      <c r="L15" s="3">
        <v>0</v>
      </c>
      <c r="M15" s="3">
        <f>+(M9+M10)*0.0145+(M8+M12)*0.0765+8</f>
        <v>880.39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</row>
    <row r="16" spans="1:23" ht="15.75">
      <c r="A16" s="15" t="s">
        <v>432</v>
      </c>
      <c r="B16" s="19"/>
      <c r="C16" s="19"/>
      <c r="D16" s="19"/>
      <c r="E16" s="19">
        <v>139484</v>
      </c>
      <c r="F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>
      <c r="A17" s="15" t="s">
        <v>307</v>
      </c>
      <c r="B17" s="19"/>
      <c r="C17" s="19"/>
      <c r="D17" s="19"/>
      <c r="E17" s="19">
        <v>-4717</v>
      </c>
      <c r="J17" s="3"/>
      <c r="K17" s="3"/>
      <c r="L17" s="3"/>
      <c r="M17" s="3"/>
      <c r="N17" s="3"/>
      <c r="O17" s="3">
        <v>0</v>
      </c>
      <c r="P17" s="3">
        <v>0</v>
      </c>
      <c r="Q17" s="3"/>
      <c r="R17" s="3"/>
      <c r="S17" s="3"/>
      <c r="T17" s="3"/>
      <c r="U17" s="3"/>
      <c r="V17" s="3"/>
      <c r="W17" s="3"/>
    </row>
    <row r="18" spans="1:23" ht="15.75">
      <c r="A18" s="15" t="s">
        <v>304</v>
      </c>
      <c r="B18" s="19"/>
      <c r="C18" s="19"/>
      <c r="D18" s="19"/>
      <c r="E18" s="19">
        <v>-7403</v>
      </c>
      <c r="I18">
        <v>128</v>
      </c>
      <c r="J18" s="3">
        <f t="shared" si="0"/>
        <v>2915.4100000000003</v>
      </c>
      <c r="K18" s="3">
        <f>+(K9+K12)*0.0874+(K10+K11)*0.1184+1774-3</f>
        <v>-1871.6363999999999</v>
      </c>
      <c r="L18" s="3">
        <v>0</v>
      </c>
      <c r="M18" s="3">
        <f>+(M9+M12)*0.0874+(M10+M11)*0.1184</f>
        <v>4787.0464</v>
      </c>
      <c r="N18" s="3">
        <v>0</v>
      </c>
      <c r="O18" s="3">
        <v>0</v>
      </c>
      <c r="P18" s="3">
        <v>0</v>
      </c>
      <c r="Q18" s="3">
        <f>+(Q9+Q12)*0.0874+(Q10+Q11)*0.1184</f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ht="15.75">
      <c r="A19" s="15" t="s">
        <v>424</v>
      </c>
      <c r="B19" s="19"/>
      <c r="C19" s="19"/>
      <c r="D19" s="19"/>
      <c r="E19" s="19">
        <v>-4217</v>
      </c>
      <c r="J19" s="3"/>
      <c r="K19" s="3"/>
      <c r="L19" s="3"/>
      <c r="M19" s="3"/>
      <c r="N19" s="3"/>
      <c r="O19" s="3">
        <v>0</v>
      </c>
      <c r="P19" s="3">
        <v>0</v>
      </c>
      <c r="Q19" s="3"/>
      <c r="R19" s="3"/>
      <c r="S19" s="3"/>
      <c r="T19" s="3"/>
      <c r="U19" s="3"/>
      <c r="V19" s="3"/>
      <c r="W19" s="3"/>
    </row>
    <row r="20" spans="1:23" ht="15.75">
      <c r="A20" s="15" t="s">
        <v>305</v>
      </c>
      <c r="B20" s="19"/>
      <c r="C20" s="19"/>
      <c r="D20" s="19"/>
      <c r="E20" s="19">
        <v>-11600</v>
      </c>
      <c r="I20">
        <v>131</v>
      </c>
      <c r="J20" s="3">
        <f t="shared" si="0"/>
        <v>21452</v>
      </c>
      <c r="K20" s="3">
        <v>-1555</v>
      </c>
      <c r="L20" s="3">
        <f>-493+24418</f>
        <v>23925</v>
      </c>
      <c r="M20" s="3">
        <v>-918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</row>
    <row r="21" spans="1:23" ht="15.75">
      <c r="A21" s="15" t="s">
        <v>15</v>
      </c>
      <c r="B21" s="19"/>
      <c r="C21" s="19"/>
      <c r="D21" s="19"/>
      <c r="E21" s="19">
        <v>-3400</v>
      </c>
      <c r="I21">
        <v>132</v>
      </c>
      <c r="J21" s="3">
        <f t="shared" si="0"/>
        <v>2100</v>
      </c>
      <c r="K21" s="3">
        <v>0</v>
      </c>
      <c r="L21" s="3">
        <v>2100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</row>
    <row r="22" spans="1:23" ht="18">
      <c r="A22" s="15" t="s">
        <v>60</v>
      </c>
      <c r="B22" s="19"/>
      <c r="C22" s="19"/>
      <c r="D22" s="19"/>
      <c r="E22" s="21">
        <f>-4118+2820</f>
        <v>-1298</v>
      </c>
      <c r="F22" s="19"/>
      <c r="I22">
        <v>133</v>
      </c>
      <c r="J22" s="3">
        <f t="shared" si="0"/>
        <v>245</v>
      </c>
      <c r="K22" s="3">
        <v>0</v>
      </c>
      <c r="L22" s="3">
        <v>245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</row>
    <row r="23" spans="1:23" ht="15.75">
      <c r="A23" s="15" t="s">
        <v>33</v>
      </c>
      <c r="B23" s="19"/>
      <c r="C23" s="19"/>
      <c r="D23" s="19"/>
      <c r="E23" s="19">
        <f>SUM(E13:E22)</f>
        <v>135948</v>
      </c>
      <c r="F23" s="19"/>
      <c r="I23" t="s">
        <v>301</v>
      </c>
      <c r="J23" s="3">
        <f t="shared" si="0"/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f>-V23-U23-Q23</f>
        <v>0</v>
      </c>
    </row>
    <row r="24" spans="6:23" ht="15.75">
      <c r="F24" s="19"/>
      <c r="I24">
        <v>134</v>
      </c>
      <c r="J24" s="3">
        <f t="shared" si="0"/>
        <v>-1665</v>
      </c>
      <c r="K24" s="3">
        <v>0</v>
      </c>
      <c r="L24" s="3">
        <v>-1665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</row>
    <row r="25" spans="1:23" ht="15.75">
      <c r="A25" s="15"/>
      <c r="B25" s="19"/>
      <c r="C25" s="19"/>
      <c r="D25" s="19"/>
      <c r="E25" s="19"/>
      <c r="F25" s="19"/>
      <c r="J25" s="3">
        <f t="shared" si="0"/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f>-V25-U25-Q25</f>
        <v>0</v>
      </c>
    </row>
    <row r="26" spans="1:23" ht="15.75">
      <c r="A26" s="14" t="s">
        <v>327</v>
      </c>
      <c r="B26" s="23" t="s">
        <v>17</v>
      </c>
      <c r="C26" s="23" t="s">
        <v>17</v>
      </c>
      <c r="D26" s="19"/>
      <c r="E26" s="19"/>
      <c r="F26" s="19"/>
      <c r="I26">
        <v>135</v>
      </c>
      <c r="J26" s="3">
        <f t="shared" si="0"/>
        <v>-24317</v>
      </c>
      <c r="K26" s="3">
        <v>1715</v>
      </c>
      <c r="L26" s="3">
        <f>-25932-100</f>
        <v>-26032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</row>
    <row r="27" spans="1:23" ht="15.75">
      <c r="A27" s="15" t="s">
        <v>17</v>
      </c>
      <c r="B27" s="23" t="s">
        <v>3</v>
      </c>
      <c r="C27" s="23" t="s">
        <v>3</v>
      </c>
      <c r="D27" s="19"/>
      <c r="E27" s="19"/>
      <c r="F27" s="19"/>
      <c r="I27">
        <v>136</v>
      </c>
      <c r="J27" s="5">
        <f>SUM(K27:W27)</f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5.75">
      <c r="A28" s="15" t="s">
        <v>17</v>
      </c>
      <c r="B28" s="18" t="s">
        <v>303</v>
      </c>
      <c r="C28" s="18" t="s">
        <v>329</v>
      </c>
      <c r="D28" s="19"/>
      <c r="E28" s="19"/>
      <c r="F28" s="19"/>
      <c r="I28" s="1" t="s">
        <v>7</v>
      </c>
      <c r="J28" s="3">
        <f aca="true" t="shared" si="1" ref="J28:W28">SUM(J7:J27)</f>
        <v>29099.800000000003</v>
      </c>
      <c r="K28" s="3">
        <f t="shared" si="1"/>
        <v>-20982.6364</v>
      </c>
      <c r="L28" s="3">
        <f t="shared" si="1"/>
        <v>-1427</v>
      </c>
      <c r="M28" s="3">
        <f t="shared" si="1"/>
        <v>51509.4364</v>
      </c>
      <c r="N28" s="3">
        <f t="shared" si="1"/>
        <v>0</v>
      </c>
      <c r="O28" s="3">
        <f t="shared" si="1"/>
        <v>0</v>
      </c>
      <c r="P28" s="3">
        <f>SUM(P7:P27)</f>
        <v>0</v>
      </c>
      <c r="Q28" s="3">
        <f>SUM(Q7:Q27)</f>
        <v>0</v>
      </c>
      <c r="R28" s="3">
        <f>SUM(R7:R27)</f>
        <v>0</v>
      </c>
      <c r="S28" s="3">
        <f>SUM(S7:S27)</f>
        <v>0</v>
      </c>
      <c r="T28" s="3">
        <f t="shared" si="1"/>
        <v>0</v>
      </c>
      <c r="U28" s="3">
        <f t="shared" si="1"/>
        <v>0</v>
      </c>
      <c r="V28" s="3">
        <f t="shared" si="1"/>
        <v>0</v>
      </c>
      <c r="W28" s="3">
        <f t="shared" si="1"/>
        <v>0</v>
      </c>
    </row>
    <row r="29" spans="1:24" ht="15.75">
      <c r="A29" s="15" t="s">
        <v>18</v>
      </c>
      <c r="B29" s="19"/>
      <c r="C29" s="19"/>
      <c r="D29" s="19"/>
      <c r="E29" s="19"/>
      <c r="F29" s="19"/>
      <c r="I29" s="1">
        <v>204</v>
      </c>
      <c r="J29" s="6">
        <f>SUM(K29:W29)</f>
        <v>0</v>
      </c>
      <c r="K29" s="6">
        <v>0</v>
      </c>
      <c r="L29" s="3">
        <v>0</v>
      </c>
      <c r="M29" s="3"/>
      <c r="N29" s="3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3">
        <v>0</v>
      </c>
      <c r="U29" s="3">
        <v>0</v>
      </c>
      <c r="V29" s="3">
        <v>0</v>
      </c>
      <c r="W29" s="3">
        <v>0</v>
      </c>
      <c r="X29" s="3" t="s">
        <v>17</v>
      </c>
    </row>
    <row r="30" spans="1:24" ht="15.75">
      <c r="A30" s="15" t="s">
        <v>78</v>
      </c>
      <c r="B30" s="19">
        <v>1</v>
      </c>
      <c r="C30" s="19">
        <v>1</v>
      </c>
      <c r="D30" s="19"/>
      <c r="E30" s="19"/>
      <c r="F30" s="19"/>
      <c r="I30">
        <v>280</v>
      </c>
      <c r="J30" s="5">
        <f>SUM(K30:W30)</f>
        <v>0</v>
      </c>
      <c r="K30" s="3" t="s">
        <v>17</v>
      </c>
      <c r="L30" s="3">
        <v>0</v>
      </c>
      <c r="M30" s="3"/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3" t="s">
        <v>17</v>
      </c>
    </row>
    <row r="31" spans="1:24" ht="15.75">
      <c r="A31" s="15" t="s">
        <v>79</v>
      </c>
      <c r="B31" s="19">
        <v>1</v>
      </c>
      <c r="C31" s="19">
        <v>1</v>
      </c>
      <c r="D31" s="19"/>
      <c r="E31" s="19"/>
      <c r="F31" s="19"/>
      <c r="J31" s="3">
        <f>SUM(J28:J30)</f>
        <v>29099.800000000003</v>
      </c>
      <c r="K31" s="3"/>
      <c r="L31" s="3"/>
      <c r="M31" s="3"/>
      <c r="N31" s="3">
        <f aca="true" t="shared" si="2" ref="N31:W31">SUM(N28:N30)</f>
        <v>0</v>
      </c>
      <c r="O31" s="3">
        <f t="shared" si="2"/>
        <v>0</v>
      </c>
      <c r="P31" s="3">
        <f t="shared" si="2"/>
        <v>0</v>
      </c>
      <c r="Q31" s="3">
        <f t="shared" si="2"/>
        <v>0</v>
      </c>
      <c r="R31" s="3">
        <f t="shared" si="2"/>
        <v>0</v>
      </c>
      <c r="S31" s="3">
        <f t="shared" si="2"/>
        <v>0</v>
      </c>
      <c r="T31" s="3">
        <f t="shared" si="2"/>
        <v>0</v>
      </c>
      <c r="U31" s="3">
        <f t="shared" si="2"/>
        <v>0</v>
      </c>
      <c r="V31" s="3">
        <f t="shared" si="2"/>
        <v>0</v>
      </c>
      <c r="W31" s="3">
        <f t="shared" si="2"/>
        <v>0</v>
      </c>
      <c r="X31" s="3" t="s">
        <v>17</v>
      </c>
    </row>
    <row r="32" spans="1:23" ht="15.75">
      <c r="A32" s="15" t="s">
        <v>70</v>
      </c>
      <c r="B32" s="19">
        <v>2</v>
      </c>
      <c r="C32" s="19">
        <v>2</v>
      </c>
      <c r="D32" s="19"/>
      <c r="E32" s="19"/>
      <c r="F32" s="19"/>
      <c r="J32" s="3" t="s">
        <v>17</v>
      </c>
      <c r="K32" s="3" t="s">
        <v>17</v>
      </c>
      <c r="L32" s="3" t="s">
        <v>17</v>
      </c>
      <c r="M32" s="3" t="s">
        <v>17</v>
      </c>
      <c r="N32" s="3" t="s">
        <v>17</v>
      </c>
      <c r="O32" s="3" t="s">
        <v>17</v>
      </c>
      <c r="P32" s="3" t="s">
        <v>224</v>
      </c>
      <c r="Q32" s="3" t="s">
        <v>17</v>
      </c>
      <c r="R32" s="3">
        <v>0</v>
      </c>
      <c r="S32" s="3"/>
      <c r="T32" s="3"/>
      <c r="U32" s="3"/>
      <c r="V32" s="3">
        <v>0</v>
      </c>
      <c r="W32" s="3">
        <v>0</v>
      </c>
    </row>
    <row r="33" spans="1:23" ht="15.75">
      <c r="A33" s="15" t="s">
        <v>80</v>
      </c>
      <c r="B33" s="19">
        <v>1</v>
      </c>
      <c r="C33" s="19">
        <v>1</v>
      </c>
      <c r="D33" s="19"/>
      <c r="E33" s="19"/>
      <c r="F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>
      <c r="A34" s="15" t="s">
        <v>81</v>
      </c>
      <c r="B34" s="19">
        <v>1</v>
      </c>
      <c r="C34" s="19">
        <v>1</v>
      </c>
      <c r="D34" s="19"/>
      <c r="E34" s="19"/>
      <c r="F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6" ht="15.75">
      <c r="A35" s="15" t="s">
        <v>82</v>
      </c>
      <c r="B35" s="19">
        <v>3</v>
      </c>
      <c r="C35" s="19">
        <v>3</v>
      </c>
      <c r="D35" s="19"/>
      <c r="E35" s="19"/>
      <c r="F35" s="19"/>
    </row>
    <row r="36" spans="1:6" ht="15.75">
      <c r="A36" s="15" t="s">
        <v>87</v>
      </c>
      <c r="B36" s="19">
        <v>1</v>
      </c>
      <c r="C36" s="19">
        <v>1</v>
      </c>
      <c r="D36" s="19"/>
      <c r="E36" s="19"/>
      <c r="F36" s="19"/>
    </row>
    <row r="37" spans="1:6" ht="15.75">
      <c r="A37" s="15" t="s">
        <v>83</v>
      </c>
      <c r="B37" s="19">
        <v>4</v>
      </c>
      <c r="C37" s="19">
        <v>4</v>
      </c>
      <c r="D37" s="19"/>
      <c r="E37" s="19"/>
      <c r="F37" s="19"/>
    </row>
    <row r="38" spans="1:6" ht="15.75">
      <c r="A38" s="15" t="s">
        <v>88</v>
      </c>
      <c r="B38" s="19">
        <v>5</v>
      </c>
      <c r="C38" s="19">
        <v>5</v>
      </c>
      <c r="D38" s="19"/>
      <c r="E38" s="19"/>
      <c r="F38" s="19"/>
    </row>
    <row r="39" spans="1:6" ht="15.75">
      <c r="A39" s="15" t="s">
        <v>242</v>
      </c>
      <c r="B39" s="19">
        <v>1</v>
      </c>
      <c r="C39" s="19">
        <v>1</v>
      </c>
      <c r="D39" s="19"/>
      <c r="E39" s="19"/>
      <c r="F39" s="19"/>
    </row>
    <row r="40" spans="1:6" ht="15.75">
      <c r="A40" s="15" t="s">
        <v>84</v>
      </c>
      <c r="B40" s="19">
        <v>17</v>
      </c>
      <c r="C40" s="19">
        <v>17</v>
      </c>
      <c r="D40" s="19"/>
      <c r="E40" s="19"/>
      <c r="F40" s="19"/>
    </row>
    <row r="41" spans="1:6" ht="15.75">
      <c r="A41" s="15" t="s">
        <v>420</v>
      </c>
      <c r="B41" s="19">
        <v>0</v>
      </c>
      <c r="C41" s="19">
        <v>2</v>
      </c>
      <c r="D41" s="19"/>
      <c r="E41" s="19"/>
      <c r="F41" s="19"/>
    </row>
    <row r="42" spans="1:6" ht="15.75">
      <c r="A42" s="15" t="s">
        <v>85</v>
      </c>
      <c r="B42" s="19">
        <v>1</v>
      </c>
      <c r="C42" s="19">
        <v>1</v>
      </c>
      <c r="D42" s="19"/>
      <c r="E42" s="19"/>
      <c r="F42" s="19"/>
    </row>
    <row r="43" spans="1:6" ht="15.75">
      <c r="A43" s="15" t="s">
        <v>86</v>
      </c>
      <c r="B43" s="19">
        <v>1</v>
      </c>
      <c r="C43" s="19">
        <v>1</v>
      </c>
      <c r="D43" s="19"/>
      <c r="E43" s="19"/>
      <c r="F43" s="19"/>
    </row>
    <row r="44" spans="1:6" ht="15.75">
      <c r="A44" s="15" t="s">
        <v>40</v>
      </c>
      <c r="B44" s="19">
        <v>1</v>
      </c>
      <c r="C44" s="19">
        <v>1</v>
      </c>
      <c r="D44" s="19"/>
      <c r="E44" s="19"/>
      <c r="F44" s="19"/>
    </row>
    <row r="45" spans="1:6" ht="15.75">
      <c r="A45" s="15" t="s">
        <v>41</v>
      </c>
      <c r="B45" s="22">
        <v>2</v>
      </c>
      <c r="C45" s="22">
        <v>2</v>
      </c>
      <c r="D45" s="19"/>
      <c r="E45" s="19"/>
      <c r="F45" s="19"/>
    </row>
    <row r="46" spans="1:6" ht="15.75">
      <c r="A46" s="15" t="s">
        <v>20</v>
      </c>
      <c r="B46" s="19">
        <f>SUM(B30:B45)</f>
        <v>42</v>
      </c>
      <c r="C46" s="19">
        <f>SUM(C30:C45)</f>
        <v>44</v>
      </c>
      <c r="D46" s="19"/>
      <c r="E46" s="19"/>
      <c r="F46" s="19"/>
    </row>
    <row r="47" spans="1:6" ht="15.75">
      <c r="A47" s="15" t="s">
        <v>72</v>
      </c>
      <c r="B47" s="19"/>
      <c r="C47" s="19"/>
      <c r="D47" s="19"/>
      <c r="E47" s="19"/>
      <c r="F47" s="19"/>
    </row>
    <row r="48" spans="1:6" ht="15.75">
      <c r="A48" s="15" t="s">
        <v>89</v>
      </c>
      <c r="B48" s="19">
        <v>3</v>
      </c>
      <c r="C48" s="19">
        <v>3</v>
      </c>
      <c r="D48" s="19"/>
      <c r="E48" s="19"/>
      <c r="F48" s="19"/>
    </row>
    <row r="49" spans="1:6" ht="15.75">
      <c r="A49" s="15" t="s">
        <v>85</v>
      </c>
      <c r="B49" s="19">
        <v>1</v>
      </c>
      <c r="C49" s="19">
        <v>0</v>
      </c>
      <c r="D49" s="19"/>
      <c r="E49" s="19"/>
      <c r="F49" s="19"/>
    </row>
    <row r="50" spans="1:6" ht="18">
      <c r="A50" s="15" t="s">
        <v>41</v>
      </c>
      <c r="B50" s="21">
        <v>1</v>
      </c>
      <c r="C50" s="21">
        <v>1</v>
      </c>
      <c r="D50" s="19"/>
      <c r="E50" s="19"/>
      <c r="F50" s="19"/>
    </row>
    <row r="51" spans="1:6" ht="18">
      <c r="A51" s="15" t="s">
        <v>22</v>
      </c>
      <c r="B51" s="21">
        <f>SUM(B48:B50)</f>
        <v>5</v>
      </c>
      <c r="C51" s="21">
        <f>SUM(C48:C50)</f>
        <v>4</v>
      </c>
      <c r="D51" s="19"/>
      <c r="E51" s="19"/>
      <c r="F51" s="19"/>
    </row>
    <row r="52" spans="1:6" ht="15.75">
      <c r="A52" s="15" t="s">
        <v>7</v>
      </c>
      <c r="B52" s="19">
        <f>+B46+B51</f>
        <v>47</v>
      </c>
      <c r="C52" s="19">
        <f>+C46+C51</f>
        <v>48</v>
      </c>
      <c r="D52" s="19"/>
      <c r="E52" s="19"/>
      <c r="F52" s="19"/>
    </row>
    <row r="53" spans="1:6" ht="15.75">
      <c r="A53" s="15"/>
      <c r="B53" s="19"/>
      <c r="C53" s="19"/>
      <c r="D53" s="19"/>
      <c r="E53" s="19"/>
      <c r="F53" s="19"/>
    </row>
    <row r="54" spans="1:6" ht="15.75">
      <c r="A54" s="14" t="s">
        <v>23</v>
      </c>
      <c r="B54" s="19"/>
      <c r="C54" s="19"/>
      <c r="D54" s="19"/>
      <c r="E54" s="19"/>
      <c r="F54" s="19"/>
    </row>
    <row r="55" spans="1:6" ht="15.75">
      <c r="A55" s="15" t="s">
        <v>42</v>
      </c>
      <c r="C55" s="19">
        <v>2700</v>
      </c>
      <c r="D55" s="19"/>
      <c r="E55" s="19"/>
      <c r="F55" s="19"/>
    </row>
    <row r="56" spans="1:6" ht="18">
      <c r="A56" s="15" t="s">
        <v>332</v>
      </c>
      <c r="C56" s="21">
        <v>79400</v>
      </c>
      <c r="D56" s="19"/>
      <c r="E56" s="19"/>
      <c r="F56" s="19"/>
    </row>
    <row r="57" spans="1:6" ht="15.75">
      <c r="A57" s="15" t="s">
        <v>7</v>
      </c>
      <c r="C57" s="19">
        <f>SUM(C55:C56)</f>
        <v>82100</v>
      </c>
      <c r="D57" s="19"/>
      <c r="E57" s="19"/>
      <c r="F57" s="19"/>
    </row>
    <row r="58" ht="15.75">
      <c r="F58" s="19"/>
    </row>
    <row r="59" ht="15.75">
      <c r="F59" s="19"/>
    </row>
    <row r="60" ht="15.75">
      <c r="F60" s="19"/>
    </row>
    <row r="61" ht="15.75">
      <c r="F61" s="19"/>
    </row>
  </sheetData>
  <mergeCells count="5">
    <mergeCell ref="E5:F5"/>
    <mergeCell ref="A1:F1"/>
    <mergeCell ref="I1:W1"/>
    <mergeCell ref="A2:F2"/>
    <mergeCell ref="I2:W2"/>
  </mergeCells>
  <printOptions gridLines="1"/>
  <pageMargins left="0.75" right="0.75" top="1" bottom="1" header="0.5" footer="0.5"/>
  <pageSetup fitToHeight="1" fitToWidth="1" horizontalDpi="600" verticalDpi="600" orientation="portrait" scale="69" r:id="rId1"/>
  <rowBreaks count="1" manualBreakCount="1">
    <brk id="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0">
      <selection activeCell="A36" sqref="A36"/>
    </sheetView>
  </sheetViews>
  <sheetFormatPr defaultColWidth="9.140625" defaultRowHeight="12.75"/>
  <cols>
    <col min="1" max="1" width="55.00390625" style="0" bestFit="1" customWidth="1"/>
    <col min="2" max="2" width="13.7109375" style="0" customWidth="1"/>
    <col min="3" max="3" width="12.7109375" style="0" customWidth="1"/>
    <col min="4" max="4" width="12.8515625" style="0" customWidth="1"/>
    <col min="5" max="5" width="11.7109375" style="0" bestFit="1" customWidth="1"/>
    <col min="6" max="6" width="12.28125" style="0" bestFit="1" customWidth="1"/>
    <col min="19" max="19" width="11.421875" style="0" bestFit="1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90</v>
      </c>
      <c r="B2" s="71"/>
      <c r="C2" s="71"/>
      <c r="D2" s="71"/>
      <c r="E2" s="71"/>
      <c r="F2" s="71"/>
      <c r="I2" s="72" t="str">
        <f>+A2</f>
        <v>COMMUNICATIONS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17</v>
      </c>
      <c r="T5" s="1" t="s">
        <v>17</v>
      </c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12</v>
      </c>
      <c r="R6" s="2" t="s">
        <v>225</v>
      </c>
      <c r="S6" s="2" t="s">
        <v>239</v>
      </c>
      <c r="T6" s="2" t="s">
        <v>240</v>
      </c>
    </row>
    <row r="7" spans="1:20" ht="15.75">
      <c r="A7" s="15" t="s">
        <v>328</v>
      </c>
      <c r="B7" s="19">
        <v>495018</v>
      </c>
      <c r="C7" s="19">
        <v>537582</v>
      </c>
      <c r="D7" s="19">
        <v>567010</v>
      </c>
      <c r="E7" s="19">
        <f>+D7-C7</f>
        <v>29428</v>
      </c>
      <c r="F7" s="29">
        <f>ROUND(E7/C7,4)</f>
        <v>0.0547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f>-O7</f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61654</v>
      </c>
      <c r="C8" s="19">
        <v>69771</v>
      </c>
      <c r="D8" s="19">
        <v>67136</v>
      </c>
      <c r="E8" s="19">
        <f>+D8-C8</f>
        <v>-2635</v>
      </c>
      <c r="F8" s="29">
        <f>ROUND(E8/C8,4)</f>
        <v>-0.0378</v>
      </c>
      <c r="I8">
        <v>102</v>
      </c>
      <c r="J8" s="3">
        <f aca="true" t="shared" si="0" ref="J8:J26">SUM(K8:T8)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aca="true" t="shared" si="1" ref="Q8:Q26">-O8</f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10000</v>
      </c>
      <c r="C9" s="22">
        <v>10000</v>
      </c>
      <c r="D9" s="22">
        <v>35000</v>
      </c>
      <c r="E9" s="22">
        <f>+D9-C9</f>
        <v>25000</v>
      </c>
      <c r="F9" s="29">
        <f>ROUND(E9/C9,4)</f>
        <v>2.5</v>
      </c>
      <c r="I9">
        <v>103</v>
      </c>
      <c r="J9" s="3">
        <f t="shared" si="0"/>
        <v>7562</v>
      </c>
      <c r="K9" s="3">
        <v>5824</v>
      </c>
      <c r="L9" s="3">
        <v>0</v>
      </c>
      <c r="M9" s="3">
        <v>1738</v>
      </c>
      <c r="N9" s="3">
        <v>0</v>
      </c>
      <c r="O9" s="3">
        <v>0</v>
      </c>
      <c r="P9" s="3">
        <v>0</v>
      </c>
      <c r="Q9" s="3">
        <f t="shared" si="1"/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566672</v>
      </c>
      <c r="C10" s="19">
        <f>SUM(C7:C9)</f>
        <v>617353</v>
      </c>
      <c r="D10" s="19">
        <f>SUM(D7:D9)</f>
        <v>669146</v>
      </c>
      <c r="E10" s="19">
        <f>SUM(E7:E9)</f>
        <v>51793</v>
      </c>
      <c r="F10" s="29">
        <f>ROUND(E10/C10,4)</f>
        <v>0.0839</v>
      </c>
      <c r="I10">
        <v>104</v>
      </c>
      <c r="J10" s="3">
        <f t="shared" si="0"/>
        <v>13568</v>
      </c>
      <c r="K10" s="3">
        <v>8750</v>
      </c>
      <c r="L10" s="3">
        <v>0</v>
      </c>
      <c r="M10" s="3">
        <v>4818</v>
      </c>
      <c r="N10" s="3">
        <v>0</v>
      </c>
      <c r="O10" s="3">
        <v>0</v>
      </c>
      <c r="P10" s="3">
        <v>0</v>
      </c>
      <c r="Q10" s="3">
        <f t="shared" si="1"/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189</v>
      </c>
      <c r="K11" s="3">
        <v>189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1"/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1"/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/>
      <c r="E13" s="19">
        <f>286+17334</f>
        <v>17620</v>
      </c>
      <c r="F13" s="19" t="s">
        <v>17</v>
      </c>
      <c r="I13">
        <v>107</v>
      </c>
      <c r="J13" s="3">
        <f t="shared" si="0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1"/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333</v>
      </c>
      <c r="B14" s="19"/>
      <c r="C14" s="19"/>
      <c r="D14" s="19"/>
      <c r="E14" s="19">
        <v>7504</v>
      </c>
      <c r="F14" s="1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15" t="s">
        <v>32</v>
      </c>
      <c r="B15" s="19"/>
      <c r="C15" s="19"/>
      <c r="D15" s="19"/>
      <c r="E15" s="19">
        <v>4304</v>
      </c>
      <c r="F15" s="19"/>
      <c r="I15">
        <v>111</v>
      </c>
      <c r="J15" s="3">
        <f t="shared" si="0"/>
        <v>449</v>
      </c>
      <c r="K15" s="3">
        <v>203</v>
      </c>
      <c r="L15" s="3">
        <v>0</v>
      </c>
      <c r="M15" s="3">
        <v>0</v>
      </c>
      <c r="N15" s="3">
        <v>0</v>
      </c>
      <c r="O15" s="3">
        <v>0</v>
      </c>
      <c r="P15" s="3">
        <v>246</v>
      </c>
      <c r="Q15" s="3">
        <f t="shared" si="1"/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304</v>
      </c>
      <c r="B16" s="19"/>
      <c r="C16" s="19"/>
      <c r="D16" s="19"/>
      <c r="E16" s="19">
        <v>-2518</v>
      </c>
      <c r="F16" s="19"/>
      <c r="I16" t="s">
        <v>241</v>
      </c>
      <c r="J16" s="3">
        <f t="shared" si="0"/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1"/>
        <v>0</v>
      </c>
      <c r="R16" s="3">
        <v>0</v>
      </c>
      <c r="S16" s="3">
        <v>0</v>
      </c>
      <c r="T16" s="3">
        <v>0</v>
      </c>
    </row>
    <row r="17" spans="1:20" ht="15.75">
      <c r="A17" s="15" t="s">
        <v>23</v>
      </c>
      <c r="B17" s="19"/>
      <c r="C17" s="19"/>
      <c r="D17" s="19"/>
      <c r="E17" s="19">
        <v>25000</v>
      </c>
      <c r="F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8">
      <c r="A18" s="15" t="s">
        <v>60</v>
      </c>
      <c r="B18" s="19"/>
      <c r="C18" s="19"/>
      <c r="D18" s="19" t="s">
        <v>17</v>
      </c>
      <c r="E18" s="21">
        <v>-117</v>
      </c>
      <c r="F18" s="19"/>
      <c r="J18" s="3">
        <f t="shared" si="0"/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1"/>
        <v>0</v>
      </c>
      <c r="R18" s="3">
        <v>0</v>
      </c>
      <c r="S18" s="3">
        <v>0</v>
      </c>
      <c r="T18" s="3">
        <v>0</v>
      </c>
    </row>
    <row r="19" spans="1:20" ht="15.75">
      <c r="A19" s="15" t="s">
        <v>33</v>
      </c>
      <c r="B19" s="19"/>
      <c r="C19" s="19"/>
      <c r="D19" s="19"/>
      <c r="E19" s="19">
        <f>SUM(E13:E18)</f>
        <v>51793</v>
      </c>
      <c r="F19" s="19"/>
      <c r="I19" t="s">
        <v>301</v>
      </c>
      <c r="J19" s="3">
        <f t="shared" si="0"/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1"/>
        <v>0</v>
      </c>
      <c r="R19" s="3">
        <v>0</v>
      </c>
      <c r="S19" s="3">
        <v>0</v>
      </c>
      <c r="T19" s="3">
        <v>0</v>
      </c>
    </row>
    <row r="20" spans="1:20" ht="15.75">
      <c r="A20" s="15"/>
      <c r="B20" s="19"/>
      <c r="C20" s="19"/>
      <c r="D20" s="19"/>
      <c r="E20" s="19"/>
      <c r="F20" s="19"/>
      <c r="I20">
        <v>125</v>
      </c>
      <c r="J20" s="3">
        <f t="shared" si="0"/>
        <v>1665.252</v>
      </c>
      <c r="K20" s="3">
        <f aca="true" t="shared" si="2" ref="K20:P20">+SUM(K9:K15)*0.0765</f>
        <v>1144.899</v>
      </c>
      <c r="L20" s="3">
        <f t="shared" si="2"/>
        <v>0</v>
      </c>
      <c r="M20" s="3">
        <f t="shared" si="2"/>
        <v>501.534</v>
      </c>
      <c r="N20" s="3">
        <f t="shared" si="2"/>
        <v>0</v>
      </c>
      <c r="O20" s="3">
        <f t="shared" si="2"/>
        <v>0</v>
      </c>
      <c r="P20" s="3">
        <f t="shared" si="2"/>
        <v>18.819</v>
      </c>
      <c r="Q20" s="3">
        <f t="shared" si="1"/>
        <v>0</v>
      </c>
      <c r="R20" s="3">
        <v>0</v>
      </c>
      <c r="S20" s="3">
        <v>0</v>
      </c>
      <c r="T20" s="3">
        <v>0</v>
      </c>
    </row>
    <row r="21" spans="1:20" ht="15.75">
      <c r="A21" s="14" t="s">
        <v>327</v>
      </c>
      <c r="B21" s="23" t="s">
        <v>17</v>
      </c>
      <c r="C21" s="23" t="s">
        <v>17</v>
      </c>
      <c r="D21" s="19"/>
      <c r="E21" s="19"/>
      <c r="F21" s="19"/>
      <c r="I21">
        <v>128</v>
      </c>
      <c r="J21" s="3">
        <f t="shared" si="0"/>
        <v>1901.4948</v>
      </c>
      <c r="K21" s="3">
        <v>1307</v>
      </c>
      <c r="L21" s="3">
        <f>+SUM(L9:L15)*0.0874</f>
        <v>0</v>
      </c>
      <c r="M21" s="3">
        <f>+SUM(M9:M15)*0.0874</f>
        <v>572.9944</v>
      </c>
      <c r="N21" s="3">
        <f>+SUM(N9:N15)*0.0874</f>
        <v>0</v>
      </c>
      <c r="O21" s="3">
        <f>+SUM(O9:O15)*0.0874</f>
        <v>0</v>
      </c>
      <c r="P21" s="3">
        <f>+SUM(P9:P15)*0.0874</f>
        <v>21.500400000000003</v>
      </c>
      <c r="Q21" s="3">
        <f t="shared" si="1"/>
        <v>0</v>
      </c>
      <c r="R21" s="3">
        <v>0</v>
      </c>
      <c r="S21" s="3">
        <v>0</v>
      </c>
      <c r="T21" s="3">
        <v>0</v>
      </c>
    </row>
    <row r="22" spans="1:20" ht="15.75">
      <c r="A22" s="15" t="s">
        <v>17</v>
      </c>
      <c r="B22" s="23" t="s">
        <v>3</v>
      </c>
      <c r="C22" s="23" t="s">
        <v>3</v>
      </c>
      <c r="D22" s="19"/>
      <c r="E22" s="19"/>
      <c r="F22" s="19"/>
      <c r="I22">
        <v>131</v>
      </c>
      <c r="J22" s="3">
        <f t="shared" si="0"/>
        <v>4511</v>
      </c>
      <c r="K22" s="3">
        <v>-151</v>
      </c>
      <c r="L22" s="3">
        <v>4811</v>
      </c>
      <c r="M22" s="3">
        <v>-149</v>
      </c>
      <c r="N22" s="3">
        <v>0</v>
      </c>
      <c r="O22" s="3">
        <v>0</v>
      </c>
      <c r="P22" s="3">
        <v>0</v>
      </c>
      <c r="Q22" s="3">
        <f t="shared" si="1"/>
        <v>0</v>
      </c>
      <c r="R22" s="3">
        <v>0</v>
      </c>
      <c r="S22" s="3">
        <v>0</v>
      </c>
      <c r="T22" s="3">
        <v>0</v>
      </c>
    </row>
    <row r="23" spans="1:20" ht="15.75">
      <c r="A23" s="15" t="s">
        <v>17</v>
      </c>
      <c r="B23" s="18" t="s">
        <v>303</v>
      </c>
      <c r="C23" s="18" t="s">
        <v>329</v>
      </c>
      <c r="D23" s="19"/>
      <c r="E23" s="19"/>
      <c r="F23" s="19"/>
      <c r="I23">
        <v>132</v>
      </c>
      <c r="J23" s="3">
        <f t="shared" si="0"/>
        <v>400</v>
      </c>
      <c r="K23" s="3">
        <v>0</v>
      </c>
      <c r="L23" s="3">
        <v>400</v>
      </c>
      <c r="M23" s="3">
        <v>0</v>
      </c>
      <c r="N23" s="3">
        <v>0</v>
      </c>
      <c r="O23" s="3">
        <v>0</v>
      </c>
      <c r="P23" s="3">
        <v>0</v>
      </c>
      <c r="Q23" s="3">
        <f t="shared" si="1"/>
        <v>0</v>
      </c>
      <c r="R23" s="3">
        <v>0</v>
      </c>
      <c r="S23" s="3">
        <v>0</v>
      </c>
      <c r="T23" s="3">
        <v>0</v>
      </c>
    </row>
    <row r="24" spans="1:20" ht="15.75">
      <c r="A24" s="15" t="s">
        <v>18</v>
      </c>
      <c r="B24" s="19"/>
      <c r="C24" s="19"/>
      <c r="D24" s="19"/>
      <c r="E24" s="19"/>
      <c r="F24" s="19"/>
      <c r="I24">
        <v>133</v>
      </c>
      <c r="J24" s="3">
        <f t="shared" si="0"/>
        <v>-270</v>
      </c>
      <c r="K24" s="3">
        <v>0</v>
      </c>
      <c r="L24" s="3">
        <v>-270</v>
      </c>
      <c r="M24" s="3">
        <v>0</v>
      </c>
      <c r="N24" s="3">
        <v>0</v>
      </c>
      <c r="O24" s="3">
        <v>0</v>
      </c>
      <c r="P24" s="3">
        <v>0</v>
      </c>
      <c r="Q24" s="3">
        <f t="shared" si="1"/>
        <v>0</v>
      </c>
      <c r="R24" s="3">
        <v>0</v>
      </c>
      <c r="S24" s="3">
        <v>0</v>
      </c>
      <c r="T24" s="3">
        <v>0</v>
      </c>
    </row>
    <row r="25" spans="1:20" ht="15.75">
      <c r="A25" s="15" t="s">
        <v>91</v>
      </c>
      <c r="B25" s="19">
        <v>2</v>
      </c>
      <c r="C25" s="19">
        <v>2</v>
      </c>
      <c r="D25" s="19"/>
      <c r="E25" s="19"/>
      <c r="F25" s="19"/>
      <c r="I25">
        <v>134</v>
      </c>
      <c r="J25" s="3">
        <f t="shared" si="0"/>
        <v>-270</v>
      </c>
      <c r="K25" s="3">
        <v>0</v>
      </c>
      <c r="L25" s="3">
        <v>-270</v>
      </c>
      <c r="M25" s="3">
        <v>0</v>
      </c>
      <c r="N25" s="3">
        <v>0</v>
      </c>
      <c r="O25" s="3">
        <v>0</v>
      </c>
      <c r="P25" s="3">
        <v>0</v>
      </c>
      <c r="Q25" s="3">
        <f t="shared" si="1"/>
        <v>0</v>
      </c>
      <c r="R25" s="3">
        <v>0</v>
      </c>
      <c r="S25" s="3">
        <v>0</v>
      </c>
      <c r="T25" s="3">
        <v>0</v>
      </c>
    </row>
    <row r="26" spans="1:20" ht="15.75">
      <c r="A26" s="15" t="s">
        <v>92</v>
      </c>
      <c r="B26" s="22">
        <v>6</v>
      </c>
      <c r="C26" s="22">
        <v>6</v>
      </c>
      <c r="D26" s="19"/>
      <c r="E26" s="19"/>
      <c r="F26" s="19"/>
      <c r="I26">
        <v>135</v>
      </c>
      <c r="J26" s="3">
        <f t="shared" si="0"/>
        <v>-278</v>
      </c>
      <c r="K26" s="3">
        <v>67</v>
      </c>
      <c r="L26" s="3">
        <v>-367</v>
      </c>
      <c r="M26" s="3">
        <v>22</v>
      </c>
      <c r="N26" s="3">
        <v>0</v>
      </c>
      <c r="O26" s="3">
        <v>0</v>
      </c>
      <c r="P26" s="3">
        <v>0</v>
      </c>
      <c r="Q26" s="3">
        <f t="shared" si="1"/>
        <v>0</v>
      </c>
      <c r="R26" s="3">
        <v>0</v>
      </c>
      <c r="S26" s="3">
        <v>0</v>
      </c>
      <c r="T26" s="3">
        <v>0</v>
      </c>
    </row>
    <row r="27" spans="1:20" ht="15.75">
      <c r="A27" s="15" t="s">
        <v>20</v>
      </c>
      <c r="B27" s="19">
        <f>SUM(B25:B26)</f>
        <v>8</v>
      </c>
      <c r="C27" s="19">
        <f>SUM(C25:C26)</f>
        <v>8</v>
      </c>
      <c r="D27" s="19"/>
      <c r="E27" s="19"/>
      <c r="F27" s="19"/>
      <c r="I27">
        <v>136</v>
      </c>
      <c r="J27" s="4">
        <f>SUM(K27:T27)</f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5">
        <f>-O27</f>
        <v>0</v>
      </c>
      <c r="R27" s="4">
        <v>0</v>
      </c>
      <c r="S27" s="4">
        <v>0</v>
      </c>
      <c r="T27" s="4">
        <v>0</v>
      </c>
    </row>
    <row r="28" spans="1:20" ht="18">
      <c r="A28" s="15" t="s">
        <v>93</v>
      </c>
      <c r="B28" s="21">
        <v>0</v>
      </c>
      <c r="C28" s="21">
        <v>0</v>
      </c>
      <c r="D28" s="19"/>
      <c r="E28" s="19"/>
      <c r="F28" s="19"/>
      <c r="I28" s="1" t="s">
        <v>7</v>
      </c>
      <c r="J28" s="3">
        <f aca="true" t="shared" si="3" ref="J28:T28">SUM(J7:J27)</f>
        <v>29427.7468</v>
      </c>
      <c r="K28" s="3">
        <f t="shared" si="3"/>
        <v>17333.898999999998</v>
      </c>
      <c r="L28" s="3">
        <f t="shared" si="3"/>
        <v>4304</v>
      </c>
      <c r="M28" s="3">
        <f t="shared" si="3"/>
        <v>7503.528399999999</v>
      </c>
      <c r="N28" s="3">
        <f t="shared" si="3"/>
        <v>0</v>
      </c>
      <c r="O28" s="3">
        <f t="shared" si="3"/>
        <v>0</v>
      </c>
      <c r="P28" s="3">
        <f t="shared" si="3"/>
        <v>286.31940000000003</v>
      </c>
      <c r="Q28" s="3">
        <f t="shared" si="3"/>
        <v>0</v>
      </c>
      <c r="R28" s="3">
        <f t="shared" si="3"/>
        <v>0</v>
      </c>
      <c r="S28" s="3">
        <f t="shared" si="3"/>
        <v>0</v>
      </c>
      <c r="T28" s="3">
        <f t="shared" si="3"/>
        <v>0</v>
      </c>
    </row>
    <row r="29" spans="1:20" ht="15.75">
      <c r="A29" s="15" t="s">
        <v>7</v>
      </c>
      <c r="B29" s="19">
        <f>SUM(B27:B28)</f>
        <v>8</v>
      </c>
      <c r="C29" s="19">
        <f>SUM(C27:C28)</f>
        <v>8</v>
      </c>
      <c r="D29" s="19"/>
      <c r="E29" s="19"/>
      <c r="F29" s="19"/>
      <c r="I29">
        <v>204</v>
      </c>
      <c r="J29" s="3">
        <f>SUM(K29:T29)</f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5">
        <v>0</v>
      </c>
      <c r="R29" s="5">
        <v>0</v>
      </c>
      <c r="S29" s="5">
        <v>0</v>
      </c>
      <c r="T29" s="3">
        <v>0</v>
      </c>
    </row>
    <row r="30" spans="1:20" ht="15.75">
      <c r="A30" s="15"/>
      <c r="B30" s="19"/>
      <c r="C30" s="19"/>
      <c r="D30" s="19"/>
      <c r="E30" s="19"/>
      <c r="F30" s="19"/>
      <c r="J30" s="3"/>
      <c r="K30" s="3" t="s">
        <v>17</v>
      </c>
      <c r="L30" s="3" t="s">
        <v>17</v>
      </c>
      <c r="M30" s="3"/>
      <c r="N30" s="3"/>
      <c r="O30" s="3"/>
      <c r="P30" s="3"/>
      <c r="Q30" s="3">
        <f>SUM(Q28:Q29)</f>
        <v>0</v>
      </c>
      <c r="R30" s="3">
        <f>SUM(R28:R29)</f>
        <v>0</v>
      </c>
      <c r="S30" s="3">
        <f>SUM(S28:S29)</f>
        <v>0</v>
      </c>
      <c r="T30" s="3"/>
    </row>
    <row r="31" spans="1:20" ht="15.75">
      <c r="A31" s="14" t="s">
        <v>23</v>
      </c>
      <c r="B31" s="19"/>
      <c r="C31" s="19"/>
      <c r="D31" s="19"/>
      <c r="E31" s="19"/>
      <c r="F31" s="19"/>
      <c r="J31" s="5">
        <f>SUM(K31:T31)</f>
        <v>0</v>
      </c>
      <c r="K31" s="5">
        <v>0</v>
      </c>
      <c r="L31" s="3" t="s">
        <v>202</v>
      </c>
      <c r="M31" s="3"/>
      <c r="N31" s="3"/>
      <c r="O31" s="3"/>
      <c r="P31" s="3"/>
      <c r="Q31" s="3"/>
      <c r="R31" s="3"/>
      <c r="S31" s="3"/>
      <c r="T31" s="3"/>
    </row>
    <row r="32" spans="1:20" ht="15.75">
      <c r="A32" s="15" t="s">
        <v>244</v>
      </c>
      <c r="C32" s="19">
        <v>35000</v>
      </c>
      <c r="D32" s="19"/>
      <c r="E32" s="19"/>
      <c r="F32" s="19"/>
      <c r="J32" s="3">
        <f>SUM(J28:J31)</f>
        <v>29427.7468</v>
      </c>
      <c r="K32" s="3">
        <v>0</v>
      </c>
      <c r="L32" s="3"/>
      <c r="M32" s="3"/>
      <c r="N32" s="3"/>
      <c r="O32" s="3"/>
      <c r="P32" s="3"/>
      <c r="Q32" s="3"/>
      <c r="R32" s="3"/>
      <c r="S32" s="3"/>
      <c r="T32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5">
      <selection activeCell="D11" sqref="D11"/>
    </sheetView>
  </sheetViews>
  <sheetFormatPr defaultColWidth="9.140625" defaultRowHeight="12.75"/>
  <cols>
    <col min="1" max="1" width="59.8515625" style="0" bestFit="1" customWidth="1"/>
    <col min="2" max="2" width="15.00390625" style="0" customWidth="1"/>
    <col min="3" max="3" width="13.7109375" style="0" customWidth="1"/>
    <col min="4" max="5" width="12.7109375" style="0" customWidth="1"/>
    <col min="6" max="6" width="11.421875" style="0" bestFit="1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94</v>
      </c>
      <c r="B2" s="71"/>
      <c r="C2" s="71"/>
      <c r="D2" s="71"/>
      <c r="E2" s="71"/>
      <c r="F2" s="71"/>
      <c r="I2" s="72" t="str">
        <f>+A2</f>
        <v>PUBLIC WORKS ADMINISTRATION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 t="s">
        <v>17</v>
      </c>
      <c r="T5" s="1" t="s">
        <v>17</v>
      </c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257</v>
      </c>
      <c r="P6" s="2" t="s">
        <v>13</v>
      </c>
      <c r="Q6" s="2" t="s">
        <v>290</v>
      </c>
      <c r="R6" s="2" t="s">
        <v>257</v>
      </c>
      <c r="S6" s="2" t="s">
        <v>17</v>
      </c>
      <c r="T6" s="2" t="s">
        <v>17</v>
      </c>
    </row>
    <row r="7" spans="1:20" ht="15.75">
      <c r="A7" s="15" t="s">
        <v>328</v>
      </c>
      <c r="B7" s="19">
        <v>308562</v>
      </c>
      <c r="C7" s="19">
        <v>321538</v>
      </c>
      <c r="D7" s="19">
        <v>337909</v>
      </c>
      <c r="E7" s="19">
        <f>+D7-C7</f>
        <v>16371</v>
      </c>
      <c r="F7" s="29">
        <f>ROUND(E7/C7,4)</f>
        <v>0.0509</v>
      </c>
      <c r="I7">
        <v>101</v>
      </c>
      <c r="J7" s="3">
        <f aca="true" t="shared" si="0" ref="J7:J15">SUM(K7:Q7)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f>-O7</f>
        <v>0</v>
      </c>
      <c r="S7" s="3">
        <v>0</v>
      </c>
      <c r="T7" s="3">
        <v>0</v>
      </c>
    </row>
    <row r="8" spans="1:20" ht="15.75">
      <c r="A8" s="15" t="s">
        <v>14</v>
      </c>
      <c r="B8" s="19">
        <v>14334</v>
      </c>
      <c r="C8" s="19">
        <v>16834</v>
      </c>
      <c r="D8" s="19">
        <v>17832</v>
      </c>
      <c r="E8" s="19">
        <f>+D8-C8</f>
        <v>998</v>
      </c>
      <c r="F8" s="29">
        <f>ROUND(E8/C8,4)</f>
        <v>0.0593</v>
      </c>
      <c r="I8">
        <v>102</v>
      </c>
      <c r="J8" s="3">
        <f t="shared" si="0"/>
        <v>2295</v>
      </c>
      <c r="K8" s="3">
        <v>1456</v>
      </c>
      <c r="L8" s="3">
        <v>0</v>
      </c>
      <c r="M8" s="3">
        <v>839</v>
      </c>
      <c r="N8" s="3">
        <v>0</v>
      </c>
      <c r="O8" s="3">
        <v>0</v>
      </c>
      <c r="P8" s="3">
        <v>0</v>
      </c>
      <c r="Q8" s="3">
        <v>0</v>
      </c>
      <c r="R8" s="3">
        <f aca="true" t="shared" si="1" ref="R8:R23">-O8</f>
        <v>0</v>
      </c>
      <c r="S8" s="3">
        <v>0</v>
      </c>
      <c r="T8" s="3">
        <v>0</v>
      </c>
    </row>
    <row r="9" spans="1:20" ht="15.75">
      <c r="A9" s="15" t="s">
        <v>15</v>
      </c>
      <c r="B9" s="22">
        <v>117444</v>
      </c>
      <c r="C9" s="22">
        <v>117000</v>
      </c>
      <c r="D9" s="22">
        <v>2000</v>
      </c>
      <c r="E9" s="22">
        <f>+D9-C9</f>
        <v>-115000</v>
      </c>
      <c r="F9" s="29">
        <f>ROUND(E9/C9,4)</f>
        <v>-0.9829</v>
      </c>
      <c r="I9">
        <v>103</v>
      </c>
      <c r="J9" s="3">
        <f t="shared" si="0"/>
        <v>10511</v>
      </c>
      <c r="K9" s="3">
        <v>8989</v>
      </c>
      <c r="L9" s="3">
        <v>425</v>
      </c>
      <c r="M9" s="3">
        <v>1097</v>
      </c>
      <c r="N9" s="3">
        <v>0</v>
      </c>
      <c r="O9" s="3">
        <v>0</v>
      </c>
      <c r="P9" s="3">
        <v>0</v>
      </c>
      <c r="Q9" s="3">
        <v>0</v>
      </c>
      <c r="R9" s="3">
        <f t="shared" si="1"/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440340</v>
      </c>
      <c r="C10" s="19">
        <f>SUM(C7:C9)</f>
        <v>455372</v>
      </c>
      <c r="D10" s="19">
        <f>SUM(D7:D9)</f>
        <v>357741</v>
      </c>
      <c r="E10" s="19">
        <f>SUM(E7:E9)</f>
        <v>-97631</v>
      </c>
      <c r="F10" s="29">
        <f>ROUND(E10/C10,4)</f>
        <v>-0.2144</v>
      </c>
      <c r="I10">
        <v>104</v>
      </c>
      <c r="J10" s="3">
        <f t="shared" si="0"/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f t="shared" si="1"/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f t="shared" si="1"/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f t="shared" si="1"/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 t="s">
        <v>17</v>
      </c>
      <c r="E13" s="19">
        <v>12328</v>
      </c>
      <c r="F13" s="19" t="s">
        <v>17</v>
      </c>
      <c r="I13">
        <v>107</v>
      </c>
      <c r="J13" s="3">
        <f t="shared" si="0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f t="shared" si="1"/>
        <v>0</v>
      </c>
      <c r="S13" s="3">
        <v>0</v>
      </c>
      <c r="T13" s="3">
        <v>0</v>
      </c>
    </row>
    <row r="14" spans="1:20" ht="15.75">
      <c r="A14" s="15" t="s">
        <v>333</v>
      </c>
      <c r="B14" s="19"/>
      <c r="C14" s="19"/>
      <c r="D14" s="19"/>
      <c r="E14" s="19">
        <v>2297</v>
      </c>
      <c r="F14" s="19"/>
      <c r="J14" s="3"/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/>
      <c r="Q14" s="3"/>
      <c r="R14" s="3"/>
      <c r="S14" s="3"/>
      <c r="T14" s="3"/>
    </row>
    <row r="15" spans="1:20" ht="15.75">
      <c r="A15" s="15" t="s">
        <v>32</v>
      </c>
      <c r="B15" s="19"/>
      <c r="C15" s="19"/>
      <c r="D15" s="19"/>
      <c r="E15" s="33">
        <v>1746</v>
      </c>
      <c r="F15" s="19" t="s">
        <v>17</v>
      </c>
      <c r="I15">
        <v>111</v>
      </c>
      <c r="J15" s="3">
        <f t="shared" si="0"/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f t="shared" si="1"/>
        <v>0</v>
      </c>
      <c r="S15" s="3">
        <v>0</v>
      </c>
      <c r="T15" s="3">
        <v>0</v>
      </c>
    </row>
    <row r="16" spans="1:20" ht="15.75">
      <c r="A16" s="15" t="s">
        <v>423</v>
      </c>
      <c r="B16" s="19"/>
      <c r="C16" s="19"/>
      <c r="D16" s="19"/>
      <c r="E16" s="19">
        <v>-115000</v>
      </c>
      <c r="F16" s="19"/>
      <c r="I16">
        <v>125</v>
      </c>
      <c r="J16" s="3">
        <f>SUM(K16:Q16)</f>
        <v>979.6165000000001</v>
      </c>
      <c r="K16" s="3">
        <v>799</v>
      </c>
      <c r="L16" s="3">
        <f aca="true" t="shared" si="2" ref="L16:Q16">+SUM(L8:L13)*0.0765</f>
        <v>32.5125</v>
      </c>
      <c r="M16" s="3">
        <f t="shared" si="2"/>
        <v>148.10399999999998</v>
      </c>
      <c r="N16" s="3">
        <f t="shared" si="2"/>
        <v>0</v>
      </c>
      <c r="O16" s="3">
        <f t="shared" si="2"/>
        <v>0</v>
      </c>
      <c r="P16" s="3">
        <f t="shared" si="2"/>
        <v>0</v>
      </c>
      <c r="Q16" s="3">
        <f t="shared" si="2"/>
        <v>0</v>
      </c>
      <c r="R16" s="3">
        <f t="shared" si="1"/>
        <v>0</v>
      </c>
      <c r="S16" s="3">
        <v>0</v>
      </c>
      <c r="T16" s="3">
        <v>0</v>
      </c>
    </row>
    <row r="17" spans="1:20" ht="18">
      <c r="A17" s="15" t="s">
        <v>60</v>
      </c>
      <c r="B17" s="19"/>
      <c r="C17" s="19"/>
      <c r="D17" s="19"/>
      <c r="E17" s="21">
        <v>998</v>
      </c>
      <c r="F17" s="19"/>
      <c r="I17">
        <v>128</v>
      </c>
      <c r="J17" s="3">
        <f aca="true" t="shared" si="3" ref="J17:J22">SUM(K17:Q17)</f>
        <v>1118.3514</v>
      </c>
      <c r="K17" s="3">
        <v>912</v>
      </c>
      <c r="L17" s="3">
        <f aca="true" t="shared" si="4" ref="L17:Q17">+SUM(L8:L12)*0.0874</f>
        <v>37.145</v>
      </c>
      <c r="M17" s="3">
        <f t="shared" si="4"/>
        <v>169.2064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3">
        <f t="shared" si="4"/>
        <v>0</v>
      </c>
      <c r="R17" s="3">
        <f t="shared" si="1"/>
        <v>0</v>
      </c>
      <c r="S17" s="3">
        <v>0</v>
      </c>
      <c r="T17" s="3">
        <v>0</v>
      </c>
    </row>
    <row r="18" spans="1:20" ht="15.75">
      <c r="A18" s="15" t="s">
        <v>33</v>
      </c>
      <c r="B18" s="19"/>
      <c r="C18" s="19"/>
      <c r="D18" s="19"/>
      <c r="E18" s="19">
        <f>SUM(E13:E17)</f>
        <v>-97631</v>
      </c>
      <c r="F18" s="19"/>
      <c r="I18">
        <v>131</v>
      </c>
      <c r="J18" s="3">
        <f t="shared" si="3"/>
        <v>1027.28</v>
      </c>
      <c r="K18" s="3">
        <v>-165</v>
      </c>
      <c r="L18" s="3">
        <f>1531-300</f>
        <v>1231</v>
      </c>
      <c r="M18" s="3">
        <f>+SUM(M8:M9)*-0.02</f>
        <v>-38.72</v>
      </c>
      <c r="N18" s="3">
        <v>0</v>
      </c>
      <c r="O18" s="3">
        <v>0</v>
      </c>
      <c r="P18" s="3">
        <v>0</v>
      </c>
      <c r="Q18" s="3">
        <v>0</v>
      </c>
      <c r="R18" s="3">
        <f t="shared" si="1"/>
        <v>0</v>
      </c>
      <c r="S18" s="3">
        <v>0</v>
      </c>
      <c r="T18" s="3">
        <v>0</v>
      </c>
    </row>
    <row r="19" spans="1:20" ht="15.75">
      <c r="A19" s="15"/>
      <c r="B19" s="19"/>
      <c r="C19" s="19"/>
      <c r="D19" s="19"/>
      <c r="E19" s="19"/>
      <c r="F19" s="19"/>
      <c r="I19">
        <v>132</v>
      </c>
      <c r="J19" s="3">
        <f t="shared" si="3"/>
        <v>150</v>
      </c>
      <c r="K19" s="3">
        <v>0</v>
      </c>
      <c r="L19" s="3">
        <v>150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f t="shared" si="1"/>
        <v>0</v>
      </c>
      <c r="S19" s="3">
        <v>0</v>
      </c>
      <c r="T19" s="3">
        <v>0</v>
      </c>
    </row>
    <row r="20" spans="1:20" ht="15.75">
      <c r="A20" s="14" t="s">
        <v>327</v>
      </c>
      <c r="B20" s="23" t="s">
        <v>17</v>
      </c>
      <c r="C20" s="23" t="s">
        <v>17</v>
      </c>
      <c r="D20" s="19"/>
      <c r="E20" s="19"/>
      <c r="F20" s="19"/>
      <c r="I20">
        <v>133</v>
      </c>
      <c r="J20" s="3">
        <f t="shared" si="3"/>
        <v>-135</v>
      </c>
      <c r="K20" s="3">
        <v>0</v>
      </c>
      <c r="L20" s="3">
        <v>-135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1"/>
        <v>0</v>
      </c>
      <c r="S20" s="3">
        <v>0</v>
      </c>
      <c r="T20" s="3">
        <v>0</v>
      </c>
    </row>
    <row r="21" spans="1:20" ht="15.75">
      <c r="A21" s="15" t="s">
        <v>17</v>
      </c>
      <c r="B21" s="23" t="s">
        <v>3</v>
      </c>
      <c r="C21" s="23" t="s">
        <v>3</v>
      </c>
      <c r="D21" s="19"/>
      <c r="E21" s="19"/>
      <c r="F21" s="19"/>
      <c r="I21">
        <v>134</v>
      </c>
      <c r="J21" s="3">
        <f t="shared" si="3"/>
        <v>-135</v>
      </c>
      <c r="K21" s="3">
        <v>0</v>
      </c>
      <c r="L21" s="3">
        <v>-135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f t="shared" si="1"/>
        <v>0</v>
      </c>
      <c r="S21" s="3">
        <v>0</v>
      </c>
      <c r="T21" s="3">
        <v>0</v>
      </c>
    </row>
    <row r="22" spans="1:20" ht="15.75">
      <c r="A22" s="15" t="s">
        <v>17</v>
      </c>
      <c r="B22" s="18" t="s">
        <v>303</v>
      </c>
      <c r="C22" s="18" t="s">
        <v>329</v>
      </c>
      <c r="D22" s="19"/>
      <c r="E22" s="19"/>
      <c r="F22" s="19"/>
      <c r="I22">
        <v>135</v>
      </c>
      <c r="J22" s="3">
        <f t="shared" si="3"/>
        <v>560</v>
      </c>
      <c r="K22" s="3">
        <v>338</v>
      </c>
      <c r="L22" s="3">
        <v>140</v>
      </c>
      <c r="M22" s="3">
        <v>82</v>
      </c>
      <c r="N22" s="3">
        <v>0</v>
      </c>
      <c r="O22" s="3">
        <v>0</v>
      </c>
      <c r="P22" s="3">
        <v>0</v>
      </c>
      <c r="Q22" s="3">
        <v>0</v>
      </c>
      <c r="R22" s="3">
        <f t="shared" si="1"/>
        <v>0</v>
      </c>
      <c r="S22" s="3">
        <v>0</v>
      </c>
      <c r="T22" s="3">
        <v>0</v>
      </c>
    </row>
    <row r="23" spans="1:20" ht="15.75">
      <c r="A23" s="15" t="s">
        <v>18</v>
      </c>
      <c r="B23" s="19"/>
      <c r="C23" s="19"/>
      <c r="D23" s="19"/>
      <c r="E23" s="19"/>
      <c r="F23" s="19"/>
      <c r="I23">
        <v>136</v>
      </c>
      <c r="J23" s="4">
        <f>SUM(K23:Q23)</f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5">
        <v>0</v>
      </c>
      <c r="R23" s="35">
        <f t="shared" si="1"/>
        <v>0</v>
      </c>
      <c r="S23" s="4">
        <v>0</v>
      </c>
      <c r="T23" s="4">
        <v>0</v>
      </c>
    </row>
    <row r="24" spans="1:20" ht="15.75">
      <c r="A24" s="15" t="s">
        <v>96</v>
      </c>
      <c r="B24" s="19">
        <v>1</v>
      </c>
      <c r="C24" s="19">
        <v>1</v>
      </c>
      <c r="D24" s="19"/>
      <c r="E24" s="19"/>
      <c r="F24" s="19"/>
      <c r="J24" s="4"/>
      <c r="K24" s="4"/>
      <c r="L24" s="4"/>
      <c r="M24" s="4"/>
      <c r="N24" s="4"/>
      <c r="O24" s="5"/>
      <c r="P24" s="4"/>
      <c r="Q24" s="5"/>
      <c r="R24" s="4"/>
      <c r="S24" s="4"/>
      <c r="T24" s="4"/>
    </row>
    <row r="25" spans="1:20" ht="15.75">
      <c r="A25" s="15" t="s">
        <v>277</v>
      </c>
      <c r="B25" s="19">
        <v>1</v>
      </c>
      <c r="C25" s="19">
        <v>1</v>
      </c>
      <c r="D25" s="19"/>
      <c r="E25" s="19"/>
      <c r="F25" s="19"/>
      <c r="I25" s="1" t="s">
        <v>7</v>
      </c>
      <c r="J25" s="3">
        <f aca="true" t="shared" si="5" ref="J25:T25">SUM(J7:J23)</f>
        <v>16371.2479</v>
      </c>
      <c r="K25" s="3">
        <f t="shared" si="5"/>
        <v>12329</v>
      </c>
      <c r="L25" s="3">
        <f t="shared" si="5"/>
        <v>1745.6575</v>
      </c>
      <c r="M25" s="3">
        <f t="shared" si="5"/>
        <v>2296.5904</v>
      </c>
      <c r="N25" s="3">
        <f t="shared" si="5"/>
        <v>0</v>
      </c>
      <c r="O25" s="3">
        <f t="shared" si="5"/>
        <v>0</v>
      </c>
      <c r="P25" s="3">
        <f t="shared" si="5"/>
        <v>0</v>
      </c>
      <c r="Q25" s="3">
        <f t="shared" si="5"/>
        <v>0</v>
      </c>
      <c r="R25" s="3">
        <f t="shared" si="5"/>
        <v>0</v>
      </c>
      <c r="S25" s="3">
        <f t="shared" si="5"/>
        <v>0</v>
      </c>
      <c r="T25" s="3">
        <f t="shared" si="5"/>
        <v>0</v>
      </c>
    </row>
    <row r="26" spans="1:20" ht="15.75">
      <c r="A26" s="15" t="s">
        <v>40</v>
      </c>
      <c r="B26" s="22">
        <v>1</v>
      </c>
      <c r="C26" s="22">
        <v>1</v>
      </c>
      <c r="D26" s="19"/>
      <c r="E26" s="19"/>
      <c r="F26" s="19"/>
      <c r="I26">
        <v>204</v>
      </c>
      <c r="J26" s="3"/>
      <c r="K26" s="3"/>
      <c r="L26" s="3"/>
      <c r="M26" s="3"/>
      <c r="N26" s="5">
        <v>0</v>
      </c>
      <c r="O26" s="3"/>
      <c r="P26" s="3"/>
      <c r="Q26" s="3"/>
      <c r="R26" s="5">
        <v>0</v>
      </c>
      <c r="S26" s="3"/>
      <c r="T26" s="3"/>
    </row>
    <row r="27" spans="1:20" ht="15.75">
      <c r="A27" s="15" t="s">
        <v>20</v>
      </c>
      <c r="B27" s="19">
        <f>SUM(B24:B26)</f>
        <v>3</v>
      </c>
      <c r="C27" s="19">
        <f>SUM(C24:C26)</f>
        <v>3</v>
      </c>
      <c r="D27" s="19"/>
      <c r="E27" s="19"/>
      <c r="F27" s="19"/>
      <c r="J27" s="3"/>
      <c r="K27" s="3"/>
      <c r="L27" s="3"/>
      <c r="M27" s="3"/>
      <c r="N27" s="3">
        <f>SUM(N25:N26)</f>
        <v>0</v>
      </c>
      <c r="O27" s="3"/>
      <c r="P27" s="3"/>
      <c r="Q27" s="3"/>
      <c r="R27" s="3">
        <f>SUM(R25:R26)</f>
        <v>0</v>
      </c>
      <c r="S27" s="3"/>
      <c r="T27" s="3"/>
    </row>
    <row r="28" spans="1:20" ht="18">
      <c r="A28" s="15" t="s">
        <v>93</v>
      </c>
      <c r="B28" s="21">
        <v>1</v>
      </c>
      <c r="C28" s="21">
        <v>1</v>
      </c>
      <c r="D28" s="19"/>
      <c r="E28" s="19"/>
      <c r="F28" s="1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>
      <c r="A29" s="15" t="s">
        <v>7</v>
      </c>
      <c r="B29" s="19">
        <f>SUM(B27:B28)</f>
        <v>4</v>
      </c>
      <c r="C29" s="19">
        <f>SUM(C27:C28)</f>
        <v>4</v>
      </c>
      <c r="D29" s="19"/>
      <c r="E29" s="19"/>
      <c r="F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/>
      <c r="B30" s="19"/>
      <c r="C30" s="19"/>
      <c r="D30" s="19"/>
      <c r="E30" s="19"/>
      <c r="F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4" t="s">
        <v>23</v>
      </c>
      <c r="B31" s="19"/>
      <c r="C31" s="19"/>
      <c r="D31" s="19"/>
      <c r="E31" s="19"/>
      <c r="F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>
      <c r="A32" s="30" t="s">
        <v>97</v>
      </c>
      <c r="C32" s="19"/>
      <c r="D32" s="19"/>
      <c r="E32" s="19"/>
      <c r="F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5" ht="18">
      <c r="A33" s="15" t="s">
        <v>42</v>
      </c>
      <c r="C33" s="21">
        <v>2000</v>
      </c>
      <c r="D33" s="19"/>
      <c r="E33" s="15"/>
    </row>
    <row r="34" spans="1:5" ht="15.75">
      <c r="A34" s="15" t="s">
        <v>7</v>
      </c>
      <c r="C34" s="19">
        <f>SUM(C32:C33)</f>
        <v>2000</v>
      </c>
      <c r="D34" s="19"/>
      <c r="E34" s="19"/>
    </row>
    <row r="35" ht="12.75">
      <c r="C35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workbookViewId="0" topLeftCell="A4">
      <selection activeCell="E26" sqref="E26"/>
    </sheetView>
  </sheetViews>
  <sheetFormatPr defaultColWidth="9.140625" defaultRowHeight="12.75"/>
  <cols>
    <col min="1" max="1" width="53.140625" style="0" customWidth="1"/>
    <col min="2" max="4" width="12.8515625" style="0" bestFit="1" customWidth="1"/>
    <col min="5" max="5" width="12.00390625" style="39" customWidth="1"/>
    <col min="6" max="6" width="11.57421875" style="0" bestFit="1" customWidth="1"/>
    <col min="9" max="9" width="9.421875" style="0" bestFit="1" customWidth="1"/>
    <col min="10" max="10" width="10.7109375" style="0" bestFit="1" customWidth="1"/>
    <col min="11" max="13" width="10.140625" style="0" bestFit="1" customWidth="1"/>
    <col min="14" max="14" width="9.57421875" style="0" bestFit="1" customWidth="1"/>
    <col min="15" max="16" width="9.57421875" style="0" customWidth="1"/>
    <col min="17" max="17" width="9.57421875" style="0" bestFit="1" customWidth="1"/>
    <col min="18" max="21" width="9.421875" style="0" customWidth="1"/>
    <col min="22" max="22" width="10.8515625" style="0" bestFit="1" customWidth="1"/>
    <col min="23" max="23" width="10.28125" style="0" bestFit="1" customWidth="1"/>
    <col min="24" max="24" width="9.421875" style="0" bestFit="1" customWidth="1"/>
  </cols>
  <sheetData>
    <row r="1" spans="1:25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73" t="s">
        <v>98</v>
      </c>
      <c r="B2" s="73"/>
      <c r="C2" s="73"/>
      <c r="D2" s="73"/>
      <c r="E2" s="73"/>
      <c r="F2" s="73"/>
      <c r="I2" s="72" t="str">
        <f>+A2</f>
        <v>HIGHWAY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6" ht="15.75">
      <c r="A3" s="15"/>
      <c r="B3" s="15"/>
      <c r="C3" s="15"/>
      <c r="D3" s="15"/>
      <c r="E3" s="34"/>
      <c r="F3" s="15"/>
    </row>
    <row r="4" spans="1:6" ht="15.75">
      <c r="A4" s="31" t="s">
        <v>1</v>
      </c>
      <c r="B4" s="15"/>
      <c r="C4" s="15"/>
      <c r="D4" s="15"/>
      <c r="E4" s="34"/>
      <c r="F4" s="15"/>
    </row>
    <row r="5" spans="1:25" ht="15.75">
      <c r="A5" s="31"/>
      <c r="B5" s="16" t="s">
        <v>2</v>
      </c>
      <c r="C5" s="16" t="s">
        <v>3</v>
      </c>
      <c r="D5" s="16" t="s">
        <v>3</v>
      </c>
      <c r="E5" s="70" t="s">
        <v>4</v>
      </c>
      <c r="F5" s="70"/>
      <c r="Q5" s="1" t="s">
        <v>17</v>
      </c>
      <c r="V5" s="1"/>
      <c r="W5" s="1"/>
      <c r="X5" s="1"/>
      <c r="Y5" s="1"/>
    </row>
    <row r="6" spans="1:25" ht="15.75">
      <c r="A6" s="31"/>
      <c r="B6" s="18" t="s">
        <v>281</v>
      </c>
      <c r="C6" s="18" t="s">
        <v>303</v>
      </c>
      <c r="D6" s="18" t="s">
        <v>329</v>
      </c>
      <c r="E6" s="36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13</v>
      </c>
      <c r="P6" s="2" t="s">
        <v>12</v>
      </c>
      <c r="Q6" s="2" t="s">
        <v>13</v>
      </c>
      <c r="R6" s="2" t="s">
        <v>256</v>
      </c>
      <c r="S6" s="2" t="s">
        <v>260</v>
      </c>
      <c r="T6" s="2" t="s">
        <v>261</v>
      </c>
      <c r="U6" s="2" t="s">
        <v>262</v>
      </c>
      <c r="V6" s="2" t="s">
        <v>262</v>
      </c>
      <c r="W6" s="2" t="s">
        <v>249</v>
      </c>
      <c r="X6" s="2" t="s">
        <v>251</v>
      </c>
      <c r="Y6" s="2" t="s">
        <v>259</v>
      </c>
    </row>
    <row r="7" spans="1:25" ht="15.75">
      <c r="A7" s="15" t="s">
        <v>328</v>
      </c>
      <c r="B7" s="19">
        <v>1209838</v>
      </c>
      <c r="C7" s="19">
        <v>1310799</v>
      </c>
      <c r="D7" s="19">
        <v>1374427</v>
      </c>
      <c r="E7" s="33">
        <f>+D7-C7</f>
        <v>63628</v>
      </c>
      <c r="F7" s="29">
        <f>ROUND(E7/C7,4)</f>
        <v>0.0485</v>
      </c>
      <c r="I7">
        <v>101</v>
      </c>
      <c r="J7" s="3">
        <f>SUM(K7:Y7)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</row>
    <row r="8" spans="1:25" ht="15.75">
      <c r="A8" s="15" t="s">
        <v>14</v>
      </c>
      <c r="B8" s="19">
        <v>709584</v>
      </c>
      <c r="C8" s="19">
        <v>734514</v>
      </c>
      <c r="D8" s="19">
        <v>773220</v>
      </c>
      <c r="E8" s="33">
        <f>+D8-C8</f>
        <v>38706</v>
      </c>
      <c r="F8" s="29">
        <f>ROUND(E8/C8,4)</f>
        <v>0.0527</v>
      </c>
      <c r="I8">
        <v>102</v>
      </c>
      <c r="J8" s="3">
        <f aca="true" t="shared" si="0" ref="J8:J28">SUM(K8:Y8)</f>
        <v>3359</v>
      </c>
      <c r="K8" s="3">
        <v>2704</v>
      </c>
      <c r="L8" s="3">
        <v>0</v>
      </c>
      <c r="M8" s="3">
        <v>655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</row>
    <row r="9" spans="1:25" ht="15.75">
      <c r="A9" s="15" t="s">
        <v>15</v>
      </c>
      <c r="B9" s="22">
        <v>1073507</v>
      </c>
      <c r="C9" s="22">
        <v>779734</v>
      </c>
      <c r="D9" s="22">
        <v>957750</v>
      </c>
      <c r="E9" s="37">
        <f>+D9-C9</f>
        <v>178016</v>
      </c>
      <c r="F9" s="29">
        <f>ROUND(E9/C9,4)</f>
        <v>0.2283</v>
      </c>
      <c r="I9">
        <v>103</v>
      </c>
      <c r="J9" s="3">
        <f t="shared" si="0"/>
        <v>14885</v>
      </c>
      <c r="K9" s="3">
        <v>13625</v>
      </c>
      <c r="L9" s="3">
        <v>0</v>
      </c>
      <c r="M9" s="3">
        <v>1260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</row>
    <row r="10" spans="1:25" ht="15.75">
      <c r="A10" s="15" t="s">
        <v>7</v>
      </c>
      <c r="B10" s="19">
        <f>SUM(B7:B9)</f>
        <v>2992929</v>
      </c>
      <c r="C10" s="19">
        <f>SUM(C7:C9)</f>
        <v>2825047</v>
      </c>
      <c r="D10" s="19">
        <f>SUM(D7:D9)</f>
        <v>3105397</v>
      </c>
      <c r="E10" s="33">
        <f>SUM(E7:E9)</f>
        <v>280350</v>
      </c>
      <c r="F10" s="29">
        <f>ROUND(E10/C10,4)</f>
        <v>0.0992</v>
      </c>
      <c r="I10">
        <v>104</v>
      </c>
      <c r="J10" s="3">
        <f t="shared" si="0"/>
        <v>27426</v>
      </c>
      <c r="K10" s="3">
        <v>16871</v>
      </c>
      <c r="L10" s="3">
        <v>0</v>
      </c>
      <c r="M10" s="3">
        <v>10555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</row>
    <row r="11" spans="1:25" ht="15.75">
      <c r="A11" s="15"/>
      <c r="B11" s="19"/>
      <c r="C11" s="19"/>
      <c r="D11" s="19"/>
      <c r="E11" s="33"/>
      <c r="F11" s="19"/>
      <c r="I11">
        <v>105</v>
      </c>
      <c r="J11" s="3">
        <f t="shared" si="0"/>
        <v>-1500</v>
      </c>
      <c r="K11" s="3">
        <v>0</v>
      </c>
      <c r="L11" s="3">
        <v>0</v>
      </c>
      <c r="M11" s="3">
        <v>0</v>
      </c>
      <c r="N11" s="3">
        <v>0</v>
      </c>
      <c r="O11" s="3">
        <v>-1500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</row>
    <row r="12" spans="1:25" ht="15.75">
      <c r="A12" s="31" t="s">
        <v>16</v>
      </c>
      <c r="B12" s="19"/>
      <c r="C12" s="19"/>
      <c r="D12" s="19"/>
      <c r="E12" s="33"/>
      <c r="F12" s="19"/>
      <c r="G12" t="s">
        <v>17</v>
      </c>
      <c r="I12" t="s">
        <v>301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5.75">
      <c r="A13" s="15" t="s">
        <v>31</v>
      </c>
      <c r="B13" s="19"/>
      <c r="C13" s="19"/>
      <c r="D13" s="19"/>
      <c r="E13" s="33">
        <v>45039</v>
      </c>
      <c r="F13" s="19" t="s">
        <v>17</v>
      </c>
      <c r="G13" s="3" t="s">
        <v>17</v>
      </c>
      <c r="I13">
        <v>107</v>
      </c>
      <c r="J13" s="3">
        <f t="shared" si="0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</row>
    <row r="14" spans="1:25" ht="15.75">
      <c r="A14" s="15" t="s">
        <v>32</v>
      </c>
      <c r="B14" s="19"/>
      <c r="C14" s="19"/>
      <c r="D14" s="19"/>
      <c r="E14" s="33">
        <v>9566</v>
      </c>
      <c r="F14" s="19"/>
      <c r="I14">
        <v>111</v>
      </c>
      <c r="J14" s="3">
        <f t="shared" si="0"/>
        <v>800</v>
      </c>
      <c r="K14" s="3">
        <v>4300</v>
      </c>
      <c r="L14" s="3">
        <v>0</v>
      </c>
      <c r="M14" s="3">
        <v>0</v>
      </c>
      <c r="N14" s="3">
        <v>0</v>
      </c>
      <c r="O14" s="3">
        <v>-3500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</row>
    <row r="15" spans="1:25" ht="15.75">
      <c r="A15" s="15" t="s">
        <v>409</v>
      </c>
      <c r="B15" s="19"/>
      <c r="C15" s="19"/>
      <c r="D15" s="19"/>
      <c r="E15" s="33">
        <v>-5952</v>
      </c>
      <c r="F15" s="1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>
      <c r="A16" s="15" t="s">
        <v>333</v>
      </c>
      <c r="B16" s="19"/>
      <c r="C16" s="19"/>
      <c r="D16" s="19"/>
      <c r="E16" s="33">
        <v>14975</v>
      </c>
      <c r="F16" s="19"/>
      <c r="I16">
        <v>125</v>
      </c>
      <c r="J16" s="3">
        <f t="shared" si="0"/>
        <v>3441.205</v>
      </c>
      <c r="K16" s="3">
        <f>+SUM(K8:K14)*0.0765+1</f>
        <v>2869.75</v>
      </c>
      <c r="L16" s="3">
        <f>+SUM(L8:L14)*0.0765</f>
        <v>0</v>
      </c>
      <c r="M16" s="3">
        <f>+SUM(M8:M14)*0.0765</f>
        <v>953.9549999999999</v>
      </c>
      <c r="N16" s="3">
        <v>0</v>
      </c>
      <c r="O16" s="3">
        <f>+SUM(O8:O14)*0.0765</f>
        <v>-382.5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</row>
    <row r="17" spans="1:25" ht="15.75">
      <c r="A17" s="15" t="s">
        <v>338</v>
      </c>
      <c r="B17" s="19"/>
      <c r="C17" s="19"/>
      <c r="D17" s="19"/>
      <c r="E17" s="33">
        <v>-4961</v>
      </c>
      <c r="F17" s="19"/>
      <c r="I17">
        <v>128</v>
      </c>
      <c r="J17" s="3">
        <f t="shared" si="0"/>
        <v>3929.3780000000006</v>
      </c>
      <c r="K17" s="3">
        <f>+SUM(K8:K14)*0.0874-1</f>
        <v>3276.5</v>
      </c>
      <c r="L17" s="3">
        <f>+SUM(L8:L14)*0.0874</f>
        <v>0</v>
      </c>
      <c r="M17" s="3">
        <f>+SUM(M8:M14)*0.0874</f>
        <v>1089.8780000000002</v>
      </c>
      <c r="N17" s="3">
        <f>+SUM(N8:N14)*0.0874</f>
        <v>0</v>
      </c>
      <c r="O17" s="3">
        <f>+SUM(O8:O14)*0.0874</f>
        <v>-437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</row>
    <row r="18" spans="1:25" ht="15.75">
      <c r="A18" s="15" t="s">
        <v>216</v>
      </c>
      <c r="B18" s="19"/>
      <c r="C18" s="19"/>
      <c r="D18" s="19"/>
      <c r="E18" s="33">
        <v>10000</v>
      </c>
      <c r="F18" s="19"/>
      <c r="I18">
        <v>131</v>
      </c>
      <c r="J18" s="3">
        <f t="shared" si="0"/>
        <v>10563.6</v>
      </c>
      <c r="K18" s="3">
        <f>+SUM(K8:K10)*-0.02</f>
        <v>-664</v>
      </c>
      <c r="L18" s="3">
        <v>11477</v>
      </c>
      <c r="M18" s="3">
        <f>+SUM(M8:M10)*-0.02</f>
        <v>-249.4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</row>
    <row r="19" spans="1:25" ht="15.75">
      <c r="A19" s="15" t="s">
        <v>342</v>
      </c>
      <c r="B19" s="19"/>
      <c r="C19" s="19"/>
      <c r="D19" s="19"/>
      <c r="E19" s="33">
        <v>50000</v>
      </c>
      <c r="F19" s="19"/>
      <c r="I19">
        <v>132</v>
      </c>
      <c r="J19" s="3">
        <f t="shared" si="0"/>
        <v>950</v>
      </c>
      <c r="K19" s="3">
        <v>0</v>
      </c>
      <c r="L19" s="3">
        <v>950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</row>
    <row r="20" spans="1:25" ht="15.75">
      <c r="A20" s="15" t="s">
        <v>400</v>
      </c>
      <c r="B20" s="19"/>
      <c r="C20" s="19"/>
      <c r="D20" s="19"/>
      <c r="E20" s="33">
        <v>-25000</v>
      </c>
      <c r="F20" s="1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>
      <c r="A21" s="15" t="s">
        <v>289</v>
      </c>
      <c r="B21" s="19"/>
      <c r="C21" s="19"/>
      <c r="D21" s="19"/>
      <c r="E21" s="33">
        <v>-5000</v>
      </c>
      <c r="F21" s="19"/>
      <c r="I21">
        <v>133</v>
      </c>
      <c r="J21" s="3">
        <f t="shared" si="0"/>
        <v>-145</v>
      </c>
      <c r="K21" s="3">
        <v>0</v>
      </c>
      <c r="L21" s="3">
        <v>-145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</row>
    <row r="22" spans="1:25" ht="15.75">
      <c r="A22" s="15" t="s">
        <v>339</v>
      </c>
      <c r="B22" s="19"/>
      <c r="C22" s="19"/>
      <c r="D22" s="19"/>
      <c r="E22" s="33">
        <v>2500</v>
      </c>
      <c r="F22" s="19"/>
      <c r="I22">
        <v>134</v>
      </c>
      <c r="J22" s="3">
        <f t="shared" si="0"/>
        <v>-90</v>
      </c>
      <c r="K22" s="3">
        <v>0</v>
      </c>
      <c r="L22" s="3">
        <v>-90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</row>
    <row r="23" spans="1:25" ht="15.75">
      <c r="A23" s="15" t="s">
        <v>340</v>
      </c>
      <c r="B23" s="19"/>
      <c r="C23" s="19"/>
      <c r="D23" s="19"/>
      <c r="E23" s="33">
        <v>12200</v>
      </c>
      <c r="F23" s="19"/>
      <c r="I23">
        <v>135</v>
      </c>
      <c r="J23" s="3">
        <f t="shared" si="0"/>
        <v>8.45700000000025</v>
      </c>
      <c r="K23" s="3">
        <f>(+SUM(K8:K10)+SUM(K11:K14)*0.67)*0.057</f>
        <v>2056.617</v>
      </c>
      <c r="L23" s="3">
        <v>-2626</v>
      </c>
      <c r="M23" s="3">
        <f>(+SUM(M8:M10)+SUM(M11:M14)*0.67)*0.057</f>
        <v>710.7900000000001</v>
      </c>
      <c r="N23" s="3">
        <v>0</v>
      </c>
      <c r="O23" s="3">
        <f>(+SUM(O8:O10)+SUM(O11:O14)*0.67)*0.057+58</f>
        <v>-132.95000000000002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</row>
    <row r="24" spans="1:25" ht="15.75">
      <c r="A24" s="15" t="s">
        <v>341</v>
      </c>
      <c r="B24" s="19"/>
      <c r="C24" s="19"/>
      <c r="D24" s="19"/>
      <c r="E24" s="33">
        <v>73366</v>
      </c>
      <c r="F24" s="19"/>
      <c r="J24" s="3"/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>
      <c r="A25" s="15" t="s">
        <v>199</v>
      </c>
      <c r="B25" s="19"/>
      <c r="C25" s="19"/>
      <c r="D25" s="19"/>
      <c r="E25" s="33">
        <v>65000</v>
      </c>
      <c r="F25" s="19"/>
      <c r="J25" s="3"/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>
      <c r="A26" s="15" t="s">
        <v>220</v>
      </c>
      <c r="B26" s="19"/>
      <c r="C26" s="19"/>
      <c r="D26" s="19"/>
      <c r="E26" s="33">
        <f>-E24+113016</f>
        <v>39650</v>
      </c>
      <c r="F26" s="19"/>
      <c r="I26" t="s">
        <v>245</v>
      </c>
      <c r="J26" s="3">
        <f t="shared" si="0"/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</row>
    <row r="27" spans="1:25" ht="18">
      <c r="A27" s="15" t="s">
        <v>60</v>
      </c>
      <c r="B27" s="19"/>
      <c r="C27" s="19"/>
      <c r="D27" s="19"/>
      <c r="E27" s="38">
        <v>-1033</v>
      </c>
      <c r="F27" s="19"/>
      <c r="J27" s="3"/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>
      <c r="A28" s="15" t="s">
        <v>176</v>
      </c>
      <c r="B28" s="19"/>
      <c r="C28" s="19"/>
      <c r="D28" s="19"/>
      <c r="E28" s="33">
        <f>SUM(E11:E27)</f>
        <v>280350</v>
      </c>
      <c r="F28" s="19"/>
      <c r="I28">
        <v>136</v>
      </c>
      <c r="J28" s="5">
        <f t="shared" si="0"/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</row>
    <row r="29" spans="1:25" ht="15.75">
      <c r="A29" s="15"/>
      <c r="B29" s="19"/>
      <c r="C29" s="19"/>
      <c r="D29" s="19"/>
      <c r="E29" s="33"/>
      <c r="F29" s="1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6" ht="15.75">
      <c r="A30" s="14" t="s">
        <v>327</v>
      </c>
      <c r="B30" s="23" t="s">
        <v>17</v>
      </c>
      <c r="C30" s="23" t="s">
        <v>17</v>
      </c>
      <c r="D30" s="19"/>
      <c r="E30" s="33"/>
      <c r="F30" s="19"/>
      <c r="I30" s="1" t="s">
        <v>7</v>
      </c>
      <c r="J30" s="3">
        <f>SUM(J7:J28)</f>
        <v>63627.64</v>
      </c>
      <c r="K30" s="3">
        <f aca="true" t="shared" si="1" ref="K30:Z30">SUM(K7:K28)</f>
        <v>45038.867</v>
      </c>
      <c r="L30" s="3">
        <f t="shared" si="1"/>
        <v>9566</v>
      </c>
      <c r="M30" s="3">
        <f t="shared" si="1"/>
        <v>14975.223000000002</v>
      </c>
      <c r="N30" s="3">
        <f t="shared" si="1"/>
        <v>0</v>
      </c>
      <c r="O30" s="3">
        <f>SUM(O7:O28)</f>
        <v>-5952.45</v>
      </c>
      <c r="P30" s="3">
        <f>SUM(P7:P28)</f>
        <v>0</v>
      </c>
      <c r="Q30" s="3">
        <f t="shared" si="1"/>
        <v>0</v>
      </c>
      <c r="R30" s="3">
        <f t="shared" si="1"/>
        <v>0</v>
      </c>
      <c r="S30" s="3">
        <f>SUM(S7:S28)</f>
        <v>0</v>
      </c>
      <c r="T30" s="3">
        <f>SUM(T7:T28)</f>
        <v>0</v>
      </c>
      <c r="U30" s="3">
        <f t="shared" si="1"/>
        <v>0</v>
      </c>
      <c r="V30" s="3">
        <f t="shared" si="1"/>
        <v>0</v>
      </c>
      <c r="W30" s="3">
        <f t="shared" si="1"/>
        <v>0</v>
      </c>
      <c r="X30" s="3">
        <f t="shared" si="1"/>
        <v>0</v>
      </c>
      <c r="Y30" s="3">
        <f t="shared" si="1"/>
        <v>0</v>
      </c>
      <c r="Z30" s="3">
        <f t="shared" si="1"/>
        <v>0</v>
      </c>
    </row>
    <row r="31" spans="1:25" ht="15.75">
      <c r="A31" s="15" t="s">
        <v>17</v>
      </c>
      <c r="B31" s="23" t="s">
        <v>3</v>
      </c>
      <c r="C31" s="23" t="s">
        <v>3</v>
      </c>
      <c r="D31" s="19"/>
      <c r="E31" s="33"/>
      <c r="F31" s="19"/>
      <c r="I31" s="1">
        <v>204</v>
      </c>
      <c r="J31" s="5">
        <f>SUM(K31:Y31)</f>
        <v>0</v>
      </c>
      <c r="K31" s="5">
        <v>0</v>
      </c>
      <c r="L31" s="3" t="s">
        <v>17</v>
      </c>
      <c r="M31" s="3"/>
      <c r="N31" s="3"/>
      <c r="O31" s="3"/>
      <c r="P31" s="3"/>
      <c r="Q31" s="3"/>
      <c r="R31" s="5">
        <v>0</v>
      </c>
      <c r="S31" s="3"/>
      <c r="T31" s="3"/>
      <c r="U31" s="3"/>
      <c r="V31" s="3"/>
      <c r="W31" s="3"/>
      <c r="X31" s="3"/>
      <c r="Y31" s="3"/>
    </row>
    <row r="32" spans="1:25" ht="15.75">
      <c r="A32" s="15" t="s">
        <v>17</v>
      </c>
      <c r="B32" s="18" t="s">
        <v>303</v>
      </c>
      <c r="C32" s="18" t="s">
        <v>329</v>
      </c>
      <c r="D32" s="19"/>
      <c r="E32" s="33"/>
      <c r="F32" s="19"/>
      <c r="I32" s="1"/>
      <c r="J32" s="6">
        <f>SUM(J30:J31)</f>
        <v>63627.64</v>
      </c>
      <c r="K32" s="6">
        <f>SUM(K30:K31)</f>
        <v>45038.867</v>
      </c>
      <c r="L32" s="3" t="s">
        <v>17</v>
      </c>
      <c r="M32" s="3"/>
      <c r="N32" s="3"/>
      <c r="O32" s="3"/>
      <c r="P32" s="3"/>
      <c r="Q32" s="3"/>
      <c r="R32" s="3">
        <f>SUM(R30:R31)</f>
        <v>0</v>
      </c>
      <c r="S32" s="3"/>
      <c r="T32" s="3"/>
      <c r="U32" s="3"/>
      <c r="V32" s="3"/>
      <c r="W32" s="3"/>
      <c r="X32" s="3"/>
      <c r="Y32" s="3"/>
    </row>
    <row r="33" spans="1:25" ht="15.75">
      <c r="A33" s="15" t="s">
        <v>18</v>
      </c>
      <c r="B33" s="19"/>
      <c r="C33" s="19"/>
      <c r="D33" s="19"/>
      <c r="E33" s="33"/>
      <c r="F33" s="19"/>
      <c r="I33" s="1"/>
      <c r="J33" s="4"/>
      <c r="K33" s="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>
      <c r="A34" s="15" t="s">
        <v>299</v>
      </c>
      <c r="B34" s="19">
        <v>1</v>
      </c>
      <c r="C34" s="19">
        <v>1</v>
      </c>
      <c r="D34" s="19"/>
      <c r="E34" s="33"/>
      <c r="F34" s="19"/>
      <c r="J34" s="3">
        <f>SUM(J30:J31)</f>
        <v>63627.64</v>
      </c>
      <c r="K34" s="3">
        <f>SUM(K30:K31)</f>
        <v>45038.867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>
      <c r="A35" s="15" t="s">
        <v>258</v>
      </c>
      <c r="B35" s="19">
        <v>1</v>
      </c>
      <c r="C35" s="19">
        <v>1</v>
      </c>
      <c r="D35" s="19"/>
      <c r="E35" s="33"/>
      <c r="F35" s="19"/>
      <c r="J35" s="3"/>
      <c r="K35" s="3"/>
      <c r="L35" s="3"/>
      <c r="M35" s="3"/>
      <c r="N35" s="3"/>
      <c r="O35" s="3"/>
      <c r="P35" s="3"/>
      <c r="Q35" s="11" t="s">
        <v>17</v>
      </c>
      <c r="R35" s="3"/>
      <c r="S35" s="3"/>
      <c r="T35" s="3"/>
      <c r="U35" s="3"/>
      <c r="V35" s="3"/>
      <c r="W35" s="3"/>
      <c r="X35" s="3"/>
      <c r="Y35" s="3"/>
    </row>
    <row r="36" spans="1:25" ht="15.75">
      <c r="A36" s="15" t="s">
        <v>100</v>
      </c>
      <c r="B36" s="19">
        <v>2</v>
      </c>
      <c r="C36" s="19">
        <v>2</v>
      </c>
      <c r="D36" s="19"/>
      <c r="E36" s="33"/>
      <c r="F36" s="19"/>
      <c r="J36" s="3"/>
      <c r="K36" s="3"/>
      <c r="L36" s="3"/>
      <c r="M36" s="3"/>
      <c r="N36" s="3"/>
      <c r="O36" s="3"/>
      <c r="P36" s="3"/>
      <c r="Q36" s="3" t="s">
        <v>17</v>
      </c>
      <c r="R36" s="3"/>
      <c r="S36" s="3"/>
      <c r="T36" s="3"/>
      <c r="U36" s="3"/>
      <c r="V36" s="3"/>
      <c r="W36" s="3"/>
      <c r="X36" s="3"/>
      <c r="Y36" s="3"/>
    </row>
    <row r="37" spans="1:25" ht="15.75">
      <c r="A37" s="15" t="s">
        <v>185</v>
      </c>
      <c r="B37" s="19">
        <v>1</v>
      </c>
      <c r="C37" s="19">
        <v>1</v>
      </c>
      <c r="D37" s="19"/>
      <c r="E37" s="33"/>
      <c r="F37" s="19"/>
      <c r="J37" s="3"/>
      <c r="K37" s="3"/>
      <c r="L37" s="3"/>
      <c r="M37" s="3"/>
      <c r="N37" s="3"/>
      <c r="O37" s="3"/>
      <c r="P37" s="3"/>
      <c r="Q37" s="2" t="s">
        <v>95</v>
      </c>
      <c r="R37" s="3"/>
      <c r="S37" s="3"/>
      <c r="T37" s="3"/>
      <c r="U37" s="3"/>
      <c r="V37" s="3"/>
      <c r="W37" s="3"/>
      <c r="X37" s="3"/>
      <c r="Y37" s="3"/>
    </row>
    <row r="38" spans="1:17" ht="15.75">
      <c r="A38" s="15" t="s">
        <v>101</v>
      </c>
      <c r="B38" s="19">
        <v>2</v>
      </c>
      <c r="C38" s="19">
        <v>2</v>
      </c>
      <c r="D38" s="19"/>
      <c r="E38" s="33"/>
      <c r="F38" s="19"/>
      <c r="Q38" s="3">
        <v>0</v>
      </c>
    </row>
    <row r="39" spans="1:17" ht="15.75">
      <c r="A39" s="15" t="s">
        <v>102</v>
      </c>
      <c r="B39" s="19">
        <v>2</v>
      </c>
      <c r="C39" s="19">
        <v>2</v>
      </c>
      <c r="D39" s="19"/>
      <c r="E39" s="33"/>
      <c r="F39" s="19"/>
      <c r="Q39" s="3">
        <v>0</v>
      </c>
    </row>
    <row r="40" spans="1:17" ht="15.75">
      <c r="A40" s="15" t="s">
        <v>103</v>
      </c>
      <c r="B40" s="22">
        <v>10</v>
      </c>
      <c r="C40" s="22">
        <v>10</v>
      </c>
      <c r="D40" s="19"/>
      <c r="E40" s="33"/>
      <c r="F40" s="19"/>
      <c r="Q40" s="3">
        <v>49400</v>
      </c>
    </row>
    <row r="41" spans="1:17" ht="15.75">
      <c r="A41" s="15" t="s">
        <v>20</v>
      </c>
      <c r="B41" s="19">
        <f>SUM(B34:B40)</f>
        <v>19</v>
      </c>
      <c r="C41" s="19">
        <f>SUM(C34:C40)</f>
        <v>19</v>
      </c>
      <c r="D41" s="19"/>
      <c r="E41" s="33"/>
      <c r="F41" s="19"/>
      <c r="Q41" s="3"/>
    </row>
    <row r="42" spans="1:17" ht="18">
      <c r="A42" s="15" t="s">
        <v>93</v>
      </c>
      <c r="B42" s="21">
        <v>0</v>
      </c>
      <c r="C42" s="21">
        <v>0</v>
      </c>
      <c r="D42" s="19"/>
      <c r="E42" s="33"/>
      <c r="F42" s="19"/>
      <c r="Q42" s="3">
        <v>0</v>
      </c>
    </row>
    <row r="43" spans="1:17" ht="15.75">
      <c r="A43" s="15" t="s">
        <v>7</v>
      </c>
      <c r="B43" s="19">
        <f>SUM(B41:B42)</f>
        <v>19</v>
      </c>
      <c r="C43" s="19">
        <f>SUM(C41:C42)</f>
        <v>19</v>
      </c>
      <c r="D43" s="19"/>
      <c r="E43" s="33"/>
      <c r="F43" s="19"/>
      <c r="Q43" s="3">
        <v>3779</v>
      </c>
    </row>
    <row r="44" spans="1:17" ht="15.75">
      <c r="A44" s="15"/>
      <c r="B44" s="19"/>
      <c r="C44" s="19"/>
      <c r="D44" s="19"/>
      <c r="E44" s="33"/>
      <c r="F44" s="19"/>
      <c r="Q44" s="3">
        <v>2493</v>
      </c>
    </row>
    <row r="45" spans="1:17" ht="15.75">
      <c r="A45" s="31" t="s">
        <v>23</v>
      </c>
      <c r="B45" s="19"/>
      <c r="C45" s="19"/>
      <c r="D45" s="19"/>
      <c r="E45" s="33"/>
      <c r="F45" s="19"/>
      <c r="Q45" s="3">
        <v>12355</v>
      </c>
    </row>
    <row r="46" spans="1:17" ht="15.75">
      <c r="A46" s="15" t="s">
        <v>189</v>
      </c>
      <c r="B46" s="19"/>
      <c r="C46" s="19">
        <v>3750</v>
      </c>
      <c r="D46" s="15"/>
      <c r="E46" s="33"/>
      <c r="F46" s="19"/>
      <c r="Q46" s="3">
        <v>1226</v>
      </c>
    </row>
    <row r="47" spans="1:17" ht="15.75">
      <c r="A47" s="15" t="s">
        <v>334</v>
      </c>
      <c r="B47" s="19"/>
      <c r="C47" s="19">
        <v>28000</v>
      </c>
      <c r="D47" s="15"/>
      <c r="E47" s="33"/>
      <c r="F47" s="19"/>
      <c r="Q47" s="3">
        <v>45</v>
      </c>
    </row>
    <row r="48" spans="1:17" ht="15.75">
      <c r="A48" s="15" t="s">
        <v>335</v>
      </c>
      <c r="B48" s="19"/>
      <c r="C48" s="19">
        <v>13000</v>
      </c>
      <c r="D48" s="15"/>
      <c r="E48" s="34"/>
      <c r="F48" s="19"/>
      <c r="Q48" s="3">
        <v>367</v>
      </c>
    </row>
    <row r="49" spans="1:17" ht="15.75">
      <c r="A49" s="15" t="s">
        <v>336</v>
      </c>
      <c r="B49" s="19"/>
      <c r="C49" s="19">
        <v>3000</v>
      </c>
      <c r="D49" s="15"/>
      <c r="E49" s="34"/>
      <c r="F49" s="19"/>
      <c r="Q49" s="3"/>
    </row>
    <row r="50" spans="1:17" ht="15.75">
      <c r="A50" s="15" t="s">
        <v>337</v>
      </c>
      <c r="B50" s="19"/>
      <c r="C50" s="19">
        <v>300000</v>
      </c>
      <c r="D50" s="15"/>
      <c r="E50" s="34"/>
      <c r="F50" s="19"/>
      <c r="Q50" s="4">
        <v>24</v>
      </c>
    </row>
    <row r="51" spans="1:17" ht="15.75">
      <c r="A51" s="26" t="s">
        <v>208</v>
      </c>
      <c r="B51" s="19"/>
      <c r="C51" s="19">
        <v>150000</v>
      </c>
      <c r="D51" s="19" t="s">
        <v>17</v>
      </c>
      <c r="E51" s="34"/>
      <c r="F51" s="15"/>
      <c r="Q51" s="3"/>
    </row>
    <row r="52" spans="1:17" ht="15.75">
      <c r="A52" s="26" t="s">
        <v>204</v>
      </c>
      <c r="B52" s="19"/>
      <c r="C52" s="19">
        <v>200000</v>
      </c>
      <c r="D52" s="15"/>
      <c r="E52" s="34"/>
      <c r="F52" s="15"/>
      <c r="Q52" s="3"/>
    </row>
    <row r="53" spans="1:6" ht="15.75">
      <c r="A53" s="15" t="s">
        <v>104</v>
      </c>
      <c r="B53" s="19"/>
      <c r="C53" s="19">
        <v>150000</v>
      </c>
      <c r="D53" s="15"/>
      <c r="E53" s="34"/>
      <c r="F53" s="15"/>
    </row>
    <row r="54" spans="1:6" ht="15.75">
      <c r="A54" s="15" t="s">
        <v>105</v>
      </c>
      <c r="B54" s="19"/>
      <c r="C54" s="19">
        <v>0</v>
      </c>
      <c r="D54" s="15"/>
      <c r="E54" s="34"/>
      <c r="F54" s="15"/>
    </row>
    <row r="55" spans="1:6" ht="15.75">
      <c r="A55" s="15" t="s">
        <v>192</v>
      </c>
      <c r="B55" s="19"/>
      <c r="C55" s="19">
        <v>100000</v>
      </c>
      <c r="D55" s="15"/>
      <c r="E55" s="34"/>
      <c r="F55" s="15"/>
    </row>
    <row r="56" spans="1:6" ht="15.75">
      <c r="A56" s="15" t="s">
        <v>191</v>
      </c>
      <c r="B56" s="19"/>
      <c r="C56" s="19">
        <v>5000</v>
      </c>
      <c r="D56" s="15"/>
      <c r="E56" s="34"/>
      <c r="F56" s="15"/>
    </row>
    <row r="57" spans="1:6" ht="15.75">
      <c r="A57" s="15" t="s">
        <v>226</v>
      </c>
      <c r="B57" s="19"/>
      <c r="C57" s="19">
        <v>5000</v>
      </c>
      <c r="D57" s="15"/>
      <c r="E57" s="34"/>
      <c r="F57" s="15"/>
    </row>
    <row r="58" spans="1:6" ht="18">
      <c r="A58" s="15" t="s">
        <v>106</v>
      </c>
      <c r="B58" s="19"/>
      <c r="C58" s="21">
        <v>0</v>
      </c>
      <c r="D58" s="15"/>
      <c r="E58" s="34"/>
      <c r="F58" s="15"/>
    </row>
    <row r="59" spans="1:6" ht="15.75">
      <c r="A59" s="15" t="s">
        <v>7</v>
      </c>
      <c r="B59" s="19"/>
      <c r="C59" s="19">
        <f>SUM(C46:C58)</f>
        <v>957750</v>
      </c>
      <c r="D59" s="15"/>
      <c r="E59" s="34"/>
      <c r="F59" s="15"/>
    </row>
    <row r="60" ht="15.75">
      <c r="F60" s="15"/>
    </row>
    <row r="61" ht="15.75">
      <c r="F61" s="15"/>
    </row>
    <row r="62" ht="15.75">
      <c r="F62" s="15"/>
    </row>
    <row r="63" ht="15.75">
      <c r="F63" s="15"/>
    </row>
  </sheetData>
  <mergeCells count="5">
    <mergeCell ref="E5:F5"/>
    <mergeCell ref="A1:F1"/>
    <mergeCell ref="I1:Y1"/>
    <mergeCell ref="A2:F2"/>
    <mergeCell ref="I2:Y2"/>
  </mergeCells>
  <printOptions gridLines="1"/>
  <pageMargins left="0.75" right="0.75" top="1" bottom="1" header="0.5" footer="0.5"/>
  <pageSetup fitToHeight="1" fitToWidth="1" horizontalDpi="600" verticalDpi="600" orientation="portrait" scale="64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4">
      <selection activeCell="B10" sqref="B10"/>
    </sheetView>
  </sheetViews>
  <sheetFormatPr defaultColWidth="9.140625" defaultRowHeight="12.75"/>
  <cols>
    <col min="1" max="1" width="60.28125" style="0" customWidth="1"/>
    <col min="2" max="4" width="12.8515625" style="0" bestFit="1" customWidth="1"/>
    <col min="5" max="5" width="13.7109375" style="0" bestFit="1" customWidth="1"/>
    <col min="6" max="6" width="10.57421875" style="0" bestFit="1" customWidth="1"/>
    <col min="7" max="7" width="10.8515625" style="0" bestFit="1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107</v>
      </c>
      <c r="B2" s="71"/>
      <c r="C2" s="71"/>
      <c r="D2" s="71"/>
      <c r="E2" s="71"/>
      <c r="F2" s="71"/>
      <c r="I2" s="72" t="str">
        <f>+A2</f>
        <v>SOLID WASTE DISPOSAL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/>
      <c r="R5" s="1"/>
      <c r="S5" s="1"/>
      <c r="T5" s="1"/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228</v>
      </c>
      <c r="O6" s="2" t="s">
        <v>11</v>
      </c>
      <c r="P6" s="2" t="s">
        <v>13</v>
      </c>
      <c r="Q6" s="2" t="s">
        <v>12</v>
      </c>
      <c r="R6" s="2" t="s">
        <v>264</v>
      </c>
      <c r="S6" s="2" t="s">
        <v>45</v>
      </c>
      <c r="T6" s="2" t="s">
        <v>45</v>
      </c>
    </row>
    <row r="7" spans="1:20" ht="15.75">
      <c r="A7" s="15" t="s">
        <v>328</v>
      </c>
      <c r="B7" s="19">
        <v>416410</v>
      </c>
      <c r="C7" s="19">
        <v>463771</v>
      </c>
      <c r="D7" s="19">
        <v>496640</v>
      </c>
      <c r="E7" s="19">
        <f>+D7-C7</f>
        <v>32869</v>
      </c>
      <c r="F7" s="29">
        <f>ROUND(E7/C7,4)</f>
        <v>0.0709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873143</v>
      </c>
      <c r="C8" s="19">
        <v>973990</v>
      </c>
      <c r="D8" s="19">
        <v>939682</v>
      </c>
      <c r="E8" s="19">
        <f>+D8-C8</f>
        <v>-34308</v>
      </c>
      <c r="F8" s="29">
        <f>ROUND(E8/C8,4)</f>
        <v>-0.0352</v>
      </c>
      <c r="I8" t="s">
        <v>200</v>
      </c>
      <c r="J8" s="3">
        <f aca="true" t="shared" si="0" ref="J8:J25">SUM(K8:T8)</f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26944</v>
      </c>
      <c r="C9" s="22">
        <v>44106</v>
      </c>
      <c r="D9" s="22">
        <v>95000</v>
      </c>
      <c r="E9" s="22">
        <f>+D9-C9</f>
        <v>50894</v>
      </c>
      <c r="F9" s="29">
        <f>ROUND(E9/C9,4)</f>
        <v>1.1539</v>
      </c>
      <c r="I9">
        <v>103</v>
      </c>
      <c r="J9" s="3">
        <f t="shared" si="0"/>
        <v>6438</v>
      </c>
      <c r="K9" s="3">
        <v>4737</v>
      </c>
      <c r="L9" s="3">
        <v>0</v>
      </c>
      <c r="M9" s="3">
        <v>1701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1316497</v>
      </c>
      <c r="C10" s="19">
        <f>SUM(C7:C9)</f>
        <v>1481867</v>
      </c>
      <c r="D10" s="19">
        <f>SUM(D7:D9)</f>
        <v>1531322</v>
      </c>
      <c r="E10" s="19">
        <f>SUM(E7:E9)</f>
        <v>49455</v>
      </c>
      <c r="F10" s="29">
        <f>ROUND(E10/C10,4)</f>
        <v>0.0334</v>
      </c>
      <c r="I10">
        <v>104</v>
      </c>
      <c r="J10" s="3">
        <f t="shared" si="0"/>
        <v>15101</v>
      </c>
      <c r="K10" s="3">
        <v>11612</v>
      </c>
      <c r="L10" s="3">
        <v>0</v>
      </c>
      <c r="M10" s="3">
        <v>3489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417</v>
      </c>
      <c r="K11" s="3">
        <v>417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>
        <v>106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/>
      <c r="E13" s="19">
        <v>21709</v>
      </c>
      <c r="F13" s="19"/>
      <c r="G13" s="3" t="s">
        <v>17</v>
      </c>
      <c r="I13">
        <v>107</v>
      </c>
      <c r="J13" s="3">
        <f t="shared" si="0"/>
        <v>2500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2500</v>
      </c>
      <c r="R13" s="3">
        <v>0</v>
      </c>
      <c r="S13" s="3">
        <v>0</v>
      </c>
      <c r="T13" s="3">
        <v>0</v>
      </c>
    </row>
    <row r="14" spans="1:20" ht="15.75">
      <c r="A14" s="15" t="s">
        <v>32</v>
      </c>
      <c r="B14" s="19"/>
      <c r="C14" s="19"/>
      <c r="D14" s="19"/>
      <c r="E14" s="19">
        <v>2283</v>
      </c>
      <c r="F14" s="19"/>
      <c r="I14">
        <v>111</v>
      </c>
      <c r="J14" s="3">
        <f t="shared" si="0"/>
        <v>2109</v>
      </c>
      <c r="K14" s="3">
        <v>2109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5.75">
      <c r="A15" s="15" t="s">
        <v>345</v>
      </c>
      <c r="E15" s="19">
        <v>6178</v>
      </c>
      <c r="F15" s="19"/>
      <c r="I15">
        <v>125</v>
      </c>
      <c r="J15" s="3">
        <f t="shared" si="0"/>
        <v>2032.25</v>
      </c>
      <c r="K15" s="3">
        <v>1444</v>
      </c>
      <c r="L15" s="3">
        <v>0</v>
      </c>
      <c r="M15" s="3">
        <v>397</v>
      </c>
      <c r="N15" s="3">
        <v>0</v>
      </c>
      <c r="O15" s="3">
        <v>0</v>
      </c>
      <c r="P15" s="3">
        <v>0</v>
      </c>
      <c r="Q15" s="3">
        <f>+Q13*0.0765</f>
        <v>191.25</v>
      </c>
      <c r="R15" s="3">
        <v>0</v>
      </c>
      <c r="S15" s="3">
        <v>0</v>
      </c>
      <c r="T15" s="3">
        <v>0</v>
      </c>
    </row>
    <row r="16" spans="1:20" ht="15.75">
      <c r="A16" s="15" t="s">
        <v>346</v>
      </c>
      <c r="B16" s="19"/>
      <c r="C16" s="19"/>
      <c r="D16" s="19"/>
      <c r="E16" s="19">
        <v>2699</v>
      </c>
      <c r="F16" s="19"/>
      <c r="I16">
        <v>131</v>
      </c>
      <c r="J16" s="3">
        <f t="shared" si="0"/>
        <v>3447</v>
      </c>
      <c r="K16" s="3">
        <v>-1043</v>
      </c>
      <c r="L16" s="3">
        <v>4594</v>
      </c>
      <c r="M16" s="3">
        <v>-104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5.75">
      <c r="A17" s="15" t="s">
        <v>344</v>
      </c>
      <c r="B17" s="19"/>
      <c r="C17" s="19"/>
      <c r="D17" s="19"/>
      <c r="E17" s="19">
        <v>3880</v>
      </c>
      <c r="F17" s="19"/>
      <c r="I17">
        <v>132</v>
      </c>
      <c r="J17" s="3">
        <f t="shared" si="0"/>
        <v>350</v>
      </c>
      <c r="K17" s="3">
        <v>0</v>
      </c>
      <c r="L17" s="3">
        <v>350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5.75">
      <c r="A18" s="15" t="s">
        <v>265</v>
      </c>
      <c r="B18" s="19"/>
      <c r="C18" s="19"/>
      <c r="D18" s="19"/>
      <c r="E18" s="19">
        <v>20000</v>
      </c>
      <c r="F18" s="19"/>
      <c r="I18">
        <v>128</v>
      </c>
      <c r="J18" s="3">
        <f>SUM(K18:T18)</f>
        <v>2101</v>
      </c>
      <c r="K18" s="3">
        <v>1647</v>
      </c>
      <c r="L18" s="3">
        <v>0</v>
      </c>
      <c r="M18" s="3">
        <v>454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5.75">
      <c r="A19" s="15" t="s">
        <v>266</v>
      </c>
      <c r="B19" s="19"/>
      <c r="C19" s="19"/>
      <c r="D19" s="19"/>
      <c r="E19" s="19">
        <f>-19065-29265</f>
        <v>-48330</v>
      </c>
      <c r="F19" s="19"/>
      <c r="J19" s="3">
        <f t="shared" si="0"/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5.75">
      <c r="A20" s="15" t="s">
        <v>401</v>
      </c>
      <c r="B20" s="19"/>
      <c r="C20" s="19"/>
      <c r="D20" s="19"/>
      <c r="E20" s="19">
        <v>-10000</v>
      </c>
      <c r="F20" s="1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15" t="s">
        <v>15</v>
      </c>
      <c r="B21" s="19"/>
      <c r="C21" s="19"/>
      <c r="D21" s="19"/>
      <c r="E21" s="19">
        <v>50894</v>
      </c>
      <c r="F21" s="19"/>
      <c r="I21">
        <v>133</v>
      </c>
      <c r="J21" s="3">
        <f t="shared" si="0"/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8">
      <c r="A22" s="15" t="s">
        <v>60</v>
      </c>
      <c r="B22" s="19"/>
      <c r="C22" s="19"/>
      <c r="D22" s="19"/>
      <c r="E22" s="21">
        <v>142</v>
      </c>
      <c r="F22" s="19"/>
      <c r="J22" s="3"/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/>
      <c r="T22" s="3"/>
    </row>
    <row r="23" spans="1:20" ht="15.75">
      <c r="A23" s="15" t="s">
        <v>33</v>
      </c>
      <c r="B23" s="19"/>
      <c r="C23" s="19"/>
      <c r="D23" s="19"/>
      <c r="E23" s="19">
        <f>SUM(E12:E22)</f>
        <v>49455</v>
      </c>
      <c r="F23" s="19"/>
      <c r="J23" s="3">
        <f t="shared" si="0"/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5.75">
      <c r="A24" s="15"/>
      <c r="B24" s="19"/>
      <c r="C24" s="19"/>
      <c r="D24" s="19"/>
      <c r="E24" s="19"/>
      <c r="F24" s="19"/>
      <c r="G24" s="12" t="s">
        <v>17</v>
      </c>
      <c r="I24">
        <v>134</v>
      </c>
      <c r="J24" s="3">
        <f t="shared" si="0"/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6:20" ht="15.75">
      <c r="F25" s="19"/>
      <c r="I25">
        <v>135</v>
      </c>
      <c r="J25" s="3">
        <f t="shared" si="0"/>
        <v>-1630</v>
      </c>
      <c r="K25" s="3">
        <v>790</v>
      </c>
      <c r="L25" s="3">
        <v>-2661</v>
      </c>
      <c r="M25" s="3">
        <v>241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6:20" ht="15.75">
      <c r="F26" s="19"/>
      <c r="I26">
        <v>136</v>
      </c>
      <c r="J26" s="4">
        <f>SUM(K26:T26)</f>
        <v>8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5">
        <v>8</v>
      </c>
      <c r="R26" s="4">
        <v>0</v>
      </c>
      <c r="S26" s="4">
        <v>0</v>
      </c>
      <c r="T26" s="4">
        <v>0</v>
      </c>
    </row>
    <row r="27" spans="1:20" ht="15.75">
      <c r="A27" s="15"/>
      <c r="B27" s="19"/>
      <c r="C27" s="19"/>
      <c r="D27" s="19"/>
      <c r="E27" s="19"/>
      <c r="F27" s="19"/>
      <c r="I27" s="1" t="s">
        <v>7</v>
      </c>
      <c r="J27" s="3">
        <f>SUM(J7:J26)</f>
        <v>32873.25</v>
      </c>
      <c r="K27" s="3">
        <f aca="true" t="shared" si="1" ref="K27:T27">SUM(K7:K26)</f>
        <v>21713</v>
      </c>
      <c r="L27" s="3">
        <f t="shared" si="1"/>
        <v>2283</v>
      </c>
      <c r="M27" s="3">
        <f t="shared" si="1"/>
        <v>6178</v>
      </c>
      <c r="N27" s="3">
        <f t="shared" si="1"/>
        <v>0</v>
      </c>
      <c r="O27" s="3">
        <f t="shared" si="1"/>
        <v>0</v>
      </c>
      <c r="P27" s="3">
        <f t="shared" si="1"/>
        <v>0</v>
      </c>
      <c r="Q27" s="3">
        <f t="shared" si="1"/>
        <v>2699.25</v>
      </c>
      <c r="R27" s="3">
        <f t="shared" si="1"/>
        <v>0</v>
      </c>
      <c r="S27" s="3">
        <f t="shared" si="1"/>
        <v>0</v>
      </c>
      <c r="T27" s="3">
        <f t="shared" si="1"/>
        <v>0</v>
      </c>
    </row>
    <row r="28" spans="1:20" ht="15.75">
      <c r="A28" s="15"/>
      <c r="B28" s="19"/>
      <c r="C28" s="19"/>
      <c r="D28" s="19"/>
      <c r="E28" s="19"/>
      <c r="F28" s="19"/>
      <c r="I28" s="1"/>
      <c r="J28" s="4">
        <f>SUM(K28:T28)</f>
        <v>0</v>
      </c>
      <c r="K28" s="5">
        <v>0</v>
      </c>
      <c r="L28" s="3" t="s">
        <v>203</v>
      </c>
      <c r="M28" s="3"/>
      <c r="N28" s="3"/>
      <c r="O28" s="3"/>
      <c r="P28" s="3"/>
      <c r="Q28" s="3"/>
      <c r="R28" s="3"/>
      <c r="S28" s="3"/>
      <c r="T28" s="3"/>
    </row>
    <row r="29" spans="1:20" ht="15.75">
      <c r="A29" s="14" t="s">
        <v>327</v>
      </c>
      <c r="B29" s="23" t="s">
        <v>17</v>
      </c>
      <c r="C29" s="23" t="s">
        <v>17</v>
      </c>
      <c r="D29" s="19"/>
      <c r="E29" s="19"/>
      <c r="F29" s="19"/>
      <c r="I29" s="1"/>
      <c r="J29" s="3">
        <f>SUM(J27:J28)</f>
        <v>32873.25</v>
      </c>
      <c r="K29" s="3">
        <f>SUM(K27:K28)</f>
        <v>21713</v>
      </c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 t="s">
        <v>17</v>
      </c>
      <c r="B30" s="23" t="s">
        <v>3</v>
      </c>
      <c r="C30" s="23" t="s">
        <v>3</v>
      </c>
      <c r="D30" s="24"/>
      <c r="E30" s="19"/>
      <c r="F30" s="19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5" t="s">
        <v>17</v>
      </c>
      <c r="B31" s="18" t="s">
        <v>303</v>
      </c>
      <c r="C31" s="18" t="s">
        <v>329</v>
      </c>
      <c r="D31" s="24"/>
      <c r="E31" s="19"/>
      <c r="F31" s="19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75">
      <c r="A32" s="15" t="s">
        <v>18</v>
      </c>
      <c r="B32" s="19"/>
      <c r="C32" s="19"/>
      <c r="D32" s="24"/>
      <c r="E32" s="19"/>
      <c r="F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5" t="s">
        <v>108</v>
      </c>
      <c r="B33" s="19">
        <v>1</v>
      </c>
      <c r="C33" s="19">
        <v>1</v>
      </c>
      <c r="D33" s="24"/>
      <c r="E33" s="19"/>
      <c r="F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>
      <c r="A34" s="15" t="s">
        <v>109</v>
      </c>
      <c r="B34" s="19">
        <v>1</v>
      </c>
      <c r="C34" s="19">
        <v>1</v>
      </c>
      <c r="D34" s="24"/>
      <c r="E34" s="19"/>
      <c r="F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>
      <c r="A35" s="15" t="s">
        <v>101</v>
      </c>
      <c r="B35" s="19">
        <v>2</v>
      </c>
      <c r="C35" s="19">
        <v>2</v>
      </c>
      <c r="D35" s="24"/>
      <c r="E35" s="19"/>
      <c r="F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>
      <c r="A36" s="15" t="s">
        <v>110</v>
      </c>
      <c r="B36" s="19">
        <v>2</v>
      </c>
      <c r="C36" s="19">
        <v>2</v>
      </c>
      <c r="D36" s="24"/>
      <c r="E36" s="19"/>
      <c r="F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6" ht="15.75">
      <c r="A37" s="15" t="s">
        <v>267</v>
      </c>
      <c r="B37" s="22">
        <v>1</v>
      </c>
      <c r="C37" s="22">
        <v>1</v>
      </c>
      <c r="D37" s="24"/>
      <c r="E37" s="19"/>
      <c r="F37" s="19"/>
    </row>
    <row r="38" spans="1:6" ht="15.75">
      <c r="A38" s="15" t="s">
        <v>20</v>
      </c>
      <c r="B38" s="19">
        <f>SUM(B33:B37)</f>
        <v>7</v>
      </c>
      <c r="C38" s="19">
        <f>SUM(C33:C37)</f>
        <v>7</v>
      </c>
      <c r="D38" s="24"/>
      <c r="E38" s="19"/>
      <c r="F38" s="19"/>
    </row>
    <row r="39" spans="1:6" ht="18">
      <c r="A39" s="15" t="s">
        <v>72</v>
      </c>
      <c r="B39" s="21">
        <v>0</v>
      </c>
      <c r="C39" s="21">
        <v>0</v>
      </c>
      <c r="D39" s="24"/>
      <c r="E39" s="19"/>
      <c r="F39" s="19"/>
    </row>
    <row r="40" spans="1:6" ht="15.75">
      <c r="A40" s="15" t="s">
        <v>7</v>
      </c>
      <c r="B40" s="19">
        <f>SUM(B38:B39)</f>
        <v>7</v>
      </c>
      <c r="C40" s="19">
        <f>SUM(C38:C39)</f>
        <v>7</v>
      </c>
      <c r="D40" s="24"/>
      <c r="E40" s="19"/>
      <c r="F40" s="19"/>
    </row>
    <row r="41" spans="1:6" ht="15.75">
      <c r="A41" s="15"/>
      <c r="B41" s="19"/>
      <c r="C41" s="19"/>
      <c r="D41" s="19"/>
      <c r="E41" s="19"/>
      <c r="F41" s="15"/>
    </row>
    <row r="42" spans="1:5" ht="15.75">
      <c r="A42" s="14" t="s">
        <v>23</v>
      </c>
      <c r="B42" s="19"/>
      <c r="C42" s="19"/>
      <c r="D42" s="19"/>
      <c r="E42" s="19"/>
    </row>
    <row r="43" spans="1:5" ht="15.75">
      <c r="A43" s="14"/>
      <c r="B43" s="19"/>
      <c r="C43" s="19"/>
      <c r="D43" s="19"/>
      <c r="E43" s="19"/>
    </row>
    <row r="44" spans="1:5" ht="15.75">
      <c r="A44" s="15" t="s">
        <v>343</v>
      </c>
      <c r="C44" s="19">
        <v>5000</v>
      </c>
      <c r="D44" s="15"/>
      <c r="E44" s="15"/>
    </row>
    <row r="45" spans="1:3" ht="18">
      <c r="A45" s="15" t="s">
        <v>280</v>
      </c>
      <c r="C45" s="21">
        <v>90000</v>
      </c>
    </row>
    <row r="46" spans="1:3" ht="15.75">
      <c r="A46" s="15" t="s">
        <v>7</v>
      </c>
      <c r="C46" s="19">
        <f>SUM(C44:C45)</f>
        <v>95000</v>
      </c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1">
      <selection activeCell="B8" sqref="B8"/>
    </sheetView>
  </sheetViews>
  <sheetFormatPr defaultColWidth="9.140625" defaultRowHeight="12.75"/>
  <cols>
    <col min="1" max="1" width="60.421875" style="0" bestFit="1" customWidth="1"/>
    <col min="2" max="2" width="13.8515625" style="0" customWidth="1"/>
    <col min="3" max="4" width="12.140625" style="0" customWidth="1"/>
    <col min="5" max="5" width="12.57421875" style="0" customWidth="1"/>
    <col min="6" max="6" width="11.8515625" style="0" customWidth="1"/>
    <col min="9" max="9" width="9.28125" style="0" bestFit="1" customWidth="1"/>
    <col min="10" max="10" width="10.57421875" style="0" bestFit="1" customWidth="1"/>
    <col min="11" max="11" width="9.28125" style="0" bestFit="1" customWidth="1"/>
    <col min="12" max="12" width="9.421875" style="0" bestFit="1" customWidth="1"/>
    <col min="13" max="13" width="9.28125" style="0" bestFit="1" customWidth="1"/>
    <col min="14" max="15" width="9.421875" style="0" bestFit="1" customWidth="1"/>
    <col min="16" max="16" width="9.28125" style="0" bestFit="1" customWidth="1"/>
    <col min="17" max="17" width="10.7109375" style="0" bestFit="1" customWidth="1"/>
    <col min="18" max="18" width="10.140625" style="0" bestFit="1" customWidth="1"/>
    <col min="19" max="19" width="9.28125" style="0" bestFit="1" customWidth="1"/>
  </cols>
  <sheetData>
    <row r="1" spans="1:20" ht="15.75">
      <c r="A1" s="71" t="s">
        <v>330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1" t="s">
        <v>227</v>
      </c>
      <c r="B2" s="71"/>
      <c r="C2" s="71"/>
      <c r="D2" s="71"/>
      <c r="E2" s="71"/>
      <c r="F2" s="71"/>
      <c r="I2" s="72" t="str">
        <f>+A2</f>
        <v>PARKS MAINTENANCE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" ht="15.75">
      <c r="A3" s="15"/>
      <c r="B3" s="15"/>
      <c r="C3" s="15"/>
      <c r="D3" s="15"/>
      <c r="E3" s="15"/>
      <c r="F3" s="15"/>
    </row>
    <row r="4" spans="1:6" ht="15.75">
      <c r="A4" s="14" t="s">
        <v>1</v>
      </c>
      <c r="B4" s="15"/>
      <c r="C4" s="15"/>
      <c r="D4" s="15"/>
      <c r="E4" s="15"/>
      <c r="F4" s="15"/>
    </row>
    <row r="5" spans="1:20" ht="15.75">
      <c r="A5" s="14"/>
      <c r="B5" s="16" t="s">
        <v>2</v>
      </c>
      <c r="C5" s="16" t="s">
        <v>3</v>
      </c>
      <c r="D5" s="16" t="s">
        <v>3</v>
      </c>
      <c r="E5" s="70" t="s">
        <v>4</v>
      </c>
      <c r="F5" s="70"/>
      <c r="O5" s="1" t="s">
        <v>17</v>
      </c>
      <c r="Q5" s="1"/>
      <c r="R5" s="1"/>
      <c r="S5" s="1"/>
      <c r="T5" s="1"/>
    </row>
    <row r="6" spans="1:20" ht="15.75">
      <c r="A6" s="14"/>
      <c r="B6" s="18" t="s">
        <v>281</v>
      </c>
      <c r="C6" s="18" t="s">
        <v>303</v>
      </c>
      <c r="D6" s="18" t="s">
        <v>329</v>
      </c>
      <c r="E6" s="18" t="s">
        <v>5</v>
      </c>
      <c r="F6" s="18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12</v>
      </c>
      <c r="R6" s="2" t="s">
        <v>262</v>
      </c>
      <c r="S6" s="2" t="s">
        <v>259</v>
      </c>
      <c r="T6" s="2" t="s">
        <v>259</v>
      </c>
    </row>
    <row r="7" spans="1:20" ht="15.75">
      <c r="A7" s="15" t="s">
        <v>328</v>
      </c>
      <c r="B7" s="19">
        <v>294058</v>
      </c>
      <c r="C7" s="19">
        <v>325001</v>
      </c>
      <c r="D7" s="19">
        <v>346548.32</v>
      </c>
      <c r="E7" s="19">
        <f>+D7-C7</f>
        <v>21547.320000000007</v>
      </c>
      <c r="F7" s="29">
        <f>ROUND(E7/C7,4)</f>
        <v>0.0663</v>
      </c>
      <c r="I7">
        <v>101</v>
      </c>
      <c r="J7" s="3">
        <f>SUM(K7:T7)</f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f>-O7</f>
        <v>0</v>
      </c>
      <c r="R7" s="3">
        <v>0</v>
      </c>
      <c r="S7" s="3">
        <v>0</v>
      </c>
      <c r="T7" s="3">
        <v>0</v>
      </c>
    </row>
    <row r="8" spans="1:20" ht="15.75">
      <c r="A8" s="15" t="s">
        <v>14</v>
      </c>
      <c r="B8" s="19">
        <v>148644</v>
      </c>
      <c r="C8" s="19">
        <v>126256</v>
      </c>
      <c r="D8" s="19">
        <v>136857</v>
      </c>
      <c r="E8" s="19">
        <f>+D8-C8</f>
        <v>10601</v>
      </c>
      <c r="F8" s="29">
        <f>ROUND(E8/C8,4)</f>
        <v>0.084</v>
      </c>
      <c r="I8">
        <v>103</v>
      </c>
      <c r="J8" s="3">
        <f aca="true" t="shared" si="0" ref="J8:J23">SUM(K8:T8)</f>
        <v>5207</v>
      </c>
      <c r="K8" s="3">
        <v>4212</v>
      </c>
      <c r="L8" s="3">
        <v>0</v>
      </c>
      <c r="M8" s="3">
        <v>995</v>
      </c>
      <c r="N8" s="3">
        <v>0</v>
      </c>
      <c r="O8" s="3">
        <v>0</v>
      </c>
      <c r="P8" s="3">
        <v>0</v>
      </c>
      <c r="Q8" s="3">
        <f>-O8</f>
        <v>0</v>
      </c>
      <c r="R8" s="3">
        <v>0</v>
      </c>
      <c r="S8" s="3">
        <v>0</v>
      </c>
      <c r="T8" s="3">
        <v>0</v>
      </c>
    </row>
    <row r="9" spans="1:20" ht="15.75">
      <c r="A9" s="15" t="s">
        <v>15</v>
      </c>
      <c r="B9" s="22">
        <v>0</v>
      </c>
      <c r="C9" s="22">
        <v>0</v>
      </c>
      <c r="D9" s="22">
        <v>0</v>
      </c>
      <c r="E9" s="22">
        <f>+D9-C9</f>
        <v>0</v>
      </c>
      <c r="F9" s="29">
        <v>0</v>
      </c>
      <c r="I9">
        <v>104</v>
      </c>
      <c r="J9" s="3">
        <f t="shared" si="0"/>
        <v>14017</v>
      </c>
      <c r="K9" s="3">
        <v>11484</v>
      </c>
      <c r="L9" s="3">
        <v>0</v>
      </c>
      <c r="M9" s="3">
        <v>2533</v>
      </c>
      <c r="N9" s="3">
        <v>0</v>
      </c>
      <c r="O9" s="3">
        <v>0</v>
      </c>
      <c r="P9" s="3">
        <v>0</v>
      </c>
      <c r="Q9" s="3">
        <f aca="true" t="shared" si="1" ref="Q9:Q23">-O9</f>
        <v>0</v>
      </c>
      <c r="R9" s="3">
        <v>0</v>
      </c>
      <c r="S9" s="3">
        <v>0</v>
      </c>
      <c r="T9" s="3">
        <v>0</v>
      </c>
    </row>
    <row r="10" spans="1:20" ht="15.75">
      <c r="A10" s="15" t="s">
        <v>7</v>
      </c>
      <c r="B10" s="19">
        <f>SUM(B7:B9)</f>
        <v>442702</v>
      </c>
      <c r="C10" s="19">
        <f>SUM(C7:C9)</f>
        <v>451257</v>
      </c>
      <c r="D10" s="19">
        <f>SUM(D7:D9)</f>
        <v>483405.32</v>
      </c>
      <c r="E10" s="19">
        <f>SUM(E7:E9)</f>
        <v>32148.320000000007</v>
      </c>
      <c r="F10" s="29">
        <f>ROUND(E10/C10,4)</f>
        <v>0.0712</v>
      </c>
      <c r="I10">
        <v>102</v>
      </c>
      <c r="J10" s="3">
        <f t="shared" si="0"/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 t="shared" si="1"/>
        <v>0</v>
      </c>
      <c r="R10" s="3">
        <v>0</v>
      </c>
      <c r="S10" s="3">
        <v>0</v>
      </c>
      <c r="T10" s="3">
        <v>0</v>
      </c>
    </row>
    <row r="11" spans="1:20" ht="15.75">
      <c r="A11" s="15"/>
      <c r="B11" s="19"/>
      <c r="C11" s="19"/>
      <c r="D11" s="19"/>
      <c r="E11" s="19"/>
      <c r="F11" s="19"/>
      <c r="I11">
        <v>105</v>
      </c>
      <c r="J11" s="3">
        <f t="shared" si="0"/>
        <v>302</v>
      </c>
      <c r="K11" s="3">
        <v>302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1"/>
        <v>0</v>
      </c>
      <c r="R11" s="3">
        <v>0</v>
      </c>
      <c r="S11" s="3">
        <v>0</v>
      </c>
      <c r="T11" s="3">
        <v>0</v>
      </c>
    </row>
    <row r="12" spans="1:20" ht="15.75">
      <c r="A12" s="14" t="s">
        <v>16</v>
      </c>
      <c r="B12" s="19"/>
      <c r="C12" s="19"/>
      <c r="D12" s="19"/>
      <c r="E12" s="19"/>
      <c r="F12" s="19"/>
      <c r="G12" t="s">
        <v>17</v>
      </c>
      <c r="I12" t="s">
        <v>301</v>
      </c>
      <c r="J12" s="3">
        <f t="shared" si="0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1"/>
        <v>0</v>
      </c>
      <c r="R12" s="3">
        <v>0</v>
      </c>
      <c r="S12" s="3">
        <v>0</v>
      </c>
      <c r="T12" s="3">
        <v>0</v>
      </c>
    </row>
    <row r="13" spans="1:20" ht="15.75">
      <c r="A13" s="15" t="s">
        <v>31</v>
      </c>
      <c r="B13" s="19"/>
      <c r="C13" s="19"/>
      <c r="D13" s="19"/>
      <c r="E13" s="19">
        <v>18439</v>
      </c>
      <c r="F13" s="19" t="s">
        <v>17</v>
      </c>
      <c r="G13" s="3" t="s">
        <v>17</v>
      </c>
      <c r="I13">
        <v>107</v>
      </c>
      <c r="J13" s="3">
        <f t="shared" si="0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1"/>
        <v>0</v>
      </c>
      <c r="R13" s="3">
        <v>0</v>
      </c>
      <c r="S13" s="3">
        <v>0</v>
      </c>
      <c r="T13" s="3">
        <v>0</v>
      </c>
    </row>
    <row r="14" spans="1:20" ht="15.75">
      <c r="A14" s="15" t="s">
        <v>32</v>
      </c>
      <c r="B14" s="19"/>
      <c r="C14" s="19"/>
      <c r="D14" s="19"/>
      <c r="E14" s="19">
        <v>-1063</v>
      </c>
      <c r="F14" s="19"/>
      <c r="I14">
        <v>111</v>
      </c>
      <c r="J14" s="3">
        <f t="shared" si="0"/>
        <v>-171</v>
      </c>
      <c r="K14" s="3">
        <v>-171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1"/>
        <v>0</v>
      </c>
      <c r="R14" s="3">
        <v>0</v>
      </c>
      <c r="S14" s="3">
        <v>0</v>
      </c>
      <c r="T14" s="3">
        <v>0</v>
      </c>
    </row>
    <row r="15" spans="1:20" ht="15.75">
      <c r="A15" s="15" t="s">
        <v>333</v>
      </c>
      <c r="B15" s="19"/>
      <c r="C15" s="19"/>
      <c r="D15" s="19"/>
      <c r="E15" s="19">
        <v>4171</v>
      </c>
      <c r="F15" s="19"/>
      <c r="I15">
        <v>128</v>
      </c>
      <c r="J15" s="3">
        <f t="shared" si="0"/>
        <v>1691</v>
      </c>
      <c r="K15" s="3">
        <v>1383</v>
      </c>
      <c r="L15" s="3">
        <v>0</v>
      </c>
      <c r="M15" s="3">
        <v>308</v>
      </c>
      <c r="N15" s="3">
        <v>0</v>
      </c>
      <c r="O15" s="3">
        <v>0</v>
      </c>
      <c r="P15" s="3">
        <v>0</v>
      </c>
      <c r="Q15" s="3">
        <f t="shared" si="1"/>
        <v>0</v>
      </c>
      <c r="R15" s="3">
        <v>0</v>
      </c>
      <c r="S15" s="3">
        <v>0</v>
      </c>
      <c r="T15" s="3">
        <v>0</v>
      </c>
    </row>
    <row r="16" spans="1:20" ht="15.75">
      <c r="A16" s="15" t="s">
        <v>402</v>
      </c>
      <c r="B16" s="19"/>
      <c r="C16" s="19"/>
      <c r="D16" s="19"/>
      <c r="E16" s="19">
        <v>3065</v>
      </c>
      <c r="F16" s="19"/>
      <c r="I16">
        <v>125</v>
      </c>
      <c r="J16" s="3">
        <f>SUM(K16:T16)</f>
        <v>1480</v>
      </c>
      <c r="K16" s="3">
        <v>1210</v>
      </c>
      <c r="L16" s="3">
        <v>0</v>
      </c>
      <c r="M16" s="3">
        <v>270</v>
      </c>
      <c r="N16" s="3">
        <v>0</v>
      </c>
      <c r="O16" s="3">
        <v>0</v>
      </c>
      <c r="P16" s="3">
        <v>0</v>
      </c>
      <c r="Q16" s="3">
        <f t="shared" si="1"/>
        <v>0</v>
      </c>
      <c r="R16" s="3">
        <v>0</v>
      </c>
      <c r="S16" s="3">
        <v>0</v>
      </c>
      <c r="T16" s="3">
        <v>0</v>
      </c>
    </row>
    <row r="17" spans="1:20" ht="18">
      <c r="A17" s="15" t="s">
        <v>60</v>
      </c>
      <c r="B17" s="19"/>
      <c r="C17" s="19"/>
      <c r="D17" s="19"/>
      <c r="E17" s="21">
        <v>7536</v>
      </c>
      <c r="F17" s="19"/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/>
      <c r="R17" s="3"/>
      <c r="S17" s="3"/>
      <c r="T17" s="3"/>
    </row>
    <row r="18" spans="1:20" ht="15.75">
      <c r="A18" s="15" t="s">
        <v>176</v>
      </c>
      <c r="B18" s="19"/>
      <c r="C18" s="19"/>
      <c r="D18" s="19"/>
      <c r="E18" s="19">
        <f>SUM(E13:E17)</f>
        <v>32148</v>
      </c>
      <c r="F18" s="19"/>
      <c r="I18">
        <v>131</v>
      </c>
      <c r="J18" s="3">
        <f t="shared" si="0"/>
        <v>2751</v>
      </c>
      <c r="K18" s="3">
        <v>-314</v>
      </c>
      <c r="L18" s="3">
        <v>3136</v>
      </c>
      <c r="M18" s="3">
        <v>-71</v>
      </c>
      <c r="N18" s="3">
        <v>0</v>
      </c>
      <c r="O18" s="3">
        <v>0</v>
      </c>
      <c r="P18" s="3">
        <v>0</v>
      </c>
      <c r="Q18" s="3">
        <f t="shared" si="1"/>
        <v>0</v>
      </c>
      <c r="R18" s="3">
        <v>0</v>
      </c>
      <c r="S18" s="3">
        <v>0</v>
      </c>
      <c r="T18" s="3">
        <v>0</v>
      </c>
    </row>
    <row r="19" spans="1:20" ht="15.75">
      <c r="A19" s="15"/>
      <c r="B19" s="19"/>
      <c r="C19" s="19"/>
      <c r="D19" s="19"/>
      <c r="E19" s="19"/>
      <c r="F19" s="19"/>
      <c r="I19">
        <v>132</v>
      </c>
      <c r="J19" s="3">
        <f t="shared" si="0"/>
        <v>250</v>
      </c>
      <c r="K19" s="3">
        <v>0</v>
      </c>
      <c r="L19" s="3">
        <v>250</v>
      </c>
      <c r="M19" s="3">
        <v>0</v>
      </c>
      <c r="N19" s="3">
        <v>0</v>
      </c>
      <c r="O19" s="3">
        <v>0</v>
      </c>
      <c r="P19" s="3">
        <v>0</v>
      </c>
      <c r="Q19" s="3">
        <f t="shared" si="1"/>
        <v>0</v>
      </c>
      <c r="R19" s="3">
        <v>0</v>
      </c>
      <c r="S19" s="3">
        <v>0</v>
      </c>
      <c r="T19" s="3">
        <v>0</v>
      </c>
    </row>
    <row r="20" spans="1:20" ht="15.75">
      <c r="A20" s="14" t="s">
        <v>327</v>
      </c>
      <c r="B20" s="23" t="s">
        <v>17</v>
      </c>
      <c r="C20" s="23" t="s">
        <v>17</v>
      </c>
      <c r="D20" s="19"/>
      <c r="E20" s="19"/>
      <c r="F20" s="19"/>
      <c r="I20">
        <v>133</v>
      </c>
      <c r="J20" s="3">
        <f t="shared" si="0"/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1"/>
        <v>0</v>
      </c>
      <c r="R20" s="3">
        <v>0</v>
      </c>
      <c r="S20" s="3">
        <v>0</v>
      </c>
      <c r="T20" s="3">
        <v>0</v>
      </c>
    </row>
    <row r="21" spans="1:20" ht="15.75">
      <c r="A21" s="15" t="s">
        <v>17</v>
      </c>
      <c r="B21" s="23" t="s">
        <v>3</v>
      </c>
      <c r="C21" s="23" t="s">
        <v>3</v>
      </c>
      <c r="D21" s="19"/>
      <c r="E21" s="19"/>
      <c r="F21" s="19"/>
      <c r="J21" s="3"/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f t="shared" si="1"/>
        <v>0</v>
      </c>
      <c r="R21" s="3">
        <v>0</v>
      </c>
      <c r="S21" s="3"/>
      <c r="T21" s="3"/>
    </row>
    <row r="22" spans="1:20" ht="15.75">
      <c r="A22" s="15" t="s">
        <v>17</v>
      </c>
      <c r="B22" s="18" t="s">
        <v>303</v>
      </c>
      <c r="C22" s="18" t="s">
        <v>329</v>
      </c>
      <c r="D22" s="19"/>
      <c r="E22" s="19"/>
      <c r="F22" s="19"/>
      <c r="I22">
        <v>134</v>
      </c>
      <c r="J22" s="3">
        <f t="shared" si="0"/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1"/>
        <v>0</v>
      </c>
      <c r="R22" s="3">
        <v>0</v>
      </c>
      <c r="S22" s="3">
        <v>0</v>
      </c>
      <c r="T22" s="3">
        <v>0</v>
      </c>
    </row>
    <row r="23" spans="1:20" ht="15.75">
      <c r="A23" s="15" t="s">
        <v>18</v>
      </c>
      <c r="B23" s="19"/>
      <c r="C23" s="19"/>
      <c r="D23" s="19"/>
      <c r="E23" s="19"/>
      <c r="F23" s="19"/>
      <c r="I23">
        <v>135</v>
      </c>
      <c r="J23" s="3">
        <f t="shared" si="0"/>
        <v>-3980</v>
      </c>
      <c r="K23" s="3">
        <v>333</v>
      </c>
      <c r="L23" s="3">
        <v>-4449</v>
      </c>
      <c r="M23" s="3">
        <v>136</v>
      </c>
      <c r="N23" s="3">
        <v>0</v>
      </c>
      <c r="O23" s="3">
        <v>0</v>
      </c>
      <c r="P23" s="3">
        <v>0</v>
      </c>
      <c r="Q23" s="3">
        <f t="shared" si="1"/>
        <v>0</v>
      </c>
      <c r="R23" s="3">
        <v>0</v>
      </c>
      <c r="S23" s="3">
        <v>0</v>
      </c>
      <c r="T23" s="3">
        <v>0</v>
      </c>
    </row>
    <row r="24" spans="1:20" ht="15.75">
      <c r="A24" s="15" t="s">
        <v>100</v>
      </c>
      <c r="B24" s="19">
        <v>1</v>
      </c>
      <c r="C24" s="19">
        <v>1</v>
      </c>
      <c r="D24" s="19"/>
      <c r="E24" s="19"/>
      <c r="F24" s="19"/>
      <c r="I24">
        <v>136</v>
      </c>
      <c r="J24" s="4">
        <f>SUM(K24:T24)</f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5">
        <f>-O24</f>
        <v>0</v>
      </c>
      <c r="R24" s="4">
        <v>0</v>
      </c>
      <c r="S24" s="4">
        <v>0</v>
      </c>
      <c r="T24" s="4">
        <v>0</v>
      </c>
    </row>
    <row r="25" spans="1:20" ht="15.75">
      <c r="A25" s="15" t="s">
        <v>269</v>
      </c>
      <c r="B25" s="19">
        <v>2</v>
      </c>
      <c r="C25" s="19">
        <v>2</v>
      </c>
      <c r="D25" s="19"/>
      <c r="E25" s="19"/>
      <c r="F25" s="19"/>
      <c r="I25" s="1" t="s">
        <v>7</v>
      </c>
      <c r="J25" s="3">
        <f aca="true" t="shared" si="2" ref="J25:T25">SUM(J7:J24)</f>
        <v>21547</v>
      </c>
      <c r="K25" s="3">
        <f t="shared" si="2"/>
        <v>18439</v>
      </c>
      <c r="L25" s="3">
        <f t="shared" si="2"/>
        <v>-1063</v>
      </c>
      <c r="M25" s="3">
        <f t="shared" si="2"/>
        <v>4171</v>
      </c>
      <c r="N25" s="3">
        <f t="shared" si="2"/>
        <v>0</v>
      </c>
      <c r="O25" s="3">
        <f t="shared" si="2"/>
        <v>0</v>
      </c>
      <c r="P25" s="3">
        <f t="shared" si="2"/>
        <v>0</v>
      </c>
      <c r="Q25" s="3">
        <f t="shared" si="2"/>
        <v>0</v>
      </c>
      <c r="R25" s="3">
        <f t="shared" si="2"/>
        <v>0</v>
      </c>
      <c r="S25" s="3">
        <f t="shared" si="2"/>
        <v>0</v>
      </c>
      <c r="T25" s="3">
        <f t="shared" si="2"/>
        <v>0</v>
      </c>
    </row>
    <row r="26" spans="1:20" ht="15.75">
      <c r="A26" s="15" t="s">
        <v>103</v>
      </c>
      <c r="B26" s="22">
        <v>2</v>
      </c>
      <c r="C26" s="22">
        <v>2</v>
      </c>
      <c r="D26" s="19"/>
      <c r="E26" s="19"/>
      <c r="F26" s="19"/>
      <c r="I26" s="1">
        <v>204</v>
      </c>
      <c r="J26" s="5">
        <f>SUM(K26:T26)</f>
        <v>0</v>
      </c>
      <c r="K26" s="5">
        <v>0</v>
      </c>
      <c r="L26" s="3" t="s">
        <v>221</v>
      </c>
      <c r="M26" s="3"/>
      <c r="N26" s="3"/>
      <c r="O26" s="3"/>
      <c r="P26" s="3"/>
      <c r="Q26" s="5">
        <v>0</v>
      </c>
      <c r="R26" s="5">
        <v>0</v>
      </c>
      <c r="S26" s="5">
        <v>0</v>
      </c>
      <c r="T26" s="5">
        <v>0</v>
      </c>
    </row>
    <row r="27" spans="1:20" ht="15.75">
      <c r="A27" s="15" t="s">
        <v>20</v>
      </c>
      <c r="B27" s="19">
        <f>SUM(B24:B26)</f>
        <v>5</v>
      </c>
      <c r="C27" s="19">
        <f>SUM(C24:C26)</f>
        <v>5</v>
      </c>
      <c r="D27" s="19"/>
      <c r="E27" s="19"/>
      <c r="F27" s="19"/>
      <c r="I27" s="1"/>
      <c r="J27" s="6">
        <f>SUM(J25:J26)</f>
        <v>21547</v>
      </c>
      <c r="K27" s="6">
        <f>SUM(K25:K26)</f>
        <v>18439</v>
      </c>
      <c r="L27" s="3" t="s">
        <v>17</v>
      </c>
      <c r="M27" s="3"/>
      <c r="N27" s="3"/>
      <c r="O27" s="3"/>
      <c r="P27" s="3"/>
      <c r="Q27" s="3">
        <f>SUM(Q25:Q26)</f>
        <v>0</v>
      </c>
      <c r="R27" s="3">
        <f>SUM(R25:R26)</f>
        <v>0</v>
      </c>
      <c r="S27" s="3">
        <f>SUM(S25:S26)</f>
        <v>0</v>
      </c>
      <c r="T27" s="3">
        <f>SUM(T25:T26)</f>
        <v>0</v>
      </c>
    </row>
    <row r="28" spans="1:20" ht="18">
      <c r="A28" s="15" t="s">
        <v>93</v>
      </c>
      <c r="B28" s="21">
        <v>0</v>
      </c>
      <c r="C28" s="21">
        <v>0</v>
      </c>
      <c r="D28" s="19"/>
      <c r="E28" s="19"/>
      <c r="F28" s="19"/>
      <c r="I28" s="1"/>
      <c r="J28" s="4"/>
      <c r="K28" s="5"/>
      <c r="L28" s="3"/>
      <c r="M28" s="3"/>
      <c r="N28" s="3"/>
      <c r="O28" s="3"/>
      <c r="P28" s="3"/>
      <c r="Q28" s="3"/>
      <c r="R28" s="3"/>
      <c r="S28" s="3"/>
      <c r="T28" s="3"/>
    </row>
    <row r="29" spans="1:20" ht="15.75">
      <c r="A29" s="15" t="s">
        <v>7</v>
      </c>
      <c r="B29" s="19">
        <f>SUM(B27:B28)</f>
        <v>5</v>
      </c>
      <c r="C29" s="19">
        <f>SUM(C27:C28)</f>
        <v>5</v>
      </c>
      <c r="D29" s="19"/>
      <c r="E29" s="19"/>
      <c r="F29" s="19"/>
      <c r="I29" s="1"/>
      <c r="J29" s="4"/>
      <c r="K29" s="5"/>
      <c r="L29" s="3"/>
      <c r="M29" s="3"/>
      <c r="N29" s="3"/>
      <c r="O29" s="3"/>
      <c r="P29" s="3"/>
      <c r="Q29" s="3"/>
      <c r="R29" s="3"/>
      <c r="S29" s="3"/>
      <c r="T29" s="3"/>
    </row>
    <row r="30" spans="1:20" ht="15.75">
      <c r="A30" s="15"/>
      <c r="B30" s="19"/>
      <c r="C30" s="19"/>
      <c r="D30" s="19"/>
      <c r="E30" s="19"/>
      <c r="F30" s="19"/>
      <c r="I30" s="1"/>
      <c r="J30" s="4"/>
      <c r="K30" s="5"/>
      <c r="L30" s="3"/>
      <c r="M30" s="3"/>
      <c r="N30" s="3"/>
      <c r="O30" s="3"/>
      <c r="P30" s="3"/>
      <c r="Q30" s="3"/>
      <c r="R30" s="3"/>
      <c r="S30" s="3"/>
      <c r="T30" s="3"/>
    </row>
    <row r="31" spans="1:20" ht="15.75">
      <c r="A31" s="15"/>
      <c r="B31" s="19"/>
      <c r="C31" s="19"/>
      <c r="D31" s="19"/>
      <c r="E31" s="19"/>
      <c r="F31" s="19"/>
      <c r="I31" s="1"/>
      <c r="J31" s="4"/>
      <c r="K31" s="5"/>
      <c r="L31" s="3"/>
      <c r="M31" s="3"/>
      <c r="N31" s="3"/>
      <c r="O31" s="3"/>
      <c r="P31" s="3"/>
      <c r="Q31" s="3"/>
      <c r="R31" s="3"/>
      <c r="S31" s="3"/>
      <c r="T31" s="3"/>
    </row>
    <row r="32" spans="1:20" ht="15.75">
      <c r="A32" s="14" t="s">
        <v>23</v>
      </c>
      <c r="B32" s="19"/>
      <c r="C32" s="19"/>
      <c r="D32" s="19"/>
      <c r="E32" s="19"/>
      <c r="F32" s="19"/>
      <c r="I32" s="1"/>
      <c r="J32" s="4"/>
      <c r="K32" s="5"/>
      <c r="L32" s="3"/>
      <c r="M32" s="3"/>
      <c r="N32" s="3"/>
      <c r="O32" s="3"/>
      <c r="P32" s="3"/>
      <c r="Q32" s="3"/>
      <c r="R32" s="3"/>
      <c r="S32" s="3"/>
      <c r="T32" s="3"/>
    </row>
    <row r="33" spans="1:20" ht="15.75">
      <c r="A33" s="15" t="s">
        <v>44</v>
      </c>
      <c r="B33" s="19"/>
      <c r="C33" s="19" t="s">
        <v>17</v>
      </c>
      <c r="D33" s="15"/>
      <c r="E33" s="19"/>
      <c r="F33" s="19"/>
      <c r="I33" s="1"/>
      <c r="J33" s="4"/>
      <c r="K33" s="5"/>
      <c r="L33" s="3"/>
      <c r="M33" s="3"/>
      <c r="N33" s="3"/>
      <c r="O33" s="3"/>
      <c r="P33" s="3"/>
      <c r="Q33" s="3"/>
      <c r="R33" s="3"/>
      <c r="S33" s="3"/>
      <c r="T33" s="3"/>
    </row>
    <row r="34" spans="1:20" ht="18">
      <c r="A34" s="15"/>
      <c r="B34" s="21"/>
      <c r="C34" s="19" t="s">
        <v>17</v>
      </c>
      <c r="D34" s="15"/>
      <c r="E34" s="19"/>
      <c r="F34" s="19"/>
      <c r="I34" s="1"/>
      <c r="J34" s="4"/>
      <c r="K34" s="5"/>
      <c r="L34" s="3"/>
      <c r="M34" s="3"/>
      <c r="N34" s="3"/>
      <c r="O34" s="3"/>
      <c r="P34" s="3"/>
      <c r="Q34" s="3"/>
      <c r="R34" s="3"/>
      <c r="S34" s="3"/>
      <c r="T34" s="3"/>
    </row>
    <row r="35" spans="1:20" ht="15.75">
      <c r="A35" s="15"/>
      <c r="B35" s="19"/>
      <c r="F35" s="19"/>
      <c r="J35" s="3">
        <f>SUM(J25:J26)</f>
        <v>21547</v>
      </c>
      <c r="K35" s="3">
        <f>SUM(K25:K26)</f>
        <v>18439</v>
      </c>
      <c r="L35" s="3"/>
      <c r="M35" s="3"/>
      <c r="N35" s="3"/>
      <c r="O35" s="3"/>
      <c r="P35" s="3"/>
      <c r="Q35" s="3"/>
      <c r="R35" s="3"/>
      <c r="S35" s="3"/>
      <c r="T35" s="3"/>
    </row>
    <row r="36" spans="6:20" ht="15.75">
      <c r="F36" s="19"/>
      <c r="J36" s="3"/>
      <c r="K36" s="3"/>
      <c r="L36" s="3"/>
      <c r="M36" s="3"/>
      <c r="N36" s="3"/>
      <c r="O36" s="3" t="s">
        <v>17</v>
      </c>
      <c r="P36" s="3"/>
      <c r="Q36" s="3"/>
      <c r="R36" s="3"/>
      <c r="S36" s="3"/>
      <c r="T36" s="3"/>
    </row>
  </sheetData>
  <mergeCells count="5">
    <mergeCell ref="E5:F5"/>
    <mergeCell ref="A1:F1"/>
    <mergeCell ref="I1:T1"/>
    <mergeCell ref="A2:F2"/>
    <mergeCell ref="I2:T2"/>
  </mergeCells>
  <printOptions gridLines="1"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Levan</dc:creator>
  <cp:keywords/>
  <dc:description/>
  <cp:lastModifiedBy>ToM Finance</cp:lastModifiedBy>
  <cp:lastPrinted>2008-06-06T12:27:03Z</cp:lastPrinted>
  <dcterms:created xsi:type="dcterms:W3CDTF">1998-10-04T17:33:39Z</dcterms:created>
  <dcterms:modified xsi:type="dcterms:W3CDTF">2008-06-06T14:56:19Z</dcterms:modified>
  <cp:category/>
  <cp:version/>
  <cp:contentType/>
  <cp:contentStatus/>
</cp:coreProperties>
</file>