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0" yWindow="1500" windowWidth="8592" windowHeight="2736" tabRatio="597"/>
  </bookViews>
  <sheets>
    <sheet name="01-gen gov" sheetId="1" r:id="rId1"/>
    <sheet name="02-assessing" sheetId="2" r:id="rId2"/>
    <sheet name="03-fire" sheetId="3" r:id="rId3"/>
    <sheet name="04-police" sheetId="4" r:id="rId4"/>
    <sheet name="05-comm" sheetId="5" r:id="rId5"/>
    <sheet name="06-code enforcement" sheetId="53" r:id="rId6"/>
    <sheet name="07-pub works" sheetId="6" r:id="rId7"/>
    <sheet name="08-highway" sheetId="7" r:id="rId8"/>
    <sheet name="09-solid waste" sheetId="8" r:id="rId9"/>
    <sheet name="13-parks &amp; rec" sheetId="11" r:id="rId10"/>
    <sheet name="15-library" sheetId="12" r:id="rId11"/>
    <sheet name="16-equip mntc" sheetId="13" r:id="rId12"/>
    <sheet name="17-bldg &amp; grounds" sheetId="14" r:id="rId13"/>
    <sheet name="21-comm dev" sheetId="15" r:id="rId14"/>
    <sheet name="24-tax coll" sheetId="16" r:id="rId15"/>
    <sheet name="25-welfare" sheetId="17" r:id="rId16"/>
    <sheet name="27-debt svc" sheetId="18" r:id="rId17"/>
    <sheet name="10-wastewater" sheetId="9" r:id="rId18"/>
    <sheet name="32-Media" sheetId="37" r:id="rId19"/>
    <sheet name="33-Fire Protection -other" sheetId="36" r:id="rId20"/>
    <sheet name="45- capital Projects fund" sheetId="61" r:id="rId21"/>
    <sheet name="-other SPECIAL REVENUE FUNDING" sheetId="50" r:id="rId22"/>
    <sheet name="Revolving Fund" sheetId="60" r:id="rId23"/>
  </sheets>
  <externalReferences>
    <externalReference r:id="rId24"/>
    <externalReference r:id="rId25"/>
    <externalReference r:id="rId26"/>
  </externalReferences>
  <definedNames>
    <definedName name="_bos38" localSheetId="20">'15-library'!#REF!</definedName>
    <definedName name="_bos38" localSheetId="22">'15-library'!#REF!</definedName>
    <definedName name="_bos38">'15-library'!#REF!</definedName>
    <definedName name="_mgr38" localSheetId="20">'15-library'!#REF!</definedName>
    <definedName name="_mgr38" localSheetId="22">'15-library'!#REF!</definedName>
    <definedName name="_mgr38">'15-library'!#REF!</definedName>
    <definedName name="_Order1" hidden="1">255</definedName>
    <definedName name="_Order2" hidden="1">255</definedName>
    <definedName name="aaa" localSheetId="20">'[1]15-library'!#REF!</definedName>
    <definedName name="aaa" localSheetId="22">'[1]15-library'!#REF!</definedName>
    <definedName name="aaa">'[1]15-library'!#REF!</definedName>
    <definedName name="actual" localSheetId="20">'15-library'!#REF!</definedName>
    <definedName name="actual" localSheetId="22">'15-library'!#REF!</definedName>
    <definedName name="actual">'15-library'!#REF!</definedName>
    <definedName name="actual38" localSheetId="20">'15-library'!#REF!</definedName>
    <definedName name="actual38" localSheetId="22">'15-library'!#REF!</definedName>
    <definedName name="actual38">'15-library'!#REF!</definedName>
    <definedName name="bbb" localSheetId="20">'[1]15-library'!#REF!</definedName>
    <definedName name="bbb" localSheetId="22">'[1]15-library'!#REF!</definedName>
    <definedName name="bbb">'[1]15-library'!#REF!</definedName>
    <definedName name="bos" localSheetId="20">'15-library'!#REF!</definedName>
    <definedName name="bos" localSheetId="22">'15-library'!#REF!</definedName>
    <definedName name="bos">'15-library'!#REF!</definedName>
    <definedName name="budcom" localSheetId="20">'15-library'!#REF!</definedName>
    <definedName name="budcom" localSheetId="22">'15-library'!#REF!</definedName>
    <definedName name="budcom">'15-library'!#REF!</definedName>
    <definedName name="budget" localSheetId="20">'15-library'!#REF!</definedName>
    <definedName name="budget" localSheetId="22">'15-library'!#REF!</definedName>
    <definedName name="budget">'15-library'!#REF!</definedName>
    <definedName name="budget38" localSheetId="20">'15-library'!#REF!</definedName>
    <definedName name="budget38" localSheetId="22">'15-library'!#REF!</definedName>
    <definedName name="budget38">'15-library'!#REF!</definedName>
    <definedName name="ccc" localSheetId="20">'[1]15-library'!#REF!</definedName>
    <definedName name="ccc" localSheetId="22">'[1]15-library'!#REF!</definedName>
    <definedName name="ccc">'[1]15-library'!#REF!</definedName>
    <definedName name="ddd" localSheetId="20">'[1]15-library'!#REF!</definedName>
    <definedName name="ddd" localSheetId="22">'[1]15-library'!#REF!</definedName>
    <definedName name="ddd">'[1]15-library'!#REF!</definedName>
    <definedName name="dept" localSheetId="20">'15-library'!#REF!</definedName>
    <definedName name="dept" localSheetId="22">'15-library'!#REF!</definedName>
    <definedName name="dept">'15-library'!#REF!</definedName>
    <definedName name="dept22" localSheetId="20">'15-library'!#REF!</definedName>
    <definedName name="dept22">'15-library'!#REF!</definedName>
    <definedName name="dept38" localSheetId="20">'15-library'!#REF!</definedName>
    <definedName name="dept38" localSheetId="22">'15-library'!#REF!</definedName>
    <definedName name="dept38">'15-library'!#REF!</definedName>
    <definedName name="eee" localSheetId="20">'[1]15-library'!#REF!</definedName>
    <definedName name="eee" localSheetId="22">'[1]15-library'!#REF!</definedName>
    <definedName name="eee">'[1]15-library'!#REF!</definedName>
    <definedName name="fff" localSheetId="20">'[1]15-library'!#REF!</definedName>
    <definedName name="fff" localSheetId="22">'[1]15-library'!#REF!</definedName>
    <definedName name="fff">'[1]15-library'!#REF!</definedName>
    <definedName name="ggg" localSheetId="20">'[1]15-library'!#REF!</definedName>
    <definedName name="ggg" localSheetId="22">'[1]15-library'!#REF!</definedName>
    <definedName name="ggg">'[1]15-library'!#REF!</definedName>
    <definedName name="help" localSheetId="20">'[2]15-library'!#REF!</definedName>
    <definedName name="help" localSheetId="22">'[2]15-library'!#REF!</definedName>
    <definedName name="help">'[2]15-library'!#REF!</definedName>
    <definedName name="hhh" localSheetId="20">'[1]15-library'!#REF!</definedName>
    <definedName name="hhh" localSheetId="22">'[1]15-library'!#REF!</definedName>
    <definedName name="hhh">'[1]15-library'!#REF!</definedName>
    <definedName name="iii" localSheetId="20">'[1]15-library'!#REF!</definedName>
    <definedName name="iii" localSheetId="22">'[1]15-library'!#REF!</definedName>
    <definedName name="iii">'[1]15-library'!#REF!</definedName>
    <definedName name="jjj" localSheetId="20">'[1]15-library'!#REF!</definedName>
    <definedName name="jjj" localSheetId="22">'[1]15-library'!#REF!</definedName>
    <definedName name="jjj">'[1]15-library'!#REF!</definedName>
    <definedName name="meet" localSheetId="20">'[3]15-library'!#REF!</definedName>
    <definedName name="meet" localSheetId="22">'[3]15-library'!#REF!</definedName>
    <definedName name="meet">'[3]15-library'!#REF!</definedName>
    <definedName name="meeting" localSheetId="20">'15-library'!#REF!</definedName>
    <definedName name="meeting" localSheetId="22">'15-library'!#REF!</definedName>
    <definedName name="meeting">'15-library'!#REF!</definedName>
    <definedName name="mgr" localSheetId="20">'15-library'!#REF!</definedName>
    <definedName name="mgr" localSheetId="22">'15-library'!#REF!</definedName>
    <definedName name="mgr">'15-library'!#REF!</definedName>
    <definedName name="ooop" localSheetId="20">'[2]15-library'!#REF!</definedName>
    <definedName name="ooop" localSheetId="22">'[2]15-library'!#REF!</definedName>
    <definedName name="ooop">'[2]15-library'!#REF!</definedName>
    <definedName name="ooou" localSheetId="20">'[2]15-library'!#REF!</definedName>
    <definedName name="ooou" localSheetId="22">'[2]15-library'!#REF!</definedName>
    <definedName name="ooou">'[2]15-library'!#REF!</definedName>
    <definedName name="_xlnm.Print_Area" localSheetId="0">'01-gen gov'!$A$1:$H$284</definedName>
    <definedName name="_xlnm.Print_Area" localSheetId="1">'02-assessing'!$A$1:$H$122</definedName>
    <definedName name="_xlnm.Print_Area" localSheetId="2">'03-fire'!$A$1:$H$455</definedName>
    <definedName name="_xlnm.Print_Area" localSheetId="3">'04-police'!$A$1:$H$298</definedName>
    <definedName name="_xlnm.Print_Area" localSheetId="4">'05-comm'!$A$1:$H$143</definedName>
    <definedName name="_xlnm.Print_Area" localSheetId="5">'06-code enforcement'!$A$1:$H$171</definedName>
    <definedName name="_xlnm.Print_Area" localSheetId="6">'07-pub works'!$A$1:$H$125</definedName>
    <definedName name="_xlnm.Print_Area" localSheetId="7">'08-highway'!$A$1:$H$359</definedName>
    <definedName name="_xlnm.Print_Area" localSheetId="8">'09-solid waste'!$A$1:$H$226</definedName>
    <definedName name="_xlnm.Print_Area" localSheetId="17">'10-wastewater'!$A$1:$H$337</definedName>
    <definedName name="_xlnm.Print_Area" localSheetId="9">'13-parks &amp; rec'!$A$1:$H$263</definedName>
    <definedName name="_xlnm.Print_Area" localSheetId="10">'15-library'!$A$1:$H$255</definedName>
    <definedName name="_xlnm.Print_Area" localSheetId="11">'16-equip mntc'!$A$1:$H$131</definedName>
    <definedName name="_xlnm.Print_Area" localSheetId="12">'17-bldg &amp; grounds'!$A$1:$H$140</definedName>
    <definedName name="_xlnm.Print_Area" localSheetId="13">'21-comm dev'!$A$1:$H$167</definedName>
    <definedName name="_xlnm.Print_Area" localSheetId="14">'24-tax coll'!$A$1:$H$123</definedName>
    <definedName name="_xlnm.Print_Area" localSheetId="15">'25-welfare'!$A$1:$I$99</definedName>
    <definedName name="_xlnm.Print_Area" localSheetId="16">'27-debt svc'!$A$1:$E$66</definedName>
    <definedName name="_xlnm.Print_Area" localSheetId="18">'32-Media'!$A$1:$H$107</definedName>
    <definedName name="_xlnm.Print_Area" localSheetId="19">'33-Fire Protection -other'!$A$1:$H$18</definedName>
    <definedName name="_xlnm.Print_Area" localSheetId="20">'45- capital Projects fund'!$A$1:$H$18</definedName>
    <definedName name="_xlnm.Print_Area" localSheetId="21">'-other SPECIAL REVENUE FUNDING'!$A$1:$H$19</definedName>
    <definedName name="_xlnm.Print_Area" localSheetId="22">'Revolving Fund'!$A$1:$I$149</definedName>
    <definedName name="_xlnm.Print_Titles" localSheetId="0">'01-gen gov'!$1:$5</definedName>
    <definedName name="_xlnm.Print_Titles" localSheetId="1">'02-assessing'!$1:$5</definedName>
    <definedName name="_xlnm.Print_Titles" localSheetId="2">'03-fire'!$1:$5</definedName>
    <definedName name="_xlnm.Print_Titles" localSheetId="3">'04-police'!$1:$5</definedName>
    <definedName name="_xlnm.Print_Titles" localSheetId="4">'05-comm'!$1:$5</definedName>
    <definedName name="_xlnm.Print_Titles" localSheetId="5">'06-code enforcement'!$1:$5</definedName>
    <definedName name="_xlnm.Print_Titles" localSheetId="6">'07-pub works'!$1:$5</definedName>
    <definedName name="_xlnm.Print_Titles" localSheetId="7">'08-highway'!$1:$5</definedName>
    <definedName name="_xlnm.Print_Titles" localSheetId="8">'09-solid waste'!$1:$5</definedName>
    <definedName name="_xlnm.Print_Titles" localSheetId="17">'10-wastewater'!$1:$5</definedName>
    <definedName name="_xlnm.Print_Titles" localSheetId="9">'13-parks &amp; rec'!$1:$5</definedName>
    <definedName name="_xlnm.Print_Titles" localSheetId="10">'15-library'!$1:$5</definedName>
    <definedName name="_xlnm.Print_Titles" localSheetId="11">'16-equip mntc'!$1:$5</definedName>
    <definedName name="_xlnm.Print_Titles" localSheetId="12">'17-bldg &amp; grounds'!$1:$5</definedName>
    <definedName name="_xlnm.Print_Titles" localSheetId="13">'21-comm dev'!$1:$5</definedName>
    <definedName name="_xlnm.Print_Titles" localSheetId="14">'24-tax coll'!$1:$5</definedName>
    <definedName name="_xlnm.Print_Titles" localSheetId="15">'25-welfare'!$1:$5</definedName>
    <definedName name="_xlnm.Print_Titles" localSheetId="18">'32-Media'!$1:$5</definedName>
    <definedName name="_xlnm.Print_Titles" localSheetId="19">'33-Fire Protection -other'!$1:$4</definedName>
    <definedName name="_xlnm.Print_Titles" localSheetId="20">'45- capital Projects fund'!$1:$4</definedName>
    <definedName name="_xlnm.Print_Titles" localSheetId="21">'-other SPECIAL REVENUE FUNDING'!$1:$6</definedName>
    <definedName name="_xlnm.Print_Titles" localSheetId="22">'Revolving Fund'!$1:$7</definedName>
    <definedName name="pwq" localSheetId="20">'[2]15-library'!#REF!</definedName>
    <definedName name="pwq" localSheetId="22">'[2]15-library'!#REF!</definedName>
    <definedName name="pwq">'[2]15-library'!#REF!</definedName>
    <definedName name="revenue2" localSheetId="20">'15-library'!#REF!</definedName>
    <definedName name="revenue2">'15-library'!#REF!</definedName>
    <definedName name="rtl" localSheetId="20">'[2]15-library'!#REF!</definedName>
    <definedName name="rtl" localSheetId="22">'[2]15-library'!#REF!</definedName>
    <definedName name="rtl">'[2]15-library'!#REF!</definedName>
    <definedName name="ssg" localSheetId="20">'[2]15-library'!#REF!</definedName>
    <definedName name="ssg" localSheetId="22">'[2]15-library'!#REF!</definedName>
    <definedName name="ssg">'[2]15-library'!#REF!</definedName>
    <definedName name="voted" localSheetId="20">'15-library'!#REF!</definedName>
    <definedName name="voted" localSheetId="22">'15-library'!#REF!</definedName>
    <definedName name="voted">'15-library'!#REF!</definedName>
    <definedName name="www" localSheetId="20">'[2]15-library'!#REF!</definedName>
    <definedName name="www" localSheetId="22">'[2]15-library'!#REF!</definedName>
    <definedName name="www">'[2]15-library'!#REF!</definedName>
  </definedNames>
  <calcPr calcId="145621"/>
</workbook>
</file>

<file path=xl/calcChain.xml><?xml version="1.0" encoding="utf-8"?>
<calcChain xmlns="http://schemas.openxmlformats.org/spreadsheetml/2006/main">
  <c r="A1" i="53" l="1"/>
  <c r="D7" i="53"/>
  <c r="D8" i="53"/>
  <c r="D9" i="53" s="1"/>
  <c r="D12" i="53"/>
  <c r="D13" i="53"/>
  <c r="D14" i="53"/>
  <c r="B33" i="53" s="1"/>
  <c r="D33" i="53" s="1"/>
  <c r="D17" i="53"/>
  <c r="D18" i="53"/>
  <c r="D19" i="53"/>
  <c r="B34" i="53" s="1"/>
  <c r="D34" i="53" s="1"/>
  <c r="D22" i="53"/>
  <c r="D24" i="53" s="1"/>
  <c r="D23" i="53"/>
  <c r="C27" i="53"/>
  <c r="D27" i="53"/>
  <c r="C28" i="53"/>
  <c r="D28" i="53"/>
  <c r="D29" i="53"/>
  <c r="B65" i="53" s="1"/>
  <c r="D65" i="53" s="1"/>
  <c r="B36" i="53"/>
  <c r="D36" i="53"/>
  <c r="B43" i="53"/>
  <c r="D43" i="53" s="1"/>
  <c r="D47" i="53"/>
  <c r="D50" i="53"/>
  <c r="D51" i="53"/>
  <c r="D52" i="53"/>
  <c r="D55" i="53"/>
  <c r="D58" i="53"/>
  <c r="B62" i="53"/>
  <c r="D62" i="53" s="1"/>
  <c r="D69" i="53"/>
  <c r="D74" i="53" s="1"/>
  <c r="D70" i="53"/>
  <c r="D71" i="53"/>
  <c r="D72" i="53"/>
  <c r="D73" i="53"/>
  <c r="D80" i="53"/>
  <c r="D89" i="53"/>
  <c r="D94" i="53"/>
  <c r="D100" i="53"/>
  <c r="D104" i="53"/>
  <c r="D107" i="53" s="1"/>
  <c r="D105" i="53"/>
  <c r="D106" i="53"/>
  <c r="D111" i="53"/>
  <c r="D112" i="53"/>
  <c r="D119" i="53" s="1"/>
  <c r="D113" i="53"/>
  <c r="D114" i="53"/>
  <c r="D115" i="53"/>
  <c r="D116" i="53"/>
  <c r="D117" i="53"/>
  <c r="D118" i="53"/>
  <c r="D128" i="53"/>
  <c r="D129" i="53" s="1"/>
  <c r="D133" i="53"/>
  <c r="D134" i="53"/>
  <c r="D140" i="53"/>
  <c r="D144" i="53"/>
  <c r="D149" i="53" s="1"/>
  <c r="D145" i="53"/>
  <c r="D146" i="53"/>
  <c r="D147" i="53"/>
  <c r="D148" i="53"/>
  <c r="D154" i="53"/>
  <c r="D158" i="53"/>
  <c r="D161" i="53"/>
  <c r="D163" i="53" s="1"/>
  <c r="D162" i="53"/>
  <c r="E165" i="53"/>
  <c r="F165" i="53"/>
  <c r="G165" i="53"/>
  <c r="H165" i="53"/>
  <c r="I165" i="53"/>
  <c r="J165" i="53"/>
  <c r="E167" i="53"/>
  <c r="F167" i="53"/>
  <c r="F170" i="53" s="1"/>
  <c r="G167" i="53"/>
  <c r="G170" i="53" s="1"/>
  <c r="H167" i="53"/>
  <c r="I167" i="53"/>
  <c r="J167" i="53"/>
  <c r="E168" i="53"/>
  <c r="E170" i="53" s="1"/>
  <c r="F168" i="53"/>
  <c r="G168" i="53"/>
  <c r="H168" i="53"/>
  <c r="I168" i="53"/>
  <c r="J168" i="53"/>
  <c r="E169" i="53"/>
  <c r="F169" i="53"/>
  <c r="G169" i="53"/>
  <c r="H169" i="53"/>
  <c r="H170" i="53" s="1"/>
  <c r="I169" i="53"/>
  <c r="J169" i="53"/>
  <c r="I170" i="53"/>
  <c r="J170" i="53"/>
  <c r="I69" i="18"/>
  <c r="I68" i="18"/>
  <c r="I70" i="18" s="1"/>
  <c r="J123" i="16"/>
  <c r="J122" i="16"/>
  <c r="I122" i="16"/>
  <c r="I123" i="16" s="1"/>
  <c r="J121" i="16"/>
  <c r="I121" i="16"/>
  <c r="J120" i="16"/>
  <c r="I120" i="16"/>
  <c r="J118" i="16"/>
  <c r="I118" i="16"/>
  <c r="B61" i="53" l="1"/>
  <c r="D61" i="53" s="1"/>
  <c r="D66" i="53" s="1"/>
  <c r="B40" i="53"/>
  <c r="D40" i="53" s="1"/>
  <c r="D44" i="53" s="1"/>
  <c r="B32" i="53"/>
  <c r="D32" i="53" s="1"/>
  <c r="B35" i="53"/>
  <c r="D35" i="53" s="1"/>
  <c r="B64" i="53"/>
  <c r="D64" i="53" s="1"/>
  <c r="B42" i="53"/>
  <c r="D42" i="53" s="1"/>
  <c r="B63" i="53"/>
  <c r="D63" i="53" s="1"/>
  <c r="B41" i="53"/>
  <c r="D41" i="53" s="1"/>
  <c r="D15" i="16"/>
  <c r="D37" i="53" l="1"/>
  <c r="D239" i="4" l="1"/>
  <c r="C62" i="4"/>
  <c r="M54" i="4"/>
  <c r="M53" i="4"/>
  <c r="M52" i="4"/>
  <c r="L55" i="4"/>
  <c r="L56" i="4" s="1"/>
  <c r="D42" i="4"/>
  <c r="F336" i="9"/>
  <c r="G336" i="9"/>
  <c r="H336" i="9"/>
  <c r="M55" i="4" l="1"/>
  <c r="M56" i="4" s="1"/>
  <c r="D117" i="16"/>
  <c r="D91" i="2"/>
  <c r="D89" i="2"/>
  <c r="J354" i="7"/>
  <c r="I354" i="7"/>
  <c r="G354" i="7"/>
  <c r="F354" i="7"/>
  <c r="E354" i="7"/>
  <c r="H354" i="7"/>
  <c r="C17" i="14" l="1"/>
  <c r="G166" i="15" l="1"/>
  <c r="F166" i="15"/>
  <c r="E166" i="15"/>
  <c r="H166" i="15"/>
  <c r="I166" i="15"/>
  <c r="I165" i="15"/>
  <c r="H165" i="15"/>
  <c r="G165" i="15"/>
  <c r="I164" i="15"/>
  <c r="I167" i="15" s="1"/>
  <c r="H164" i="15"/>
  <c r="G164" i="15"/>
  <c r="H160" i="15"/>
  <c r="D228" i="1"/>
  <c r="H167" i="15" l="1"/>
  <c r="G167" i="15"/>
  <c r="D424" i="3" l="1"/>
  <c r="K98" i="17" l="1"/>
  <c r="J98" i="17"/>
  <c r="I98" i="17"/>
  <c r="K97" i="17"/>
  <c r="J97" i="17"/>
  <c r="I97" i="17"/>
  <c r="K96" i="17"/>
  <c r="K99" i="17" s="1"/>
  <c r="J96" i="17"/>
  <c r="J99" i="17" s="1"/>
  <c r="I96" i="17"/>
  <c r="K94" i="17"/>
  <c r="J94" i="17"/>
  <c r="I94" i="17"/>
  <c r="I99" i="17" l="1"/>
  <c r="D62" i="4"/>
  <c r="D61" i="4"/>
  <c r="D60" i="4"/>
  <c r="D59" i="4"/>
  <c r="D58" i="4"/>
  <c r="D57" i="4"/>
  <c r="D56" i="4"/>
  <c r="D55" i="4"/>
  <c r="D54" i="4"/>
  <c r="D53" i="4"/>
  <c r="D52" i="4"/>
  <c r="D51" i="4"/>
  <c r="D50" i="4"/>
  <c r="D49" i="4"/>
  <c r="D48" i="4"/>
  <c r="D47" i="4"/>
  <c r="D46" i="4"/>
  <c r="D45" i="4"/>
  <c r="D44" i="4"/>
  <c r="D43" i="4"/>
  <c r="D41" i="4"/>
  <c r="D40" i="4"/>
  <c r="D39" i="4"/>
  <c r="D38" i="4"/>
  <c r="D37" i="4"/>
  <c r="D36" i="4"/>
  <c r="D35" i="4"/>
  <c r="D34" i="4"/>
  <c r="D33" i="4"/>
  <c r="D32" i="4"/>
  <c r="D31" i="4"/>
  <c r="D30" i="4"/>
  <c r="D29" i="4"/>
  <c r="C80" i="4" l="1"/>
  <c r="J358" i="7"/>
  <c r="I358" i="7"/>
  <c r="H358" i="7"/>
  <c r="J357" i="7"/>
  <c r="I357" i="7"/>
  <c r="H357" i="7"/>
  <c r="J356" i="7"/>
  <c r="I356" i="7"/>
  <c r="H356" i="7"/>
  <c r="I149" i="60"/>
  <c r="H106" i="37"/>
  <c r="H105" i="37"/>
  <c r="H104" i="37"/>
  <c r="H107" i="37" s="1"/>
  <c r="H102" i="37"/>
  <c r="J336" i="9"/>
  <c r="I336" i="9"/>
  <c r="J335" i="9"/>
  <c r="I335" i="9"/>
  <c r="J334" i="9"/>
  <c r="I334" i="9"/>
  <c r="J332" i="9"/>
  <c r="I332" i="9"/>
  <c r="H335" i="9"/>
  <c r="H334" i="9"/>
  <c r="H332" i="9"/>
  <c r="E28" i="18"/>
  <c r="I93" i="17"/>
  <c r="H122" i="16"/>
  <c r="H121" i="16"/>
  <c r="H120" i="16"/>
  <c r="H118" i="16"/>
  <c r="H139" i="14"/>
  <c r="H138" i="14"/>
  <c r="H137" i="14"/>
  <c r="H135" i="14"/>
  <c r="H130" i="13"/>
  <c r="H129" i="13"/>
  <c r="H128" i="13"/>
  <c r="H125" i="13"/>
  <c r="H254" i="12"/>
  <c r="H253" i="12"/>
  <c r="H252" i="12"/>
  <c r="H255" i="12" s="1"/>
  <c r="H250" i="12"/>
  <c r="H244" i="12"/>
  <c r="H262" i="11"/>
  <c r="H261" i="11"/>
  <c r="H260" i="11"/>
  <c r="H258" i="11"/>
  <c r="J223" i="8"/>
  <c r="I223" i="8"/>
  <c r="H223" i="8"/>
  <c r="J222" i="8"/>
  <c r="I222" i="8"/>
  <c r="H222" i="8"/>
  <c r="J221" i="8"/>
  <c r="I221" i="8"/>
  <c r="H221" i="8"/>
  <c r="J218" i="8"/>
  <c r="I218" i="8"/>
  <c r="H218" i="8"/>
  <c r="H124" i="6"/>
  <c r="H123" i="6"/>
  <c r="H122" i="6"/>
  <c r="H120" i="6"/>
  <c r="H142" i="5"/>
  <c r="H141" i="5"/>
  <c r="H140" i="5"/>
  <c r="H138" i="5"/>
  <c r="H297" i="4"/>
  <c r="H296" i="4"/>
  <c r="H295" i="4"/>
  <c r="H293" i="4"/>
  <c r="H452" i="3"/>
  <c r="H453" i="3"/>
  <c r="H451" i="3"/>
  <c r="H121" i="2"/>
  <c r="H120" i="2"/>
  <c r="H119" i="2"/>
  <c r="H122" i="2" s="1"/>
  <c r="H117" i="2"/>
  <c r="H277" i="1"/>
  <c r="E35" i="18" s="1"/>
  <c r="H276" i="1"/>
  <c r="H275" i="1"/>
  <c r="H273" i="1"/>
  <c r="E146" i="12"/>
  <c r="E199" i="12"/>
  <c r="E36" i="18" l="1"/>
  <c r="H249" i="12"/>
  <c r="H143" i="5"/>
  <c r="J337" i="9"/>
  <c r="I337" i="9"/>
  <c r="H131" i="13"/>
  <c r="H224" i="8"/>
  <c r="I224" i="8"/>
  <c r="J224" i="8"/>
  <c r="J359" i="7"/>
  <c r="H140" i="14"/>
  <c r="H123" i="16"/>
  <c r="I359" i="7"/>
  <c r="E34" i="18"/>
  <c r="H263" i="11"/>
  <c r="H298" i="4"/>
  <c r="H359" i="7"/>
  <c r="H125" i="6"/>
  <c r="H278" i="1"/>
  <c r="H337" i="9"/>
  <c r="H454" i="3"/>
  <c r="H449" i="3"/>
  <c r="D108" i="1" l="1"/>
  <c r="D133" i="1"/>
  <c r="D128" i="1"/>
  <c r="D149" i="1"/>
  <c r="D234" i="4"/>
  <c r="C252" i="11"/>
  <c r="B252" i="11"/>
  <c r="C245" i="11"/>
  <c r="C253" i="11" s="1"/>
  <c r="B245" i="11"/>
  <c r="B253" i="11" s="1"/>
  <c r="D405" i="3"/>
  <c r="D447" i="3"/>
  <c r="C447" i="3"/>
  <c r="B447" i="3"/>
  <c r="G223" i="8" l="1"/>
  <c r="F223" i="8"/>
  <c r="E223" i="8"/>
  <c r="G222" i="8"/>
  <c r="F222" i="8"/>
  <c r="E222" i="8"/>
  <c r="G221" i="8"/>
  <c r="F221" i="8"/>
  <c r="E221" i="8"/>
  <c r="G218" i="8"/>
  <c r="F218" i="8"/>
  <c r="E218" i="8"/>
  <c r="D216" i="8"/>
  <c r="D195" i="8"/>
  <c r="D187" i="8"/>
  <c r="D181" i="8"/>
  <c r="D169" i="8"/>
  <c r="D168" i="8"/>
  <c r="D170" i="8" s="1"/>
  <c r="D159" i="8"/>
  <c r="D151" i="8"/>
  <c r="D136" i="8"/>
  <c r="D135" i="8"/>
  <c r="D128" i="8"/>
  <c r="D120" i="8"/>
  <c r="D119" i="8"/>
  <c r="D118" i="8"/>
  <c r="D115" i="8"/>
  <c r="D105" i="8"/>
  <c r="D98" i="8"/>
  <c r="D97" i="8"/>
  <c r="D96" i="8"/>
  <c r="D95" i="8"/>
  <c r="D100" i="8" s="1"/>
  <c r="D78" i="8"/>
  <c r="D77" i="8"/>
  <c r="D66" i="8"/>
  <c r="D62" i="8"/>
  <c r="D61" i="8"/>
  <c r="D56" i="8"/>
  <c r="D52" i="8"/>
  <c r="D51" i="8"/>
  <c r="D28" i="8"/>
  <c r="B72" i="8" s="1"/>
  <c r="D72" i="8" s="1"/>
  <c r="C25" i="8"/>
  <c r="D25" i="8" s="1"/>
  <c r="C20" i="8"/>
  <c r="C32" i="8" s="1"/>
  <c r="D32" i="8" s="1"/>
  <c r="D19" i="8"/>
  <c r="D18" i="8"/>
  <c r="D17" i="8"/>
  <c r="D16" i="8"/>
  <c r="D15" i="8"/>
  <c r="D14" i="8"/>
  <c r="C10" i="8"/>
  <c r="D10" i="8" s="1"/>
  <c r="C9" i="8"/>
  <c r="D9" i="8" s="1"/>
  <c r="D8" i="8"/>
  <c r="D7" i="8"/>
  <c r="G358" i="7"/>
  <c r="F358" i="7"/>
  <c r="E358" i="7"/>
  <c r="G357" i="7"/>
  <c r="F357" i="7"/>
  <c r="E357" i="7"/>
  <c r="G356" i="7"/>
  <c r="F356" i="7"/>
  <c r="E356" i="7"/>
  <c r="D351" i="7"/>
  <c r="C351" i="7"/>
  <c r="B351" i="7"/>
  <c r="D322" i="7"/>
  <c r="C322" i="7"/>
  <c r="B322" i="7"/>
  <c r="D315" i="7"/>
  <c r="D307" i="7"/>
  <c r="D302" i="7"/>
  <c r="D284" i="7"/>
  <c r="D268" i="7"/>
  <c r="D259" i="7"/>
  <c r="D244" i="7"/>
  <c r="D213" i="7"/>
  <c r="D208" i="7"/>
  <c r="D199" i="7"/>
  <c r="D182" i="7"/>
  <c r="D166" i="7"/>
  <c r="D167" i="7" s="1"/>
  <c r="D160" i="7"/>
  <c r="D159" i="7"/>
  <c r="D146" i="7"/>
  <c r="D131" i="7"/>
  <c r="D129" i="7"/>
  <c r="D128" i="7"/>
  <c r="D127" i="7"/>
  <c r="D126" i="7"/>
  <c r="D125" i="7"/>
  <c r="D124" i="7"/>
  <c r="D121" i="7"/>
  <c r="D106" i="7"/>
  <c r="D93" i="7"/>
  <c r="D92" i="7"/>
  <c r="D88" i="7"/>
  <c r="D87" i="7"/>
  <c r="D86" i="7"/>
  <c r="D81" i="7"/>
  <c r="D82" i="7" s="1"/>
  <c r="D77" i="7"/>
  <c r="D76" i="7"/>
  <c r="D75" i="7"/>
  <c r="D55" i="7"/>
  <c r="B102" i="7" s="1"/>
  <c r="D102" i="7" s="1"/>
  <c r="D48" i="7"/>
  <c r="B101" i="7" s="1"/>
  <c r="D101" i="7" s="1"/>
  <c r="D45" i="7"/>
  <c r="B61" i="7" s="1"/>
  <c r="D35" i="7"/>
  <c r="D34" i="7"/>
  <c r="D33" i="7"/>
  <c r="D32" i="7"/>
  <c r="D31" i="7"/>
  <c r="D30" i="7"/>
  <c r="D29" i="7"/>
  <c r="D28" i="7"/>
  <c r="D27" i="7"/>
  <c r="D26" i="7"/>
  <c r="D25" i="7"/>
  <c r="D24" i="7"/>
  <c r="D23" i="7"/>
  <c r="D22" i="7"/>
  <c r="D21" i="7"/>
  <c r="D20" i="7"/>
  <c r="D19" i="7"/>
  <c r="D18" i="7"/>
  <c r="D13" i="7"/>
  <c r="D12" i="7"/>
  <c r="D11" i="7"/>
  <c r="D10" i="7"/>
  <c r="D7" i="7"/>
  <c r="B58" i="7" s="1"/>
  <c r="E336" i="9"/>
  <c r="G335" i="9"/>
  <c r="F335" i="9"/>
  <c r="E335" i="9"/>
  <c r="G334" i="9"/>
  <c r="F334" i="9"/>
  <c r="E334" i="9"/>
  <c r="G332" i="9"/>
  <c r="F332" i="9"/>
  <c r="E332" i="9"/>
  <c r="D330" i="9"/>
  <c r="D318" i="9"/>
  <c r="D298" i="9"/>
  <c r="D292" i="9"/>
  <c r="D277" i="9"/>
  <c r="D272" i="9"/>
  <c r="D261" i="9"/>
  <c r="D256" i="9"/>
  <c r="D241" i="9"/>
  <c r="D228" i="9"/>
  <c r="D227" i="9"/>
  <c r="D226" i="9"/>
  <c r="D225" i="9"/>
  <c r="D224" i="9"/>
  <c r="D213" i="9"/>
  <c r="D203" i="9"/>
  <c r="D205" i="9" s="1"/>
  <c r="D198" i="9"/>
  <c r="D197" i="9"/>
  <c r="D196" i="9"/>
  <c r="D190" i="9"/>
  <c r="D179" i="9"/>
  <c r="D178" i="9"/>
  <c r="D175" i="9"/>
  <c r="D168" i="9"/>
  <c r="D145" i="9"/>
  <c r="D142" i="9"/>
  <c r="D135" i="9"/>
  <c r="D115" i="9"/>
  <c r="D108" i="9"/>
  <c r="D107" i="9"/>
  <c r="D106" i="9"/>
  <c r="D105" i="9"/>
  <c r="D104" i="9"/>
  <c r="D91" i="9"/>
  <c r="D90" i="9"/>
  <c r="D86" i="9"/>
  <c r="D85" i="9"/>
  <c r="D84" i="9"/>
  <c r="D79" i="9"/>
  <c r="D75" i="9"/>
  <c r="D74" i="9"/>
  <c r="D73" i="9"/>
  <c r="C53" i="9"/>
  <c r="D53" i="9" s="1"/>
  <c r="B61" i="9" s="1"/>
  <c r="D48" i="9"/>
  <c r="D46" i="9"/>
  <c r="D45" i="9"/>
  <c r="D41" i="9"/>
  <c r="B59" i="9" s="1"/>
  <c r="D59" i="9" s="1"/>
  <c r="D36" i="9"/>
  <c r="D33" i="9"/>
  <c r="D32" i="9"/>
  <c r="D31" i="9"/>
  <c r="D30" i="9"/>
  <c r="D29" i="9"/>
  <c r="D28" i="9"/>
  <c r="D27" i="9"/>
  <c r="D26" i="9"/>
  <c r="D25" i="9"/>
  <c r="D24" i="9"/>
  <c r="D23" i="9"/>
  <c r="D22" i="9"/>
  <c r="D16" i="9"/>
  <c r="D15" i="9"/>
  <c r="D14" i="9"/>
  <c r="D13" i="9"/>
  <c r="D12" i="9"/>
  <c r="D11" i="9"/>
  <c r="D10" i="9"/>
  <c r="D7" i="9"/>
  <c r="B56" i="9" s="1"/>
  <c r="B95" i="9" s="1"/>
  <c r="D95" i="9" s="1"/>
  <c r="G139" i="14"/>
  <c r="F139" i="14"/>
  <c r="E139" i="14"/>
  <c r="G138" i="14"/>
  <c r="F138" i="14"/>
  <c r="E138" i="14"/>
  <c r="G137" i="14"/>
  <c r="F137" i="14"/>
  <c r="G135" i="14"/>
  <c r="F135" i="14"/>
  <c r="D133" i="14"/>
  <c r="D129" i="14"/>
  <c r="D112" i="14"/>
  <c r="D105" i="14"/>
  <c r="D83" i="14"/>
  <c r="D78" i="14"/>
  <c r="D69" i="14"/>
  <c r="D64" i="14"/>
  <c r="D56" i="14"/>
  <c r="D58" i="14" s="1"/>
  <c r="D52" i="14"/>
  <c r="D51" i="14"/>
  <c r="D42" i="14"/>
  <c r="D39" i="14"/>
  <c r="D35" i="14"/>
  <c r="D34" i="14"/>
  <c r="D31" i="14"/>
  <c r="D17" i="14"/>
  <c r="B27" i="14" s="1"/>
  <c r="D27" i="14" s="1"/>
  <c r="D14" i="14"/>
  <c r="D13" i="14"/>
  <c r="D8" i="14"/>
  <c r="D7" i="14"/>
  <c r="E6" i="14"/>
  <c r="E137" i="14" s="1"/>
  <c r="G130" i="13"/>
  <c r="F130" i="13"/>
  <c r="E130" i="13"/>
  <c r="G129" i="13"/>
  <c r="F129" i="13"/>
  <c r="G128" i="13"/>
  <c r="F128" i="13"/>
  <c r="E128" i="13"/>
  <c r="G125" i="13"/>
  <c r="F125" i="13"/>
  <c r="D114" i="13"/>
  <c r="E107" i="13"/>
  <c r="E129" i="13" s="1"/>
  <c r="D90" i="13"/>
  <c r="D89" i="13"/>
  <c r="D91" i="13" s="1"/>
  <c r="D82" i="13"/>
  <c r="D81" i="13"/>
  <c r="D80" i="13"/>
  <c r="D79" i="13"/>
  <c r="D69" i="13"/>
  <c r="D68" i="13"/>
  <c r="D58" i="13"/>
  <c r="D54" i="13"/>
  <c r="D53" i="13"/>
  <c r="D48" i="13"/>
  <c r="D44" i="13"/>
  <c r="D43" i="13"/>
  <c r="C25" i="13"/>
  <c r="D25" i="13" s="1"/>
  <c r="B64" i="13" s="1"/>
  <c r="C20" i="13"/>
  <c r="D20" i="13" s="1"/>
  <c r="D15" i="13"/>
  <c r="D14" i="13"/>
  <c r="D13" i="13"/>
  <c r="D12" i="13"/>
  <c r="D8" i="13"/>
  <c r="D7" i="13"/>
  <c r="G124" i="6"/>
  <c r="F124" i="6"/>
  <c r="E124" i="6"/>
  <c r="G123" i="6"/>
  <c r="F123" i="6"/>
  <c r="E123" i="6"/>
  <c r="G122" i="6"/>
  <c r="F122" i="6"/>
  <c r="E122" i="6"/>
  <c r="G120" i="6"/>
  <c r="F120" i="6"/>
  <c r="E120" i="6"/>
  <c r="D108" i="6"/>
  <c r="D100" i="6"/>
  <c r="D88" i="6"/>
  <c r="D77" i="6"/>
  <c r="D57" i="6"/>
  <c r="D56" i="6"/>
  <c r="D47" i="6"/>
  <c r="D44" i="6"/>
  <c r="D40" i="6"/>
  <c r="D39" i="6"/>
  <c r="D41" i="6" s="1"/>
  <c r="D36" i="6"/>
  <c r="D17" i="6"/>
  <c r="D16" i="6"/>
  <c r="D18" i="6" s="1"/>
  <c r="D12" i="6"/>
  <c r="D11" i="6"/>
  <c r="D10" i="6"/>
  <c r="D7" i="6"/>
  <c r="B25" i="6" s="1"/>
  <c r="D161" i="7" l="1"/>
  <c r="F337" i="9"/>
  <c r="D146" i="9"/>
  <c r="D9" i="13"/>
  <c r="B61" i="13" s="1"/>
  <c r="D61" i="13" s="1"/>
  <c r="E125" i="13"/>
  <c r="B38" i="13"/>
  <c r="D38" i="13" s="1"/>
  <c r="B63" i="13"/>
  <c r="D63" i="8"/>
  <c r="D137" i="8"/>
  <c r="D121" i="8"/>
  <c r="D94" i="7"/>
  <c r="E125" i="6"/>
  <c r="G125" i="6"/>
  <c r="B63" i="7"/>
  <c r="D63" i="7" s="1"/>
  <c r="D92" i="9"/>
  <c r="D76" i="9"/>
  <c r="B68" i="9"/>
  <c r="D68" i="9" s="1"/>
  <c r="D180" i="9"/>
  <c r="D229" i="9"/>
  <c r="D37" i="9"/>
  <c r="B58" i="9" s="1"/>
  <c r="B67" i="9" s="1"/>
  <c r="D67" i="9" s="1"/>
  <c r="D49" i="9"/>
  <c r="B60" i="9" s="1"/>
  <c r="B99" i="9" s="1"/>
  <c r="D99" i="9" s="1"/>
  <c r="D199" i="9"/>
  <c r="B98" i="9"/>
  <c r="D98" i="9" s="1"/>
  <c r="E337" i="9"/>
  <c r="B65" i="9"/>
  <c r="D65" i="9" s="1"/>
  <c r="D87" i="9"/>
  <c r="E140" i="14"/>
  <c r="F131" i="13"/>
  <c r="F125" i="6"/>
  <c r="D18" i="9"/>
  <c r="B57" i="9" s="1"/>
  <c r="B96" i="9" s="1"/>
  <c r="D96" i="9" s="1"/>
  <c r="B47" i="14"/>
  <c r="D47" i="14" s="1"/>
  <c r="D15" i="14"/>
  <c r="B21" i="14" s="1"/>
  <c r="B46" i="14" s="1"/>
  <c r="D46" i="14" s="1"/>
  <c r="D15" i="7"/>
  <c r="B68" i="7" s="1"/>
  <c r="D68" i="7" s="1"/>
  <c r="D78" i="7"/>
  <c r="D89" i="7"/>
  <c r="D13" i="6"/>
  <c r="D109" i="9"/>
  <c r="D53" i="8"/>
  <c r="F224" i="8"/>
  <c r="G337" i="9"/>
  <c r="E224" i="8"/>
  <c r="E359" i="7"/>
  <c r="B62" i="7"/>
  <c r="F359" i="7"/>
  <c r="D132" i="7"/>
  <c r="B100" i="7"/>
  <c r="D100" i="7" s="1"/>
  <c r="D38" i="7"/>
  <c r="B69" i="7" s="1"/>
  <c r="D69" i="7" s="1"/>
  <c r="G224" i="8"/>
  <c r="G359" i="7"/>
  <c r="B43" i="8"/>
  <c r="D43" i="8" s="1"/>
  <c r="B71" i="8"/>
  <c r="D71" i="8" s="1"/>
  <c r="B37" i="8"/>
  <c r="D37" i="8" s="1"/>
  <c r="B46" i="8"/>
  <c r="D46" i="8" s="1"/>
  <c r="B44" i="8"/>
  <c r="D44" i="8" s="1"/>
  <c r="D12" i="8"/>
  <c r="B73" i="8"/>
  <c r="D73" i="8" s="1"/>
  <c r="B47" i="8"/>
  <c r="D47" i="8" s="1"/>
  <c r="B39" i="8"/>
  <c r="D39" i="8" s="1"/>
  <c r="D57" i="8"/>
  <c r="D58" i="8" s="1"/>
  <c r="B79" i="8"/>
  <c r="D79" i="8" s="1"/>
  <c r="D80" i="8" s="1"/>
  <c r="D20" i="8"/>
  <c r="D22" i="8" s="1"/>
  <c r="B38" i="8"/>
  <c r="D38" i="8" s="1"/>
  <c r="D61" i="7"/>
  <c r="B70" i="7"/>
  <c r="D70" i="7" s="1"/>
  <c r="B67" i="7"/>
  <c r="D58" i="7"/>
  <c r="B71" i="7"/>
  <c r="D71" i="7" s="1"/>
  <c r="D83" i="7"/>
  <c r="B69" i="9"/>
  <c r="D69" i="9" s="1"/>
  <c r="D61" i="9"/>
  <c r="B100" i="9"/>
  <c r="D100" i="9" s="1"/>
  <c r="D56" i="9"/>
  <c r="D80" i="9"/>
  <c r="D81" i="9" s="1"/>
  <c r="E135" i="14"/>
  <c r="D10" i="14"/>
  <c r="B45" i="14" s="1"/>
  <c r="D45" i="14" s="1"/>
  <c r="D36" i="14"/>
  <c r="F140" i="14"/>
  <c r="G140" i="14"/>
  <c r="B22" i="14"/>
  <c r="D22" i="14" s="1"/>
  <c r="D53" i="14"/>
  <c r="D21" i="14"/>
  <c r="D17" i="13"/>
  <c r="B62" i="13" s="1"/>
  <c r="D62" i="13" s="1"/>
  <c r="D55" i="13"/>
  <c r="G131" i="13"/>
  <c r="D70" i="13"/>
  <c r="D63" i="13"/>
  <c r="D45" i="13"/>
  <c r="D84" i="13"/>
  <c r="E131" i="13"/>
  <c r="B31" i="13"/>
  <c r="D64" i="13"/>
  <c r="B30" i="13"/>
  <c r="D30" i="13" s="1"/>
  <c r="D49" i="13"/>
  <c r="D50" i="13" s="1"/>
  <c r="B51" i="6"/>
  <c r="D51" i="6" s="1"/>
  <c r="B26" i="6"/>
  <c r="D26" i="6" s="1"/>
  <c r="B32" i="6"/>
  <c r="D32" i="6" s="1"/>
  <c r="B27" i="6"/>
  <c r="D27" i="6" s="1"/>
  <c r="B58" i="6"/>
  <c r="D58" i="6" s="1"/>
  <c r="D59" i="6" s="1"/>
  <c r="B52" i="6"/>
  <c r="D52" i="6" s="1"/>
  <c r="B31" i="6"/>
  <c r="D25" i="6"/>
  <c r="B97" i="9" l="1"/>
  <c r="D97" i="9" s="1"/>
  <c r="D101" i="9" s="1"/>
  <c r="B28" i="13"/>
  <c r="D28" i="13" s="1"/>
  <c r="D60" i="9"/>
  <c r="B36" i="13"/>
  <c r="D36" i="13" s="1"/>
  <c r="B37" i="13"/>
  <c r="D37" i="13" s="1"/>
  <c r="B29" i="13"/>
  <c r="D29" i="13" s="1"/>
  <c r="B98" i="7"/>
  <c r="D98" i="7" s="1"/>
  <c r="B66" i="9"/>
  <c r="D66" i="9" s="1"/>
  <c r="D70" i="9" s="1"/>
  <c r="D57" i="9"/>
  <c r="D58" i="9"/>
  <c r="B20" i="14"/>
  <c r="D20" i="14" s="1"/>
  <c r="D23" i="14" s="1"/>
  <c r="B26" i="14"/>
  <c r="D26" i="14" s="1"/>
  <c r="D28" i="14" s="1"/>
  <c r="B59" i="7"/>
  <c r="D59" i="7" s="1"/>
  <c r="D48" i="14"/>
  <c r="D65" i="13"/>
  <c r="B99" i="7"/>
  <c r="D99" i="7" s="1"/>
  <c r="D62" i="7"/>
  <c r="B107" i="7"/>
  <c r="D107" i="7" s="1"/>
  <c r="D108" i="7" s="1"/>
  <c r="B60" i="7"/>
  <c r="D60" i="7" s="1"/>
  <c r="B35" i="8"/>
  <c r="D35" i="8" s="1"/>
  <c r="B69" i="8"/>
  <c r="D69" i="8" s="1"/>
  <c r="B45" i="8"/>
  <c r="B36" i="8"/>
  <c r="D36" i="8" s="1"/>
  <c r="B97" i="7"/>
  <c r="D97" i="7" s="1"/>
  <c r="D67" i="7"/>
  <c r="D72" i="7" s="1"/>
  <c r="B39" i="13"/>
  <c r="D39" i="13" s="1"/>
  <c r="D31" i="13"/>
  <c r="D28" i="6"/>
  <c r="B50" i="6"/>
  <c r="D50" i="6" s="1"/>
  <c r="D53" i="6" s="1"/>
  <c r="D31" i="6"/>
  <c r="D33" i="6" s="1"/>
  <c r="D62" i="9" l="1"/>
  <c r="D32" i="13"/>
  <c r="D40" i="13"/>
  <c r="D64" i="7"/>
  <c r="D103" i="7"/>
  <c r="D40" i="8"/>
  <c r="D45" i="8"/>
  <c r="D48" i="8" s="1"/>
  <c r="B70" i="8"/>
  <c r="D70" i="8" s="1"/>
  <c r="D74" i="8" s="1"/>
  <c r="C242" i="12" l="1"/>
  <c r="B242" i="12"/>
  <c r="G254" i="12"/>
  <c r="F254" i="12"/>
  <c r="E254" i="12"/>
  <c r="G253" i="12"/>
  <c r="F253" i="12"/>
  <c r="E253" i="12"/>
  <c r="G252" i="12"/>
  <c r="F252" i="12"/>
  <c r="E252" i="12"/>
  <c r="G250" i="12"/>
  <c r="F250" i="12"/>
  <c r="E250" i="12"/>
  <c r="G244" i="12"/>
  <c r="F244" i="12"/>
  <c r="F249" i="12" s="1"/>
  <c r="E244" i="12"/>
  <c r="D242" i="12"/>
  <c r="D234" i="12"/>
  <c r="D200" i="12"/>
  <c r="D222" i="12" s="1"/>
  <c r="D194" i="12"/>
  <c r="D188" i="12"/>
  <c r="D173" i="12"/>
  <c r="D176" i="12" s="1"/>
  <c r="D164" i="12"/>
  <c r="D159" i="12"/>
  <c r="D144" i="12"/>
  <c r="D136" i="12"/>
  <c r="D129" i="12"/>
  <c r="D102" i="12"/>
  <c r="D88" i="12"/>
  <c r="D86" i="12"/>
  <c r="D85" i="12"/>
  <c r="D84" i="12"/>
  <c r="D75" i="12"/>
  <c r="D71" i="12"/>
  <c r="D70" i="12"/>
  <c r="D69" i="12"/>
  <c r="D65" i="12"/>
  <c r="D64" i="12"/>
  <c r="D66" i="12" s="1"/>
  <c r="D61" i="12"/>
  <c r="D46" i="12"/>
  <c r="B80" i="12" s="1"/>
  <c r="D80" i="12" s="1"/>
  <c r="D44" i="12"/>
  <c r="D43" i="12"/>
  <c r="D37" i="12"/>
  <c r="D36" i="12"/>
  <c r="D35" i="12"/>
  <c r="D34" i="12"/>
  <c r="D33" i="12"/>
  <c r="D32" i="12"/>
  <c r="D31" i="12"/>
  <c r="D30" i="12"/>
  <c r="D29" i="12"/>
  <c r="D28" i="12"/>
  <c r="D27" i="12"/>
  <c r="D26" i="12"/>
  <c r="D25" i="12"/>
  <c r="D24" i="12"/>
  <c r="D21" i="12"/>
  <c r="D20" i="12"/>
  <c r="D19" i="12"/>
  <c r="D18" i="12"/>
  <c r="D12" i="12"/>
  <c r="D11" i="12"/>
  <c r="D10" i="12"/>
  <c r="D9" i="12"/>
  <c r="D8" i="12"/>
  <c r="C7" i="12"/>
  <c r="D7" i="12" s="1"/>
  <c r="I248" i="12"/>
  <c r="I250" i="12"/>
  <c r="I251" i="12"/>
  <c r="I252" i="12"/>
  <c r="I242" i="12"/>
  <c r="D72" i="12" l="1"/>
  <c r="I253" i="12"/>
  <c r="I247" i="12"/>
  <c r="B87" i="12"/>
  <c r="D87" i="12" s="1"/>
  <c r="B56" i="12"/>
  <c r="D56" i="12" s="1"/>
  <c r="G249" i="12"/>
  <c r="D39" i="12"/>
  <c r="B50" i="12" s="1"/>
  <c r="D50" i="12" s="1"/>
  <c r="D14" i="12"/>
  <c r="B49" i="12" s="1"/>
  <c r="D49" i="12" s="1"/>
  <c r="E255" i="12"/>
  <c r="G255" i="12"/>
  <c r="E249" i="12"/>
  <c r="F255" i="12"/>
  <c r="B78" i="12"/>
  <c r="D78" i="12" s="1"/>
  <c r="D89" i="12"/>
  <c r="B51" i="12"/>
  <c r="D51" i="12" s="1"/>
  <c r="B55" i="12" l="1"/>
  <c r="D55" i="12" s="1"/>
  <c r="D58" i="12" s="1"/>
  <c r="D90" i="12"/>
  <c r="B79" i="12"/>
  <c r="D79" i="12" s="1"/>
  <c r="D81" i="12" s="1"/>
  <c r="D52" i="12"/>
  <c r="D137" i="5" l="1"/>
  <c r="C137" i="5"/>
  <c r="B137" i="5"/>
  <c r="D124" i="5"/>
  <c r="D115" i="5"/>
  <c r="D96" i="5"/>
  <c r="D101" i="5" s="1"/>
  <c r="D165" i="4"/>
  <c r="D166" i="4" s="1"/>
  <c r="G297" i="4"/>
  <c r="J297" i="4"/>
  <c r="I297" i="4"/>
  <c r="J296" i="4"/>
  <c r="I296" i="4"/>
  <c r="J295" i="4"/>
  <c r="I295" i="4"/>
  <c r="J293" i="4"/>
  <c r="I293" i="4"/>
  <c r="F297" i="4"/>
  <c r="E297" i="4"/>
  <c r="G296" i="4"/>
  <c r="F296" i="4"/>
  <c r="E296" i="4"/>
  <c r="G295" i="4"/>
  <c r="F295" i="4"/>
  <c r="F298" i="4" s="1"/>
  <c r="E295" i="4"/>
  <c r="G293" i="4"/>
  <c r="F293" i="4"/>
  <c r="E293" i="4"/>
  <c r="D289" i="4"/>
  <c r="D280" i="4"/>
  <c r="D275" i="4"/>
  <c r="D265" i="4"/>
  <c r="D260" i="4"/>
  <c r="D252" i="4"/>
  <c r="D241" i="4"/>
  <c r="D226" i="4"/>
  <c r="D217" i="4"/>
  <c r="D207" i="4"/>
  <c r="D194" i="4"/>
  <c r="D182" i="4"/>
  <c r="D181" i="4"/>
  <c r="D180" i="4"/>
  <c r="D179" i="4"/>
  <c r="D178" i="4"/>
  <c r="D177" i="4"/>
  <c r="D176" i="4"/>
  <c r="D175" i="4"/>
  <c r="D174" i="4"/>
  <c r="D173" i="4"/>
  <c r="D172" i="4"/>
  <c r="D171" i="4"/>
  <c r="D169" i="4"/>
  <c r="D159" i="4"/>
  <c r="D147" i="4"/>
  <c r="D146" i="4"/>
  <c r="D145" i="4"/>
  <c r="D144" i="4"/>
  <c r="A135" i="4"/>
  <c r="D129" i="4"/>
  <c r="D128" i="4"/>
  <c r="D127" i="4"/>
  <c r="D123" i="4"/>
  <c r="D122" i="4"/>
  <c r="D121" i="4"/>
  <c r="D120" i="4"/>
  <c r="D116" i="4"/>
  <c r="D115" i="4"/>
  <c r="D114" i="4"/>
  <c r="D113" i="4"/>
  <c r="D112" i="4"/>
  <c r="D107" i="4"/>
  <c r="D106" i="4"/>
  <c r="D105" i="4"/>
  <c r="D104" i="4"/>
  <c r="D99" i="4"/>
  <c r="D76" i="4"/>
  <c r="D75" i="4"/>
  <c r="D72" i="4"/>
  <c r="B138" i="4" s="1"/>
  <c r="D138" i="4" s="1"/>
  <c r="C69" i="4"/>
  <c r="D69" i="4" s="1"/>
  <c r="D80" i="4"/>
  <c r="D24" i="4"/>
  <c r="D23" i="4"/>
  <c r="D22" i="4"/>
  <c r="D21" i="4"/>
  <c r="D20" i="4"/>
  <c r="D19" i="4"/>
  <c r="D18" i="4"/>
  <c r="D17" i="4"/>
  <c r="B85" i="4" s="1"/>
  <c r="D16" i="4"/>
  <c r="D15" i="4"/>
  <c r="D10" i="4"/>
  <c r="D9" i="4"/>
  <c r="D8" i="4"/>
  <c r="D7" i="4"/>
  <c r="D77" i="4" l="1"/>
  <c r="B89" i="4" s="1"/>
  <c r="D89" i="4" s="1"/>
  <c r="D109" i="4"/>
  <c r="D26" i="4"/>
  <c r="B134" i="4" s="1"/>
  <c r="D134" i="4" s="1"/>
  <c r="D124" i="4"/>
  <c r="D117" i="4"/>
  <c r="I298" i="4"/>
  <c r="D12" i="4"/>
  <c r="B133" i="4" s="1"/>
  <c r="D133" i="4" s="1"/>
  <c r="D130" i="4"/>
  <c r="E298" i="4"/>
  <c r="J298" i="4"/>
  <c r="D183" i="4"/>
  <c r="G298" i="4"/>
  <c r="B98" i="4"/>
  <c r="B87" i="4"/>
  <c r="D87" i="4" s="1"/>
  <c r="B90" i="4"/>
  <c r="D90" i="4" s="1"/>
  <c r="B100" i="4"/>
  <c r="B96" i="4"/>
  <c r="D85" i="4"/>
  <c r="B88" i="4"/>
  <c r="D88" i="4" s="1"/>
  <c r="D65" i="4"/>
  <c r="B148" i="4" l="1"/>
  <c r="D148" i="4" s="1"/>
  <c r="D149" i="4" s="1"/>
  <c r="B139" i="4"/>
  <c r="D139" i="4" s="1"/>
  <c r="B83" i="4"/>
  <c r="D83" i="4" s="1"/>
  <c r="B94" i="4"/>
  <c r="D94" i="4" s="1"/>
  <c r="B84" i="4"/>
  <c r="D84" i="4" s="1"/>
  <c r="B95" i="4"/>
  <c r="D95" i="4" s="1"/>
  <c r="B97" i="4"/>
  <c r="D97" i="4" s="1"/>
  <c r="B86" i="4"/>
  <c r="D86" i="4" s="1"/>
  <c r="B136" i="4"/>
  <c r="D136" i="4" s="1"/>
  <c r="D100" i="4"/>
  <c r="B140" i="4"/>
  <c r="D140" i="4" s="1"/>
  <c r="D96" i="4"/>
  <c r="B135" i="4"/>
  <c r="D135" i="4" s="1"/>
  <c r="B137" i="4"/>
  <c r="D137" i="4" s="1"/>
  <c r="D98" i="4"/>
  <c r="D91" i="4" l="1"/>
  <c r="D141" i="4"/>
  <c r="D101" i="4"/>
  <c r="D116" i="60" l="1"/>
  <c r="D115" i="60"/>
  <c r="D114" i="60"/>
  <c r="D102" i="60"/>
  <c r="D103" i="60" s="1"/>
  <c r="B104" i="60" s="1"/>
  <c r="D104" i="60" s="1"/>
  <c r="D88" i="60"/>
  <c r="B90" i="60" s="1"/>
  <c r="D90" i="60" s="1"/>
  <c r="D87" i="60"/>
  <c r="D74" i="60"/>
  <c r="D73" i="60"/>
  <c r="D75" i="60" s="1"/>
  <c r="D57" i="60"/>
  <c r="D56" i="60"/>
  <c r="D58" i="60" s="1"/>
  <c r="D44" i="60"/>
  <c r="D43" i="60"/>
  <c r="D23" i="60"/>
  <c r="D22" i="60"/>
  <c r="D21" i="60"/>
  <c r="D20" i="60"/>
  <c r="D19" i="60"/>
  <c r="D18" i="60"/>
  <c r="D17" i="60"/>
  <c r="D16" i="60"/>
  <c r="D15" i="60"/>
  <c r="D14" i="60"/>
  <c r="D13" i="60"/>
  <c r="D12" i="60"/>
  <c r="D11" i="60"/>
  <c r="F9" i="60"/>
  <c r="G262" i="11"/>
  <c r="F262" i="11"/>
  <c r="E262" i="11"/>
  <c r="G261" i="11"/>
  <c r="F261" i="11"/>
  <c r="G260" i="11"/>
  <c r="F260" i="11"/>
  <c r="G258" i="11"/>
  <c r="F258" i="11"/>
  <c r="D252" i="11"/>
  <c r="D245" i="11"/>
  <c r="D253" i="11" s="1"/>
  <c r="D231" i="11"/>
  <c r="D234" i="11" s="1"/>
  <c r="C231" i="11"/>
  <c r="C234" i="11" s="1"/>
  <c r="D202" i="11"/>
  <c r="E192" i="11"/>
  <c r="E261" i="11" s="1"/>
  <c r="D179" i="11"/>
  <c r="D181" i="11" s="1"/>
  <c r="D184" i="11" s="1"/>
  <c r="B178" i="11"/>
  <c r="D177" i="11"/>
  <c r="C177" i="11"/>
  <c r="C179" i="11" s="1"/>
  <c r="C181" i="11" s="1"/>
  <c r="C184" i="11" s="1"/>
  <c r="B177" i="11"/>
  <c r="B179" i="11" s="1"/>
  <c r="B181" i="11" s="1"/>
  <c r="B184" i="11" s="1"/>
  <c r="D156" i="11"/>
  <c r="D147" i="11"/>
  <c r="D133" i="11"/>
  <c r="D127" i="11"/>
  <c r="D121" i="11"/>
  <c r="D115" i="11"/>
  <c r="D106" i="11"/>
  <c r="D101" i="11"/>
  <c r="F263" i="11" l="1"/>
  <c r="G263" i="11"/>
  <c r="B59" i="60"/>
  <c r="D59" i="60" s="1"/>
  <c r="B60" i="60"/>
  <c r="D60" i="60" s="1"/>
  <c r="E70" i="60" s="1"/>
  <c r="B61" i="60"/>
  <c r="D61" i="60" s="1"/>
  <c r="D45" i="60"/>
  <c r="B48" i="60" s="1"/>
  <c r="D48" i="60" s="1"/>
  <c r="D24" i="60"/>
  <c r="D117" i="60"/>
  <c r="B119" i="60" s="1"/>
  <c r="D119" i="60" s="1"/>
  <c r="B120" i="60"/>
  <c r="D120" i="60" s="1"/>
  <c r="B27" i="60"/>
  <c r="D27" i="60" s="1"/>
  <c r="B26" i="60"/>
  <c r="D26" i="60" s="1"/>
  <c r="B25" i="60"/>
  <c r="D25" i="60" s="1"/>
  <c r="B77" i="60"/>
  <c r="D77" i="60" s="1"/>
  <c r="B76" i="60"/>
  <c r="D76" i="60" s="1"/>
  <c r="B78" i="60"/>
  <c r="D78" i="60" s="1"/>
  <c r="B105" i="60"/>
  <c r="D105" i="60" s="1"/>
  <c r="E111" i="60" s="1"/>
  <c r="B91" i="60"/>
  <c r="D91" i="60" s="1"/>
  <c r="B106" i="60"/>
  <c r="D106" i="60" s="1"/>
  <c r="B89" i="60"/>
  <c r="D89" i="60" s="1"/>
  <c r="E83" i="60" l="1"/>
  <c r="E98" i="60"/>
  <c r="E39" i="60"/>
  <c r="B46" i="60"/>
  <c r="D46" i="60" s="1"/>
  <c r="B47" i="60"/>
  <c r="D47" i="60" s="1"/>
  <c r="B118" i="60"/>
  <c r="D118" i="60" s="1"/>
  <c r="E127" i="60" s="1"/>
  <c r="E53" i="60" l="1"/>
  <c r="G122" i="16"/>
  <c r="F122" i="16"/>
  <c r="E122" i="16"/>
  <c r="G121" i="16"/>
  <c r="F121" i="16"/>
  <c r="E121" i="16"/>
  <c r="G120" i="16"/>
  <c r="F120" i="16"/>
  <c r="E120" i="16"/>
  <c r="G118" i="16"/>
  <c r="F118" i="16"/>
  <c r="E118" i="16"/>
  <c r="D102" i="16"/>
  <c r="D94" i="16"/>
  <c r="D87" i="16"/>
  <c r="D61" i="16"/>
  <c r="G123" i="16" l="1"/>
  <c r="E123" i="16"/>
  <c r="F123" i="16"/>
  <c r="D139" i="15"/>
  <c r="D123" i="15"/>
  <c r="D118" i="15"/>
  <c r="D96" i="15"/>
  <c r="D89" i="15"/>
  <c r="D90" i="15" s="1"/>
  <c r="D85" i="15"/>
  <c r="D82" i="15"/>
  <c r="H98" i="17" l="1"/>
  <c r="G98" i="17"/>
  <c r="F98" i="17"/>
  <c r="H97" i="17"/>
  <c r="G97" i="17"/>
  <c r="F97" i="17"/>
  <c r="H96" i="17"/>
  <c r="G96" i="17"/>
  <c r="G99" i="17" s="1"/>
  <c r="F96" i="17"/>
  <c r="F99" i="17" s="1"/>
  <c r="G94" i="17"/>
  <c r="F94" i="17"/>
  <c r="H93" i="17"/>
  <c r="E75" i="17"/>
  <c r="D75" i="17"/>
  <c r="C75" i="17"/>
  <c r="B75" i="17"/>
  <c r="H57" i="17"/>
  <c r="H94" i="17" s="1"/>
  <c r="E49" i="17"/>
  <c r="D49" i="17"/>
  <c r="E32" i="17"/>
  <c r="D32" i="17"/>
  <c r="H99" i="17" l="1"/>
  <c r="D103" i="2"/>
  <c r="D98" i="2"/>
  <c r="C91" i="2"/>
  <c r="C89" i="2"/>
  <c r="D74" i="2"/>
  <c r="D69" i="2"/>
  <c r="D64" i="2"/>
  <c r="D55" i="2"/>
  <c r="D416" i="3" l="1"/>
  <c r="D404" i="3"/>
  <c r="D403" i="3"/>
  <c r="D402" i="3"/>
  <c r="D372" i="3"/>
  <c r="D371" i="3"/>
  <c r="D302" i="3"/>
  <c r="D185" i="3"/>
  <c r="D184" i="3"/>
  <c r="D28" i="18" l="1"/>
  <c r="D36" i="18" s="1"/>
  <c r="B63" i="11" l="1"/>
  <c r="B235" i="3"/>
  <c r="K149" i="60" l="1"/>
  <c r="J149" i="60"/>
  <c r="H149" i="60"/>
  <c r="G149" i="60"/>
  <c r="F149" i="60"/>
  <c r="E9" i="50"/>
  <c r="F106" i="37"/>
  <c r="E106" i="37"/>
  <c r="E105" i="37"/>
  <c r="E57" i="11" l="1"/>
  <c r="C228" i="1"/>
  <c r="B228" i="1"/>
  <c r="C227" i="1"/>
  <c r="B227" i="1"/>
  <c r="C226" i="1"/>
  <c r="B226" i="1"/>
  <c r="C206" i="1"/>
  <c r="B206" i="1"/>
  <c r="E260" i="11" l="1"/>
  <c r="E263" i="11" s="1"/>
  <c r="E258" i="11"/>
  <c r="A39" i="18"/>
  <c r="B28" i="18"/>
  <c r="C28" i="18"/>
  <c r="C36" i="18" s="1"/>
  <c r="A1" i="60"/>
  <c r="A1" i="50"/>
  <c r="A1" i="61"/>
  <c r="A1" i="36"/>
  <c r="A1" i="37"/>
  <c r="A1" i="9"/>
  <c r="A1" i="18"/>
  <c r="A1" i="17"/>
  <c r="A1" i="16"/>
  <c r="A1" i="15"/>
  <c r="A1" i="14"/>
  <c r="A1" i="13"/>
  <c r="A1" i="12"/>
  <c r="A1" i="11"/>
  <c r="A1" i="8"/>
  <c r="A1" i="7"/>
  <c r="A1" i="6"/>
  <c r="A1" i="5"/>
  <c r="A1" i="4"/>
  <c r="A1" i="2"/>
  <c r="A1" i="1"/>
  <c r="B36" i="18" l="1"/>
  <c r="F277" i="1"/>
  <c r="F276" i="1"/>
  <c r="F275" i="1"/>
  <c r="F273" i="1"/>
  <c r="F278" i="1" l="1"/>
  <c r="I16" i="61" l="1"/>
  <c r="I18" i="61" s="1"/>
  <c r="H16" i="61"/>
  <c r="H18" i="61" s="1"/>
  <c r="G16" i="61"/>
  <c r="G18" i="61" s="1"/>
  <c r="F16" i="61"/>
  <c r="F18" i="61" s="1"/>
  <c r="E16" i="61"/>
  <c r="E18" i="61" s="1"/>
  <c r="J12" i="61"/>
  <c r="J17" i="61" s="1"/>
  <c r="J18" i="61" s="1"/>
  <c r="I12" i="61"/>
  <c r="H12" i="61"/>
  <c r="G12" i="61"/>
  <c r="F12" i="61"/>
  <c r="E12" i="61"/>
  <c r="J16" i="36"/>
  <c r="J18" i="36" s="1"/>
  <c r="J12" i="36"/>
  <c r="J106" i="37"/>
  <c r="J105" i="37"/>
  <c r="J104" i="37"/>
  <c r="J107" i="37" s="1"/>
  <c r="J102" i="37"/>
  <c r="G66" i="18"/>
  <c r="K93" i="17"/>
  <c r="J166" i="15"/>
  <c r="J165" i="15"/>
  <c r="J164" i="15"/>
  <c r="J160" i="15"/>
  <c r="J140" i="14"/>
  <c r="J138" i="14"/>
  <c r="J131" i="13"/>
  <c r="J130" i="13"/>
  <c r="J127" i="13"/>
  <c r="J262" i="11"/>
  <c r="J261" i="11"/>
  <c r="J260" i="11"/>
  <c r="J258" i="11"/>
  <c r="J124" i="6"/>
  <c r="J123" i="6"/>
  <c r="J122" i="6"/>
  <c r="J120" i="6"/>
  <c r="J142" i="5"/>
  <c r="J141" i="5"/>
  <c r="J140" i="5"/>
  <c r="J138" i="5"/>
  <c r="J453" i="3"/>
  <c r="J452" i="3"/>
  <c r="J451" i="3"/>
  <c r="J449" i="3"/>
  <c r="J121" i="2"/>
  <c r="J120" i="2"/>
  <c r="J119" i="2"/>
  <c r="J117" i="2"/>
  <c r="J277" i="1"/>
  <c r="J276" i="1"/>
  <c r="J275" i="1"/>
  <c r="J273" i="1"/>
  <c r="J143" i="5" l="1"/>
  <c r="J339" i="9"/>
  <c r="J454" i="3"/>
  <c r="J458" i="3" s="1"/>
  <c r="J278" i="1"/>
  <c r="J19" i="50"/>
  <c r="J167" i="15"/>
  <c r="J263" i="11"/>
  <c r="J125" i="6"/>
  <c r="J122" i="2"/>
  <c r="J110" i="37"/>
  <c r="J122" i="37" s="1"/>
  <c r="I453" i="3" l="1"/>
  <c r="F453" i="3"/>
  <c r="I452" i="3"/>
  <c r="F452" i="3"/>
  <c r="I451" i="3"/>
  <c r="F451" i="3"/>
  <c r="I449" i="3"/>
  <c r="F449" i="3"/>
  <c r="F454" i="3" l="1"/>
  <c r="I454" i="3"/>
  <c r="I458" i="3" s="1"/>
  <c r="J459" i="3" s="1"/>
  <c r="G104" i="37"/>
  <c r="F104" i="37"/>
  <c r="E104" i="37"/>
  <c r="I104" i="37"/>
  <c r="I106" i="37"/>
  <c r="I105" i="37"/>
  <c r="I102" i="37"/>
  <c r="F66" i="18"/>
  <c r="J93" i="17"/>
  <c r="I160" i="15"/>
  <c r="I140" i="14"/>
  <c r="I138" i="14"/>
  <c r="I131" i="13"/>
  <c r="I130" i="13"/>
  <c r="I127" i="13"/>
  <c r="I262" i="11"/>
  <c r="I261" i="11"/>
  <c r="I260" i="11"/>
  <c r="I258" i="11"/>
  <c r="I124" i="6"/>
  <c r="I123" i="6"/>
  <c r="I122" i="6"/>
  <c r="I125" i="6" s="1"/>
  <c r="I120" i="6"/>
  <c r="I142" i="5"/>
  <c r="I141" i="5"/>
  <c r="I140" i="5"/>
  <c r="I143" i="5" s="1"/>
  <c r="I138" i="5"/>
  <c r="I121" i="2"/>
  <c r="I120" i="2"/>
  <c r="I119" i="2"/>
  <c r="I117" i="2"/>
  <c r="I277" i="1"/>
  <c r="I276" i="1"/>
  <c r="I275" i="1"/>
  <c r="I273" i="1"/>
  <c r="J228" i="8" l="1"/>
  <c r="I107" i="37"/>
  <c r="I110" i="37" s="1"/>
  <c r="J112" i="37" s="1"/>
  <c r="I122" i="2"/>
  <c r="I263" i="11"/>
  <c r="I278" i="1"/>
  <c r="J280" i="1" s="1"/>
  <c r="F37" i="18" l="1"/>
  <c r="D160" i="3"/>
  <c r="D159" i="3"/>
  <c r="D158" i="3"/>
  <c r="D157" i="3"/>
  <c r="D156" i="3"/>
  <c r="D16" i="5" l="1"/>
  <c r="D15" i="5"/>
  <c r="D14" i="5"/>
  <c r="D13" i="5"/>
  <c r="D12" i="5"/>
  <c r="D11" i="5"/>
  <c r="D10" i="5"/>
  <c r="F165" i="15"/>
  <c r="F164" i="15"/>
  <c r="G160" i="15"/>
  <c r="F160" i="15"/>
  <c r="D24" i="11"/>
  <c r="D23" i="11"/>
  <c r="D22" i="11"/>
  <c r="D21" i="11"/>
  <c r="D20" i="11"/>
  <c r="D19" i="11"/>
  <c r="B60" i="11" s="1"/>
  <c r="D60" i="11" s="1"/>
  <c r="G142" i="5"/>
  <c r="F142" i="5"/>
  <c r="C35" i="18" s="1"/>
  <c r="E142" i="5"/>
  <c r="G141" i="5"/>
  <c r="F141" i="5"/>
  <c r="C34" i="18" s="1"/>
  <c r="E141" i="5"/>
  <c r="G140" i="5"/>
  <c r="F140" i="5"/>
  <c r="E140" i="5"/>
  <c r="D383" i="3"/>
  <c r="D382" i="3"/>
  <c r="D381" i="3"/>
  <c r="D380" i="3"/>
  <c r="D379" i="3"/>
  <c r="D378" i="3"/>
  <c r="D366" i="3"/>
  <c r="D365" i="3"/>
  <c r="D364" i="3"/>
  <c r="D363" i="3"/>
  <c r="D362" i="3"/>
  <c r="D361" i="3"/>
  <c r="D360" i="3"/>
  <c r="D359" i="3"/>
  <c r="D358" i="3"/>
  <c r="D357" i="3"/>
  <c r="D356" i="3"/>
  <c r="D355" i="3"/>
  <c r="D354" i="3"/>
  <c r="D353" i="3"/>
  <c r="D352" i="3"/>
  <c r="D351" i="3"/>
  <c r="D350" i="3"/>
  <c r="D349" i="3"/>
  <c r="D348" i="3"/>
  <c r="D341" i="3"/>
  <c r="D340" i="3"/>
  <c r="D339" i="3"/>
  <c r="D338" i="3"/>
  <c r="D337" i="3"/>
  <c r="D336" i="3"/>
  <c r="D335" i="3"/>
  <c r="D334" i="3"/>
  <c r="D333" i="3"/>
  <c r="D332" i="3"/>
  <c r="D294" i="3"/>
  <c r="D291" i="3"/>
  <c r="D290" i="3"/>
  <c r="D289" i="3"/>
  <c r="D288" i="3"/>
  <c r="D287" i="3"/>
  <c r="D286" i="3"/>
  <c r="D285" i="3"/>
  <c r="D284" i="3"/>
  <c r="D283" i="3"/>
  <c r="D269" i="3"/>
  <c r="D268" i="3"/>
  <c r="D267" i="3"/>
  <c r="D266" i="3"/>
  <c r="D265" i="3"/>
  <c r="D264" i="3"/>
  <c r="D263" i="3"/>
  <c r="D262" i="3"/>
  <c r="D261" i="3"/>
  <c r="D260" i="3"/>
  <c r="D259" i="3"/>
  <c r="D258" i="3"/>
  <c r="D253" i="3"/>
  <c r="D203" i="3"/>
  <c r="D202" i="3"/>
  <c r="D201" i="3"/>
  <c r="D200" i="3"/>
  <c r="D199" i="3"/>
  <c r="D198" i="3"/>
  <c r="D197" i="3"/>
  <c r="D196" i="3"/>
  <c r="D195" i="3"/>
  <c r="D194" i="3"/>
  <c r="D193" i="3"/>
  <c r="D183" i="3"/>
  <c r="D182" i="3"/>
  <c r="D27" i="1"/>
  <c r="D26" i="1"/>
  <c r="D25" i="1"/>
  <c r="D24" i="1"/>
  <c r="D23" i="1"/>
  <c r="D22" i="1"/>
  <c r="D21" i="1"/>
  <c r="D252" i="3"/>
  <c r="D251" i="3"/>
  <c r="D250" i="3"/>
  <c r="D249" i="3"/>
  <c r="D248" i="3"/>
  <c r="D247" i="3"/>
  <c r="D246" i="3"/>
  <c r="D245" i="3"/>
  <c r="D244" i="3"/>
  <c r="D88" i="3"/>
  <c r="D86" i="3"/>
  <c r="D85" i="3"/>
  <c r="D83" i="3"/>
  <c r="D82" i="3"/>
  <c r="D81" i="3"/>
  <c r="D80" i="3"/>
  <c r="D79" i="3"/>
  <c r="D78" i="3"/>
  <c r="D59" i="3"/>
  <c r="D58" i="3"/>
  <c r="D57" i="3"/>
  <c r="D56" i="3"/>
  <c r="D42" i="3"/>
  <c r="D33" i="3"/>
  <c r="D32" i="3"/>
  <c r="D52" i="3"/>
  <c r="D45" i="3"/>
  <c r="D55" i="3"/>
  <c r="D54" i="3"/>
  <c r="D41" i="3"/>
  <c r="D44" i="3"/>
  <c r="D51" i="3"/>
  <c r="D43" i="3"/>
  <c r="D40" i="3"/>
  <c r="D39" i="3"/>
  <c r="D50" i="3"/>
  <c r="D49" i="3"/>
  <c r="D38" i="3"/>
  <c r="D37" i="3"/>
  <c r="D48" i="3"/>
  <c r="D36" i="3"/>
  <c r="D35" i="3"/>
  <c r="D47" i="3"/>
  <c r="D34" i="3"/>
  <c r="D46" i="3"/>
  <c r="D53" i="3"/>
  <c r="D24" i="3"/>
  <c r="D23" i="3"/>
  <c r="D22" i="3"/>
  <c r="D21" i="3"/>
  <c r="D20" i="3"/>
  <c r="D19" i="3"/>
  <c r="D18" i="3"/>
  <c r="D17" i="3"/>
  <c r="D16" i="3"/>
  <c r="D15" i="3"/>
  <c r="D14" i="3"/>
  <c r="D13" i="3"/>
  <c r="D10" i="50"/>
  <c r="D13" i="50"/>
  <c r="D15" i="50" s="1"/>
  <c r="E20" i="50"/>
  <c r="F20" i="50"/>
  <c r="G20" i="50"/>
  <c r="H20" i="50"/>
  <c r="I20" i="50"/>
  <c r="J20" i="50"/>
  <c r="E12" i="36"/>
  <c r="F12" i="36"/>
  <c r="G12" i="36"/>
  <c r="H12" i="36"/>
  <c r="I12" i="36"/>
  <c r="I19" i="50" s="1"/>
  <c r="E16" i="36"/>
  <c r="E18" i="36" s="1"/>
  <c r="F16" i="36"/>
  <c r="F18" i="36" s="1"/>
  <c r="G16" i="36"/>
  <c r="G18" i="36" s="1"/>
  <c r="H16" i="36"/>
  <c r="H18" i="36" s="1"/>
  <c r="I16" i="36"/>
  <c r="I18" i="36" s="1"/>
  <c r="D7" i="37"/>
  <c r="D9" i="37" s="1"/>
  <c r="D12" i="37"/>
  <c r="B44" i="37" s="1"/>
  <c r="D44" i="37" s="1"/>
  <c r="D15" i="37"/>
  <c r="D17" i="37" s="1"/>
  <c r="B22" i="37" s="1"/>
  <c r="D29" i="37"/>
  <c r="D32" i="37"/>
  <c r="D33" i="37"/>
  <c r="D37" i="37"/>
  <c r="D40" i="37"/>
  <c r="D49" i="37"/>
  <c r="D50" i="37"/>
  <c r="B51" i="37"/>
  <c r="D51" i="37" s="1"/>
  <c r="D52" i="37"/>
  <c r="D81" i="37"/>
  <c r="B100" i="37"/>
  <c r="C100" i="37"/>
  <c r="D100" i="37"/>
  <c r="E102" i="37"/>
  <c r="F102" i="37"/>
  <c r="G102" i="37"/>
  <c r="F105" i="37"/>
  <c r="G105" i="37"/>
  <c r="F107" i="37"/>
  <c r="G106" i="37"/>
  <c r="B68" i="18"/>
  <c r="F68" i="18"/>
  <c r="B66" i="18"/>
  <c r="B69" i="18" s="1"/>
  <c r="C66" i="18"/>
  <c r="C69" i="18" s="1"/>
  <c r="D66" i="18"/>
  <c r="D69" i="18" s="1"/>
  <c r="E66" i="18"/>
  <c r="E69" i="18" s="1"/>
  <c r="F69" i="18"/>
  <c r="G69" i="18"/>
  <c r="G68" i="18"/>
  <c r="H68" i="18"/>
  <c r="H69" i="18"/>
  <c r="H70" i="18"/>
  <c r="E7" i="17"/>
  <c r="E9" i="17" s="1"/>
  <c r="D7" i="16"/>
  <c r="D8" i="16"/>
  <c r="D12" i="16"/>
  <c r="D13" i="16"/>
  <c r="D14" i="16"/>
  <c r="D20" i="16"/>
  <c r="D22" i="16" s="1"/>
  <c r="D25" i="16"/>
  <c r="D26" i="16"/>
  <c r="D27" i="16"/>
  <c r="D28" i="16"/>
  <c r="C32" i="16"/>
  <c r="D32" i="16" s="1"/>
  <c r="D39" i="16"/>
  <c r="D42" i="16"/>
  <c r="D43" i="16"/>
  <c r="D44" i="16" s="1"/>
  <c r="D7" i="15"/>
  <c r="D9" i="15" s="1"/>
  <c r="D12" i="15"/>
  <c r="D13" i="15"/>
  <c r="B57" i="15" s="1"/>
  <c r="D57" i="15" s="1"/>
  <c r="D18" i="15"/>
  <c r="B30" i="15" s="1"/>
  <c r="D30" i="15" s="1"/>
  <c r="E160" i="15"/>
  <c r="D21" i="15"/>
  <c r="D22" i="15"/>
  <c r="D41" i="15"/>
  <c r="D44" i="15"/>
  <c r="D45" i="15"/>
  <c r="D49" i="15"/>
  <c r="D52" i="15"/>
  <c r="D63" i="15"/>
  <c r="D64" i="15"/>
  <c r="D65" i="15"/>
  <c r="D67" i="15"/>
  <c r="E165" i="15"/>
  <c r="D7" i="11"/>
  <c r="D9" i="11" s="1"/>
  <c r="B32" i="11" s="1"/>
  <c r="D32" i="11" s="1"/>
  <c r="D13" i="11"/>
  <c r="D15" i="11" s="1"/>
  <c r="D25" i="11"/>
  <c r="D26" i="11"/>
  <c r="B61" i="11" s="1"/>
  <c r="D61" i="11" s="1"/>
  <c r="B35" i="11"/>
  <c r="D35" i="11" s="1"/>
  <c r="D44" i="11"/>
  <c r="D47" i="11"/>
  <c r="D48" i="11"/>
  <c r="D52" i="11"/>
  <c r="D55" i="11"/>
  <c r="D67" i="11"/>
  <c r="D68" i="11"/>
  <c r="D69" i="11"/>
  <c r="D71" i="11"/>
  <c r="E33" i="18"/>
  <c r="E37" i="18" s="1"/>
  <c r="D7" i="5"/>
  <c r="B34" i="5" s="1"/>
  <c r="C18" i="5"/>
  <c r="D18" i="5" s="1"/>
  <c r="C22" i="5"/>
  <c r="D22" i="5" s="1"/>
  <c r="B70" i="5" s="1"/>
  <c r="D25" i="5"/>
  <c r="B78" i="5" s="1"/>
  <c r="D78" i="5" s="1"/>
  <c r="D26" i="5"/>
  <c r="D47" i="5"/>
  <c r="D48" i="5"/>
  <c r="D52" i="5"/>
  <c r="D53" i="5"/>
  <c r="D54" i="5"/>
  <c r="D58" i="5"/>
  <c r="D59" i="5"/>
  <c r="D63" i="5"/>
  <c r="D64" i="5"/>
  <c r="D76" i="5"/>
  <c r="D77" i="5"/>
  <c r="D88" i="5"/>
  <c r="D89" i="5"/>
  <c r="C90" i="5"/>
  <c r="E138" i="5"/>
  <c r="F138" i="5"/>
  <c r="G138" i="5"/>
  <c r="D7" i="3"/>
  <c r="D9" i="3" s="1"/>
  <c r="B146" i="3" s="1"/>
  <c r="D146" i="3" s="1"/>
  <c r="D12" i="3"/>
  <c r="B67" i="3"/>
  <c r="D77" i="3"/>
  <c r="B93" i="3"/>
  <c r="D123" i="3"/>
  <c r="D124" i="3"/>
  <c r="D125" i="3"/>
  <c r="D129" i="3"/>
  <c r="D130" i="3"/>
  <c r="D131" i="3"/>
  <c r="D135" i="3"/>
  <c r="D136" i="3"/>
  <c r="D137" i="3"/>
  <c r="D141" i="3"/>
  <c r="D142" i="3"/>
  <c r="D155" i="3"/>
  <c r="D168" i="3"/>
  <c r="D176" i="3"/>
  <c r="D179" i="3"/>
  <c r="D180" i="3"/>
  <c r="D181" i="3"/>
  <c r="D192" i="3"/>
  <c r="D209" i="3"/>
  <c r="D217" i="3"/>
  <c r="D223" i="3"/>
  <c r="D232" i="3"/>
  <c r="D235" i="3"/>
  <c r="D236" i="3"/>
  <c r="D242" i="3"/>
  <c r="D243" i="3"/>
  <c r="D257" i="3"/>
  <c r="D276" i="3"/>
  <c r="D277" i="3"/>
  <c r="D282" i="3"/>
  <c r="D303" i="3"/>
  <c r="D310" i="3"/>
  <c r="D311" i="3"/>
  <c r="D312" i="3"/>
  <c r="D321" i="3"/>
  <c r="D324" i="3"/>
  <c r="D325" i="3"/>
  <c r="D331" i="3"/>
  <c r="D346" i="3"/>
  <c r="D347" i="3"/>
  <c r="D370" i="3"/>
  <c r="D377" i="3"/>
  <c r="D387" i="3"/>
  <c r="D390" i="3"/>
  <c r="D392" i="3" s="1"/>
  <c r="D401" i="3"/>
  <c r="D411" i="3"/>
  <c r="D412" i="3"/>
  <c r="D417" i="3"/>
  <c r="D418" i="3"/>
  <c r="D422" i="3"/>
  <c r="D423" i="3"/>
  <c r="D430" i="3"/>
  <c r="E449" i="3"/>
  <c r="E451" i="3"/>
  <c r="E452" i="3"/>
  <c r="E453" i="3"/>
  <c r="D7" i="2"/>
  <c r="D9" i="2" s="1"/>
  <c r="B40" i="2" s="1"/>
  <c r="D40" i="2" s="1"/>
  <c r="D12" i="2"/>
  <c r="D13" i="2"/>
  <c r="D27" i="2"/>
  <c r="D30" i="2"/>
  <c r="D31" i="2"/>
  <c r="D32" i="2"/>
  <c r="D34" i="2"/>
  <c r="D37" i="2"/>
  <c r="D45" i="2"/>
  <c r="D46" i="2"/>
  <c r="E117" i="2"/>
  <c r="F117" i="2"/>
  <c r="G117" i="2"/>
  <c r="E119" i="2"/>
  <c r="F119" i="2"/>
  <c r="G119" i="2"/>
  <c r="E120" i="2"/>
  <c r="F120" i="2"/>
  <c r="G120" i="2"/>
  <c r="E121" i="2"/>
  <c r="F121" i="2"/>
  <c r="G121" i="2"/>
  <c r="D7" i="1"/>
  <c r="D8" i="1"/>
  <c r="D9" i="1"/>
  <c r="D13" i="1"/>
  <c r="B42" i="1" s="1"/>
  <c r="D14" i="1"/>
  <c r="D15" i="1"/>
  <c r="D16" i="1"/>
  <c r="D32" i="1"/>
  <c r="D33" i="1"/>
  <c r="D34" i="1" s="1"/>
  <c r="B76" i="1" s="1"/>
  <c r="B85" i="1" s="1"/>
  <c r="B53" i="1"/>
  <c r="D53" i="1" s="1"/>
  <c r="D59" i="1"/>
  <c r="D62" i="1"/>
  <c r="D63" i="1"/>
  <c r="D67" i="1"/>
  <c r="D70" i="1"/>
  <c r="D82" i="1"/>
  <c r="D83" i="1"/>
  <c r="D84" i="1"/>
  <c r="D93" i="1"/>
  <c r="B108" i="1"/>
  <c r="C108" i="1"/>
  <c r="B113" i="1"/>
  <c r="C113" i="1"/>
  <c r="D113" i="1"/>
  <c r="B119" i="1"/>
  <c r="C119" i="1"/>
  <c r="D119" i="1"/>
  <c r="B128" i="1"/>
  <c r="C128" i="1"/>
  <c r="B133" i="1"/>
  <c r="C133" i="1"/>
  <c r="E276" i="1"/>
  <c r="B142" i="1"/>
  <c r="C142" i="1"/>
  <c r="D142" i="1"/>
  <c r="B149" i="1"/>
  <c r="C149" i="1"/>
  <c r="B156" i="1"/>
  <c r="C156" i="1"/>
  <c r="D156" i="1"/>
  <c r="B161" i="1"/>
  <c r="C161" i="1"/>
  <c r="D161" i="1"/>
  <c r="B175" i="1"/>
  <c r="C175" i="1"/>
  <c r="D175" i="1"/>
  <c r="B183" i="1"/>
  <c r="C183" i="1"/>
  <c r="D183" i="1"/>
  <c r="B192" i="1"/>
  <c r="C192" i="1"/>
  <c r="D192" i="1"/>
  <c r="B207" i="1"/>
  <c r="B210" i="1" s="1"/>
  <c r="B212" i="1" s="1"/>
  <c r="D207" i="1"/>
  <c r="D210" i="1" s="1"/>
  <c r="D212" i="1" s="1"/>
  <c r="C207" i="1"/>
  <c r="C210" i="1" s="1"/>
  <c r="C212" i="1" s="1"/>
  <c r="B217" i="1"/>
  <c r="C217" i="1"/>
  <c r="D217" i="1"/>
  <c r="B225" i="1"/>
  <c r="B236" i="1" s="1"/>
  <c r="C225" i="1"/>
  <c r="D225" i="1"/>
  <c r="D226" i="1"/>
  <c r="D227" i="1"/>
  <c r="B247" i="1"/>
  <c r="C247" i="1"/>
  <c r="D247" i="1"/>
  <c r="B261" i="1"/>
  <c r="B265" i="1" s="1"/>
  <c r="C261" i="1"/>
  <c r="C265" i="1" s="1"/>
  <c r="D261" i="1"/>
  <c r="D265" i="1" s="1"/>
  <c r="B271" i="1"/>
  <c r="C271" i="1"/>
  <c r="D271" i="1"/>
  <c r="E273" i="1"/>
  <c r="G273" i="1"/>
  <c r="E275" i="1"/>
  <c r="G275" i="1"/>
  <c r="G276" i="1"/>
  <c r="E277" i="1"/>
  <c r="B35" i="18" s="1"/>
  <c r="G277" i="1"/>
  <c r="G70" i="18"/>
  <c r="C68" i="18"/>
  <c r="D68" i="18"/>
  <c r="B39" i="11"/>
  <c r="D39" i="11" s="1"/>
  <c r="D55" i="5"/>
  <c r="D34" i="5"/>
  <c r="B68" i="5"/>
  <c r="D68" i="5" s="1"/>
  <c r="D90" i="5"/>
  <c r="D60" i="5"/>
  <c r="D70" i="5"/>
  <c r="B36" i="5"/>
  <c r="D36" i="5" s="1"/>
  <c r="D9" i="16" l="1"/>
  <c r="D46" i="15"/>
  <c r="D65" i="5"/>
  <c r="C33" i="18"/>
  <c r="B34" i="18"/>
  <c r="D49" i="5"/>
  <c r="C31" i="18"/>
  <c r="B42" i="5"/>
  <c r="D42" i="5" s="1"/>
  <c r="D19" i="5"/>
  <c r="B43" i="5" s="1"/>
  <c r="D43" i="5" s="1"/>
  <c r="B31" i="18"/>
  <c r="E19" i="50" s="1"/>
  <c r="C27" i="3"/>
  <c r="D27" i="3" s="1"/>
  <c r="D29" i="3" s="1"/>
  <c r="C66" i="3"/>
  <c r="E31" i="18"/>
  <c r="L37" i="18" s="1"/>
  <c r="D14" i="2"/>
  <c r="B23" i="2" s="1"/>
  <c r="D23" i="2" s="1"/>
  <c r="D64" i="1"/>
  <c r="D29" i="1"/>
  <c r="B44" i="1" s="1"/>
  <c r="D44" i="1" s="1"/>
  <c r="D18" i="1"/>
  <c r="B74" i="1" s="1"/>
  <c r="D74" i="1" s="1"/>
  <c r="B43" i="1"/>
  <c r="D43" i="1" s="1"/>
  <c r="D79" i="5"/>
  <c r="D47" i="2"/>
  <c r="D236" i="1"/>
  <c r="F143" i="5"/>
  <c r="D373" i="3"/>
  <c r="D396" i="3"/>
  <c r="D278" i="3"/>
  <c r="D326" i="3"/>
  <c r="D313" i="3"/>
  <c r="C60" i="3"/>
  <c r="C92" i="3" s="1"/>
  <c r="C95" i="3" s="1"/>
  <c r="D95" i="3" s="1"/>
  <c r="D295" i="3"/>
  <c r="D413" i="3"/>
  <c r="D384" i="3"/>
  <c r="D407" i="3"/>
  <c r="D188" i="3"/>
  <c r="D89" i="3"/>
  <c r="B110" i="3" s="1"/>
  <c r="D110" i="3" s="1"/>
  <c r="D342" i="3"/>
  <c r="C31" i="5"/>
  <c r="D31" i="5" s="1"/>
  <c r="B35" i="5"/>
  <c r="D35" i="5" s="1"/>
  <c r="D34" i="37"/>
  <c r="I112" i="37"/>
  <c r="G107" i="37"/>
  <c r="G122" i="2"/>
  <c r="D53" i="37"/>
  <c r="D10" i="1"/>
  <c r="E107" i="37"/>
  <c r="E143" i="5"/>
  <c r="C236" i="1"/>
  <c r="B70" i="18"/>
  <c r="F167" i="15"/>
  <c r="G143" i="5"/>
  <c r="E122" i="2"/>
  <c r="F122" i="2"/>
  <c r="D27" i="11"/>
  <c r="B34" i="11" s="1"/>
  <c r="D34" i="11" s="1"/>
  <c r="D49" i="11"/>
  <c r="D63" i="11"/>
  <c r="B62" i="11"/>
  <c r="D62" i="11" s="1"/>
  <c r="B70" i="11"/>
  <c r="D70" i="11" s="1"/>
  <c r="D72" i="11" s="1"/>
  <c r="D17" i="16"/>
  <c r="B37" i="15"/>
  <c r="D37" i="15" s="1"/>
  <c r="B58" i="15"/>
  <c r="D58" i="15" s="1"/>
  <c r="D15" i="15"/>
  <c r="B56" i="15" s="1"/>
  <c r="D56" i="15" s="1"/>
  <c r="B55" i="15"/>
  <c r="D55" i="15" s="1"/>
  <c r="B28" i="15"/>
  <c r="D28" i="15" s="1"/>
  <c r="B35" i="15"/>
  <c r="D35" i="15" s="1"/>
  <c r="B58" i="11"/>
  <c r="D58" i="11" s="1"/>
  <c r="B45" i="1"/>
  <c r="D45" i="1" s="1"/>
  <c r="C37" i="1"/>
  <c r="D37" i="1" s="1"/>
  <c r="B41" i="2"/>
  <c r="D41" i="2" s="1"/>
  <c r="D42" i="2" s="1"/>
  <c r="B18" i="2"/>
  <c r="D18" i="2" s="1"/>
  <c r="B17" i="2"/>
  <c r="D138" i="3"/>
  <c r="H229" i="8"/>
  <c r="I228" i="8"/>
  <c r="G278" i="1"/>
  <c r="D132" i="3"/>
  <c r="D270" i="3"/>
  <c r="D425" i="3"/>
  <c r="D254" i="3"/>
  <c r="D204" i="3"/>
  <c r="D237" i="3"/>
  <c r="D419" i="3"/>
  <c r="D143" i="3"/>
  <c r="E454" i="3"/>
  <c r="B106" i="3"/>
  <c r="B115" i="3" s="1"/>
  <c r="D115" i="3" s="1"/>
  <c r="D126" i="3"/>
  <c r="D367" i="3"/>
  <c r="I459" i="3"/>
  <c r="D76" i="1"/>
  <c r="D85" i="1"/>
  <c r="B45" i="37"/>
  <c r="D45" i="37" s="1"/>
  <c r="D22" i="37"/>
  <c r="D41" i="1"/>
  <c r="D42" i="1"/>
  <c r="B51" i="1"/>
  <c r="D51" i="1" s="1"/>
  <c r="B66" i="15"/>
  <c r="D66" i="15" s="1"/>
  <c r="D68" i="15" s="1"/>
  <c r="D23" i="15"/>
  <c r="C15" i="17"/>
  <c r="E15" i="17" s="1"/>
  <c r="C12" i="17"/>
  <c r="E12" i="17" s="1"/>
  <c r="B26" i="37"/>
  <c r="D26" i="37" s="1"/>
  <c r="B43" i="37"/>
  <c r="D43" i="37" s="1"/>
  <c r="B20" i="37"/>
  <c r="D20" i="37" s="1"/>
  <c r="F70" i="18"/>
  <c r="B33" i="11"/>
  <c r="B40" i="11"/>
  <c r="D40" i="11" s="1"/>
  <c r="D41" i="11" s="1"/>
  <c r="D70" i="18"/>
  <c r="E68" i="18"/>
  <c r="E70" i="18" s="1"/>
  <c r="D29" i="16"/>
  <c r="C70" i="18"/>
  <c r="B135" i="60"/>
  <c r="D135" i="60" s="1"/>
  <c r="B136" i="60"/>
  <c r="D136" i="60" s="1"/>
  <c r="D27" i="5"/>
  <c r="I280" i="1"/>
  <c r="D66" i="3"/>
  <c r="E164" i="15"/>
  <c r="B33" i="18" s="1"/>
  <c r="B21" i="37"/>
  <c r="D21" i="37" s="1"/>
  <c r="E278" i="1"/>
  <c r="D44" i="5" l="1"/>
  <c r="B69" i="5"/>
  <c r="D69" i="5" s="1"/>
  <c r="D72" i="5"/>
  <c r="B72" i="5"/>
  <c r="H19" i="50"/>
  <c r="B75" i="1"/>
  <c r="D75" i="1" s="1"/>
  <c r="B54" i="1"/>
  <c r="D54" i="1" s="1"/>
  <c r="B55" i="1"/>
  <c r="D55" i="1" s="1"/>
  <c r="B77" i="1"/>
  <c r="D77" i="1" s="1"/>
  <c r="B107" i="3"/>
  <c r="B116" i="3" s="1"/>
  <c r="D116" i="3" s="1"/>
  <c r="G453" i="3"/>
  <c r="D35" i="18" s="1"/>
  <c r="D60" i="3"/>
  <c r="D63" i="3" s="1"/>
  <c r="B108" i="3" s="1"/>
  <c r="B150" i="3"/>
  <c r="D150" i="3" s="1"/>
  <c r="B161" i="3"/>
  <c r="D161" i="3" s="1"/>
  <c r="D162" i="3" s="1"/>
  <c r="G452" i="3"/>
  <c r="D34" i="18" s="1"/>
  <c r="B38" i="5"/>
  <c r="D38" i="5" s="1"/>
  <c r="E143" i="60"/>
  <c r="B81" i="1"/>
  <c r="D81" i="1" s="1"/>
  <c r="D86" i="1" s="1"/>
  <c r="B50" i="1"/>
  <c r="D50" i="1" s="1"/>
  <c r="B73" i="1"/>
  <c r="D73" i="1" s="1"/>
  <c r="B40" i="1"/>
  <c r="D40" i="1" s="1"/>
  <c r="B46" i="1"/>
  <c r="D46" i="1" s="1"/>
  <c r="I230" i="8"/>
  <c r="J230" i="8"/>
  <c r="B29" i="15"/>
  <c r="D29" i="15" s="1"/>
  <c r="B36" i="15"/>
  <c r="D36" i="15" s="1"/>
  <c r="D38" i="15" s="1"/>
  <c r="B52" i="1"/>
  <c r="D52" i="1" s="1"/>
  <c r="B147" i="3"/>
  <c r="D147" i="3" s="1"/>
  <c r="D17" i="2"/>
  <c r="D19" i="2" s="1"/>
  <c r="B22" i="2"/>
  <c r="D22" i="2" s="1"/>
  <c r="D24" i="2" s="1"/>
  <c r="D106" i="3"/>
  <c r="G37" i="18"/>
  <c r="N37" i="18" s="1"/>
  <c r="C73" i="3"/>
  <c r="D73" i="3" s="1"/>
  <c r="C67" i="3"/>
  <c r="C72" i="3"/>
  <c r="D72" i="3" s="1"/>
  <c r="C94" i="3"/>
  <c r="D94" i="3" s="1"/>
  <c r="C93" i="3"/>
  <c r="D92" i="3"/>
  <c r="C98" i="3"/>
  <c r="C100" i="3"/>
  <c r="D100" i="3" s="1"/>
  <c r="D46" i="37"/>
  <c r="E167" i="15"/>
  <c r="B37" i="18"/>
  <c r="I37" i="18" s="1"/>
  <c r="M37" i="18"/>
  <c r="B37" i="5"/>
  <c r="D37" i="5" s="1"/>
  <c r="D39" i="5" s="1"/>
  <c r="B71" i="5"/>
  <c r="D71" i="5" s="1"/>
  <c r="F19" i="50"/>
  <c r="C37" i="18"/>
  <c r="B31" i="15"/>
  <c r="D31" i="15" s="1"/>
  <c r="B59" i="15"/>
  <c r="D59" i="15" s="1"/>
  <c r="D60" i="15" s="1"/>
  <c r="D33" i="11"/>
  <c r="D36" i="11" s="1"/>
  <c r="B59" i="11"/>
  <c r="D59" i="11" s="1"/>
  <c r="D64" i="11" s="1"/>
  <c r="D23" i="37"/>
  <c r="D73" i="5" l="1"/>
  <c r="D98" i="3"/>
  <c r="C99" i="3"/>
  <c r="C68" i="3"/>
  <c r="D68" i="3" s="1"/>
  <c r="D56" i="1"/>
  <c r="D78" i="1"/>
  <c r="D107" i="3"/>
  <c r="B148" i="3"/>
  <c r="D148" i="3" s="1"/>
  <c r="D47" i="1"/>
  <c r="D32" i="15"/>
  <c r="D67" i="3"/>
  <c r="C69" i="3"/>
  <c r="B117" i="3"/>
  <c r="D117" i="3" s="1"/>
  <c r="D108" i="3"/>
  <c r="C101" i="3"/>
  <c r="D93" i="3"/>
  <c r="C97" i="3"/>
  <c r="D97" i="3" s="1"/>
  <c r="J37" i="18"/>
  <c r="D101" i="3" l="1"/>
  <c r="C102" i="3"/>
  <c r="D102" i="3" s="1"/>
  <c r="D69" i="3"/>
  <c r="C70" i="3"/>
  <c r="D70" i="3" s="1"/>
  <c r="D103" i="3" l="1"/>
  <c r="B111" i="3" s="1"/>
  <c r="D111" i="3" s="1"/>
  <c r="C71" i="3"/>
  <c r="D71" i="3" s="1"/>
  <c r="B119" i="3" l="1"/>
  <c r="B151" i="3" s="1"/>
  <c r="D151" i="3" s="1"/>
  <c r="D74" i="3"/>
  <c r="B109" i="3" l="1"/>
  <c r="B118" i="3" s="1"/>
  <c r="D119" i="3"/>
  <c r="D109" i="3" l="1"/>
  <c r="D112" i="3" s="1"/>
  <c r="G449" i="3" s="1"/>
  <c r="D31" i="18" s="1"/>
  <c r="D118" i="3"/>
  <c r="D120" i="3" s="1"/>
  <c r="B149" i="3"/>
  <c r="D149" i="3" s="1"/>
  <c r="D152" i="3" s="1"/>
  <c r="G451" i="3" l="1"/>
  <c r="D33" i="18" s="1"/>
  <c r="D37" i="18" l="1"/>
  <c r="K37" i="18" s="1"/>
  <c r="G454" i="3"/>
  <c r="G19" i="50"/>
</calcChain>
</file>

<file path=xl/comments1.xml><?xml version="1.0" encoding="utf-8"?>
<comments xmlns="http://schemas.openxmlformats.org/spreadsheetml/2006/main">
  <authors>
    <author>Mike Currier</author>
  </authors>
  <commentList>
    <comment ref="D16" authorId="0">
      <text>
        <r>
          <rPr>
            <b/>
            <sz val="9"/>
            <color indexed="81"/>
            <rFont val="Tahoma"/>
            <family val="2"/>
          </rPr>
          <t>Mike Currier:</t>
        </r>
        <r>
          <rPr>
            <sz val="9"/>
            <color indexed="81"/>
            <rFont val="Tahoma"/>
            <family val="2"/>
          </rPr>
          <t xml:space="preserve">
Add new position to accomidate for the number of EMS calls that need administrative actions and the need for training for the department.</t>
        </r>
      </text>
    </comment>
    <comment ref="D27" authorId="0">
      <text>
        <r>
          <rPr>
            <b/>
            <sz val="9"/>
            <color indexed="81"/>
            <rFont val="Tahoma"/>
            <family val="2"/>
          </rPr>
          <t>Mike Currier:</t>
        </r>
        <r>
          <rPr>
            <sz val="9"/>
            <color indexed="81"/>
            <rFont val="Tahoma"/>
            <family val="2"/>
          </rPr>
          <t xml:space="preserve">
Added 1 for the Admin Officer position</t>
        </r>
      </text>
    </comment>
    <comment ref="C32" authorId="0">
      <text>
        <r>
          <rPr>
            <b/>
            <sz val="9"/>
            <color indexed="81"/>
            <rFont val="Tahoma"/>
            <family val="2"/>
          </rPr>
          <t>Mike Currier:</t>
        </r>
        <r>
          <rPr>
            <sz val="9"/>
            <color indexed="81"/>
            <rFont val="Tahoma"/>
            <family val="2"/>
          </rPr>
          <t xml:space="preserve">
Chris will be a Firefighter Paramedic and Off probation the pay should read 1,095, Made the change in the budget from 1,006</t>
        </r>
      </text>
    </comment>
    <comment ref="C43" authorId="0">
      <text>
        <r>
          <rPr>
            <b/>
            <sz val="10"/>
            <color indexed="81"/>
            <rFont val="Tahoma"/>
            <family val="2"/>
          </rPr>
          <t>Mike Currier:
Nate will be a Firefighter Paramedic in January 2018 so his pay should be adjusted to reflect.  He was one of the first to complete our inhouse Paramedic Program.    1,095 I made changes in the line item.</t>
        </r>
      </text>
    </comment>
    <comment ref="C57" authorId="0">
      <text>
        <r>
          <rPr>
            <b/>
            <sz val="11"/>
            <color indexed="81"/>
            <rFont val="Tahoma"/>
            <family val="2"/>
          </rPr>
          <t>Mike Currier:
Ryan will be a 30 month Master Firefighter and should be at 1,180.  Adjusted the number in the line item</t>
        </r>
      </text>
    </comment>
    <comment ref="D68" authorId="0">
      <text>
        <r>
          <rPr>
            <b/>
            <sz val="9"/>
            <color indexed="81"/>
            <rFont val="Tahoma"/>
            <family val="2"/>
          </rPr>
          <t>Mike Currier:</t>
        </r>
        <r>
          <rPr>
            <sz val="9"/>
            <color indexed="81"/>
            <rFont val="Tahoma"/>
            <family val="2"/>
          </rPr>
          <t xml:space="preserve">
</t>
        </r>
        <r>
          <rPr>
            <b/>
            <sz val="9"/>
            <color indexed="81"/>
            <rFont val="Tahoma"/>
            <family val="2"/>
          </rPr>
          <t>Added 600 hours to the overtime due to delegating projects from Chief, Assistant Chief to the Captains and Lieutenants.  This is needed because with the added projects there is in many cases not enough time to complete the projects on shift.</t>
        </r>
      </text>
    </comment>
    <comment ref="B107" authorId="0">
      <text>
        <r>
          <rPr>
            <b/>
            <sz val="9"/>
            <color indexed="81"/>
            <rFont val="Tahoma"/>
            <family val="2"/>
          </rPr>
          <t>Mike Currier:</t>
        </r>
        <r>
          <rPr>
            <sz val="9"/>
            <color indexed="81"/>
            <rFont val="Tahoma"/>
            <family val="2"/>
          </rPr>
          <t xml:space="preserve">
Added Admin Officer</t>
        </r>
      </text>
    </comment>
    <comment ref="B116" authorId="0">
      <text>
        <r>
          <rPr>
            <b/>
            <sz val="9"/>
            <color indexed="81"/>
            <rFont val="Tahoma"/>
            <family val="2"/>
          </rPr>
          <t>Mike Currier:</t>
        </r>
        <r>
          <rPr>
            <sz val="9"/>
            <color indexed="81"/>
            <rFont val="Tahoma"/>
            <family val="2"/>
          </rPr>
          <t xml:space="preserve">
Added Admin Officer</t>
        </r>
      </text>
    </comment>
    <comment ref="B124" authorId="0">
      <text>
        <r>
          <rPr>
            <b/>
            <sz val="9"/>
            <color indexed="81"/>
            <rFont val="Tahoma"/>
            <family val="2"/>
          </rPr>
          <t>Mike Currier:</t>
        </r>
        <r>
          <rPr>
            <sz val="9"/>
            <color indexed="81"/>
            <rFont val="Tahoma"/>
            <family val="2"/>
          </rPr>
          <t xml:space="preserve">
Added Admin Officer</t>
        </r>
      </text>
    </comment>
    <comment ref="B129" authorId="0">
      <text>
        <r>
          <rPr>
            <b/>
            <sz val="9"/>
            <color indexed="81"/>
            <rFont val="Tahoma"/>
            <family val="2"/>
          </rPr>
          <t>Mike Currier:</t>
        </r>
        <r>
          <rPr>
            <sz val="9"/>
            <color indexed="81"/>
            <rFont val="Tahoma"/>
            <family val="2"/>
          </rPr>
          <t xml:space="preserve">
Added Admin Officer</t>
        </r>
      </text>
    </comment>
    <comment ref="B136" authorId="0">
      <text>
        <r>
          <rPr>
            <b/>
            <sz val="9"/>
            <color indexed="81"/>
            <rFont val="Tahoma"/>
            <family val="2"/>
          </rPr>
          <t>Mike Currier:</t>
        </r>
        <r>
          <rPr>
            <sz val="9"/>
            <color indexed="81"/>
            <rFont val="Tahoma"/>
            <family val="2"/>
          </rPr>
          <t xml:space="preserve">
Added Admin Officer</t>
        </r>
      </text>
    </comment>
    <comment ref="B142" authorId="0">
      <text>
        <r>
          <rPr>
            <b/>
            <sz val="9"/>
            <color indexed="81"/>
            <rFont val="Tahoma"/>
            <family val="2"/>
          </rPr>
          <t>Mike Currier:</t>
        </r>
        <r>
          <rPr>
            <sz val="9"/>
            <color indexed="81"/>
            <rFont val="Tahoma"/>
            <family val="2"/>
          </rPr>
          <t xml:space="preserve">
Added Admin Officer</t>
        </r>
      </text>
    </comment>
    <comment ref="B147" authorId="0">
      <text>
        <r>
          <rPr>
            <b/>
            <sz val="9"/>
            <color indexed="81"/>
            <rFont val="Tahoma"/>
            <family val="2"/>
          </rPr>
          <t>Mike Currier:</t>
        </r>
        <r>
          <rPr>
            <sz val="9"/>
            <color indexed="81"/>
            <rFont val="Tahoma"/>
            <family val="2"/>
          </rPr>
          <t xml:space="preserve">
Added Admin Officer</t>
        </r>
      </text>
    </comment>
    <comment ref="B156" authorId="0">
      <text>
        <r>
          <rPr>
            <b/>
            <sz val="9"/>
            <color indexed="81"/>
            <rFont val="Tahoma"/>
            <family val="2"/>
          </rPr>
          <t>Mike Currier:</t>
        </r>
        <r>
          <rPr>
            <sz val="9"/>
            <color indexed="81"/>
            <rFont val="Tahoma"/>
            <family val="2"/>
          </rPr>
          <t xml:space="preserve">
Added Admin Officer</t>
        </r>
      </text>
    </comment>
    <comment ref="D182" authorId="0">
      <text>
        <r>
          <rPr>
            <b/>
            <sz val="9"/>
            <color indexed="81"/>
            <rFont val="Tahoma"/>
            <family val="2"/>
          </rPr>
          <t>Mike Currier:</t>
        </r>
        <r>
          <rPr>
            <sz val="9"/>
            <color indexed="81"/>
            <rFont val="Tahoma"/>
            <family val="2"/>
          </rPr>
          <t xml:space="preserve">
Cost increase and added usage of this equipment due to ALS calls</t>
        </r>
      </text>
    </comment>
    <comment ref="D184" authorId="0">
      <text>
        <r>
          <rPr>
            <b/>
            <sz val="9"/>
            <color indexed="81"/>
            <rFont val="Tahoma"/>
            <family val="2"/>
          </rPr>
          <t>Mike Currier:</t>
        </r>
        <r>
          <rPr>
            <sz val="9"/>
            <color indexed="81"/>
            <rFont val="Tahoma"/>
            <family val="2"/>
          </rPr>
          <t xml:space="preserve">
Added to the budget, equipment not replaced by Hospital</t>
        </r>
      </text>
    </comment>
    <comment ref="D185" authorId="0">
      <text>
        <r>
          <rPr>
            <b/>
            <sz val="9"/>
            <color indexed="81"/>
            <rFont val="Tahoma"/>
            <family val="2"/>
          </rPr>
          <t>Mike Currier:</t>
        </r>
        <r>
          <rPr>
            <sz val="9"/>
            <color indexed="81"/>
            <rFont val="Tahoma"/>
            <family val="2"/>
          </rPr>
          <t xml:space="preserve">
Replace broken units per year</t>
        </r>
      </text>
    </comment>
    <comment ref="C197" authorId="0">
      <text>
        <r>
          <rPr>
            <b/>
            <sz val="9"/>
            <color indexed="81"/>
            <rFont val="Tahoma"/>
            <family val="2"/>
          </rPr>
          <t>Mike Currier:</t>
        </r>
        <r>
          <rPr>
            <sz val="9"/>
            <color indexed="81"/>
            <rFont val="Tahoma"/>
            <family val="2"/>
          </rPr>
          <t xml:space="preserve">
added to budget due to Union Contract requirements and the number of full time employees added this year that will be off probation during this budget cycle.
This will taken out of the budget next cycle</t>
        </r>
      </text>
    </comment>
    <comment ref="C198" authorId="0">
      <text>
        <r>
          <rPr>
            <b/>
            <sz val="9"/>
            <color indexed="81"/>
            <rFont val="Tahoma"/>
            <family val="2"/>
          </rPr>
          <t>Mike Currier:</t>
        </r>
        <r>
          <rPr>
            <sz val="9"/>
            <color indexed="81"/>
            <rFont val="Tahoma"/>
            <family val="2"/>
          </rPr>
          <t xml:space="preserve">
We have exhausted our supply of protective clothing and will need to replace 12 primary sets of gear next year.</t>
        </r>
      </text>
    </comment>
    <comment ref="C199" authorId="0">
      <text>
        <r>
          <rPr>
            <b/>
            <sz val="9"/>
            <color indexed="81"/>
            <rFont val="Tahoma"/>
            <family val="2"/>
          </rPr>
          <t>Mike Currier:</t>
        </r>
        <r>
          <rPr>
            <sz val="9"/>
            <color indexed="81"/>
            <rFont val="Tahoma"/>
            <family val="2"/>
          </rPr>
          <t xml:space="preserve">
Firefighter initial uniform allocation required by Union Contract.</t>
        </r>
      </text>
    </comment>
    <comment ref="D302" authorId="0">
      <text>
        <r>
          <rPr>
            <b/>
            <sz val="9"/>
            <color indexed="81"/>
            <rFont val="Tahoma"/>
            <family val="2"/>
          </rPr>
          <t>Mike Currier:</t>
        </r>
        <r>
          <rPr>
            <sz val="9"/>
            <color indexed="81"/>
            <rFont val="Tahoma"/>
            <family val="2"/>
          </rPr>
          <t xml:space="preserve">
Replace the three remaining hydraulic lines that support the Jaws of Life on Rescue 1</t>
        </r>
      </text>
    </comment>
    <comment ref="D308" authorId="0">
      <text>
        <r>
          <rPr>
            <b/>
            <sz val="9"/>
            <color indexed="81"/>
            <rFont val="Tahoma"/>
            <family val="2"/>
          </rPr>
          <t>Mike Currier:</t>
        </r>
        <r>
          <rPr>
            <sz val="9"/>
            <color indexed="81"/>
            <rFont val="Tahoma"/>
            <family val="2"/>
          </rPr>
          <t xml:space="preserve">
Added money to send vehicles and apparatus back to manufactures or dealership for service and maintenance which our DPW is not able to perform.  This is becoming more and more each year.</t>
        </r>
      </text>
    </comment>
    <comment ref="D372" authorId="0">
      <text>
        <r>
          <rPr>
            <b/>
            <sz val="9"/>
            <color indexed="81"/>
            <rFont val="Tahoma"/>
            <family val="2"/>
          </rPr>
          <t>Mike Currier:</t>
        </r>
        <r>
          <rPr>
            <sz val="9"/>
            <color indexed="81"/>
            <rFont val="Tahoma"/>
            <family val="2"/>
          </rPr>
          <t xml:space="preserve">
Contracting the annual reparatory fit testing outside due to our equipment is outdated and in need of repair.  The cost of replacing the equipment and ensuring it calibration and maintenance for use one or twice each year is not cost effective and will cost the department considerable more annually than having the testing competed by an outside contractor.</t>
        </r>
      </text>
    </comment>
    <comment ref="D380" authorId="0">
      <text>
        <r>
          <rPr>
            <b/>
            <sz val="9"/>
            <color indexed="81"/>
            <rFont val="Tahoma"/>
            <family val="2"/>
          </rPr>
          <t>Mike Currier:</t>
        </r>
        <r>
          <rPr>
            <sz val="9"/>
            <color indexed="81"/>
            <rFont val="Tahoma"/>
            <family val="2"/>
          </rPr>
          <t xml:space="preserve">
It is very important that we add an equipment trailer to store and transport emergency sheltering equipment stored at Station 3.  There is currently no practical method of moving this equipment to setup a shelter when needed. </t>
        </r>
      </text>
    </comment>
    <comment ref="C387" authorId="0">
      <text>
        <r>
          <rPr>
            <b/>
            <sz val="9"/>
            <color indexed="81"/>
            <rFont val="Tahoma"/>
            <family val="2"/>
          </rPr>
          <t>Mike Currier:</t>
        </r>
        <r>
          <rPr>
            <sz val="9"/>
            <color indexed="81"/>
            <rFont val="Tahoma"/>
            <family val="2"/>
          </rPr>
          <t xml:space="preserve">
Replacement of current AMKUS cutter due to the new types of high strength metals in the vehicles made today our current cutting tool is not capable of cutting this material to remove trapped victims during a Motor Vehicle accident.</t>
        </r>
      </text>
    </comment>
    <comment ref="D423" authorId="0">
      <text>
        <r>
          <rPr>
            <b/>
            <sz val="9"/>
            <color indexed="81"/>
            <rFont val="Tahoma"/>
            <family val="2"/>
          </rPr>
          <t>Mike Currier:</t>
        </r>
        <r>
          <rPr>
            <sz val="9"/>
            <color indexed="81"/>
            <rFont val="Tahoma"/>
            <family val="2"/>
          </rPr>
          <t xml:space="preserve">
Replacement of needed equipment of Fire Apparatus</t>
        </r>
      </text>
    </comment>
    <comment ref="C424" authorId="0">
      <text>
        <r>
          <rPr>
            <b/>
            <sz val="9"/>
            <color indexed="81"/>
            <rFont val="Tahoma"/>
            <family val="2"/>
          </rPr>
          <t>Mike Currier:</t>
        </r>
        <r>
          <rPr>
            <sz val="9"/>
            <color indexed="81"/>
            <rFont val="Tahoma"/>
            <family val="2"/>
          </rPr>
          <t xml:space="preserve">
Need to replace two Jaffery intake valves for Ladder 1, Engine 3 and Engine 1.  These valves have been in use for greater than 10 years and have been passed down from old engine to new engines.  Currently they are at their end of life.  The new engines that we purchase now come with internal valves so this need to replace will go awy as we purchase new apparatus.</t>
        </r>
      </text>
    </comment>
  </commentList>
</comments>
</file>

<file path=xl/comments10.xml><?xml version="1.0" encoding="utf-8"?>
<comments xmlns="http://schemas.openxmlformats.org/spreadsheetml/2006/main">
  <authors>
    <author>Timothy J. Thompson</author>
  </authors>
  <commentList>
    <comment ref="G92" authorId="0">
      <text>
        <r>
          <rPr>
            <b/>
            <sz val="9"/>
            <color indexed="81"/>
            <rFont val="Tahoma"/>
            <family val="2"/>
          </rPr>
          <t>Timothy J. Thompson:</t>
        </r>
        <r>
          <rPr>
            <sz val="9"/>
            <color indexed="81"/>
            <rFont val="Tahoma"/>
            <family val="2"/>
          </rPr>
          <t xml:space="preserve">
Increaded for anticipated dues increases to various organizations</t>
        </r>
      </text>
    </comment>
    <comment ref="H92" authorId="0">
      <text>
        <r>
          <rPr>
            <b/>
            <sz val="9"/>
            <color indexed="81"/>
            <rFont val="Tahoma"/>
            <family val="2"/>
          </rPr>
          <t>Timothy J. Thompson:</t>
        </r>
        <r>
          <rPr>
            <sz val="9"/>
            <color indexed="81"/>
            <rFont val="Tahoma"/>
            <family val="2"/>
          </rPr>
          <t xml:space="preserve">
Increaded for anticipated dues increases to various organizations</t>
        </r>
      </text>
    </comment>
    <comment ref="G110" authorId="0">
      <text>
        <r>
          <rPr>
            <b/>
            <sz val="9"/>
            <color indexed="81"/>
            <rFont val="Tahoma"/>
            <family val="2"/>
          </rPr>
          <t>Timothy J. Thompson:</t>
        </r>
        <r>
          <rPr>
            <sz val="9"/>
            <color indexed="81"/>
            <rFont val="Tahoma"/>
            <family val="2"/>
          </rPr>
          <t xml:space="preserve">
Reduced due to unspent previous years in this line item &amp; work being performed by staff.</t>
        </r>
      </text>
    </comment>
    <comment ref="H110" authorId="0">
      <text>
        <r>
          <rPr>
            <b/>
            <sz val="9"/>
            <color indexed="81"/>
            <rFont val="Tahoma"/>
            <family val="2"/>
          </rPr>
          <t>Timothy J. Thompson:</t>
        </r>
        <r>
          <rPr>
            <sz val="9"/>
            <color indexed="81"/>
            <rFont val="Tahoma"/>
            <family val="2"/>
          </rPr>
          <t xml:space="preserve">
Reduced due to unspent previous years in this line item &amp; work being performed by staff.</t>
        </r>
      </text>
    </comment>
    <comment ref="G125" authorId="0">
      <text>
        <r>
          <rPr>
            <b/>
            <sz val="9"/>
            <color indexed="81"/>
            <rFont val="Tahoma"/>
            <family val="2"/>
          </rPr>
          <t>Timothy J. Thompson:</t>
        </r>
        <r>
          <rPr>
            <sz val="9"/>
            <color indexed="81"/>
            <rFont val="Tahoma"/>
            <family val="2"/>
          </rPr>
          <t xml:space="preserve">
Reduced due to unspent previous years in this line item.</t>
        </r>
      </text>
    </comment>
    <comment ref="H125" authorId="0">
      <text>
        <r>
          <rPr>
            <b/>
            <sz val="9"/>
            <color indexed="81"/>
            <rFont val="Tahoma"/>
            <family val="2"/>
          </rPr>
          <t>Timothy J. Thompson:</t>
        </r>
        <r>
          <rPr>
            <sz val="9"/>
            <color indexed="81"/>
            <rFont val="Tahoma"/>
            <family val="2"/>
          </rPr>
          <t xml:space="preserve">
Reduced due to unspent previous years in this line item.</t>
        </r>
      </text>
    </comment>
    <comment ref="G128" authorId="0">
      <text>
        <r>
          <rPr>
            <b/>
            <sz val="9"/>
            <color indexed="81"/>
            <rFont val="Tahoma"/>
            <family val="2"/>
          </rPr>
          <t>Timothy J. Thompson:</t>
        </r>
        <r>
          <rPr>
            <sz val="9"/>
            <color indexed="81"/>
            <rFont val="Tahoma"/>
            <family val="2"/>
          </rPr>
          <t xml:space="preserve">
updated per addition of cell D130</t>
        </r>
      </text>
    </comment>
    <comment ref="H128" authorId="0">
      <text>
        <r>
          <rPr>
            <b/>
            <sz val="9"/>
            <color indexed="81"/>
            <rFont val="Tahoma"/>
            <family val="2"/>
          </rPr>
          <t>Timothy J. Thompson:</t>
        </r>
        <r>
          <rPr>
            <sz val="9"/>
            <color indexed="81"/>
            <rFont val="Tahoma"/>
            <family val="2"/>
          </rPr>
          <t xml:space="preserve">
updated per addition of cell D130</t>
        </r>
      </text>
    </comment>
    <comment ref="D130" authorId="0">
      <text>
        <r>
          <rPr>
            <b/>
            <sz val="9"/>
            <color indexed="81"/>
            <rFont val="Tahoma"/>
            <family val="2"/>
          </rPr>
          <t>Timothy J. Thompson:</t>
        </r>
        <r>
          <rPr>
            <sz val="9"/>
            <color indexed="81"/>
            <rFont val="Tahoma"/>
            <family val="2"/>
          </rPr>
          <t xml:space="preserve">
Requested to be added by Conservation Commission at their 11/6/17 meeting.</t>
        </r>
      </text>
    </comment>
  </commentList>
</comments>
</file>

<file path=xl/comments11.xml><?xml version="1.0" encoding="utf-8"?>
<comments xmlns="http://schemas.openxmlformats.org/spreadsheetml/2006/main">
  <authors>
    <author>wwtp</author>
    <author>JTaylor</author>
    <author>Kyle Fox</author>
  </authors>
  <commentList>
    <comment ref="D34" authorId="0">
      <text>
        <r>
          <rPr>
            <b/>
            <sz val="9"/>
            <color indexed="81"/>
            <rFont val="Tahoma"/>
            <family val="2"/>
          </rPr>
          <t>wwtp:</t>
        </r>
        <r>
          <rPr>
            <sz val="9"/>
            <color indexed="81"/>
            <rFont val="Tahoma"/>
            <family val="2"/>
          </rPr>
          <t xml:space="preserve">
15 year step increase 12/21/18</t>
        </r>
      </text>
    </comment>
    <comment ref="G44" authorId="1">
      <text>
        <r>
          <rPr>
            <b/>
            <sz val="9"/>
            <color indexed="81"/>
            <rFont val="Tahoma"/>
            <family val="2"/>
          </rPr>
          <t>JTaylor:</t>
        </r>
        <r>
          <rPr>
            <sz val="9"/>
            <color indexed="81"/>
            <rFont val="Tahoma"/>
            <family val="2"/>
          </rPr>
          <t xml:space="preserve">
Added 2 interns</t>
        </r>
      </text>
    </comment>
    <comment ref="H44" authorId="1">
      <text>
        <r>
          <rPr>
            <b/>
            <sz val="9"/>
            <color indexed="81"/>
            <rFont val="Tahoma"/>
            <family val="2"/>
          </rPr>
          <t>JTaylor:</t>
        </r>
        <r>
          <rPr>
            <sz val="9"/>
            <color indexed="81"/>
            <rFont val="Tahoma"/>
            <family val="2"/>
          </rPr>
          <t xml:space="preserve">
Added 2 interns</t>
        </r>
      </text>
    </comment>
    <comment ref="G192" authorId="1">
      <text>
        <r>
          <rPr>
            <b/>
            <sz val="9"/>
            <color indexed="81"/>
            <rFont val="Tahoma"/>
            <family val="2"/>
          </rPr>
          <t>JTaylor:</t>
        </r>
        <r>
          <rPr>
            <sz val="9"/>
            <color indexed="81"/>
            <rFont val="Tahoma"/>
            <family val="2"/>
          </rPr>
          <t xml:space="preserve">
Increase due to the additional flow from Friendlies </t>
        </r>
      </text>
    </comment>
    <comment ref="H192" authorId="1">
      <text>
        <r>
          <rPr>
            <b/>
            <sz val="9"/>
            <color indexed="81"/>
            <rFont val="Tahoma"/>
            <family val="2"/>
          </rPr>
          <t>JTaylor:</t>
        </r>
        <r>
          <rPr>
            <sz val="9"/>
            <color indexed="81"/>
            <rFont val="Tahoma"/>
            <family val="2"/>
          </rPr>
          <t xml:space="preserve">
Increase due to the additional flow from Friendlies </t>
        </r>
      </text>
    </comment>
    <comment ref="G201" authorId="1">
      <text>
        <r>
          <rPr>
            <b/>
            <sz val="9"/>
            <color indexed="81"/>
            <rFont val="Tahoma"/>
            <family val="2"/>
          </rPr>
          <t>JTaylor:</t>
        </r>
        <r>
          <rPr>
            <sz val="9"/>
            <color indexed="81"/>
            <rFont val="Tahoma"/>
            <family val="2"/>
          </rPr>
          <t xml:space="preserve">
Added a new data plan for new GPS unit</t>
        </r>
      </text>
    </comment>
    <comment ref="H201" authorId="1">
      <text>
        <r>
          <rPr>
            <b/>
            <sz val="9"/>
            <color indexed="81"/>
            <rFont val="Tahoma"/>
            <family val="2"/>
          </rPr>
          <t>JTaylor:</t>
        </r>
        <r>
          <rPr>
            <sz val="9"/>
            <color indexed="81"/>
            <rFont val="Tahoma"/>
            <family val="2"/>
          </rPr>
          <t xml:space="preserve">
Added a new data plan for new GPS unit</t>
        </r>
      </text>
    </comment>
    <comment ref="G223" authorId="0">
      <text>
        <r>
          <rPr>
            <b/>
            <sz val="9"/>
            <color indexed="81"/>
            <rFont val="Tahoma"/>
            <family val="2"/>
          </rPr>
          <t>wwtp:</t>
        </r>
        <r>
          <rPr>
            <sz val="9"/>
            <color indexed="81"/>
            <rFont val="Tahoma"/>
            <family val="2"/>
          </rPr>
          <t xml:space="preserve">
anticipated price increases and increased polymer use due to AB loadings</t>
        </r>
      </text>
    </comment>
    <comment ref="H223" authorId="0">
      <text>
        <r>
          <rPr>
            <b/>
            <sz val="9"/>
            <color indexed="81"/>
            <rFont val="Tahoma"/>
            <family val="2"/>
          </rPr>
          <t>wwtp:</t>
        </r>
        <r>
          <rPr>
            <sz val="9"/>
            <color indexed="81"/>
            <rFont val="Tahoma"/>
            <family val="2"/>
          </rPr>
          <t xml:space="preserve">
anticipated price increases and increased polymer use due to AB loadings</t>
        </r>
      </text>
    </comment>
    <comment ref="G236" authorId="1">
      <text>
        <r>
          <rPr>
            <b/>
            <sz val="9"/>
            <color indexed="81"/>
            <rFont val="Tahoma"/>
            <family val="2"/>
          </rPr>
          <t>JTaylor:</t>
        </r>
        <r>
          <rPr>
            <sz val="9"/>
            <color indexed="81"/>
            <rFont val="Tahoma"/>
            <family val="2"/>
          </rPr>
          <t xml:space="preserve">
Added $$ for overhead door work at compost faciltiy</t>
        </r>
      </text>
    </comment>
    <comment ref="H236" authorId="1">
      <text>
        <r>
          <rPr>
            <b/>
            <sz val="9"/>
            <color indexed="81"/>
            <rFont val="Tahoma"/>
            <family val="2"/>
          </rPr>
          <t>JTaylor:</t>
        </r>
        <r>
          <rPr>
            <sz val="9"/>
            <color indexed="81"/>
            <rFont val="Tahoma"/>
            <family val="2"/>
          </rPr>
          <t xml:space="preserve">
Added $$ for overhead door work at compost faciltiy</t>
        </r>
      </text>
    </comment>
    <comment ref="G246" authorId="1">
      <text>
        <r>
          <rPr>
            <b/>
            <sz val="9"/>
            <color indexed="81"/>
            <rFont val="Tahoma"/>
            <family val="2"/>
          </rPr>
          <t>JTaylor:</t>
        </r>
        <r>
          <rPr>
            <sz val="9"/>
            <color indexed="81"/>
            <rFont val="Tahoma"/>
            <family val="2"/>
          </rPr>
          <t xml:space="preserve">
Added liners and a new replacement screw for screw conveyors</t>
        </r>
      </text>
    </comment>
    <comment ref="H246" authorId="1">
      <text>
        <r>
          <rPr>
            <b/>
            <sz val="9"/>
            <color indexed="81"/>
            <rFont val="Tahoma"/>
            <family val="2"/>
          </rPr>
          <t>JTaylor:</t>
        </r>
        <r>
          <rPr>
            <sz val="9"/>
            <color indexed="81"/>
            <rFont val="Tahoma"/>
            <family val="2"/>
          </rPr>
          <t xml:space="preserve">
Added liners and a new replacement screw for screw conveyors</t>
        </r>
      </text>
    </comment>
    <comment ref="D271" authorId="2">
      <text>
        <r>
          <rPr>
            <b/>
            <sz val="9"/>
            <color indexed="81"/>
            <rFont val="Tahoma"/>
            <family val="2"/>
          </rPr>
          <t>Kyle Fox:</t>
        </r>
        <r>
          <rPr>
            <sz val="9"/>
            <color indexed="81"/>
            <rFont val="Tahoma"/>
            <family val="2"/>
          </rPr>
          <t xml:space="preserve">
New software maintenance agreement as seen in Solid Waste budget for scale software</t>
        </r>
      </text>
    </comment>
    <comment ref="G274" authorId="1">
      <text>
        <r>
          <rPr>
            <b/>
            <sz val="9"/>
            <color indexed="81"/>
            <rFont val="Tahoma"/>
            <family val="2"/>
          </rPr>
          <t>JTaylor:</t>
        </r>
        <r>
          <rPr>
            <sz val="9"/>
            <color indexed="81"/>
            <rFont val="Tahoma"/>
            <family val="2"/>
          </rPr>
          <t xml:space="preserve">
Added sewer system consulting assistance from CIP</t>
        </r>
      </text>
    </comment>
    <comment ref="H274" authorId="1">
      <text>
        <r>
          <rPr>
            <b/>
            <sz val="9"/>
            <color indexed="81"/>
            <rFont val="Tahoma"/>
            <family val="2"/>
          </rPr>
          <t>JTaylor:</t>
        </r>
        <r>
          <rPr>
            <sz val="9"/>
            <color indexed="81"/>
            <rFont val="Tahoma"/>
            <family val="2"/>
          </rPr>
          <t xml:space="preserve">
Added sewer system consulting assistance from CIP</t>
        </r>
      </text>
    </comment>
    <comment ref="D275" authorId="0">
      <text>
        <r>
          <rPr>
            <b/>
            <sz val="9"/>
            <color indexed="81"/>
            <rFont val="Tahoma"/>
            <family val="2"/>
          </rPr>
          <t>wwtp:</t>
        </r>
        <r>
          <rPr>
            <sz val="9"/>
            <color indexed="81"/>
            <rFont val="Tahoma"/>
            <family val="2"/>
          </rPr>
          <t xml:space="preserve">
perlite filter  and TP study  </t>
        </r>
      </text>
    </comment>
    <comment ref="D285" authorId="0">
      <text>
        <r>
          <rPr>
            <b/>
            <sz val="9"/>
            <color indexed="81"/>
            <rFont val="Tahoma"/>
            <family val="2"/>
          </rPr>
          <t>wwtp:</t>
        </r>
        <r>
          <rPr>
            <sz val="9"/>
            <color indexed="81"/>
            <rFont val="Tahoma"/>
            <family val="2"/>
          </rPr>
          <t xml:space="preserve">
includes additional testing for PFOA and PFOS</t>
        </r>
      </text>
    </comment>
    <comment ref="G308" authorId="1">
      <text>
        <r>
          <rPr>
            <b/>
            <sz val="9"/>
            <color indexed="81"/>
            <rFont val="Tahoma"/>
            <family val="2"/>
          </rPr>
          <t>JTaylor:</t>
        </r>
        <r>
          <rPr>
            <sz val="9"/>
            <color indexed="81"/>
            <rFont val="Tahoma"/>
            <family val="2"/>
          </rPr>
          <t xml:space="preserve">
An additional replacement computer for GIS and asset management is needed</t>
        </r>
      </text>
    </comment>
    <comment ref="H308" authorId="1">
      <text>
        <r>
          <rPr>
            <b/>
            <sz val="9"/>
            <color indexed="81"/>
            <rFont val="Tahoma"/>
            <family val="2"/>
          </rPr>
          <t>JTaylor:</t>
        </r>
        <r>
          <rPr>
            <sz val="9"/>
            <color indexed="81"/>
            <rFont val="Tahoma"/>
            <family val="2"/>
          </rPr>
          <t xml:space="preserve">
An additional replacement computer for GIS and asset management is needed</t>
        </r>
      </text>
    </comment>
    <comment ref="G313" authorId="1">
      <text>
        <r>
          <rPr>
            <b/>
            <sz val="9"/>
            <color indexed="81"/>
            <rFont val="Tahoma"/>
            <family val="2"/>
          </rPr>
          <t>JTaylor:</t>
        </r>
        <r>
          <rPr>
            <sz val="9"/>
            <color indexed="81"/>
            <rFont val="Tahoma"/>
            <family val="2"/>
          </rPr>
          <t xml:space="preserve">
New capital equipment added</t>
        </r>
      </text>
    </comment>
    <comment ref="H313" authorId="1">
      <text>
        <r>
          <rPr>
            <b/>
            <sz val="9"/>
            <color indexed="81"/>
            <rFont val="Tahoma"/>
            <family val="2"/>
          </rPr>
          <t>JTaylor:</t>
        </r>
        <r>
          <rPr>
            <sz val="9"/>
            <color indexed="81"/>
            <rFont val="Tahoma"/>
            <family val="2"/>
          </rPr>
          <t xml:space="preserve">
New capital equipment added</t>
        </r>
      </text>
    </comment>
  </commentList>
</comments>
</file>

<file path=xl/comments2.xml><?xml version="1.0" encoding="utf-8"?>
<comments xmlns="http://schemas.openxmlformats.org/spreadsheetml/2006/main">
  <authors>
    <author>Denise Roy</author>
  </authors>
  <commentList>
    <comment ref="A21" authorId="0">
      <text>
        <r>
          <rPr>
            <b/>
            <sz val="9"/>
            <color indexed="81"/>
            <rFont val="Tahoma"/>
            <family val="2"/>
          </rPr>
          <t>Denise Roy:</t>
        </r>
        <r>
          <rPr>
            <sz val="9"/>
            <color indexed="81"/>
            <rFont val="Tahoma"/>
            <family val="2"/>
          </rPr>
          <t xml:space="preserve">
Eliminate Position to off set Deputy Chief salary</t>
        </r>
      </text>
    </comment>
    <comment ref="D69" authorId="0">
      <text>
        <r>
          <rPr>
            <b/>
            <sz val="9"/>
            <color indexed="81"/>
            <rFont val="Tahoma"/>
            <family val="2"/>
          </rPr>
          <t>Denise Roy:</t>
        </r>
        <r>
          <rPr>
            <sz val="9"/>
            <color indexed="81"/>
            <rFont val="Tahoma"/>
            <family val="2"/>
          </rPr>
          <t xml:space="preserve">
Increase by $4,000 for actual usage</t>
        </r>
      </text>
    </comment>
    <comment ref="C72" authorId="0">
      <text>
        <r>
          <rPr>
            <b/>
            <sz val="9"/>
            <color indexed="81"/>
            <rFont val="Tahoma"/>
            <family val="2"/>
          </rPr>
          <t>Denise Roy:</t>
        </r>
        <r>
          <rPr>
            <sz val="9"/>
            <color indexed="81"/>
            <rFont val="Tahoma"/>
            <family val="2"/>
          </rPr>
          <t xml:space="preserve">
Increase hours to 28 hours per week from 24.</t>
        </r>
      </text>
    </comment>
    <comment ref="D72" authorId="0">
      <text>
        <r>
          <rPr>
            <b/>
            <sz val="9"/>
            <color indexed="81"/>
            <rFont val="Tahoma"/>
            <family val="2"/>
          </rPr>
          <t>Denise Roy:</t>
        </r>
        <r>
          <rPr>
            <sz val="9"/>
            <color indexed="81"/>
            <rFont val="Tahoma"/>
            <family val="2"/>
          </rPr>
          <t xml:space="preserve">
Increase hours to 28 per week from 24 and her new rate is $16.65 as 9/7/17</t>
        </r>
      </text>
    </comment>
    <comment ref="D75" authorId="0">
      <text>
        <r>
          <rPr>
            <b/>
            <sz val="9"/>
            <color indexed="81"/>
            <rFont val="Tahoma"/>
            <family val="2"/>
          </rPr>
          <t>Denise Roy:</t>
        </r>
        <r>
          <rPr>
            <sz val="9"/>
            <color indexed="81"/>
            <rFont val="Tahoma"/>
            <family val="2"/>
          </rPr>
          <t xml:space="preserve">
Increase by .50 and hour</t>
        </r>
      </text>
    </comment>
    <comment ref="D76" authorId="0">
      <text>
        <r>
          <rPr>
            <b/>
            <sz val="9"/>
            <color indexed="81"/>
            <rFont val="Tahoma"/>
            <family val="2"/>
          </rPr>
          <t>Denise Roy:</t>
        </r>
        <r>
          <rPr>
            <sz val="9"/>
            <color indexed="81"/>
            <rFont val="Tahoma"/>
            <family val="2"/>
          </rPr>
          <t xml:space="preserve">
Increase .50 an hour for each person</t>
        </r>
      </text>
    </comment>
    <comment ref="D165" authorId="0">
      <text>
        <r>
          <rPr>
            <b/>
            <sz val="9"/>
            <color indexed="81"/>
            <rFont val="Tahoma"/>
            <family val="2"/>
          </rPr>
          <t>Denise Roy:</t>
        </r>
        <r>
          <rPr>
            <sz val="9"/>
            <color indexed="81"/>
            <rFont val="Tahoma"/>
            <family val="2"/>
          </rPr>
          <t xml:space="preserve">
Increase by $5,000 for officer training and qualifications</t>
        </r>
      </text>
    </comment>
    <comment ref="D268" authorId="0">
      <text>
        <r>
          <rPr>
            <b/>
            <sz val="9"/>
            <color indexed="81"/>
            <rFont val="Tahoma"/>
            <family val="2"/>
          </rPr>
          <t>Denise Roy:</t>
        </r>
        <r>
          <rPr>
            <sz val="9"/>
            <color indexed="81"/>
            <rFont val="Tahoma"/>
            <family val="2"/>
          </rPr>
          <t xml:space="preserve">
Increase by $1,000 for written exams / Increase by additional $1,900 for physical and psychological exams - Total of $2,900 increase</t>
        </r>
      </text>
    </comment>
    <comment ref="D278" authorId="0">
      <text>
        <r>
          <rPr>
            <b/>
            <sz val="9"/>
            <color indexed="81"/>
            <rFont val="Tahoma"/>
            <family val="2"/>
          </rPr>
          <t>Denise Roy:</t>
        </r>
        <r>
          <rPr>
            <sz val="9"/>
            <color indexed="81"/>
            <rFont val="Tahoma"/>
            <family val="2"/>
          </rPr>
          <t xml:space="preserve">
Increase by $25,000 for upfit of new IRV from MFD</t>
        </r>
      </text>
    </comment>
    <comment ref="A279" authorId="0">
      <text>
        <r>
          <rPr>
            <b/>
            <sz val="9"/>
            <color indexed="81"/>
            <rFont val="Tahoma"/>
            <family val="2"/>
          </rPr>
          <t>Denise Roy:</t>
        </r>
        <r>
          <rPr>
            <sz val="9"/>
            <color indexed="81"/>
            <rFont val="Tahoma"/>
            <family val="2"/>
          </rPr>
          <t xml:space="preserve">
Additional line for lease new motorcycle.  Four year lease at $4,860 year (includes maintenance costs)</t>
        </r>
      </text>
    </comment>
  </commentList>
</comments>
</file>

<file path=xl/comments3.xml><?xml version="1.0" encoding="utf-8"?>
<comments xmlns="http://schemas.openxmlformats.org/spreadsheetml/2006/main">
  <authors>
    <author>Denise Roy</author>
  </authors>
  <commentList>
    <comment ref="D97" authorId="0">
      <text>
        <r>
          <rPr>
            <b/>
            <sz val="9"/>
            <color indexed="81"/>
            <rFont val="Tahoma"/>
            <family val="2"/>
          </rPr>
          <t>Denise Roy:</t>
        </r>
        <r>
          <rPr>
            <sz val="9"/>
            <color indexed="81"/>
            <rFont val="Tahoma"/>
            <family val="2"/>
          </rPr>
          <t xml:space="preserve">
Increase from 7 to 8 terminals</t>
        </r>
      </text>
    </comment>
    <comment ref="D98" authorId="0">
      <text>
        <r>
          <rPr>
            <b/>
            <sz val="9"/>
            <color indexed="81"/>
            <rFont val="Tahoma"/>
            <family val="2"/>
          </rPr>
          <t>Denise Roy:</t>
        </r>
        <r>
          <rPr>
            <sz val="9"/>
            <color indexed="81"/>
            <rFont val="Tahoma"/>
            <family val="2"/>
          </rPr>
          <t xml:space="preserve">
Replace line to "mobile messanger license"
Increase to $3,600 </t>
        </r>
      </text>
    </comment>
    <comment ref="D100" authorId="0">
      <text>
        <r>
          <rPr>
            <b/>
            <sz val="9"/>
            <color indexed="81"/>
            <rFont val="Tahoma"/>
            <family val="2"/>
          </rPr>
          <t>Denise Roy:</t>
        </r>
        <r>
          <rPr>
            <sz val="9"/>
            <color indexed="81"/>
            <rFont val="Tahoma"/>
            <family val="2"/>
          </rPr>
          <t xml:space="preserve">
Question who has data who has service?</t>
        </r>
      </text>
    </comment>
    <comment ref="D127" authorId="0">
      <text>
        <r>
          <rPr>
            <b/>
            <sz val="9"/>
            <color indexed="81"/>
            <rFont val="Tahoma"/>
            <family val="2"/>
          </rPr>
          <t>Denise Roy:</t>
        </r>
        <r>
          <rPr>
            <sz val="9"/>
            <color indexed="81"/>
            <rFont val="Tahoma"/>
            <family val="2"/>
          </rPr>
          <t xml:space="preserve">
Decrease by $1,000 to elimainate one chair.</t>
        </r>
      </text>
    </comment>
  </commentList>
</comments>
</file>

<file path=xl/comments4.xml><?xml version="1.0" encoding="utf-8"?>
<comments xmlns="http://schemas.openxmlformats.org/spreadsheetml/2006/main">
  <authors>
    <author>Mike Currier</author>
  </authors>
  <commentList>
    <comment ref="D8" authorId="0">
      <text>
        <r>
          <rPr>
            <b/>
            <sz val="9"/>
            <color indexed="81"/>
            <rFont val="Tahoma"/>
            <family val="2"/>
          </rPr>
          <t>Mike Currier:</t>
        </r>
        <r>
          <rPr>
            <sz val="9"/>
            <color indexed="81"/>
            <rFont val="Tahoma"/>
            <family val="2"/>
          </rPr>
          <t xml:space="preserve">
Move a part time position to fulltime.  The need for additional support within the Building, Health and Fire Department is very important.</t>
        </r>
      </text>
    </comment>
    <comment ref="D23" authorId="0">
      <text>
        <r>
          <rPr>
            <b/>
            <sz val="9"/>
            <color indexed="81"/>
            <rFont val="Tahoma"/>
            <family val="2"/>
          </rPr>
          <t>Mike Currier:</t>
        </r>
        <r>
          <rPr>
            <sz val="9"/>
            <color indexed="81"/>
            <rFont val="Tahoma"/>
            <family val="2"/>
          </rPr>
          <t xml:space="preserve">
If the fulltime position this position can be eliminated or additional hours added to total 28 hours if the full time positions eliminated</t>
        </r>
      </text>
    </comment>
    <comment ref="D27" authorId="0">
      <text>
        <r>
          <rPr>
            <b/>
            <sz val="9"/>
            <color indexed="81"/>
            <rFont val="Tahoma"/>
            <family val="2"/>
          </rPr>
          <t>Mike Currier:</t>
        </r>
        <r>
          <rPr>
            <sz val="9"/>
            <color indexed="81"/>
            <rFont val="Tahoma"/>
            <family val="2"/>
          </rPr>
          <t xml:space="preserve">
If the full time secretary is added to help with Building, Health and Fire this line item can be zero</t>
        </r>
      </text>
    </comment>
    <comment ref="B32" authorId="0">
      <text>
        <r>
          <rPr>
            <b/>
            <sz val="9"/>
            <color indexed="81"/>
            <rFont val="Tahoma"/>
            <family val="2"/>
          </rPr>
          <t>Mike Currier:</t>
        </r>
        <r>
          <rPr>
            <sz val="9"/>
            <color indexed="81"/>
            <rFont val="Tahoma"/>
            <family val="2"/>
          </rPr>
          <t xml:space="preserve">
Fulltime position addded</t>
        </r>
      </text>
    </comment>
    <comment ref="B40" authorId="0">
      <text>
        <r>
          <rPr>
            <b/>
            <sz val="9"/>
            <color indexed="81"/>
            <rFont val="Tahoma"/>
            <family val="2"/>
          </rPr>
          <t>Mike Currier:</t>
        </r>
        <r>
          <rPr>
            <sz val="9"/>
            <color indexed="81"/>
            <rFont val="Tahoma"/>
            <family val="2"/>
          </rPr>
          <t xml:space="preserve">
Full time position added</t>
        </r>
      </text>
    </comment>
    <comment ref="B47" authorId="0">
      <text>
        <r>
          <rPr>
            <b/>
            <sz val="9"/>
            <color indexed="81"/>
            <rFont val="Tahoma"/>
            <family val="2"/>
          </rPr>
          <t>Mike Currier:</t>
        </r>
        <r>
          <rPr>
            <sz val="9"/>
            <color indexed="81"/>
            <rFont val="Tahoma"/>
            <family val="2"/>
          </rPr>
          <t xml:space="preserve">
Full time position added</t>
        </r>
      </text>
    </comment>
    <comment ref="B50" authorId="0">
      <text>
        <r>
          <rPr>
            <b/>
            <sz val="9"/>
            <color indexed="81"/>
            <rFont val="Tahoma"/>
            <family val="2"/>
          </rPr>
          <t>Mike Currier:</t>
        </r>
        <r>
          <rPr>
            <sz val="9"/>
            <color indexed="81"/>
            <rFont val="Tahoma"/>
            <family val="2"/>
          </rPr>
          <t xml:space="preserve">
Full time position added</t>
        </r>
      </text>
    </comment>
    <comment ref="B55" authorId="0">
      <text>
        <r>
          <rPr>
            <b/>
            <sz val="9"/>
            <color indexed="81"/>
            <rFont val="Tahoma"/>
            <family val="2"/>
          </rPr>
          <t>Mike Currier:</t>
        </r>
        <r>
          <rPr>
            <sz val="9"/>
            <color indexed="81"/>
            <rFont val="Tahoma"/>
            <family val="2"/>
          </rPr>
          <t xml:space="preserve">
Full time position added</t>
        </r>
      </text>
    </comment>
    <comment ref="B58" authorId="0">
      <text>
        <r>
          <rPr>
            <b/>
            <sz val="9"/>
            <color indexed="81"/>
            <rFont val="Tahoma"/>
            <family val="2"/>
          </rPr>
          <t>Mike Currier:</t>
        </r>
        <r>
          <rPr>
            <sz val="9"/>
            <color indexed="81"/>
            <rFont val="Tahoma"/>
            <family val="2"/>
          </rPr>
          <t xml:space="preserve">
Full time position added</t>
        </r>
      </text>
    </comment>
    <comment ref="B61" authorId="0">
      <text>
        <r>
          <rPr>
            <b/>
            <sz val="9"/>
            <color indexed="81"/>
            <rFont val="Tahoma"/>
            <family val="2"/>
          </rPr>
          <t>Mike Currier:</t>
        </r>
        <r>
          <rPr>
            <sz val="9"/>
            <color indexed="81"/>
            <rFont val="Tahoma"/>
            <family val="2"/>
          </rPr>
          <t xml:space="preserve">
Full time position added</t>
        </r>
      </text>
    </comment>
    <comment ref="B69" authorId="0">
      <text>
        <r>
          <rPr>
            <b/>
            <sz val="9"/>
            <color indexed="81"/>
            <rFont val="Tahoma"/>
            <family val="2"/>
          </rPr>
          <t>Mike Currier:</t>
        </r>
        <r>
          <rPr>
            <sz val="9"/>
            <color indexed="81"/>
            <rFont val="Tahoma"/>
            <family val="2"/>
          </rPr>
          <t xml:space="preserve">
Full time position added</t>
        </r>
      </text>
    </comment>
  </commentList>
</comments>
</file>

<file path=xl/comments5.xml><?xml version="1.0" encoding="utf-8"?>
<comments xmlns="http://schemas.openxmlformats.org/spreadsheetml/2006/main">
  <authors>
    <author>Kyle Fox</author>
  </authors>
  <commentList>
    <comment ref="B16" authorId="0">
      <text>
        <r>
          <rPr>
            <b/>
            <sz val="9"/>
            <color indexed="81"/>
            <rFont val="Tahoma"/>
            <family val="2"/>
          </rPr>
          <t>Kyle Fox:</t>
        </r>
        <r>
          <rPr>
            <sz val="9"/>
            <color indexed="81"/>
            <rFont val="Tahoma"/>
            <family val="2"/>
          </rPr>
          <t xml:space="preserve">
Add 1 intern in admin budget to assist with drainage pipe inspections.  Another will be in the WWTF budget to assist with sewer pipe inspections (both will work together 50% of the time in each budget)
</t>
        </r>
      </text>
    </comment>
    <comment ref="C16" authorId="0">
      <text>
        <r>
          <rPr>
            <b/>
            <sz val="9"/>
            <color indexed="81"/>
            <rFont val="Tahoma"/>
            <family val="2"/>
          </rPr>
          <t>Kyle Fox:</t>
        </r>
        <r>
          <rPr>
            <sz val="9"/>
            <color indexed="81"/>
            <rFont val="Tahoma"/>
            <family val="2"/>
          </rPr>
          <t xml:space="preserve">
Actual pay for each intern may vary depending on experience but average will not exceed 14.00 per hour
</t>
        </r>
      </text>
    </comment>
    <comment ref="D86" authorId="0">
      <text>
        <r>
          <rPr>
            <b/>
            <sz val="9"/>
            <color indexed="81"/>
            <rFont val="Tahoma"/>
            <family val="2"/>
          </rPr>
          <t>Kyle Fox:</t>
        </r>
        <r>
          <rPr>
            <sz val="9"/>
            <color indexed="81"/>
            <rFont val="Tahoma"/>
            <family val="2"/>
          </rPr>
          <t xml:space="preserve">
State has added license fee for this license.  Dawn used her license on the Wasserman septic</t>
        </r>
      </text>
    </comment>
  </commentList>
</comments>
</file>

<file path=xl/comments6.xml><?xml version="1.0" encoding="utf-8"?>
<comments xmlns="http://schemas.openxmlformats.org/spreadsheetml/2006/main">
  <authors>
    <author>Kyle Fox</author>
    <author>Lori Barrett</author>
  </authors>
  <commentList>
    <comment ref="D198" authorId="0">
      <text>
        <r>
          <rPr>
            <b/>
            <sz val="9"/>
            <color indexed="81"/>
            <rFont val="Tahoma"/>
            <family val="2"/>
          </rPr>
          <t>Kyle Fox:</t>
        </r>
        <r>
          <rPr>
            <sz val="9"/>
            <color indexed="81"/>
            <rFont val="Tahoma"/>
            <family val="2"/>
          </rPr>
          <t xml:space="preserve">
Repairing wood picnic tables takes a lot of time - we are proposing to replace existing tables as they wear out with PVC/steel tables.  Added benefit is they are heavier so less prone to vandalism.
</t>
        </r>
      </text>
    </comment>
    <comment ref="G215" authorId="1">
      <text>
        <r>
          <rPr>
            <b/>
            <sz val="9"/>
            <color indexed="81"/>
            <rFont val="Tahoma"/>
            <family val="2"/>
          </rPr>
          <t>Lori Barrett:</t>
        </r>
        <r>
          <rPr>
            <sz val="9"/>
            <color indexed="81"/>
            <rFont val="Tahoma"/>
            <family val="2"/>
          </rPr>
          <t xml:space="preserve">
Salt is $54/ton
</t>
        </r>
      </text>
    </comment>
    <comment ref="H215" authorId="1">
      <text>
        <r>
          <rPr>
            <b/>
            <sz val="9"/>
            <color indexed="81"/>
            <rFont val="Tahoma"/>
            <family val="2"/>
          </rPr>
          <t>Lori Barrett:</t>
        </r>
        <r>
          <rPr>
            <sz val="9"/>
            <color indexed="81"/>
            <rFont val="Tahoma"/>
            <family val="2"/>
          </rPr>
          <t xml:space="preserve">
Salt is $54/ton
</t>
        </r>
      </text>
    </comment>
    <comment ref="D247" authorId="1">
      <text>
        <r>
          <rPr>
            <b/>
            <sz val="9"/>
            <color indexed="81"/>
            <rFont val="Tahoma"/>
            <family val="2"/>
          </rPr>
          <t>Lori Barrett:</t>
        </r>
        <r>
          <rPr>
            <sz val="9"/>
            <color indexed="81"/>
            <rFont val="Tahoma"/>
            <family val="2"/>
          </rPr>
          <t xml:space="preserve">
Price increase from Markings Inc. was small but limited us to what could be done.  </t>
        </r>
      </text>
    </comment>
    <comment ref="D278" authorId="1">
      <text>
        <r>
          <rPr>
            <b/>
            <sz val="9"/>
            <color indexed="81"/>
            <rFont val="Tahoma"/>
            <family val="2"/>
          </rPr>
          <t>Lori Barrett:</t>
        </r>
        <r>
          <rPr>
            <sz val="9"/>
            <color indexed="81"/>
            <rFont val="Tahoma"/>
            <family val="2"/>
          </rPr>
          <t xml:space="preserve">
Grub Control needed at Bishop, Reeds 6, and Martel</t>
        </r>
      </text>
    </comment>
    <comment ref="D282" authorId="1">
      <text>
        <r>
          <rPr>
            <b/>
            <sz val="9"/>
            <color indexed="81"/>
            <rFont val="Tahoma"/>
            <family val="2"/>
          </rPr>
          <t>Lori Barrett:</t>
        </r>
        <r>
          <rPr>
            <sz val="9"/>
            <color indexed="81"/>
            <rFont val="Tahoma"/>
            <family val="2"/>
          </rPr>
          <t xml:space="preserve">
This wil be a one time repair to get separate switch installed for scoreboard</t>
        </r>
      </text>
    </comment>
    <comment ref="D291" authorId="1">
      <text>
        <r>
          <rPr>
            <b/>
            <sz val="9"/>
            <color indexed="81"/>
            <rFont val="Tahoma"/>
            <family val="2"/>
          </rPr>
          <t>Lori Barrett:</t>
        </r>
        <r>
          <rPr>
            <sz val="9"/>
            <color indexed="81"/>
            <rFont val="Tahoma"/>
            <family val="2"/>
          </rPr>
          <t xml:space="preserve">
Cost of materials to treat bridges has risen
</t>
        </r>
      </text>
    </comment>
  </commentList>
</comments>
</file>

<file path=xl/comments7.xml><?xml version="1.0" encoding="utf-8"?>
<comments xmlns="http://schemas.openxmlformats.org/spreadsheetml/2006/main">
  <authors>
    <author>Kyle Fox</author>
  </authors>
  <commentList>
    <comment ref="C16" authorId="0">
      <text>
        <r>
          <rPr>
            <b/>
            <sz val="9"/>
            <color indexed="81"/>
            <rFont val="Tahoma"/>
            <family val="2"/>
          </rPr>
          <t>Kyle Fox:</t>
        </r>
        <r>
          <rPr>
            <sz val="9"/>
            <color indexed="81"/>
            <rFont val="Tahoma"/>
            <family val="2"/>
          </rPr>
          <t xml:space="preserve">
Julio gets his 5 year step on 12/11/17</t>
        </r>
      </text>
    </comment>
    <comment ref="D131" authorId="0">
      <text>
        <r>
          <rPr>
            <b/>
            <sz val="9"/>
            <color indexed="81"/>
            <rFont val="Tahoma"/>
            <family val="2"/>
          </rPr>
          <t>Kyle Fox:</t>
        </r>
        <r>
          <rPr>
            <sz val="9"/>
            <color indexed="81"/>
            <rFont val="Tahoma"/>
            <family val="2"/>
          </rPr>
          <t xml:space="preserve">
Increase in Merrimack share for Household Hazardous Waste program</t>
        </r>
      </text>
    </comment>
    <comment ref="B136" authorId="0">
      <text>
        <r>
          <rPr>
            <b/>
            <sz val="9"/>
            <color indexed="81"/>
            <rFont val="Tahoma"/>
            <family val="2"/>
          </rPr>
          <t>Kyle Fox:</t>
        </r>
        <r>
          <rPr>
            <sz val="9"/>
            <color indexed="81"/>
            <rFont val="Tahoma"/>
            <family val="2"/>
          </rPr>
          <t xml:space="preserve">
Added license for PT employee </t>
        </r>
      </text>
    </comment>
    <comment ref="D158" authorId="0">
      <text>
        <r>
          <rPr>
            <b/>
            <sz val="9"/>
            <color indexed="81"/>
            <rFont val="Tahoma"/>
            <family val="2"/>
          </rPr>
          <t>Kyle Fox:</t>
        </r>
        <r>
          <rPr>
            <sz val="9"/>
            <color indexed="81"/>
            <rFont val="Tahoma"/>
            <family val="2"/>
          </rPr>
          <t xml:space="preserve">
Scale software now requires maintenance agreement - will also show up for WWTF.</t>
        </r>
      </text>
    </comment>
    <comment ref="D185" authorId="0">
      <text>
        <r>
          <rPr>
            <b/>
            <sz val="9"/>
            <color indexed="81"/>
            <rFont val="Tahoma"/>
            <family val="2"/>
          </rPr>
          <t>Kyle Fox:</t>
        </r>
        <r>
          <rPr>
            <sz val="9"/>
            <color indexed="81"/>
            <rFont val="Tahoma"/>
            <family val="2"/>
          </rPr>
          <t xml:space="preserve">
Increase due to PFOA/PFOS testing</t>
        </r>
      </text>
    </comment>
    <comment ref="D200" authorId="0">
      <text>
        <r>
          <rPr>
            <b/>
            <sz val="9"/>
            <color indexed="81"/>
            <rFont val="Tahoma"/>
            <family val="2"/>
          </rPr>
          <t>Kyle Fox:</t>
        </r>
        <r>
          <rPr>
            <sz val="9"/>
            <color indexed="81"/>
            <rFont val="Tahoma"/>
            <family val="2"/>
          </rPr>
          <t xml:space="preserve">
Add camera in recycling building</t>
        </r>
      </text>
    </comment>
  </commentList>
</comments>
</file>

<file path=xl/comments8.xml><?xml version="1.0" encoding="utf-8"?>
<comments xmlns="http://schemas.openxmlformats.org/spreadsheetml/2006/main">
  <authors>
    <author>Matthew Casparius</author>
  </authors>
  <commentList>
    <comment ref="G129" authorId="0">
      <text>
        <r>
          <rPr>
            <b/>
            <sz val="9"/>
            <color indexed="81"/>
            <rFont val="Tahoma"/>
            <family val="2"/>
          </rPr>
          <t>Matthew Casparius:</t>
        </r>
        <r>
          <rPr>
            <sz val="9"/>
            <color indexed="81"/>
            <rFont val="Tahoma"/>
            <family val="2"/>
          </rPr>
          <t xml:space="preserve">
Requesting increase of $30 to cover increases in cost of dues &amp; fees. </t>
        </r>
      </text>
    </comment>
    <comment ref="H129" authorId="0">
      <text>
        <r>
          <rPr>
            <b/>
            <sz val="9"/>
            <color indexed="81"/>
            <rFont val="Tahoma"/>
            <family val="2"/>
          </rPr>
          <t>Matthew Casparius:</t>
        </r>
        <r>
          <rPr>
            <sz val="9"/>
            <color indexed="81"/>
            <rFont val="Tahoma"/>
            <family val="2"/>
          </rPr>
          <t xml:space="preserve">
Requesting increase of $30 to cover increases in cost of dues &amp; fees. </t>
        </r>
      </text>
    </comment>
    <comment ref="D193" authorId="0">
      <text>
        <r>
          <rPr>
            <b/>
            <sz val="9"/>
            <color indexed="81"/>
            <rFont val="Tahoma"/>
            <family val="2"/>
          </rPr>
          <t>Matthew Casparius:</t>
        </r>
        <r>
          <rPr>
            <sz val="9"/>
            <color indexed="81"/>
            <rFont val="Tahoma"/>
            <family val="2"/>
          </rPr>
          <t xml:space="preserve">
This event has tripled in size over the last 4 years and every year we increase the number of easter eggs that we give out. Last year we had close to 1000 people in attendance and gave out 6000 eggs which wasn't enough. Requesting an increase to $1500 which would get us up to 10,000 eggs. </t>
        </r>
      </text>
    </comment>
    <comment ref="D196" authorId="0">
      <text>
        <r>
          <rPr>
            <b/>
            <sz val="9"/>
            <color indexed="81"/>
            <rFont val="Tahoma"/>
            <family val="2"/>
          </rPr>
          <t>Matthew Casparius:</t>
        </r>
        <r>
          <rPr>
            <sz val="9"/>
            <color indexed="81"/>
            <rFont val="Tahoma"/>
            <family val="2"/>
          </rPr>
          <t xml:space="preserve">
Similar to Easter, this event has tripled in size over the last few years with this year hitting over 1000 participants. Requesting an increase to be able to continue expanding the activities offered during the event. </t>
        </r>
      </text>
    </comment>
    <comment ref="D198" authorId="0">
      <text>
        <r>
          <rPr>
            <b/>
            <sz val="9"/>
            <color indexed="81"/>
            <rFont val="Tahoma"/>
            <family val="2"/>
          </rPr>
          <t>Matthew Casparius:</t>
        </r>
        <r>
          <rPr>
            <sz val="9"/>
            <color indexed="81"/>
            <rFont val="Tahoma"/>
            <family val="2"/>
          </rPr>
          <t xml:space="preserve">
Similar to the Easter Egg Hunt &amp; Halloween Party, this event grows every year. Requesting a $200 increase in the line item to cover the costs of adding more activities to the event to keep up with growing demand. </t>
        </r>
      </text>
    </comment>
    <comment ref="D200" authorId="0">
      <text>
        <r>
          <rPr>
            <b/>
            <sz val="9"/>
            <color indexed="81"/>
            <rFont val="Tahoma"/>
            <family val="2"/>
          </rPr>
          <t>Matthew Casparius:</t>
        </r>
        <r>
          <rPr>
            <sz val="9"/>
            <color indexed="81"/>
            <rFont val="Tahoma"/>
            <family val="2"/>
          </rPr>
          <t xml:space="preserve">
Decreasing this line item from $1700 down to $1200 as we have been able to reduce our costs to provide this activity. </t>
        </r>
      </text>
    </comment>
  </commentList>
</comments>
</file>

<file path=xl/comments9.xml><?xml version="1.0" encoding="utf-8"?>
<comments xmlns="http://schemas.openxmlformats.org/spreadsheetml/2006/main">
  <authors>
    <author>Kyle Fox</author>
  </authors>
  <commentList>
    <comment ref="D8" authorId="0">
      <text>
        <r>
          <rPr>
            <b/>
            <sz val="9"/>
            <color indexed="81"/>
            <rFont val="Tahoma"/>
            <family val="2"/>
          </rPr>
          <t>Kyle Fox:</t>
        </r>
        <r>
          <rPr>
            <sz val="9"/>
            <color indexed="81"/>
            <rFont val="Tahoma"/>
            <family val="2"/>
          </rPr>
          <t xml:space="preserve">
Added 2nd full time custodian</t>
        </r>
      </text>
    </comment>
    <comment ref="C17" authorId="0">
      <text>
        <r>
          <rPr>
            <b/>
            <sz val="9"/>
            <color indexed="81"/>
            <rFont val="Tahoma"/>
            <family val="2"/>
          </rPr>
          <t>Kyle Fox:</t>
        </r>
        <r>
          <rPr>
            <sz val="9"/>
            <color indexed="81"/>
            <rFont val="Tahoma"/>
            <family val="2"/>
          </rPr>
          <t xml:space="preserve">
Revised value to reflect lower employee average with 2nd custodian</t>
        </r>
      </text>
    </comment>
    <comment ref="D126" authorId="0">
      <text>
        <r>
          <rPr>
            <b/>
            <sz val="9"/>
            <color indexed="81"/>
            <rFont val="Tahoma"/>
            <family val="2"/>
          </rPr>
          <t>Kyle Fox:</t>
        </r>
        <r>
          <rPr>
            <sz val="9"/>
            <color indexed="81"/>
            <rFont val="Tahoma"/>
            <family val="2"/>
          </rPr>
          <t xml:space="preserve">
Price may change depending on recommendation from Turner</t>
        </r>
      </text>
    </comment>
    <comment ref="D127" authorId="0">
      <text>
        <r>
          <rPr>
            <b/>
            <sz val="9"/>
            <color indexed="81"/>
            <rFont val="Tahoma"/>
            <family val="2"/>
          </rPr>
          <t>Kyle Fox:</t>
        </r>
        <r>
          <rPr>
            <sz val="9"/>
            <color indexed="81"/>
            <rFont val="Tahoma"/>
            <family val="2"/>
          </rPr>
          <t xml:space="preserve">
Waiting on recommendation from Turner</t>
        </r>
      </text>
    </comment>
  </commentList>
</comments>
</file>

<file path=xl/sharedStrings.xml><?xml version="1.0" encoding="utf-8"?>
<sst xmlns="http://schemas.openxmlformats.org/spreadsheetml/2006/main" count="3862" uniqueCount="2189">
  <si>
    <t>Hoses for washing tanks and floors and 3 &amp; 4 " pump hoses</t>
  </si>
  <si>
    <t>Flashlights, batteries, UPS and PLC batteries</t>
  </si>
  <si>
    <t>01-07-8102-0 Wages - Clerical</t>
  </si>
  <si>
    <t>01-03-8510-0 Capital Reserve Funds</t>
  </si>
  <si>
    <t>01-13-8111-0 Overtime-Other</t>
  </si>
  <si>
    <t>01-13-8125-0 Social Security</t>
  </si>
  <si>
    <t>01-05-8334-0 Maintenance-Office Equipment</t>
  </si>
  <si>
    <t>SPOTS terminal</t>
  </si>
  <si>
    <t>Security system</t>
  </si>
  <si>
    <t>01-05-8335-0 Maintenance-Communications Equip</t>
  </si>
  <si>
    <t>01-02-8136-0 Unemployment Compensation</t>
  </si>
  <si>
    <t>01-02-8203-0 Operating Supplies</t>
  </si>
  <si>
    <t>01-02-8220-0 Printing</t>
  </si>
  <si>
    <t>01-13-8245-0 Sewer</t>
  </si>
  <si>
    <t>01-13-8250-0 Vehicle Fuel</t>
  </si>
  <si>
    <t>01-21-8359-0 Other Outside Services</t>
  </si>
  <si>
    <t>Microfilming of plans</t>
  </si>
  <si>
    <t>Vote tabulating equipment maintenance</t>
  </si>
  <si>
    <t>Voter cards and other expenses</t>
  </si>
  <si>
    <t>01-01-8420-0 Advertising</t>
  </si>
  <si>
    <t xml:space="preserve">  striping and landscaping</t>
  </si>
  <si>
    <t>01-04-8460-0 Other Operating Expenses</t>
  </si>
  <si>
    <t>01-15-8202-0 Maintenance Supplies</t>
  </si>
  <si>
    <t>01-17-8204-0 Uniforms</t>
  </si>
  <si>
    <t>01-25-8220-0 Printing</t>
  </si>
  <si>
    <t>Town-wide non-union college tuition reimbursement program</t>
  </si>
  <si>
    <t>Postage to 12 members, 12 mailings agenda &amp; minutes@$ 1.00    </t>
  </si>
  <si>
    <t>Aerial Ladder Testing for Ladder 1</t>
  </si>
  <si>
    <t>Transfer to Ambulance Capital Reserve Fund</t>
  </si>
  <si>
    <t>Full-time employees - AFSCME</t>
  </si>
  <si>
    <t>Special Police Officers</t>
  </si>
  <si>
    <t>Child Advocacy Center</t>
  </si>
  <si>
    <t>Service Agreement Spillers Copier/Scanner/Printer Xerox 6204</t>
  </si>
  <si>
    <t>Pipe stock to maintain, repair, modify, or reconstruct drainage</t>
  </si>
  <si>
    <t>Refrigerators and air conditioners (Freon)</t>
  </si>
  <si>
    <t xml:space="preserve">    Society of the Protection of NH Forests</t>
  </si>
  <si>
    <t>2007 Drainage Improvements</t>
  </si>
  <si>
    <t>Federal Communications Commission Radio licenses</t>
  </si>
  <si>
    <t>Building Contract Service Costs</t>
  </si>
  <si>
    <t>HVAC Maintenance Agreement (Station 1, 2 &amp; 3)</t>
  </si>
  <si>
    <t>Plymovent vehicle exhaust service agreement Sta 1, 2 &amp; 3)</t>
  </si>
  <si>
    <t>NH Camp Directors Association</t>
  </si>
  <si>
    <t>01-13-8128-0 Retirement</t>
  </si>
  <si>
    <t>01-13-8131-0 Health Insurance</t>
  </si>
  <si>
    <t>Computer source materials</t>
  </si>
  <si>
    <t>01-21-8250-0 Vehicle Fuel</t>
  </si>
  <si>
    <t>Clothing allowance - Teamsters</t>
  </si>
  <si>
    <t>01-01-8351-0 Consultants</t>
  </si>
  <si>
    <t>01-01-8352-0 Education &amp; Training</t>
  </si>
  <si>
    <t>01-05-8280-0 General Insurance</t>
  </si>
  <si>
    <t>Transfer to Library Building Maintenance Fund</t>
  </si>
  <si>
    <t>Twardosky Field</t>
  </si>
  <si>
    <t>Copier service maintenance agreement</t>
  </si>
  <si>
    <t>Signs, reflectors delineators, barricades, flashing lights, materials for</t>
  </si>
  <si>
    <t>Weather forecasting service</t>
  </si>
  <si>
    <t>Random CDL D &amp; A testing</t>
  </si>
  <si>
    <t>Pest control services</t>
  </si>
  <si>
    <t>Computer equipment/software license agreements</t>
  </si>
  <si>
    <t>RSA 261:153 funds (offset by registration revenue)</t>
  </si>
  <si>
    <t>1- Seasonal Maintainer</t>
  </si>
  <si>
    <t>lab supplies necessary to comply with NPDES permit</t>
  </si>
  <si>
    <t>Unit $</t>
  </si>
  <si>
    <t>Annual Use</t>
  </si>
  <si>
    <t>Total Cost</t>
  </si>
  <si>
    <t>Sodium hypochlorite (permit compliance)</t>
  </si>
  <si>
    <t>Sodium bisulfite (dechlorinating chemical-permit compliance)</t>
  </si>
  <si>
    <t>Variable speed drive repairs/replacement</t>
  </si>
  <si>
    <t>Mower blades, saw blades, trimmer string, hand tools, paint, etc.</t>
  </si>
  <si>
    <t>01-04-8433-0 P.A.C.T. (Offset by Revenue)</t>
  </si>
  <si>
    <t xml:space="preserve">Department </t>
  </si>
  <si>
    <t xml:space="preserve">   Fertilizer (3 Applications)</t>
  </si>
  <si>
    <t>Salary &amp; benefits (offset by Revenues Collected)</t>
  </si>
  <si>
    <t>Education &amp; training - ACA conference, meetings, and staff orientation</t>
  </si>
  <si>
    <t>Upkeep to flag and flower beds. Addressing wash-out on town beach.</t>
  </si>
  <si>
    <t>Gator</t>
  </si>
  <si>
    <r>
      <t xml:space="preserve">Bus trips - </t>
    </r>
    <r>
      <rPr>
        <b/>
        <sz val="10"/>
        <rFont val="Times New Roman"/>
        <family val="1"/>
      </rPr>
      <t>offset by revenues</t>
    </r>
  </si>
  <si>
    <t xml:space="preserve">Merrimack Community Concert Band </t>
  </si>
  <si>
    <t>Halloween Event (DJ, Halloween Eggs, decorations, candy)</t>
  </si>
  <si>
    <t>Holiday parade &amp; Tree Lighting Ceremony (Santa's treats, tree, decorations)</t>
  </si>
  <si>
    <r>
      <t xml:space="preserve">Swimming lessons - Red Cross cards, </t>
    </r>
    <r>
      <rPr>
        <b/>
        <sz val="10"/>
        <rFont val="Times New Roman"/>
        <family val="1"/>
      </rPr>
      <t>offset by revenues</t>
    </r>
  </si>
  <si>
    <t>Computer software annual support - clerk</t>
  </si>
  <si>
    <t>Computer software annual support - tax</t>
  </si>
  <si>
    <t>Antivirus Software</t>
  </si>
  <si>
    <t>Material for temporary pavement patches (roads and bridges)</t>
  </si>
  <si>
    <t>01-06-8230-0 Postage</t>
  </si>
  <si>
    <t>Telephone allocation</t>
  </si>
  <si>
    <t>31-10-8142-0 Compensated Absences</t>
  </si>
  <si>
    <t>Community Services Officer</t>
  </si>
  <si>
    <t>Master Patrolmen</t>
  </si>
  <si>
    <t>School Resource Officer</t>
  </si>
  <si>
    <t xml:space="preserve">Greater Nashua Mental Health Center </t>
  </si>
  <si>
    <t>Lamprey Area Health Center-health care for indigents and uninsured</t>
  </si>
  <si>
    <t>Opportunity Networks.(For Handicapped  training and jobs)</t>
  </si>
  <si>
    <t>National Registry Recertification and Registration</t>
  </si>
  <si>
    <t xml:space="preserve">  for the repair of Fire Vehicles, tires, brakes, oil, electrical, lights, seals etc.</t>
  </si>
  <si>
    <t>Maintenance of Emergency Breathing Air System Station 1 Cascade</t>
  </si>
  <si>
    <t>Maintenance of Emergency Air System Station HazMat Trailer</t>
  </si>
  <si>
    <t>Legal notices and bid advertising, certified mail, handouts.</t>
  </si>
  <si>
    <t>Administrative Lieutenant</t>
  </si>
  <si>
    <t>Repair Skate Park ramps - 6 sheets Skatelite, hardware &amp; shipping</t>
  </si>
  <si>
    <t xml:space="preserve">Drainage Improvements </t>
  </si>
  <si>
    <t xml:space="preserve">Director  </t>
  </si>
  <si>
    <t xml:space="preserve">Head of Technical Services </t>
  </si>
  <si>
    <t xml:space="preserve">  Aide I - Circulation </t>
  </si>
  <si>
    <t xml:space="preserve">  Page/Aide - Circulation </t>
  </si>
  <si>
    <t xml:space="preserve">  Librarian I - Reference </t>
  </si>
  <si>
    <t>Custodian - part-time</t>
  </si>
  <si>
    <t>01-06-8111-0 Overtime - Other</t>
  </si>
  <si>
    <t>8107 - Other &gt;$14,000</t>
  </si>
  <si>
    <t>Cellular Phone</t>
  </si>
  <si>
    <t>Brush grinding</t>
  </si>
  <si>
    <t>South Station</t>
  </si>
  <si>
    <t>Central Station</t>
  </si>
  <si>
    <t>State of NH dam registration - Stump Pond , Naticook Lake &amp; Meadowood Pond</t>
  </si>
  <si>
    <t>Irrigation maintenance - Matthew Thornton Monument, Vets &amp; Gibson Memorial</t>
  </si>
  <si>
    <t>Dumpster - Dumpster Town Hall (1) and Senior Center (1)</t>
  </si>
  <si>
    <t>Revaluation</t>
  </si>
  <si>
    <t>Regional: NH Chiefs, NE Chiefs, Souhegan Mutual Aid,  SMART, EMS Region II</t>
  </si>
  <si>
    <t>Shift overtime and coverage for training, court, sick, vacation, and holidays</t>
  </si>
  <si>
    <t>total</t>
  </si>
  <si>
    <t>Computer equipment- miscellaneous repair parts</t>
  </si>
  <si>
    <t>31-10-8510-0 Transfer To Other Funds</t>
  </si>
  <si>
    <t>Secretary - Community Development</t>
  </si>
  <si>
    <t xml:space="preserve">2012 Dewatering upgrade </t>
  </si>
  <si>
    <t>2012 Dewatering upgrade</t>
  </si>
  <si>
    <t>2010 Sewer Interceptor</t>
  </si>
  <si>
    <t>01-05-8506 Communications Equipment</t>
  </si>
  <si>
    <t>01-07-8359-0 Other Outside Services</t>
  </si>
  <si>
    <t>01-09-8230 Postage</t>
  </si>
  <si>
    <t>01-15-8334-0 Maintenance-Office Equipment</t>
  </si>
  <si>
    <t>01-16-8107-0 P/T Wages</t>
  </si>
  <si>
    <t>01-21-8458-0 Milfoil Treatment Program</t>
  </si>
  <si>
    <t>Expenditures not otherwise classified</t>
  </si>
  <si>
    <t>Building Improvements or Major Repairs</t>
  </si>
  <si>
    <t>01-07-8270-0 Dues &amp; Fees</t>
  </si>
  <si>
    <t>American Public Works Association</t>
  </si>
  <si>
    <t>AFSCME - uniform service</t>
  </si>
  <si>
    <t>Professional and safety training sessions</t>
  </si>
  <si>
    <t>01-02-8125-0 Social Security</t>
  </si>
  <si>
    <t>Electrical Service &amp; Repairs (Bise Field and Reeds Ferry Field)</t>
  </si>
  <si>
    <t xml:space="preserve">   Seeding (30% Coverage Rate)</t>
  </si>
  <si>
    <t>Secretary (Building)</t>
  </si>
  <si>
    <t>Secretary (Planning &amp; Zoning)</t>
  </si>
  <si>
    <t>01-04-8136-0 Unemployment Compensation</t>
  </si>
  <si>
    <t>Portable toilets at parks</t>
  </si>
  <si>
    <t xml:space="preserve">   Sod</t>
  </si>
  <si>
    <t>01-16-8230-0 Postage</t>
  </si>
  <si>
    <t>01-03-8136-0 Unemployment Compensation</t>
  </si>
  <si>
    <t>Nashua Regional Planning Commission</t>
  </si>
  <si>
    <t>01-13-8133-0 Life Insurance</t>
  </si>
  <si>
    <t>01-13-8134-0 Disability Insurance</t>
  </si>
  <si>
    <t>01-13-8135-0 Workers Compensation</t>
  </si>
  <si>
    <t>01-13-8300-0 Travel &amp; Meetings</t>
  </si>
  <si>
    <t>Assistant Communications Supervisor</t>
  </si>
  <si>
    <t>Employee recognition programs</t>
  </si>
  <si>
    <t>Technology Resource Coordinator - conferences</t>
  </si>
  <si>
    <t>01-05-8107-0 Wages - Part-Time</t>
  </si>
  <si>
    <t>32-32-8135-0 Workers Compensation</t>
  </si>
  <si>
    <t>32-32-8136-0 Unemployment Compensation</t>
  </si>
  <si>
    <t>32-32-8203-0 Operating Supplies</t>
  </si>
  <si>
    <t>32-32-8359-0 Other Outside Services</t>
  </si>
  <si>
    <t>32-32-8420-0 Advertising</t>
  </si>
  <si>
    <t>32-32-8504-0 Office Equipment</t>
  </si>
  <si>
    <t>01-15-8359-0 Other Outside Services</t>
  </si>
  <si>
    <t>Background check reimbursement</t>
  </si>
  <si>
    <t>01-08-8348-0 Drainage Maintenance</t>
  </si>
  <si>
    <t>Highway garage, including Equipment Maintenance area</t>
  </si>
  <si>
    <t>01-08-8245-0 Sewer</t>
  </si>
  <si>
    <t>Public and Private School Fire Prevention Program</t>
  </si>
  <si>
    <t>Pagers - 2</t>
  </si>
  <si>
    <t>Certification renewals and exams</t>
  </si>
  <si>
    <t>ESRI Software Support (GIS)</t>
  </si>
  <si>
    <t>DMV records checks for new hires</t>
  </si>
  <si>
    <t>Septic pumping as needed</t>
  </si>
  <si>
    <t>01-21-8332-0 Maintenance-Vehicles</t>
  </si>
  <si>
    <t>Vehicle maintenance and repair including tires</t>
  </si>
  <si>
    <t>01-01-8271-0 Subscriptions</t>
  </si>
  <si>
    <t>State Health Officers Association dues</t>
  </si>
  <si>
    <t>Incentives</t>
  </si>
  <si>
    <t>Purchasing Agent/Accountant</t>
  </si>
  <si>
    <t>01-01-8125-0 Social Security</t>
  </si>
  <si>
    <t>8101</t>
  </si>
  <si>
    <t>8103 - Town Manager</t>
  </si>
  <si>
    <t>8107</t>
  </si>
  <si>
    <t>8111</t>
  </si>
  <si>
    <t>Ammunition, firearm repairs, range supplies, and taser cartridges</t>
  </si>
  <si>
    <t>Media Assistant Per diem</t>
  </si>
  <si>
    <t>Media Assistant</t>
  </si>
  <si>
    <t>NH Chief of Police conference</t>
  </si>
  <si>
    <t>Schools and seminars</t>
  </si>
  <si>
    <t>01-15-8135-0 Workers Compensation</t>
  </si>
  <si>
    <t>01-15-8136-0 Unemployment Compensation</t>
  </si>
  <si>
    <t>01-05-8132-0 Dental Insurance</t>
  </si>
  <si>
    <t>01-05-8133-0 Life Insurance</t>
  </si>
  <si>
    <t>01-05-8134-0 Disability Insurance</t>
  </si>
  <si>
    <t>01-05-8135-0 Workers Compensation</t>
  </si>
  <si>
    <t xml:space="preserve">   Chain link fence repairs</t>
  </si>
  <si>
    <t xml:space="preserve">   Herbicides and pesticides contractor</t>
  </si>
  <si>
    <t xml:space="preserve">   Field marking</t>
  </si>
  <si>
    <t xml:space="preserve">   Clay</t>
  </si>
  <si>
    <t>01-07-8125-0 Social Security</t>
  </si>
  <si>
    <t>01-07-8128-0 Retirement</t>
  </si>
  <si>
    <t>01-21-8125-0 Social Security</t>
  </si>
  <si>
    <t>01-21-8128-0 Retirement</t>
  </si>
  <si>
    <t>01-09-8212-0 Equipment Rental</t>
  </si>
  <si>
    <t>01-09-8220-0 Printing</t>
  </si>
  <si>
    <t>01-09-8241-0 Electricity</t>
  </si>
  <si>
    <t>01-09-8250-0 Vehicle Fuel</t>
  </si>
  <si>
    <t>Emergencies, and coverage for sick, vacation,</t>
  </si>
  <si>
    <t>Road paving and minor reconstruction</t>
  </si>
  <si>
    <t>01-03-8134-0 Disability Insurance</t>
  </si>
  <si>
    <t>Uniform allowance - Dispatchers</t>
  </si>
  <si>
    <t>01-21-8260-0 Telephone</t>
  </si>
  <si>
    <t>Cellular telephones</t>
  </si>
  <si>
    <t>31-10-8244-0 Water</t>
  </si>
  <si>
    <t>Security monitoring</t>
  </si>
  <si>
    <t>01-03-8203-0 Operating Supplies</t>
  </si>
  <si>
    <t>Public notices</t>
  </si>
  <si>
    <t>01-16-8204-0 Uniforms</t>
  </si>
  <si>
    <t>Uniform allowance - Assistant Comm Supervisor</t>
  </si>
  <si>
    <t>01-05-8220-0 Printing</t>
  </si>
  <si>
    <t>Laboratory services</t>
  </si>
  <si>
    <t>Non-union</t>
  </si>
  <si>
    <t>Union - others</t>
  </si>
  <si>
    <t>Full-time</t>
  </si>
  <si>
    <t>01-21-8351-0 Consultants</t>
  </si>
  <si>
    <t>Employee cost sharing Non Union 10%</t>
  </si>
  <si>
    <t>Deputy Town Clerk/Tax Collector</t>
  </si>
  <si>
    <t>Human Resources Coordinator - seminars and criminal records check</t>
  </si>
  <si>
    <t>Executive Secretary - seminars and conferences</t>
  </si>
  <si>
    <t>Program and craft supplies</t>
  </si>
  <si>
    <t>01-15-8230-0 Postage</t>
  </si>
  <si>
    <t>Actual</t>
  </si>
  <si>
    <t>Budget</t>
  </si>
  <si>
    <t>Operations Manager</t>
  </si>
  <si>
    <t>Highway Foreman/Inspector</t>
  </si>
  <si>
    <t>01-16-8201-0 Office Supplies</t>
  </si>
  <si>
    <t>01-16-8203-0 Operating Supplies</t>
  </si>
  <si>
    <t>01-07-8103-0 Wages - Supervisory</t>
  </si>
  <si>
    <t>Public Works Director</t>
  </si>
  <si>
    <t>Maintenance Manager</t>
  </si>
  <si>
    <t>31-10-8504-0 Office Equipment</t>
  </si>
  <si>
    <t>Fire Alarm System Annual Test</t>
  </si>
  <si>
    <t xml:space="preserve">No. of </t>
  </si>
  <si>
    <t>non-union</t>
  </si>
  <si>
    <t>Call personnel</t>
  </si>
  <si>
    <t>Request</t>
  </si>
  <si>
    <t>Computer equipment</t>
  </si>
  <si>
    <t>Sewer Fund</t>
  </si>
  <si>
    <t>01-01-8142-0 Compensated Absences</t>
  </si>
  <si>
    <t>Proposed</t>
  </si>
  <si>
    <t xml:space="preserve">  Total</t>
  </si>
  <si>
    <t>01-01-8201-0 Office Supplies</t>
  </si>
  <si>
    <t>Large print books</t>
  </si>
  <si>
    <t>01-15-8460-0 Other Operating Expenses</t>
  </si>
  <si>
    <t>01-08-8460-0 Other Operating Expenses</t>
  </si>
  <si>
    <t>01-15-8502-0 Buildings</t>
  </si>
  <si>
    <t>01-05-8103-0 Wages - Supervisory</t>
  </si>
  <si>
    <t>Back-up media for imaging system</t>
  </si>
  <si>
    <t>8107 - part-time</t>
  </si>
  <si>
    <t>01-15-8201-0 Office Supplies</t>
  </si>
  <si>
    <t>MYA Building</t>
  </si>
  <si>
    <t>01-13-8244-0 Water</t>
  </si>
  <si>
    <t>Nominal amount to provide an appropriation should the issuance of</t>
  </si>
  <si>
    <t>tax anticipation notes become necessary</t>
  </si>
  <si>
    <t>01-21-8504-0 Office Equipment</t>
  </si>
  <si>
    <t>01-25-8493-0 Insurance</t>
  </si>
  <si>
    <t>01-25-8494-0 Burials</t>
  </si>
  <si>
    <t>01-27-8601-0 Interest-TAN</t>
  </si>
  <si>
    <t>01-03-8332-0 Maintenance-Vehicles</t>
  </si>
  <si>
    <t>01-03-8334-0 Maintenance-Office Equipment</t>
  </si>
  <si>
    <t>01-03-8336-0 Maintenance-Other</t>
  </si>
  <si>
    <t>01-03-8352-0 Education &amp; Training</t>
  </si>
  <si>
    <t>Carpet cleaning</t>
  </si>
  <si>
    <t>Finance Director - seminars and conferences</t>
  </si>
  <si>
    <t>Purchasing Agent- conferences and seminars</t>
  </si>
  <si>
    <t>01-25-8399-0 Social &amp; Health Services</t>
  </si>
  <si>
    <t>Human Resource Coordinator</t>
  </si>
  <si>
    <t>Painting</t>
  </si>
  <si>
    <t>Plumbing repairs</t>
  </si>
  <si>
    <t>Miscellaneous repairs</t>
  </si>
  <si>
    <t>8104 - full-time</t>
  </si>
  <si>
    <t>8107 - full-time</t>
  </si>
  <si>
    <t>31-10-8135-0 Workers Compensation</t>
  </si>
  <si>
    <t>01-03-8135-0 Workers Compensation</t>
  </si>
  <si>
    <t>01-09-8321-0 Maintenance-Buildings</t>
  </si>
  <si>
    <t>01-08-8321-0 Maintenance-Buildings</t>
  </si>
  <si>
    <t>Highway - fire alarm system, furnace, plumbing, electrical,</t>
  </si>
  <si>
    <t>8104 - part-time &gt;$14,000</t>
  </si>
  <si>
    <t>8104 - Others</t>
  </si>
  <si>
    <t>Severance pay re: terminating employees of all departments:</t>
  </si>
  <si>
    <t>Copier paper, computer paper, software, and other office supplies</t>
  </si>
  <si>
    <t>Martel Field</t>
  </si>
  <si>
    <t>Reeds Ferry Field</t>
  </si>
  <si>
    <t>Veterans Park</t>
  </si>
  <si>
    <t>Cellular telephone</t>
  </si>
  <si>
    <t>Telephone system maintenance</t>
  </si>
  <si>
    <t>Full-time employees - Union</t>
  </si>
  <si>
    <t>Full-time employees - Non Union</t>
  </si>
  <si>
    <t>Recording Elderly/Disabled Liens</t>
  </si>
  <si>
    <t>Mileage to NH Local Welfare Administrators Association meetings</t>
  </si>
  <si>
    <t>Assistant Planner</t>
  </si>
  <si>
    <t>01-02-8104-0 Wages - Other Full-Time</t>
  </si>
  <si>
    <t>Council</t>
  </si>
  <si>
    <t xml:space="preserve">  Nursery stock</t>
  </si>
  <si>
    <t xml:space="preserve">  Loam and mulch</t>
  </si>
  <si>
    <t>Stationery and presentation folders</t>
  </si>
  <si>
    <t>Other</t>
  </si>
  <si>
    <t>01-01-8230-0 Postage</t>
  </si>
  <si>
    <t>Postage</t>
  </si>
  <si>
    <t>Postage meter rental</t>
  </si>
  <si>
    <t>01-01-8260-0 Telephone</t>
  </si>
  <si>
    <t>Postage and shipping charges</t>
  </si>
  <si>
    <t>Mailing of public notices and general correspondence</t>
  </si>
  <si>
    <t>Administrative Assessor</t>
  </si>
  <si>
    <t>Clerk Typist II</t>
  </si>
  <si>
    <t>Computer Equipment Capital Reserve Fund</t>
  </si>
  <si>
    <t>Property Insurance Deductible Trust Fund</t>
  </si>
  <si>
    <t>Merrimack Village District (water, Hydrant Charges)</t>
  </si>
  <si>
    <t>Gasoline</t>
  </si>
  <si>
    <t>On-Call Fire Division (volunteer Group)</t>
  </si>
  <si>
    <t>8102 (Clerical)</t>
  </si>
  <si>
    <t>8103 (Supervisory)</t>
  </si>
  <si>
    <t>8104 Firefighter/EMT)</t>
  </si>
  <si>
    <t>8107 - (Per-diem EMT)</t>
  </si>
  <si>
    <t>01-02-8132-0 Dental Insurance</t>
  </si>
  <si>
    <t>01-01-8104-0 Wages - Other Full-Time</t>
  </si>
  <si>
    <t>01-01-8136-0 Unemployment Compensation</t>
  </si>
  <si>
    <t>01-13-8136-0 Unemployment Compensation</t>
  </si>
  <si>
    <t>01-13-8201-0 Office Supplies</t>
  </si>
  <si>
    <t>Landscaping</t>
  </si>
  <si>
    <t>31-10-8202-0 Maintenance Supplies</t>
  </si>
  <si>
    <t>Hardware and plumbing supplies</t>
  </si>
  <si>
    <t>31-10-8203-0 Operating Supplies</t>
  </si>
  <si>
    <t>Water Environmental Federation</t>
  </si>
  <si>
    <t>NEBRA</t>
  </si>
  <si>
    <t>Voted</t>
  </si>
  <si>
    <t>Teamsters</t>
  </si>
  <si>
    <t>Full-time employees - Teamster</t>
  </si>
  <si>
    <t>Teamster</t>
  </si>
  <si>
    <t>Police Chief</t>
  </si>
  <si>
    <t>01-07-8136-0 Unemployment Compensation</t>
  </si>
  <si>
    <t>01-07-8201-0 Office Supplies</t>
  </si>
  <si>
    <t>Miscellaneous supplies</t>
  </si>
  <si>
    <t>31-10-8241-0 Electricity</t>
  </si>
  <si>
    <t>Main plant</t>
  </si>
  <si>
    <t>01-02-8359-0 Other Outside Services</t>
  </si>
  <si>
    <t>Mapping maintenance</t>
  </si>
  <si>
    <t>Contractual Assessor services</t>
  </si>
  <si>
    <t>31-10-8245-0 Sewer</t>
  </si>
  <si>
    <t>01-07-8220-0 Printing</t>
  </si>
  <si>
    <t>01-04-8131-0 Health Insurance</t>
  </si>
  <si>
    <t>Polling place rental</t>
  </si>
  <si>
    <t>Overhead Door Maintenance Repair/Agreement</t>
  </si>
  <si>
    <t>Boots, Gloves, Helmets, and SCBA/SABA Masks</t>
  </si>
  <si>
    <t>Bedding and linen service (Union Contract)</t>
  </si>
  <si>
    <t>Public Notification Door Forms</t>
  </si>
  <si>
    <t>Reed's Ferry Station</t>
  </si>
  <si>
    <t>31-10-8205-0 Laboratory Supplies</t>
  </si>
  <si>
    <t>31-10-8212-0 Equipment Rental</t>
  </si>
  <si>
    <t>01-24-8201-0 Office Supplies</t>
  </si>
  <si>
    <t>Calculators</t>
  </si>
  <si>
    <t>Valuation books</t>
  </si>
  <si>
    <t>01-24-8220-0 Printing</t>
  </si>
  <si>
    <t>Stationery and billing forms</t>
  </si>
  <si>
    <t>01-24-8230-0 Postage</t>
  </si>
  <si>
    <t xml:space="preserve">  Emergency Medical Technician-Paramedic</t>
  </si>
  <si>
    <t>International Association of Arson Investigators</t>
  </si>
  <si>
    <t>CLIA waiver State of New Hampshire Medical</t>
  </si>
  <si>
    <t>01-01-8408-0 Agricultural Committee</t>
  </si>
  <si>
    <t>Farm Bureau membership                                                          </t>
  </si>
  <si>
    <t>Sprinkler System Annual test</t>
  </si>
  <si>
    <t>Hats and shirts for identification and safety</t>
  </si>
  <si>
    <t>01-04-8242-0 Natural Gas</t>
  </si>
  <si>
    <t>01-13-8242-0 Natural Gas</t>
  </si>
  <si>
    <t>01-17-8242-0 Natural Gas</t>
  </si>
  <si>
    <t>31-10-8242-0 Natural Gas</t>
  </si>
  <si>
    <t>01-21-8103-0 Wages - Supervisory</t>
  </si>
  <si>
    <t>Community Development Director</t>
  </si>
  <si>
    <t>Planning/Zoning Administrator</t>
  </si>
  <si>
    <t>Building/Health Official</t>
  </si>
  <si>
    <t>Special mailings</t>
  </si>
  <si>
    <t>01-15-8242-0 Natural Gas</t>
  </si>
  <si>
    <t>01-04-8430-0 Dog Pound</t>
  </si>
  <si>
    <t>Keystone - shelter and chemical dependency counseling</t>
  </si>
  <si>
    <t>31-10-8420-0 Advertising</t>
  </si>
  <si>
    <t xml:space="preserve"> </t>
  </si>
  <si>
    <t>01-01-8107-0 Wages - Part-Time</t>
  </si>
  <si>
    <t>Secretary</t>
  </si>
  <si>
    <t>Young adult programs</t>
  </si>
  <si>
    <t xml:space="preserve">  Souhegan River water quality monitoring</t>
  </si>
  <si>
    <t xml:space="preserve">  Lay lake monitoring</t>
  </si>
  <si>
    <t xml:space="preserve">  Total Conservation Commission</t>
  </si>
  <si>
    <t>Electrical repairs</t>
  </si>
  <si>
    <t>01-13-8373-0 Memorial Day</t>
  </si>
  <si>
    <t>Memorial Day parade and wreaths for graves</t>
  </si>
  <si>
    <t>01-21-8460-0 Misc.</t>
  </si>
  <si>
    <t>01-13-8504-0 Office Equipment</t>
  </si>
  <si>
    <t>01-01-8103-0 Wages - Supervisory</t>
  </si>
  <si>
    <t>Town Manager</t>
  </si>
  <si>
    <t>Transfer to Athletic Field Capital Reserve Fund</t>
  </si>
  <si>
    <t>01-15-8103-0 Wages - Supervisory</t>
  </si>
  <si>
    <t>Director</t>
  </si>
  <si>
    <t>01-15-8352-0 Education &amp; Training</t>
  </si>
  <si>
    <t>Copier paper and toner, computer paper and supplies, and miscellaneous</t>
  </si>
  <si>
    <t>Bus transportation to Nashua for elderly and disabled</t>
  </si>
  <si>
    <t>Full-time employees</t>
  </si>
  <si>
    <t>01-24-8125-0 Social Security</t>
  </si>
  <si>
    <t>01-09-8260-0 Telephone</t>
  </si>
  <si>
    <t>01-09-8270-0 Dues &amp; Fees</t>
  </si>
  <si>
    <t>01-09-8280-0 General Insurance</t>
  </si>
  <si>
    <t>01-09-8300-0 Travel &amp; Meetings</t>
  </si>
  <si>
    <t>01-09-8334-0 Maintenance-Office Equipment</t>
  </si>
  <si>
    <t>01-15-8321-0 Maintenance-Buildings</t>
  </si>
  <si>
    <t>Elevator maintenance</t>
  </si>
  <si>
    <t>Heating system maintenance</t>
  </si>
  <si>
    <t>Brochures, flyers, stationery, and forms</t>
  </si>
  <si>
    <t>General litigation and valuation appeals</t>
  </si>
  <si>
    <t>NH Local Welfare Administrators Association</t>
  </si>
  <si>
    <t>01-08-8333-0 Maintenance-Vehicles</t>
  </si>
  <si>
    <t>01-16-8508-0 Operating Equipment</t>
  </si>
  <si>
    <t>31-10-8359-0 Other Outside Services</t>
  </si>
  <si>
    <t>Water analysis re: industrial pretreatment program</t>
  </si>
  <si>
    <t>Wastewater testing required by federal and state agencies</t>
  </si>
  <si>
    <t>31-10-8381-0 Sewer Maintenance</t>
  </si>
  <si>
    <t>Replacement frames and covers</t>
  </si>
  <si>
    <t>01-08-8386-0 Bridge Repairs</t>
  </si>
  <si>
    <t>Secretary I</t>
  </si>
  <si>
    <t>Legal fees</t>
  </si>
  <si>
    <t>Parks &amp; Recreation Director</t>
  </si>
  <si>
    <t>8103- Parks &amp; recreation Director</t>
  </si>
  <si>
    <t>01-01-8143-0 EMPLOYEE INCENTIVES/Raises</t>
  </si>
  <si>
    <t>Book binding of permanent records, mortgage search, and recording and</t>
  </si>
  <si>
    <t>01-15-8504-0 Office Equipment</t>
  </si>
  <si>
    <t>Executive Secretary</t>
  </si>
  <si>
    <t>01-03-8103-0 Wages - Supervisory</t>
  </si>
  <si>
    <t>Fire Chief</t>
  </si>
  <si>
    <t>Assistant Chief</t>
  </si>
  <si>
    <t>Captain</t>
  </si>
  <si>
    <t>Lieutenant</t>
  </si>
  <si>
    <t>Educational bonuses:</t>
  </si>
  <si>
    <t>Diesel fuel for repairs, pressure washer, and other equipment</t>
  </si>
  <si>
    <t>Electronics</t>
  </si>
  <si>
    <t xml:space="preserve">  Town contribution</t>
  </si>
  <si>
    <t>01-01-8410-0 Elections/Voter Registration</t>
  </si>
  <si>
    <t>Wages:</t>
  </si>
  <si>
    <t xml:space="preserve">  Total wages</t>
  </si>
  <si>
    <t>Social security - 7.65%</t>
  </si>
  <si>
    <t>31-10-8107-0 Wages - Part-Time</t>
  </si>
  <si>
    <t>Pavement markings</t>
  </si>
  <si>
    <t>31-10-8351-0 Consultants</t>
  </si>
  <si>
    <t>01-15-8134-0 Disability Insurance</t>
  </si>
  <si>
    <t>01-25-8260-0 Telephone</t>
  </si>
  <si>
    <t>01-24-8334-0 Maintenance-Office Equipment</t>
  </si>
  <si>
    <t>01-21-8203-0 Operating Supplies</t>
  </si>
  <si>
    <t>Film, minor testing equipment, and miscellaneous supplies</t>
  </si>
  <si>
    <t>01-13-8376-0 Senior Citizens</t>
  </si>
  <si>
    <t>Senior excursions</t>
  </si>
  <si>
    <t>01-13-8377-0 Adult Community Center</t>
  </si>
  <si>
    <t>01-21-8133-0 Life Insurance</t>
  </si>
  <si>
    <t>01-21-8134-0 Disability Insurance</t>
  </si>
  <si>
    <t>01-21-8135-0 Workers Compensation</t>
  </si>
  <si>
    <t>8104 - Building Inspector</t>
  </si>
  <si>
    <t>01-21-8136-0 Unemployment Compensation</t>
  </si>
  <si>
    <t>01-21-8201-0 Office Supplies</t>
  </si>
  <si>
    <t>01-16-8136-0 Unemployment Compensation</t>
  </si>
  <si>
    <t xml:space="preserve">  training, sick, vacation, court, and holidays</t>
  </si>
  <si>
    <t>Justice of the Peace</t>
  </si>
  <si>
    <t>Ballots and memory pack programming</t>
  </si>
  <si>
    <t>Grand total</t>
  </si>
  <si>
    <t>NHMA Annual Conference</t>
  </si>
  <si>
    <t>01-21-8420-0 Advertising</t>
  </si>
  <si>
    <t>Patrolman</t>
  </si>
  <si>
    <t>MYA Building and outdoor lighting</t>
  </si>
  <si>
    <t>Regional Solid Waste District</t>
  </si>
  <si>
    <t>Council (7)</t>
  </si>
  <si>
    <t>Total * includes $3,500 from Library Trustees</t>
  </si>
  <si>
    <t>Seminars, meetings, and conferences</t>
  </si>
  <si>
    <t>Typewriters and printers</t>
  </si>
  <si>
    <t>Dispatchers Part-time</t>
  </si>
  <si>
    <t>01-03-8107-0 Wages - Part-Time</t>
  </si>
  <si>
    <t>Dumpsters</t>
  </si>
  <si>
    <t>01-04-8204-0 Uniforms</t>
  </si>
  <si>
    <t>Police officers - non-union</t>
  </si>
  <si>
    <t>Police officers - AFSCME 93</t>
  </si>
  <si>
    <t>01-15-8280-0 General Insurance</t>
  </si>
  <si>
    <t>8103 - Secretary/Scale Operator</t>
  </si>
  <si>
    <t>01-08-8270-0 Dues &amp; Fees</t>
  </si>
  <si>
    <t>Pickup truck and sedan - unleaded gasoline</t>
  </si>
  <si>
    <t>01-21-8104-0 Wages - Other Full-Time</t>
  </si>
  <si>
    <t>Janitorial supplies, tools, hardware, and other supplies</t>
  </si>
  <si>
    <t>St. John Neumann Food Pantry &amp; Outreach</t>
  </si>
  <si>
    <t>Scheduled overtime for construction projects, pavement markings,</t>
  </si>
  <si>
    <t>Unscheduled overtime during winter for snow plowing, sanding,</t>
  </si>
  <si>
    <t xml:space="preserve">  salting, drainage problems, and fallen tree limb removal</t>
  </si>
  <si>
    <t xml:space="preserve">  drainage projects, elections, and other activities</t>
  </si>
  <si>
    <t>01-25-8352-0 Education &amp; Training</t>
  </si>
  <si>
    <t>01-25-8359-0 Other Outside Services</t>
  </si>
  <si>
    <t>8111 - NHRS</t>
  </si>
  <si>
    <t>Copier - Finance</t>
  </si>
  <si>
    <t>Fax</t>
  </si>
  <si>
    <t>01-21-8131-0 Health Insurance</t>
  </si>
  <si>
    <t>01-21-8132-0 Dental Insurance</t>
  </si>
  <si>
    <t>Seminars and meetings</t>
  </si>
  <si>
    <t>Employee recruitment ads</t>
  </si>
  <si>
    <t>01-09-8103-0 Wages - Supervisory</t>
  </si>
  <si>
    <t>01-09-8104-0 Wages - Other Full-Time</t>
  </si>
  <si>
    <t>01-09-8105-0 Overtime-Supervisory</t>
  </si>
  <si>
    <t>01-03-8260-0 Telephone</t>
  </si>
  <si>
    <t>General office supplies</t>
  </si>
  <si>
    <t>Library supplies</t>
  </si>
  <si>
    <t>01-03-8420-0 Advertising</t>
  </si>
  <si>
    <t>01-03-8459-0 Physical Exams</t>
  </si>
  <si>
    <t>01-03-8502-0 Buildings</t>
  </si>
  <si>
    <t>01-01-8334-0 Maintenance-Office Equipment</t>
  </si>
  <si>
    <t>Town Manager - conferences</t>
  </si>
  <si>
    <t>01-17-8502-0 Buildings</t>
  </si>
  <si>
    <t>01-05-8104-0 Wages - Other Full-Time</t>
  </si>
  <si>
    <t xml:space="preserve">    Merrimack River Watershed Council</t>
  </si>
  <si>
    <t>Repair of fire equipment and maintenance of</t>
  </si>
  <si>
    <t xml:space="preserve">  generators, compressors, and HVAC systems</t>
  </si>
  <si>
    <t>Ground Ladder Testing (Annual)</t>
  </si>
  <si>
    <t>Replacement parts, contractual services, and supplies</t>
  </si>
  <si>
    <t>01-09-8335-0 Maintenance-Communications Equip</t>
  </si>
  <si>
    <t xml:space="preserve">  Chain link fence repairs</t>
  </si>
  <si>
    <t xml:space="preserve">  Field marking</t>
  </si>
  <si>
    <t xml:space="preserve">  Bases</t>
  </si>
  <si>
    <t>01-08-8105-0 Overtime - Supervisory</t>
  </si>
  <si>
    <t>Tolls - unmarked vehicles</t>
  </si>
  <si>
    <t>01-04-8332-0 Maintenance-Vehicles</t>
  </si>
  <si>
    <t>Scheduled and unscheduled maintenance and tires</t>
  </si>
  <si>
    <t>01-08-8133-0 Life Insurance</t>
  </si>
  <si>
    <t>01-24-8103-0 Wages - Supervisory</t>
  </si>
  <si>
    <t>Transfer to Communication Equipment Capital Reserve Fund</t>
  </si>
  <si>
    <t>Transfer to Fire Equipment Capital Reserve Fund</t>
  </si>
  <si>
    <t>8107 - Maintenance I</t>
  </si>
  <si>
    <t>01-24-8135-0 Workers Compensation</t>
  </si>
  <si>
    <t>Computer equipment (repairs)</t>
  </si>
  <si>
    <t>Dumpster Contract Station 2</t>
  </si>
  <si>
    <t>Department Infrastructure Maintenance</t>
  </si>
  <si>
    <t>01-09-8111-0 Overtime - Other</t>
  </si>
  <si>
    <t>01-09-8125-0 Social Security</t>
  </si>
  <si>
    <t>01-09-8128-0 Retirement</t>
  </si>
  <si>
    <t>01-09-8131-0 Health Insurance</t>
  </si>
  <si>
    <t>01-09-8132-0 Dental Insurance</t>
  </si>
  <si>
    <t>01-09-8133-0 Life Insurance</t>
  </si>
  <si>
    <t>01-09-8134-0 Disability Insurance</t>
  </si>
  <si>
    <t>01-09-8135-0 Workers Compensation</t>
  </si>
  <si>
    <t>01-09-8136-0 Unemployment Compensation</t>
  </si>
  <si>
    <t>Heritage Fund:</t>
  </si>
  <si>
    <t>Herbicide contractor</t>
  </si>
  <si>
    <t>Street sweeping</t>
  </si>
  <si>
    <t>01-08-8361-0 Street Lights</t>
  </si>
  <si>
    <t>Current street lights:</t>
  </si>
  <si>
    <t>01-13-8204-0 Uniforms</t>
  </si>
  <si>
    <t>01-15-8450-0 Library Materials</t>
  </si>
  <si>
    <t>01-06-8334-0 Maintenance-Office Equipment</t>
  </si>
  <si>
    <t>01-06-8504-0 Office Equipment</t>
  </si>
  <si>
    <t xml:space="preserve">  Substitute coverage</t>
  </si>
  <si>
    <t>01-15-8107-0 Wages - Custodial</t>
  </si>
  <si>
    <t>01-04-8107-0 Wages - Part-Time</t>
  </si>
  <si>
    <t>01-04-8103-0 Wages - Supervisory</t>
  </si>
  <si>
    <t>20-03-8432-0 Outside Details/EMS Coverage</t>
  </si>
  <si>
    <t>20-04-8432-0 Outside Details</t>
  </si>
  <si>
    <t>01-02-8300-0 Travel &amp; Meetings</t>
  </si>
  <si>
    <t>supplies</t>
  </si>
  <si>
    <t>Education &amp; training</t>
  </si>
  <si>
    <t>Finance Dept system maintenance and support</t>
  </si>
  <si>
    <t>01-01-8359-0 Other Outside Services</t>
  </si>
  <si>
    <t>Annual audit</t>
  </si>
  <si>
    <t>8104 - part-time &lt;$14,000</t>
  </si>
  <si>
    <t>Personnel services</t>
  </si>
  <si>
    <t>01-25-8334-0 Maintenance-Office Equipment</t>
  </si>
  <si>
    <t>Totals</t>
  </si>
  <si>
    <t>Hours</t>
  </si>
  <si>
    <t>Pay Rate</t>
  </si>
  <si>
    <t>Gallons</t>
  </si>
  <si>
    <t>$ Per Gal</t>
  </si>
  <si>
    <t>01-01-8407-0 Historic Preservation</t>
  </si>
  <si>
    <t>State of NH scale license</t>
  </si>
  <si>
    <t>Voters Guide and budget information booklets</t>
  </si>
  <si>
    <t xml:space="preserve">  Special projects</t>
  </si>
  <si>
    <t xml:space="preserve">Full-time employees </t>
  </si>
  <si>
    <t>Employee cost sharing 10%</t>
  </si>
  <si>
    <t>Officer Pay Call Division</t>
  </si>
  <si>
    <t>Seminars, meetings, conferences and CDL testing travel</t>
  </si>
  <si>
    <t>01-08-8242-0  Natural Gas</t>
  </si>
  <si>
    <t>Health Inspector</t>
  </si>
  <si>
    <t>All facilities, continuing scheduled maintenance: painting, roofs, woodrot etc</t>
  </si>
  <si>
    <t xml:space="preserve">Lake water quality tests </t>
  </si>
  <si>
    <t xml:space="preserve">Pickup truck </t>
  </si>
  <si>
    <t>Full time employees</t>
  </si>
  <si>
    <t>Postage machine and scale</t>
  </si>
  <si>
    <t>Northern New England Recreation Conference</t>
  </si>
  <si>
    <t>Fire Prevention Educational Material for Schools /Day Care (Private)</t>
  </si>
  <si>
    <t>Fire prevention Educational Material for Town Events (Expo etc.)</t>
  </si>
  <si>
    <t>Juvenile Fire Setter Educational Program (Legal System)</t>
  </si>
  <si>
    <t>Local Emergency Planning Committee (LEPC) (federal State Regulations)</t>
  </si>
  <si>
    <t>Janitorial supplies, lightbulbs</t>
  </si>
  <si>
    <t>Cable internet/VPN</t>
  </si>
  <si>
    <t>Advertising - Day camp promotion</t>
  </si>
  <si>
    <t>Building Inspector</t>
  </si>
  <si>
    <t>01-21-8107-0 Wages - Part-Time</t>
  </si>
  <si>
    <t>31-10-8250-0 Vehicle Fuel</t>
  </si>
  <si>
    <t>Meals</t>
  </si>
  <si>
    <t>01-09-8204-0 Uniforms</t>
  </si>
  <si>
    <t>Martel Field and Bise Field</t>
  </si>
  <si>
    <t>01-13-8241-0 Electricity</t>
  </si>
  <si>
    <t>01-03-8230-0 Postage</t>
  </si>
  <si>
    <t>Air conditioning maintenance</t>
  </si>
  <si>
    <t>File server and personal computer maintenance</t>
  </si>
  <si>
    <t xml:space="preserve">  Current service</t>
  </si>
  <si>
    <t>Janitorial supplies, light bulbs, tools, and miscellaneous hardware</t>
  </si>
  <si>
    <t>Social security</t>
  </si>
  <si>
    <t>Workers compensation</t>
  </si>
  <si>
    <t>Unemployment compensation</t>
  </si>
  <si>
    <t>01-01-8405-0 Nashua Transit System</t>
  </si>
  <si>
    <t>01-03-8406-0 Emergency Management</t>
  </si>
  <si>
    <t>Secretary - conferences and courses</t>
  </si>
  <si>
    <t>Internet services</t>
  </si>
  <si>
    <t>01-03-8280-0 General Insurance</t>
  </si>
  <si>
    <t>01-24-8504-0 Office Equipment</t>
  </si>
  <si>
    <t>01-25-8107-0 Wages - Part-Time</t>
  </si>
  <si>
    <t>01-04-8321-0 Maintenance-Building</t>
  </si>
  <si>
    <t>Consulting services</t>
  </si>
  <si>
    <t>01-07-8131-0 Health Insurance</t>
  </si>
  <si>
    <t>01-21-8270-0 Dues &amp; Fees</t>
  </si>
  <si>
    <t>01-21-8393-0 Conservation</t>
  </si>
  <si>
    <t>Conservation Commission:</t>
  </si>
  <si>
    <t>01-08-8502-0 Buildings</t>
  </si>
  <si>
    <t>31-10-8311-0 Chemicals</t>
  </si>
  <si>
    <t>Polymer for belt filter press</t>
  </si>
  <si>
    <t>01-03-8331-0 Maintenance-Machinery</t>
  </si>
  <si>
    <t>01-13-8374-0 Recreation Programs</t>
  </si>
  <si>
    <t>Easter egg hunt</t>
  </si>
  <si>
    <t>Boot allowance - AFSCME</t>
  </si>
  <si>
    <t>Contingency for purchase of land</t>
  </si>
  <si>
    <t>Clothing allowance and boots</t>
  </si>
  <si>
    <t>31-10-8125-0 Social Security</t>
  </si>
  <si>
    <t>01-27-8604-0 Principal - Long-Term Debt</t>
  </si>
  <si>
    <t>NH Town Clerk Seminar - all staff training</t>
  </si>
  <si>
    <t>01-25-8270-0 Dues &amp; Fees</t>
  </si>
  <si>
    <t>Wasserman Park trails, fencing, and rec areas</t>
  </si>
  <si>
    <t>31-10-8131-0 Health Insurance</t>
  </si>
  <si>
    <t>31-10-8132-0 Dental Insurance</t>
  </si>
  <si>
    <t>31-10-8133-0 Life Insurance</t>
  </si>
  <si>
    <t>01-16-8359-0 Other Outside Services</t>
  </si>
  <si>
    <t>01-25-8893-0 Crisis Funds</t>
  </si>
  <si>
    <t>31-10-8331-0 Maintenance-Machinery</t>
  </si>
  <si>
    <t>Legal notices and notices of vacancies, bids, and meetings</t>
  </si>
  <si>
    <t>Propane fuel: forklift and Bobcat loader</t>
  </si>
  <si>
    <t>Fax/modem line</t>
  </si>
  <si>
    <t xml:space="preserve">  releasing tax liens and deeds</t>
  </si>
  <si>
    <t>01-24-8420-0 Advertising</t>
  </si>
  <si>
    <t>Dog tags</t>
  </si>
  <si>
    <t>31-10-8134-0 Disability Insurance</t>
  </si>
  <si>
    <t>01-04-8132-0 Dental Insurance</t>
  </si>
  <si>
    <t>01-04-8133-0 Life Insurance</t>
  </si>
  <si>
    <t>01-04-8134-0 Disability Insurance</t>
  </si>
  <si>
    <t>Operating supplies:</t>
  </si>
  <si>
    <t>01-25-8125-0 Social Security</t>
  </si>
  <si>
    <t>Welfare Administrator</t>
  </si>
  <si>
    <t>01-25-8135-0 Workers Compensation</t>
  </si>
  <si>
    <t>01-25-8136-0 Unemployment Compensation</t>
  </si>
  <si>
    <t>01-25-8201-0 Office Supplies</t>
  </si>
  <si>
    <t>Saturday shift premium - 8 hr X 52 wk X 4 employees</t>
  </si>
  <si>
    <t>Holiday pay - 7 days X 8 hr X 4 employees</t>
  </si>
  <si>
    <t>Town Council Adjustment</t>
  </si>
  <si>
    <t>Revenue, excluding Town grant</t>
  </si>
  <si>
    <t>32-32-8351-0 Consultants</t>
  </si>
  <si>
    <t>Office furniture</t>
  </si>
  <si>
    <t>Movie Licensing USA</t>
  </si>
  <si>
    <t>01-09-8370-0 Landfill Monitoring</t>
  </si>
  <si>
    <t>01-07-8300-0 Travel &amp; Meetings</t>
  </si>
  <si>
    <t>NH Tax Collector Seminar</t>
  </si>
  <si>
    <t>01-03-8335-0 Maintenance-Communications Equipment</t>
  </si>
  <si>
    <t>01-04-8230-0 Postage</t>
  </si>
  <si>
    <t>01-08-8104-0 Wages - Other Full-Time</t>
  </si>
  <si>
    <t xml:space="preserve">  vacation/sick time coverage by Highway</t>
  </si>
  <si>
    <t>8103 - Foreman/Supervisor</t>
  </si>
  <si>
    <t xml:space="preserve"> Chief Operator and Maintenance Manager</t>
  </si>
  <si>
    <t>Contractual ambulance billing service</t>
  </si>
  <si>
    <t xml:space="preserve">  Water and sewer</t>
  </si>
  <si>
    <t>Dispatcher</t>
  </si>
  <si>
    <t>01-05-8105-0 Overtime-Supervisory</t>
  </si>
  <si>
    <t>01-15-8374-0 Programs</t>
  </si>
  <si>
    <t>On call Pay (winter 16 weeks X 7 days X1 hr)</t>
  </si>
  <si>
    <t>01-25-8483-0 Natural Gas Heat</t>
  </si>
  <si>
    <t>01-25-8484-0 Heating Oil and Kerosene</t>
  </si>
  <si>
    <t>Office Manager</t>
  </si>
  <si>
    <t>Account Clerk III</t>
  </si>
  <si>
    <t>Certified mail and shipping</t>
  </si>
  <si>
    <t>01-02-8250-0 Vehicle Fuel</t>
  </si>
  <si>
    <t>Unleaded fuel</t>
  </si>
  <si>
    <t>01-02-8260-0 Telephone</t>
  </si>
  <si>
    <t>Auto and liability insurance cost allocation</t>
  </si>
  <si>
    <t>01-25-8492-0 Santa Fund</t>
  </si>
  <si>
    <t>31-10-8103-0 Wages - Supervisory</t>
  </si>
  <si>
    <t>Chief Operator</t>
  </si>
  <si>
    <t>Laboratory Manager</t>
  </si>
  <si>
    <t>Portable toilets</t>
  </si>
  <si>
    <t>Pennichuck Square Pumping Station</t>
  </si>
  <si>
    <t>Burt Street Pumping Station</t>
  </si>
  <si>
    <t>Compost facility</t>
  </si>
  <si>
    <t>Net expenditures/Town grant</t>
  </si>
  <si>
    <t>Sedan repair and maintenance</t>
  </si>
  <si>
    <t>Electrical Repair</t>
  </si>
  <si>
    <t>Media Coordinator</t>
  </si>
  <si>
    <t>Assistant Media Coordinator</t>
  </si>
  <si>
    <t>32-32-8103-0 Wages - Supervisory</t>
  </si>
  <si>
    <t>32-32-8107-0 Wages - Part-Time</t>
  </si>
  <si>
    <t>32-32-8125-0 Social Security</t>
  </si>
  <si>
    <t>01-21-8352-0 Education &amp; Training</t>
  </si>
  <si>
    <t>Children's programs</t>
  </si>
  <si>
    <t>Children's materials</t>
  </si>
  <si>
    <t>01-13-8371-0 Merrimack Youth Association</t>
  </si>
  <si>
    <t>Soccer</t>
  </si>
  <si>
    <t>01-08-8107-0 Wages - Part-Time</t>
  </si>
  <si>
    <t>01-15-8353-0 Computer Services</t>
  </si>
  <si>
    <t>Football/Cheerleading</t>
  </si>
  <si>
    <t>Basketball</t>
  </si>
  <si>
    <t>Lacrosse</t>
  </si>
  <si>
    <t>Total expenditures</t>
  </si>
  <si>
    <t>Revenues, excluding Town grant</t>
  </si>
  <si>
    <t>Net expenditures</t>
  </si>
  <si>
    <t>01-08-8111-0 Overtime - Other</t>
  </si>
  <si>
    <t>Hydrant fees - fully offset by special assessments:</t>
  </si>
  <si>
    <t>01-07-8460-0 Other Operating Expenses</t>
  </si>
  <si>
    <t>01-07-8504-0 Office Equipment</t>
  </si>
  <si>
    <t>01-08-8102-0 Wages - Clerical</t>
  </si>
  <si>
    <t>Recording of plans</t>
  </si>
  <si>
    <t>01-08-8508-0 Operating Equipment</t>
  </si>
  <si>
    <t>01-08-8510-0 Capital Reserve Fund</t>
  </si>
  <si>
    <t>Maintenance of sprinklers and smoke detectors</t>
  </si>
  <si>
    <t>01-24-8102-0 Wages - Clerical</t>
  </si>
  <si>
    <t>Mailing of brochures, flyers, and general correspondence; and third-class</t>
  </si>
  <si>
    <t>Computer paper and supplies and miscellaneous office supplies</t>
  </si>
  <si>
    <t>01-05-8203-0 Operating Supplies</t>
  </si>
  <si>
    <t>Public notices and bid advertisements</t>
  </si>
  <si>
    <t>31-10-8460-0 Other Operating Expenses</t>
  </si>
  <si>
    <t>01-07-8133-0 Life Insurance</t>
  </si>
  <si>
    <t>01-07-8134-0 Disability Insurance</t>
  </si>
  <si>
    <t>01-07-8135-0 Workers Compensation</t>
  </si>
  <si>
    <t>31-10-8102-0 Wages-Clerical</t>
  </si>
  <si>
    <t>Infrastructure Upgrades / Installations</t>
  </si>
  <si>
    <t>Building Systems</t>
  </si>
  <si>
    <t>01-04-8335-0 Maintenance-Communications Equipment</t>
  </si>
  <si>
    <t>Radar units and radios</t>
  </si>
  <si>
    <t>01-13-8372-0 Fourth of July</t>
  </si>
  <si>
    <t>NESPIN</t>
  </si>
  <si>
    <t>01-07-8107-0 Wages - Part-Time</t>
  </si>
  <si>
    <t>Net</t>
  </si>
  <si>
    <t>DW Highway Capital Reserve Fund</t>
  </si>
  <si>
    <t>01-08-8382-0 Tree Service</t>
  </si>
  <si>
    <t>01-01-8504-0 Office Equipment</t>
  </si>
  <si>
    <t>2002 Greens Pond Bonds</t>
  </si>
  <si>
    <t>01-01-8111-0 Overtime - Other</t>
  </si>
  <si>
    <t>8104</t>
  </si>
  <si>
    <t>01-04-8334-0 Maintenance-Office Equipment</t>
  </si>
  <si>
    <t>Copiers</t>
  </si>
  <si>
    <t>Identi-Kit</t>
  </si>
  <si>
    <t>32-32-8104-0 Wages - Other Full-Time</t>
  </si>
  <si>
    <t xml:space="preserve">  Building improvements</t>
  </si>
  <si>
    <t>Uniform cleaning</t>
  </si>
  <si>
    <t>Uniform patches</t>
  </si>
  <si>
    <t>01-04-8220-0 Printing</t>
  </si>
  <si>
    <t>Forms and stationery</t>
  </si>
  <si>
    <t>01-16-8103-0 Wages - Supervisory</t>
  </si>
  <si>
    <t>Foreman</t>
  </si>
  <si>
    <t>01-16-8104-0 Wages - Other Full-Time</t>
  </si>
  <si>
    <t>Merrimack Historical Society:</t>
  </si>
  <si>
    <t xml:space="preserve">  Electricity</t>
  </si>
  <si>
    <t xml:space="preserve">  Telephone</t>
  </si>
  <si>
    <t xml:space="preserve">  Heat</t>
  </si>
  <si>
    <t xml:space="preserve">  Insurance</t>
  </si>
  <si>
    <t xml:space="preserve">  Postage</t>
  </si>
  <si>
    <t>Short-term disability insurance</t>
  </si>
  <si>
    <t>01-05-8260-0 Telephone</t>
  </si>
  <si>
    <t>American Red Cross-disaster, blood, health &amp; safety education</t>
  </si>
  <si>
    <t>Recording Secretary – Planning/Zoning Boards</t>
  </si>
  <si>
    <t>Forms, Pamphlets, Stationery</t>
  </si>
  <si>
    <t>01-04-8104-0 Wages - Other Full-Time</t>
  </si>
  <si>
    <t>Patrol Sergeant</t>
  </si>
  <si>
    <t>Detective First</t>
  </si>
  <si>
    <t>Dues &amp; fees - state permit, ACA Annual Dues</t>
  </si>
  <si>
    <t>Janitorial &amp; Cleaning supplies</t>
  </si>
  <si>
    <t>8107- (Fire Inspector)</t>
  </si>
  <si>
    <t>01-03-8204-0 Uniforms, Personal Protective Clothing</t>
  </si>
  <si>
    <t>Fire Extinguisher Testing/Certification</t>
  </si>
  <si>
    <t xml:space="preserve">  EMT/Basic Class (EMS Volunteer Division)</t>
  </si>
  <si>
    <t xml:space="preserve">  Firefighter 1 (Call Fire Volunteer Division)</t>
  </si>
  <si>
    <t>01-04-8280-0 General Insurance</t>
  </si>
  <si>
    <t>01-04-8300-0 Travel &amp; Meetings</t>
  </si>
  <si>
    <t>Meetings</t>
  </si>
  <si>
    <t>NH Town Clerks Conference</t>
  </si>
  <si>
    <t>NH Tax Collectors Conference</t>
  </si>
  <si>
    <t>Tax collectors workshops</t>
  </si>
  <si>
    <t>Regional meetings</t>
  </si>
  <si>
    <t>Mileage for Town Clerk/Tax Collector</t>
  </si>
  <si>
    <t>01-09-8510-0 Capital Reserve Fund</t>
  </si>
  <si>
    <t>.</t>
  </si>
  <si>
    <t>ARL Fee</t>
  </si>
  <si>
    <t>Office Equipment</t>
  </si>
  <si>
    <t>01-16-8280-0 General Insurance</t>
  </si>
  <si>
    <t>01-16-8300-0 Travel &amp; Meetings</t>
  </si>
  <si>
    <t>01-02-8334-0 Maintenance-Office Equipment</t>
  </si>
  <si>
    <t>Copier</t>
  </si>
  <si>
    <t>Printers</t>
  </si>
  <si>
    <t>01-02-8352-0 Education &amp; Training</t>
  </si>
  <si>
    <t>Computer courses</t>
  </si>
  <si>
    <t>31-10-8230-0 Postage</t>
  </si>
  <si>
    <t>8102 - Full-time</t>
  </si>
  <si>
    <t>8106 - Full-time</t>
  </si>
  <si>
    <t>01-04-8201-0 Office Supplies</t>
  </si>
  <si>
    <t>Copier paper and toner</t>
  </si>
  <si>
    <t>Liability insurance cost allocation</t>
  </si>
  <si>
    <t>Subscriptions</t>
  </si>
  <si>
    <t>01-21-8280-0 General Insurance</t>
  </si>
  <si>
    <t>Liability and auto insurance</t>
  </si>
  <si>
    <t>01-21-8300-0 Travel &amp; Meetings</t>
  </si>
  <si>
    <t>Police station</t>
  </si>
  <si>
    <t>Bandstand</t>
  </si>
  <si>
    <t>01-17-8244-0 Water</t>
  </si>
  <si>
    <t>01-17-8245-0 Sewer</t>
  </si>
  <si>
    <t>01-17-8250-0 Vehicle Fuel</t>
  </si>
  <si>
    <t>01-17-8260-0 Telephone</t>
  </si>
  <si>
    <t>01-17-8280-0 General Insurance</t>
  </si>
  <si>
    <t>01-17-8321-0 Maintenance-Buildings</t>
  </si>
  <si>
    <t>Transfer to Playground Equipment Capital Reserve Fund</t>
  </si>
  <si>
    <t>01-07-8230-0 Postage</t>
  </si>
  <si>
    <t>31-10-8280-0 General Insurance</t>
  </si>
  <si>
    <t xml:space="preserve"> Cell Phone Fire Marshal</t>
  </si>
  <si>
    <t xml:space="preserve"> Cell Phone Fire Inspector</t>
  </si>
  <si>
    <t xml:space="preserve"> Cell Phone Building Official</t>
  </si>
  <si>
    <t xml:space="preserve"> Cell Phone Building Inspector</t>
  </si>
  <si>
    <t xml:space="preserve"> Cell Phone Health Officer</t>
  </si>
  <si>
    <t>State Agency permit fees (lab, air, compost, scale, hazwaste)</t>
  </si>
  <si>
    <t>NHWPCA and APWA memberships</t>
  </si>
  <si>
    <t>01-21-8220-0 Printing</t>
  </si>
  <si>
    <t>01-21-8230-0 Postage</t>
  </si>
  <si>
    <t>Hats and other identification apparel</t>
  </si>
  <si>
    <t>01-16-8250-0 Vehicle Fuel</t>
  </si>
  <si>
    <t>31-10-8352-0 Education &amp; Training</t>
  </si>
  <si>
    <t>01-03-8125-0 Social Security</t>
  </si>
  <si>
    <t>8102</t>
  </si>
  <si>
    <t>8105</t>
  </si>
  <si>
    <t>01-03-8128-0 Retirement</t>
  </si>
  <si>
    <t>8103 - NHRS</t>
  </si>
  <si>
    <t>8104 - NHRS</t>
  </si>
  <si>
    <t>8105 - NHRS</t>
  </si>
  <si>
    <t>01-16-8131-0 Health Insurance</t>
  </si>
  <si>
    <t>01-16-8132-0 Dental Insurance</t>
  </si>
  <si>
    <t>01-16-8133-0 Life Insurance</t>
  </si>
  <si>
    <t>AFSCME- boot allowance</t>
  </si>
  <si>
    <t>Collection agency - delinquent ambulance bills</t>
  </si>
  <si>
    <t>Wrestling</t>
  </si>
  <si>
    <t>Crime scene supplies</t>
  </si>
  <si>
    <t>Narcotic unit supplies</t>
  </si>
  <si>
    <t xml:space="preserve">  8104 - IAFF Contract</t>
  </si>
  <si>
    <t xml:space="preserve">  8103 - AFSCME 93 Contract</t>
  </si>
  <si>
    <t>NFPA Code subscription service - network version &amp; CD</t>
  </si>
  <si>
    <t>Fire Prevention Educational Material for Schools (Public)</t>
  </si>
  <si>
    <t>01-13-8505-0  Infrastructure</t>
  </si>
  <si>
    <t>Nashua Soup Kitchen &amp; Shelter - basic needs and shelters</t>
  </si>
  <si>
    <t>St. Joseph's Community Services - elderly meals and services</t>
  </si>
  <si>
    <t>01-05-8111-0 Overtime - Other</t>
  </si>
  <si>
    <t>Shift overtime and coverage for vacations, sick leave,</t>
  </si>
  <si>
    <t>holidays, and training</t>
  </si>
  <si>
    <t>01-05-8125-0 Social Security</t>
  </si>
  <si>
    <t>01-17-8107-0 Wages - Part-Time</t>
  </si>
  <si>
    <t>01-17-8111-0 Overtime - Other</t>
  </si>
  <si>
    <t>Harbor Homes Shelter for Mental Health</t>
  </si>
  <si>
    <t>HIV/AIDS Task Force</t>
  </si>
  <si>
    <t>01-13-8322-0 Maintenance-Grounds</t>
  </si>
  <si>
    <t>01-17-8125-0 Social Security</t>
  </si>
  <si>
    <t>01-17-8128-0 Retirement</t>
  </si>
  <si>
    <t>01-17-8131-0 Health Insurance</t>
  </si>
  <si>
    <t>01-04-8102-0 Wages - Clerical</t>
  </si>
  <si>
    <t>Uniform service - AFSCME</t>
  </si>
  <si>
    <t>8103 - Planning/zoning</t>
  </si>
  <si>
    <t>Ambulance Garage</t>
  </si>
  <si>
    <t>College courses and seminars - NEPBA</t>
  </si>
  <si>
    <t>01-01-8131-0 Health Insurance</t>
  </si>
  <si>
    <t>01-01-8132-0 Dental Insurance</t>
  </si>
  <si>
    <t>01-01-8133-0 Life Insurance</t>
  </si>
  <si>
    <t>01-01-8134-0 Disability Insurance</t>
  </si>
  <si>
    <t>01-13-8260-0 Telephone</t>
  </si>
  <si>
    <t>Lieutenants - shift overtime and coverage for</t>
  </si>
  <si>
    <t>01-03-8408-0 Rescue</t>
  </si>
  <si>
    <t>Highway garage</t>
  </si>
  <si>
    <t>Coordinator - subcontract</t>
  </si>
  <si>
    <t>Parts and contractual services</t>
  </si>
  <si>
    <t>Uniform allowance:</t>
  </si>
  <si>
    <t>01-03-8220-0 Printing</t>
  </si>
  <si>
    <t>01-04-8105-0 Overtime - Supervisory</t>
  </si>
  <si>
    <t>Other operating expenses</t>
  </si>
  <si>
    <t>Capital outlay</t>
  </si>
  <si>
    <t>Telephone cost allocation</t>
  </si>
  <si>
    <t>Holiday pay - Foreman: 8 hr X 7 days</t>
  </si>
  <si>
    <t>Holiday pay - Scale Operator: 8 hr X 7 days</t>
  </si>
  <si>
    <t>Other equipment</t>
  </si>
  <si>
    <t>01-25-8481-0 Housing (rent and mortgage payments)</t>
  </si>
  <si>
    <t>01-25-8482-0 Electricity</t>
  </si>
  <si>
    <t>01-25-8485-0 Vehicle fuel</t>
  </si>
  <si>
    <t>01-25-8486-0 Telephone</t>
  </si>
  <si>
    <t>01-25-8488-0 Food</t>
  </si>
  <si>
    <t>01-25-8489-0 Medical</t>
  </si>
  <si>
    <t>Safety supplies, tools, gloves, paint, chains, lumber,</t>
  </si>
  <si>
    <t>01-03-8241-0 Electricity</t>
  </si>
  <si>
    <t>GRAND TOTAL * includes $3,500 from Library Trustees</t>
  </si>
  <si>
    <t>Sludge grinder and channel grinder repairs</t>
  </si>
  <si>
    <t>01-03-8105-0 Overtime - Supervisory</t>
  </si>
  <si>
    <t>Excess sick leave purchase</t>
  </si>
  <si>
    <t>Chemical toilet service</t>
  </si>
  <si>
    <t>Tire removal</t>
  </si>
  <si>
    <t>01-25-8230-0 Postage</t>
  </si>
  <si>
    <t>Mailing of reports, notices, and general correspondence</t>
  </si>
  <si>
    <t>Personal services</t>
  </si>
  <si>
    <t>01-02-8270-0 Dues &amp; Fees</t>
  </si>
  <si>
    <t>Marshall &amp; Swift subscription services</t>
  </si>
  <si>
    <t>01-02-8280-0 General Insurance</t>
  </si>
  <si>
    <t>01-03-8131-0 Health Insurance</t>
  </si>
  <si>
    <t>01-03-8132-0 Dental Insurance</t>
  </si>
  <si>
    <t>01-03-8133-0 Life Insurance</t>
  </si>
  <si>
    <t>31-10-8332-0 Maintenance-Vehicles</t>
  </si>
  <si>
    <t>31-10-8334-0 Maintenance-Office Equipment</t>
  </si>
  <si>
    <t>Fire alarm</t>
  </si>
  <si>
    <t>Operator 10 Plus Premium Support</t>
  </si>
  <si>
    <t>Admin Charge</t>
  </si>
  <si>
    <t>01-04-8250-0 Vehicle Fuel</t>
  </si>
  <si>
    <t>01-04-8270-0 Dues &amp; Fees</t>
  </si>
  <si>
    <t>01-24-8260-0 Telephone</t>
  </si>
  <si>
    <t>01-24-8270-0 Dues &amp; Fees</t>
  </si>
  <si>
    <t>31-10-8111-0 Overtime - Other</t>
  </si>
  <si>
    <t>01-17-8322-0 Maintenance-Grounds</t>
  </si>
  <si>
    <t>Bark mulch</t>
  </si>
  <si>
    <t>Winter coats - Teamsters</t>
  </si>
  <si>
    <t>AFSCME - winter coats</t>
  </si>
  <si>
    <t>01-07-8132-0 Dental Insurance</t>
  </si>
  <si>
    <t>01-08-8134-0 Disability Insurance</t>
  </si>
  <si>
    <t>01-08-8135-0 Workers Compensation</t>
  </si>
  <si>
    <t>01-08-8136-0 Unemployment Compensation</t>
  </si>
  <si>
    <t>01-08-8201-0 Office Supplies</t>
  </si>
  <si>
    <t>01-08-8125-0 Social Security</t>
  </si>
  <si>
    <t>Stationary and forms</t>
  </si>
  <si>
    <t>Cellular telephone for emergency calls</t>
  </si>
  <si>
    <t>Society For Human Resource Management</t>
  </si>
  <si>
    <t>Flowers and shrubs</t>
  </si>
  <si>
    <t>31-10-8508-0 Operating Equipment</t>
  </si>
  <si>
    <t>Hillstown</t>
  </si>
  <si>
    <t>01-24-8107-0 Wages - Part-Time</t>
  </si>
  <si>
    <t>01-24-8111-0 Overtime - Other</t>
  </si>
  <si>
    <t>Custodial services</t>
  </si>
  <si>
    <t>Furnishings</t>
  </si>
  <si>
    <t>Repair and maintenance</t>
  </si>
  <si>
    <t>Snow removal</t>
  </si>
  <si>
    <t>01-08-8202-0 Maintenance Supplies</t>
  </si>
  <si>
    <t>01-08-8203-0 Operating Supplies</t>
  </si>
  <si>
    <t>Fire extinguishers, gloves, safety vests, hard hats, flags, first aid</t>
  </si>
  <si>
    <t>01-08-8204-0 Uniforms</t>
  </si>
  <si>
    <t>Foreman/Supervisor</t>
  </si>
  <si>
    <t>Secretary/Scale Operator</t>
  </si>
  <si>
    <t>Recycling Attendant</t>
  </si>
  <si>
    <t>Janitorial supplies</t>
  </si>
  <si>
    <t>01-03-8504-0 Office Equipment</t>
  </si>
  <si>
    <t>01-03-8506-0 Communications Equipment</t>
  </si>
  <si>
    <t>01-25-8495-0 Propane fuel heat</t>
  </si>
  <si>
    <t xml:space="preserve">  Supplies, seminars, and other administrative costs</t>
  </si>
  <si>
    <t>01-17-8241-0 Electricity</t>
  </si>
  <si>
    <t>Custodial Aide - part-time</t>
  </si>
  <si>
    <t>Laminator</t>
  </si>
  <si>
    <t>Thornton Ferry Pumping Station</t>
  </si>
  <si>
    <t>Souhegan Pumping Station</t>
  </si>
  <si>
    <t>01-15-8104-0 Wages - Hourly</t>
  </si>
  <si>
    <t>Full-time:</t>
  </si>
  <si>
    <t>Console, base stations, repeater, and radio voting system</t>
  </si>
  <si>
    <t>01-03-8242-0 Natural Gas</t>
  </si>
  <si>
    <t>Caregivers - coordinated volunteer transportation assistance</t>
  </si>
  <si>
    <t>Human Resources Coordinator - conferences and seminars</t>
  </si>
  <si>
    <t>01-07-8352-0 Education &amp; Training</t>
  </si>
  <si>
    <t>01-07-8420-0 Advertising</t>
  </si>
  <si>
    <t>01-04-8106-0 Animal Control</t>
  </si>
  <si>
    <t>01-08-8346-0 Road Materials</t>
  </si>
  <si>
    <t>01-24-8101-0 Wages - Elected Officials</t>
  </si>
  <si>
    <t>Town Clerk/Tax Collector</t>
  </si>
  <si>
    <t>Baseball - Cal Ripken</t>
  </si>
  <si>
    <t>01-04-8352-0 Education &amp; Training</t>
  </si>
  <si>
    <t>Polymer for rotary drum thickeners</t>
  </si>
  <si>
    <t>Generator maintenance</t>
  </si>
  <si>
    <t>01-05-8128-0 Retirement</t>
  </si>
  <si>
    <t xml:space="preserve">  Clay</t>
  </si>
  <si>
    <t>01-17-8133-0 Life Insurance</t>
  </si>
  <si>
    <t>Bank service charges</t>
  </si>
  <si>
    <t>31-10-8300-0 Travel &amp; Meetings</t>
  </si>
  <si>
    <t>01-13-8220-0 Printing</t>
  </si>
  <si>
    <t>Miscellaneous</t>
  </si>
  <si>
    <t>NH Employment Law Letter</t>
  </si>
  <si>
    <t>Others</t>
  </si>
  <si>
    <t>01-01-8280-0 General Insurance</t>
  </si>
  <si>
    <t>Property, liability, and auto insurance</t>
  </si>
  <si>
    <t>01-01-8293-0 Legal-Other</t>
  </si>
  <si>
    <t>01-01-8300-0 Travel &amp; Meetings</t>
  </si>
  <si>
    <t>01-24-8300-0 Travel &amp; Meetings</t>
  </si>
  <si>
    <t>Holiday pay</t>
  </si>
  <si>
    <t>Copier - Town Manager's Office</t>
  </si>
  <si>
    <t>01-04-8135-0 Workers Compensation</t>
  </si>
  <si>
    <t>Boot allowance - Teamsters</t>
  </si>
  <si>
    <t>Uniform service - Teamsters</t>
  </si>
  <si>
    <t>Non-union - clothing allowance and boot allowance</t>
  </si>
  <si>
    <t>Apparel for identification and safety purposes</t>
  </si>
  <si>
    <t>01-24-8430-0 Dog Licenses</t>
  </si>
  <si>
    <t xml:space="preserve">Mailing of tax bills, motor vehicle renewals, tax lien and mortgagee </t>
  </si>
  <si>
    <t>notices,  and general correspondence</t>
  </si>
  <si>
    <t>01-03-8270-0 Dues &amp; Fees</t>
  </si>
  <si>
    <t xml:space="preserve">  supplies, record books, and miscellaneous office supplies</t>
  </si>
  <si>
    <t>01-13-8321-0 Maintenance-Buildings &amp; Grounds</t>
  </si>
  <si>
    <t>01-08-8342-0 Cold Patch</t>
  </si>
  <si>
    <t>01-08-8359-0 Other Outside Services</t>
  </si>
  <si>
    <t>01-24-8133-0 Life Insurance</t>
  </si>
  <si>
    <t>01-24-8134-0 Disability Insurance</t>
  </si>
  <si>
    <t>424-7312 Fax</t>
  </si>
  <si>
    <t>01-08-8212-0 Equipment Rental</t>
  </si>
  <si>
    <t>Propane tanks for forklift and skid steer</t>
  </si>
  <si>
    <t>Highway Equipment Capital Reserve Fund</t>
  </si>
  <si>
    <t>Facility use decals</t>
  </si>
  <si>
    <t>Transfer station</t>
  </si>
  <si>
    <t>Perimeter fencing repairs</t>
  </si>
  <si>
    <t>Overtime during major tax collection periods</t>
  </si>
  <si>
    <t>01-17-8332-0 Maintenance-Vehicles</t>
  </si>
  <si>
    <t>Field maintenance:</t>
  </si>
  <si>
    <t>31-10-8270-0 Dues &amp; Fees</t>
  </si>
  <si>
    <t>01-13-8132-0 Dental Insurance</t>
  </si>
  <si>
    <t>Account Clerk II</t>
  </si>
  <si>
    <t>01-15-8131-0 Health Insurance</t>
  </si>
  <si>
    <t>01-15-8132-0 Dental Insurance</t>
  </si>
  <si>
    <t>01-16-8331-0 Maintenance-Machinery</t>
  </si>
  <si>
    <t>01-16-8333-0 Maintenance-Vehicles</t>
  </si>
  <si>
    <t>Prisoner food</t>
  </si>
  <si>
    <t>Narcotics Unit informants and evidence</t>
  </si>
  <si>
    <t>Chemical test materials</t>
  </si>
  <si>
    <t>01-04-8503-0 Vehicles</t>
  </si>
  <si>
    <t>01-04-8504-0 Office Equipment</t>
  </si>
  <si>
    <t>01-04-8508-0 Operating Equipment</t>
  </si>
  <si>
    <t>Total - fully offset by revenues</t>
  </si>
  <si>
    <t>8104 - Technology Services Coordinator</t>
  </si>
  <si>
    <t>01-13-8107-0 Wages - Part-Time</t>
  </si>
  <si>
    <t>01-17-8104-0 Wages - Other Full-Time</t>
  </si>
  <si>
    <t>Compost facility heating system</t>
  </si>
  <si>
    <t>31-10-8243-0 Heating Oil</t>
  </si>
  <si>
    <t>Diesel fuel for plant generators</t>
  </si>
  <si>
    <t>8107 Secretary</t>
  </si>
  <si>
    <t>Insurance</t>
  </si>
  <si>
    <t>Part time employees</t>
  </si>
  <si>
    <t>Bandstand concerts</t>
  </si>
  <si>
    <t>01-27-8602-0 Interest - Long-Term Debt</t>
  </si>
  <si>
    <t xml:space="preserve">  Office supplies </t>
  </si>
  <si>
    <t>Pearson Road Pumping Station</t>
  </si>
  <si>
    <t>01-07-8280-0 General Insurance</t>
  </si>
  <si>
    <t>Security cards, station logs, business cards, and other forms</t>
  </si>
  <si>
    <t>01-05-8131-0 Health Insurance</t>
  </si>
  <si>
    <t>01-03-8104-0 Wages - Other Full-Time</t>
  </si>
  <si>
    <t>Light bulbs</t>
  </si>
  <si>
    <t>NH Municipal Management Association</t>
  </si>
  <si>
    <t>ICMA</t>
  </si>
  <si>
    <t>01-09-8910-0 Capital Reserve Fund Purchases</t>
  </si>
  <si>
    <t>Blueprints, topographical maps</t>
  </si>
  <si>
    <t>NH Public Works Association</t>
  </si>
  <si>
    <t>Traffic Officer</t>
  </si>
  <si>
    <t>Other CATV Equipment</t>
  </si>
  <si>
    <t>Transfer to Solid Waste Disposal Capital Reserve Fund</t>
  </si>
  <si>
    <t>01-13-8230-0 Postage</t>
  </si>
  <si>
    <t>01-01-8353-0 Computer Services</t>
  </si>
  <si>
    <t>01-09-8322-0 Maintenance-Grounds</t>
  </si>
  <si>
    <t>01-09-8333-0 Maintenance-Vehicles &amp; Equipment</t>
  </si>
  <si>
    <t>Debt Service</t>
  </si>
  <si>
    <t>Data cards, assessment update notices, and various forms</t>
  </si>
  <si>
    <t>Workstations</t>
  </si>
  <si>
    <t>Copier and computer equipment</t>
  </si>
  <si>
    <t>01-13-8352-0 Education &amp; Training</t>
  </si>
  <si>
    <t>Mechanic I</t>
  </si>
  <si>
    <t>Weekend shift differential</t>
  </si>
  <si>
    <t>31-10-8128-0 Retirement</t>
  </si>
  <si>
    <t>01-06-8102-0 Wages - Clerical</t>
  </si>
  <si>
    <t>01-06-8103-0 Wages - Supervisory</t>
  </si>
  <si>
    <t>01-06-8104-0 Wages - Other Full-Time</t>
  </si>
  <si>
    <t>01-06-8107-0 Wages - Part-Time</t>
  </si>
  <si>
    <t>01-06-8125-0 Social Security</t>
  </si>
  <si>
    <t>01-06-8128-0 Retirement</t>
  </si>
  <si>
    <t>01-06-8131-0 Health Insurance</t>
  </si>
  <si>
    <t>01-06-8132-0 Dental Insurance</t>
  </si>
  <si>
    <t>01-06-8133-0 Life Insurance</t>
  </si>
  <si>
    <t>01-06-8134-0 Disability Insurance</t>
  </si>
  <si>
    <t>01-06-8135-0 Workers Compensation</t>
  </si>
  <si>
    <t>01-06-8136-0 Unemployment Compensation</t>
  </si>
  <si>
    <t>01-06-8201-0 Office Supplies</t>
  </si>
  <si>
    <t>01-06-8220-0 Printing</t>
  </si>
  <si>
    <t>01-06-8250-0 Vehicle Fuel</t>
  </si>
  <si>
    <t>01-06-8260-0 Telephone</t>
  </si>
  <si>
    <t>01-06-8270-0 Dues &amp; Fees</t>
  </si>
  <si>
    <t>01-06-8280-0 General Insurance</t>
  </si>
  <si>
    <t>01-06-8300-0 Travel &amp; Meetings</t>
  </si>
  <si>
    <t>01-06-8332-0 Maintenance-Vehicles</t>
  </si>
  <si>
    <t>01-06-8352-0 Education &amp; Training</t>
  </si>
  <si>
    <t>01-06-8359-0 Other Outside Services</t>
  </si>
  <si>
    <t>8103 - Parks &amp; Recreation Director</t>
  </si>
  <si>
    <t>31-10-8204-0 Uniforms</t>
  </si>
  <si>
    <t>Asst Dir and Inspector - clothing allowance</t>
  </si>
  <si>
    <t>01-01-8460-0 Other Operating Expenses</t>
  </si>
  <si>
    <t>Public relations</t>
  </si>
  <si>
    <t>01-02-8420-0 Advertising</t>
  </si>
  <si>
    <t>01-02-8504-0 Office Equipment</t>
  </si>
  <si>
    <t>01-03-8102-0 Wages - Clerical</t>
  </si>
  <si>
    <t>01-03-8508-0 Operating Equipment</t>
  </si>
  <si>
    <t>Boot Allowance - Teamsters</t>
  </si>
  <si>
    <t>Boot Allowance - AFSCME</t>
  </si>
  <si>
    <t>Highway Foreman</t>
  </si>
  <si>
    <t>Annual meeting</t>
  </si>
  <si>
    <t>Special cleaning</t>
  </si>
  <si>
    <t>Elevator inspection</t>
  </si>
  <si>
    <t>Softball</t>
  </si>
  <si>
    <t>01-15-8244-0 Water</t>
  </si>
  <si>
    <t>01-15-8245-0 Sewer</t>
  </si>
  <si>
    <t>State certification requirements</t>
  </si>
  <si>
    <t>01-13-8270-0 Dues &amp; Fees</t>
  </si>
  <si>
    <t>31-10-8316-0 Bulking Agent</t>
  </si>
  <si>
    <t>31-10-8321-0 Maintenance-Buildings</t>
  </si>
  <si>
    <t>College course tuition reimbursement - AFSCME 93</t>
  </si>
  <si>
    <t>01-09-8201-0 Office Supplies</t>
  </si>
  <si>
    <t>01-09-8202-0 Maintenance Supplies</t>
  </si>
  <si>
    <t>01-09-8203-0 Operating Supplies</t>
  </si>
  <si>
    <t>Building Improvements</t>
  </si>
  <si>
    <t>NH GFOA</t>
  </si>
  <si>
    <t>bulk mailing fee</t>
  </si>
  <si>
    <t>01-15-8300-0 Travel &amp; Meetings</t>
  </si>
  <si>
    <t xml:space="preserve">  Architectural/landscaping needs re: historic areas</t>
  </si>
  <si>
    <t>Landfill Maint.-weed control</t>
  </si>
  <si>
    <t>Other memberships (NHAAO statutory requirement RSA 31:8)</t>
  </si>
  <si>
    <t>Software support / web hosting</t>
  </si>
  <si>
    <t xml:space="preserve">01-02-8510-0 Capital Reserve Fund </t>
  </si>
  <si>
    <t>Aggregates, flake calcium, guardrail, bridge materials</t>
  </si>
  <si>
    <t>01-08-8371-0 Maintenance - Grounds (MYA)</t>
  </si>
  <si>
    <t>Minor bridge, fencing, and guardrail repairs,</t>
  </si>
  <si>
    <t>treatment of concrete abutments, linseed treatments</t>
  </si>
  <si>
    <t>Cellular telephone ( 3 )</t>
  </si>
  <si>
    <t>01-02-8201-0 Office Supplies</t>
  </si>
  <si>
    <t>Field file folders, computer paper, copier toner, and other office supplies</t>
  </si>
  <si>
    <t>Heating sludge loading garage</t>
  </si>
  <si>
    <t>Main plant (meter charge 1.5" and consumption)</t>
  </si>
  <si>
    <t>Chlorination building (meter charge 5/8")</t>
  </si>
  <si>
    <t>Hydrant charge 8"</t>
  </si>
  <si>
    <t>Pumping stations (consumption and backflow testing)</t>
  </si>
  <si>
    <t>Est. Quantity</t>
  </si>
  <si>
    <t>Pump and motor repairs/replacement and controls</t>
  </si>
  <si>
    <t>Flow measuring equipment maintenance and calibrations</t>
  </si>
  <si>
    <t>Maintenance of ancillary &amp; support equipment to include SCADA</t>
  </si>
  <si>
    <t>Scale software annual support</t>
  </si>
  <si>
    <t xml:space="preserve">emergency call ins and on call </t>
  </si>
  <si>
    <t>Full-time employees - NEBPA 112</t>
  </si>
  <si>
    <t>NEBPA 112</t>
  </si>
  <si>
    <t xml:space="preserve"> No special duty</t>
  </si>
  <si>
    <t xml:space="preserve">1 additional Special Duty assignment </t>
  </si>
  <si>
    <t>2+ Special Duty assignments</t>
  </si>
  <si>
    <t xml:space="preserve"> K9 Officer</t>
  </si>
  <si>
    <t>Fire Marshal</t>
  </si>
  <si>
    <t>Stryker stretcher service agreement (EMSAR)</t>
  </si>
  <si>
    <t>01-06-8503-0 Vehicles</t>
  </si>
  <si>
    <t>Building Inspection/Official vehicles</t>
  </si>
  <si>
    <t>32-32-8230-0 Postage</t>
  </si>
  <si>
    <t>32-32-8260-0 Telephone</t>
  </si>
  <si>
    <t>32-32-8270-0 Dues &amp; Fees</t>
  </si>
  <si>
    <t>32-32-8280-0 General Insurance</t>
  </si>
  <si>
    <t>32-32-8300-0 Travel &amp; Meetings</t>
  </si>
  <si>
    <t>32-32-8334-0 Maintenance-Office Equipment</t>
  </si>
  <si>
    <t>32-32-8352-0 Education &amp; Training</t>
  </si>
  <si>
    <t>Longevity bonus - Master Firefighters:</t>
  </si>
  <si>
    <t>New England Conference of Town Clerks</t>
  </si>
  <si>
    <t xml:space="preserve">  Signage and wood stock to repair picnic tables and kiosks</t>
  </si>
  <si>
    <t>Service truck and pool cars - unleaded gasoline</t>
  </si>
  <si>
    <t>01-16-8260-0 Telephone</t>
  </si>
  <si>
    <t>01-01-8101-0 Wages - Elected Officials</t>
  </si>
  <si>
    <t>Treasurer</t>
  </si>
  <si>
    <t>Trustee of Trust Funds</t>
  </si>
  <si>
    <t>Total</t>
  </si>
  <si>
    <t>8102 - Clerical</t>
  </si>
  <si>
    <t>8103 - Supervisory</t>
  </si>
  <si>
    <t>8104 - Other Full Time</t>
  </si>
  <si>
    <t>8107 - Part Time</t>
  </si>
  <si>
    <t>8103 - Director</t>
  </si>
  <si>
    <t>8103 -  Code Enforcement Officer</t>
  </si>
  <si>
    <t>8107 Part-Time</t>
  </si>
  <si>
    <t>Full-Time employees</t>
  </si>
  <si>
    <t>8101 - Elected Officials</t>
  </si>
  <si>
    <t>8103 - Other Salary employees</t>
  </si>
  <si>
    <t>8104 - Other hourly employees</t>
  </si>
  <si>
    <t>Uniform service - Teamsters/AFSCME</t>
  </si>
  <si>
    <t>01-17-8132-0 Dental Insurance</t>
  </si>
  <si>
    <t>Salt Shed</t>
  </si>
  <si>
    <t>Cellular telephones - 3</t>
  </si>
  <si>
    <t>Trash Removal</t>
  </si>
  <si>
    <t>Association memberships for Town Clerk/Tax Collector</t>
  </si>
  <si>
    <t>College courses and seminars - AFSCME 93</t>
  </si>
  <si>
    <t>NH Revised Statutes and other publications</t>
  </si>
  <si>
    <t>01-04-8420-0 Advertising</t>
  </si>
  <si>
    <t>01-15-8270-0 Dues &amp; Fees</t>
  </si>
  <si>
    <t>ALA including PLA</t>
  </si>
  <si>
    <t>NELA</t>
  </si>
  <si>
    <t>NHLA including READS, CHILIS, and UPLC</t>
  </si>
  <si>
    <t>Computers</t>
  </si>
  <si>
    <t>systems and materials for constructing storm water catch basins</t>
  </si>
  <si>
    <t>and manholes</t>
  </si>
  <si>
    <t>31-27-8609-0 Interest - Long-Term Debt</t>
  </si>
  <si>
    <t>31-27-8610-0 Principal - Long-Term Debt</t>
  </si>
  <si>
    <t>01-17-8134-0 Disability Insurance</t>
  </si>
  <si>
    <t>01-17-8135-0 Workers Compensation</t>
  </si>
  <si>
    <t>Confined Space and other required training</t>
  </si>
  <si>
    <t>01-03-8244-0 Water</t>
  </si>
  <si>
    <t>01-03-8245-0 Sewer</t>
  </si>
  <si>
    <t>01-03-8250-0 Vehicle Fuel</t>
  </si>
  <si>
    <t>Diesel fuel</t>
  </si>
  <si>
    <t>Unleaded gasoline</t>
  </si>
  <si>
    <t>01-21-8334-0 Maintenance-Office Equipment</t>
  </si>
  <si>
    <t>Paint and painting supplies</t>
  </si>
  <si>
    <t>Heating system filters</t>
  </si>
  <si>
    <t>Miscellaneous materials</t>
  </si>
  <si>
    <t>31-10-8322-0 Maintenance-Grounds</t>
  </si>
  <si>
    <t>Power equipment repair</t>
  </si>
  <si>
    <t>Fully offset by revenues</t>
  </si>
  <si>
    <t xml:space="preserve">Town Hall </t>
  </si>
  <si>
    <t>01-13-8334-0 Maintenance-Office Equipment</t>
  </si>
  <si>
    <t xml:space="preserve">  Miscellaneous</t>
  </si>
  <si>
    <t xml:space="preserve">  Total expenditures</t>
  </si>
  <si>
    <t>01-15-8125-0 Social Security</t>
  </si>
  <si>
    <t>01-15-8128-0 Retirement</t>
  </si>
  <si>
    <t>State of NH weighmaster licenses</t>
  </si>
  <si>
    <t>01-08-8335-0 Maintenance-Communications Equip</t>
  </si>
  <si>
    <t>01-08-8341-0 Sand &amp; Salt</t>
  </si>
  <si>
    <t>01-25-8490-0 Prescriptions</t>
  </si>
  <si>
    <t>Abbie Griffin Park</t>
  </si>
  <si>
    <t>Wasserman Park</t>
  </si>
  <si>
    <t>MYA Building, Bise Field, Kids Kove</t>
  </si>
  <si>
    <t>01-03-8300-0 Travel &amp; Meetings</t>
  </si>
  <si>
    <t>01-03-8321-0 Maintenance-Buildings &amp; Grounds</t>
  </si>
  <si>
    <t>Publications</t>
  </si>
  <si>
    <t>Addition to (use of) MYA surplus</t>
  </si>
  <si>
    <t>Town grant</t>
  </si>
  <si>
    <t>01-02-8133-0 Life Insurance</t>
  </si>
  <si>
    <t>01-02-8134-0 Disability Insurance</t>
  </si>
  <si>
    <t>01-02-8135-0 Workers Compensation</t>
  </si>
  <si>
    <t>Heating and air conditioning systems</t>
  </si>
  <si>
    <t>Fire extinguisher</t>
  </si>
  <si>
    <t>Telephone line for digitizer and fire alarm</t>
  </si>
  <si>
    <t>01-24-8280-0 General Insurance</t>
  </si>
  <si>
    <t>Liability insurance and bonds</t>
  </si>
  <si>
    <t>Dues - NFDOA</t>
  </si>
  <si>
    <t>01-08-8344-0 Hot Top</t>
  </si>
  <si>
    <t>Material for permanent pavement patches, driveway</t>
  </si>
  <si>
    <t>01-08-8910-0 Capital Reserve Fund Purchases</t>
  </si>
  <si>
    <t>01-03-8910-0 Capital Reserve Fund Purchases</t>
  </si>
  <si>
    <t>31-10-8910-0 Capital Reserve Fund Purchases</t>
  </si>
  <si>
    <t>Cellular telephones (2)</t>
  </si>
  <si>
    <t xml:space="preserve">Sand, salt, liquid calcium chloride for winter </t>
  </si>
  <si>
    <t>Firefighter Certifications and Training:</t>
  </si>
  <si>
    <t>01-16-8105-0 Overtime-Supervisory</t>
  </si>
  <si>
    <t>01-16-8111-0 Overtime - Other</t>
  </si>
  <si>
    <t>Mechanics</t>
  </si>
  <si>
    <t>01-16-8125-0 Social Security</t>
  </si>
  <si>
    <t>01-16-8128-0 Retirement</t>
  </si>
  <si>
    <t>GRAND TOTAL</t>
  </si>
  <si>
    <t>Rental of power tools and construction equipment</t>
  </si>
  <si>
    <t>01-08-8220-0 Printing</t>
  </si>
  <si>
    <t>01-08-8241-0 Electricity</t>
  </si>
  <si>
    <t>Professional services</t>
  </si>
  <si>
    <t>429-2148 Elevator</t>
  </si>
  <si>
    <t>Bridges - rape and assault support services and shelters</t>
  </si>
  <si>
    <t>Admin fee to General Govt</t>
  </si>
  <si>
    <t>32-32-8271-0 Subscriptions</t>
  </si>
  <si>
    <t>32-32-8460-0 Miscellaneous</t>
  </si>
  <si>
    <t>other</t>
  </si>
  <si>
    <t xml:space="preserve">  Library Assistant II - Reference</t>
  </si>
  <si>
    <t>01-21-8388-0 Economic Development</t>
  </si>
  <si>
    <t>01-08-8103-0 Wages - Supervisory</t>
  </si>
  <si>
    <t>Adult programs</t>
  </si>
  <si>
    <t>01-15-8420-0 Advertising</t>
  </si>
  <si>
    <t>Total - partially offset by revenues</t>
  </si>
  <si>
    <t>Copiers, fax, computers, and other office equipment</t>
  </si>
  <si>
    <t>01-05-8136-0 Unemployment Compensation</t>
  </si>
  <si>
    <t>01-05-8201-0 Office Supplies</t>
  </si>
  <si>
    <t>01-08-8334-0 Maintenance-Office Equipment</t>
  </si>
  <si>
    <t>NH Public Works Mutual Aid Program</t>
  </si>
  <si>
    <t>Rental of equipment</t>
  </si>
  <si>
    <t>General Fund</t>
  </si>
  <si>
    <t>Trustee Funds</t>
  </si>
  <si>
    <t>01-27-8606-0 Interest - Long-Term Debt</t>
  </si>
  <si>
    <t>01-27-8608-0 Principal - Long-Term Debt</t>
  </si>
  <si>
    <t>01-15-8510-0 Capital Reserve Fund</t>
  </si>
  <si>
    <t>Diesel fuel - screening plant</t>
  </si>
  <si>
    <t>Custodian</t>
  </si>
  <si>
    <t>Equipment Operator III</t>
  </si>
  <si>
    <t>Equipment Operator II</t>
  </si>
  <si>
    <t>Equipment Operator I</t>
  </si>
  <si>
    <t>Electricity</t>
  </si>
  <si>
    <t>Seminars, workshops, and conferences</t>
  </si>
  <si>
    <t>01-13-8359-0 Other Outside Services</t>
  </si>
  <si>
    <t>Detective Lieutenant</t>
  </si>
  <si>
    <t>Patrol Lieutenant</t>
  </si>
  <si>
    <t>Contractual tree work</t>
  </si>
  <si>
    <t>Emergency septic system repair - fully offset by revenues</t>
  </si>
  <si>
    <t>31-10-8104-0 Wages - Other Full-Time</t>
  </si>
  <si>
    <t>01-13-8203-0 Operating Supplies</t>
  </si>
  <si>
    <t>01-21-8102-0 Wages - Clerical</t>
  </si>
  <si>
    <t>National Fire Protection Association</t>
  </si>
  <si>
    <t>Souhegan Valley Mutual Aid Association</t>
  </si>
  <si>
    <t>Regional HazMat Response Team (Level A Protection)</t>
  </si>
  <si>
    <t>01-09-8355-0 Solid Waste Disposal</t>
  </si>
  <si>
    <t xml:space="preserve">8104/8111 </t>
  </si>
  <si>
    <t>01-13-8280-0 General Insurance</t>
  </si>
  <si>
    <t>On-Call Firefighter/EMT</t>
  </si>
  <si>
    <t>01-15-8241-0 Electricity</t>
  </si>
  <si>
    <t>Library building</t>
  </si>
  <si>
    <t>Batteries for portable radios</t>
  </si>
  <si>
    <t>01-05-8204-0 Uniforms</t>
  </si>
  <si>
    <t>Home Health &amp; Hospice - home health visits and clinics</t>
  </si>
  <si>
    <t xml:space="preserve">Highway - sign and fencing repairs, parking lot </t>
  </si>
  <si>
    <t>01-08-8362-0 Traffic Signals</t>
  </si>
  <si>
    <t>Maintenance (on call)</t>
  </si>
  <si>
    <t>Big Brothers/Big Sisters - mentoring youth and education</t>
  </si>
  <si>
    <t>Chemical Absorbent Material Bags (Clay)</t>
  </si>
  <si>
    <t>Backflow testing</t>
  </si>
  <si>
    <t>01-01-8270-0 Dues &amp; Fees</t>
  </si>
  <si>
    <t>NHMA</t>
  </si>
  <si>
    <t>Employee cost sharing Union 10%</t>
  </si>
  <si>
    <t xml:space="preserve">  Town Manager adjustment</t>
  </si>
  <si>
    <t>Advertising</t>
  </si>
  <si>
    <t xml:space="preserve">8103 </t>
  </si>
  <si>
    <t>8111 - Overtime</t>
  </si>
  <si>
    <t>GASB 45 actuarial services</t>
  </si>
  <si>
    <t>Police officers - NEPBA:</t>
  </si>
  <si>
    <t>K-9 Expenses</t>
  </si>
  <si>
    <t>Volunteers</t>
  </si>
  <si>
    <t>31-27-8606-0 Interest - Long-Term Debt</t>
  </si>
  <si>
    <t>31-27-8608-0 Principal - Long-Term Debt</t>
  </si>
  <si>
    <t>School Crossing Guards</t>
  </si>
  <si>
    <t>01-04-8111-0 Overtime - Other</t>
  </si>
  <si>
    <t>01-04-8125-0 Social Security</t>
  </si>
  <si>
    <t>8106</t>
  </si>
  <si>
    <t>01-04-8128-0 Retirement</t>
  </si>
  <si>
    <t>Term life insurance</t>
  </si>
  <si>
    <t>Part-time:</t>
  </si>
  <si>
    <t>Union</t>
  </si>
  <si>
    <t>01-02-8128-0 Retirement</t>
  </si>
  <si>
    <t>01-03-8359-0 Other Outside Services</t>
  </si>
  <si>
    <t>01-08-8128-0 Retirement</t>
  </si>
  <si>
    <t>01-08-8131-0 Health Insurance</t>
  </si>
  <si>
    <t>01-08-8132-0 Dental Insurance</t>
  </si>
  <si>
    <t>Computer equipment (2 printers/ 2 desk tops)</t>
  </si>
  <si>
    <t>32-32-8134-0 Disability Insurance</t>
  </si>
  <si>
    <t>NE and NH Chiefs Association, IAFC</t>
  </si>
  <si>
    <t>01-05-8510-0 Capital Reserve Fund</t>
  </si>
  <si>
    <t>31-10-8105-0 Overtime-Supervisory</t>
  </si>
  <si>
    <t>Copier paper and toner, computer paper and supplies, notebooks, fax</t>
  </si>
  <si>
    <t>01-03-8202-0 Maintenance Supplies</t>
  </si>
  <si>
    <t>01-13-8510-0 Capital Reserve Fund</t>
  </si>
  <si>
    <t>01-01-8510-0 Transfer To Other Funds</t>
  </si>
  <si>
    <t>31-10-8260-0 Telephone</t>
  </si>
  <si>
    <t>and DRA seminars</t>
  </si>
  <si>
    <t>01-08-8280-0 General Insurance</t>
  </si>
  <si>
    <t>01-08-8300-0 Travel &amp; Meetings</t>
  </si>
  <si>
    <t>Treasurer - conferences and seminars</t>
  </si>
  <si>
    <t>Hillsborough Registry transfers on-line &amp; recordings</t>
  </si>
  <si>
    <t>Temp - Part-time</t>
  </si>
  <si>
    <t>Hardware, safety equipment, oxygen/acetylene, parts clnr., welding supplies</t>
  </si>
  <si>
    <t xml:space="preserve">other equipment </t>
  </si>
  <si>
    <t xml:space="preserve">01-25-8892-0 Heating/ Electric Assistance Fund </t>
  </si>
  <si>
    <t>Alarm System Monitor</t>
  </si>
  <si>
    <t>Ballistic Vests</t>
  </si>
  <si>
    <t>Small engine oil/gas mix, spark plugs, Chain Saw blades</t>
  </si>
  <si>
    <t>Metal &amp; wood cutting blades K12 &amp;  Saws-All, Tarps, Nails</t>
  </si>
  <si>
    <t>wood sheeting, Plastic Rolls, Hack Saws, Vacuum Filters</t>
  </si>
  <si>
    <t>Toxic Gas Monitoring Equipment Sensor Replacements</t>
  </si>
  <si>
    <t xml:space="preserve">General    </t>
  </si>
  <si>
    <t>State of NH operator licenses</t>
  </si>
  <si>
    <t>31-10-8136-0 Unemployment Compensation</t>
  </si>
  <si>
    <t>31-10-8201-0 Office Supplies</t>
  </si>
  <si>
    <t>Copier paper and toner, computer paper and supplies, file folders,</t>
  </si>
  <si>
    <t>01-24-8128-0 Retirement</t>
  </si>
  <si>
    <t>01-24-8131-0 Health Insurance</t>
  </si>
  <si>
    <t>01-24-8132-0 Dental Insurance</t>
  </si>
  <si>
    <t>Prosecutor</t>
  </si>
  <si>
    <t>8103 Prosecutor</t>
  </si>
  <si>
    <t>01-08-8322-0 Maintenance-Grounds</t>
  </si>
  <si>
    <t>01-24-8352-0 Education &amp; Training</t>
  </si>
  <si>
    <t>01-24-8359-0 Other Outside Services</t>
  </si>
  <si>
    <t>01-05-8352-0 Education &amp; Training</t>
  </si>
  <si>
    <t>Assistant Assessor</t>
  </si>
  <si>
    <t>Town Manager Adjustment</t>
  </si>
  <si>
    <t>Clerk - document scanning</t>
  </si>
  <si>
    <t>01-15-8133-0 Life Insurance</t>
  </si>
  <si>
    <t>Department heads</t>
  </si>
  <si>
    <t>Teamsters - boot allowance</t>
  </si>
  <si>
    <t>Teamsters - uniform service</t>
  </si>
  <si>
    <t>AFSCME - boot allowance</t>
  </si>
  <si>
    <t>8107- Per Diem</t>
  </si>
  <si>
    <t>01-02-8332-0 Maintenance - Vehicles</t>
  </si>
  <si>
    <t>01-16-8134-0 Disability Insurance</t>
  </si>
  <si>
    <t>01-16-8135-0 Workers Compensation</t>
  </si>
  <si>
    <t>01-13-8332-0 Maintenance-Vehicles</t>
  </si>
  <si>
    <t>8103</t>
  </si>
  <si>
    <t>Drinking water service</t>
  </si>
  <si>
    <t>CDL drug testing</t>
  </si>
  <si>
    <t>Septic tank pumping</t>
  </si>
  <si>
    <t>Property and liability insurance</t>
  </si>
  <si>
    <t>Legal notices and bid advertisements</t>
  </si>
  <si>
    <t>01-01-8135-0 Workers Compensation</t>
  </si>
  <si>
    <t>01-08-8351-0 Consultants</t>
  </si>
  <si>
    <t>01-08-8352-0 Education &amp; Training</t>
  </si>
  <si>
    <t>01-08-8354-0 Traffic Control Devices</t>
  </si>
  <si>
    <t>01-01-8501-0 Land</t>
  </si>
  <si>
    <t>01-13-8103-0 Wages - Supervisory</t>
  </si>
  <si>
    <t>01-01-8220-0 Printing</t>
  </si>
  <si>
    <t>Town Report</t>
  </si>
  <si>
    <t>01-17-8331-0 Maintenance-Machinery</t>
  </si>
  <si>
    <t>Computer paper and supplies</t>
  </si>
  <si>
    <t>Other office supplies</t>
  </si>
  <si>
    <t>01-04-8203-0 Operating Supplies</t>
  </si>
  <si>
    <t>Photography supplies</t>
  </si>
  <si>
    <t>01-25-8280-0 General Insurance</t>
  </si>
  <si>
    <t>01-25-8300-0 Travel &amp; Meetings</t>
  </si>
  <si>
    <t>Teaching and promotional materials</t>
  </si>
  <si>
    <t>01-02-8230-0 Postage</t>
  </si>
  <si>
    <t>01-04-8241-0 Electricity</t>
  </si>
  <si>
    <t>01-04-8244-0 Water</t>
  </si>
  <si>
    <t>01-04-8245-0 Sewer</t>
  </si>
  <si>
    <t>32-32-8128-0 Retirement</t>
  </si>
  <si>
    <t>32-32-8131-0 Health Insurance</t>
  </si>
  <si>
    <t>32-32-8132-0 Dental Insurance</t>
  </si>
  <si>
    <t>32-32-8133-0 Life Insurance</t>
  </si>
  <si>
    <t>NH Firemen's Association Membership</t>
  </si>
  <si>
    <t>01-24-8136-0 Unemployment Compensation</t>
  </si>
  <si>
    <t>Portable radio batteries, radio parts, and contractual services</t>
  </si>
  <si>
    <t>01-08-8244-0 Water</t>
  </si>
  <si>
    <t>01-08-8250-0 Vehicle Fuel</t>
  </si>
  <si>
    <t>01-08-8260-0 Telephone</t>
  </si>
  <si>
    <t>01-03-8111-0 Overtime - Other</t>
  </si>
  <si>
    <t>Technical and professional meetings</t>
  </si>
  <si>
    <t>01-07-8334-0 Maintenance-Office Equipment</t>
  </si>
  <si>
    <t>8107 - Other</t>
  </si>
  <si>
    <t>01-03-8201-0 Office Supplies</t>
  </si>
  <si>
    <t>Firearms instructors</t>
  </si>
  <si>
    <t>01-02-8131-0 Health Insurance</t>
  </si>
  <si>
    <t>Recertification Training Paramedic (PALS), (ACLS)</t>
  </si>
  <si>
    <t>Medical supplies not replaced by Hospital</t>
  </si>
  <si>
    <t>Medical Supplies, Oxygen Cylinders</t>
  </si>
  <si>
    <t>Fire extinguisher Dry Chemical refills, maintenance and replacement</t>
  </si>
  <si>
    <t>Emergency Medical Certifications and Training:</t>
  </si>
  <si>
    <t>Other operating expenses 8201 - 8459</t>
  </si>
  <si>
    <t>Capital outlay 8502 - 8910</t>
  </si>
  <si>
    <t>01-01-8910-0 Capital Reserve Fund Purchases</t>
  </si>
  <si>
    <t>01-05-8910-0 Capital Reserve Fund Purchases</t>
  </si>
  <si>
    <t>01-09-8352-0 Education &amp; Training</t>
  </si>
  <si>
    <t>01-09-8359-0 Other Outside Services</t>
  </si>
  <si>
    <t>01-09-8388-0 Special Waste Disposal</t>
  </si>
  <si>
    <t>01-17-8136-0 Unemployment Compensation</t>
  </si>
  <si>
    <t>01-07-8260-0 Telephone</t>
  </si>
  <si>
    <t>Continuing education</t>
  </si>
  <si>
    <t xml:space="preserve">Temp - Part-time Tax </t>
  </si>
  <si>
    <t xml:space="preserve"> Cell Phone Fire Chief/Emergency Management</t>
  </si>
  <si>
    <t xml:space="preserve"> Cell Phone Assistant Fire Chief</t>
  </si>
  <si>
    <t>01-02-8103-0 Wages - Field Personnel</t>
  </si>
  <si>
    <t>Assessing Coordinator</t>
  </si>
  <si>
    <t>DRA intensive training courses</t>
  </si>
  <si>
    <t>01-08-8230-0 Postage</t>
  </si>
  <si>
    <t>Firehouse/Preplan/EMS Mobil software service agreement</t>
  </si>
  <si>
    <t>Outside technical support on computer systems</t>
  </si>
  <si>
    <t>COMCAST modem</t>
  </si>
  <si>
    <t>College Course Tuition Reimbursement:</t>
  </si>
  <si>
    <t>Deputy Finance Director</t>
  </si>
  <si>
    <t>Town Council- Minutes</t>
  </si>
  <si>
    <t>Heron Cove</t>
  </si>
  <si>
    <t>Freight charges , Certified Mail, and Mail</t>
  </si>
  <si>
    <t>8107 &gt;$14,000</t>
  </si>
  <si>
    <t>Information Network</t>
  </si>
  <si>
    <t xml:space="preserve">Software, upgrades, etc.  </t>
  </si>
  <si>
    <t>GMILCS consortium + CBC + automation</t>
  </si>
  <si>
    <t>Librarica (CASSIE)</t>
  </si>
  <si>
    <t xml:space="preserve">Total </t>
  </si>
  <si>
    <t>Deputy Public Works Director/Town Engineer</t>
  </si>
  <si>
    <t>01-07-8203-0perating Supplies</t>
  </si>
  <si>
    <t>safety supplies</t>
  </si>
  <si>
    <t>Summer Help (4 maintainers x 12 weeks)</t>
  </si>
  <si>
    <t>Fleet AVL/GPS</t>
  </si>
  <si>
    <t>MUTCD-required guide and/regulatory sign replacement</t>
  </si>
  <si>
    <t>Asphalt pile recyling</t>
  </si>
  <si>
    <t>Utility tractor / roadside mower</t>
  </si>
  <si>
    <t>Extended hours and snow removal</t>
  </si>
  <si>
    <t>Trash hauling, snow removal, extended schedule and</t>
  </si>
  <si>
    <t xml:space="preserve">Copier paper and toner, computer paper and supplies, </t>
  </si>
  <si>
    <t>baling supplies</t>
  </si>
  <si>
    <t>CMA Engineers</t>
  </si>
  <si>
    <t>Sampling and laboratory analysis water quality</t>
  </si>
  <si>
    <t>Sampling and laboratory analysis landfill soil gas</t>
  </si>
  <si>
    <t>01-16-8334-0 Maintenance-Office Equipment</t>
  </si>
  <si>
    <t>Custodian P.D.</t>
  </si>
  <si>
    <t>Fertilizer</t>
  </si>
  <si>
    <t>Sewer Inspector</t>
  </si>
  <si>
    <t>and holidays and on call</t>
  </si>
  <si>
    <t>Compost facility (meter charge 1")</t>
  </si>
  <si>
    <t>-</t>
  </si>
  <si>
    <t>Fire Investigation/Events Inspection/Code Enforcement/JFS 100</t>
  </si>
  <si>
    <t>On-Call EMS (volunteer Group)</t>
  </si>
  <si>
    <t>On Call / Per-Diem EMS Attendant Protective Clothing</t>
  </si>
  <si>
    <t>National: FDIC, FDSOA, IAFC EPA Region, National Homeland Security</t>
  </si>
  <si>
    <t>Dumpster Contract Station 1 (235)</t>
  </si>
  <si>
    <t>Pump Testing Eng 1, 2, 3, 4 and Ladder 1</t>
  </si>
  <si>
    <t>NH Emergency Medical Services State Electronic Reporting Fees (HIPPA)</t>
  </si>
  <si>
    <t>Maintenance of Emergency Breathing Air System Rescue 1</t>
  </si>
  <si>
    <t>Annual EMS Certifications and Training (National Registry Requirements)</t>
  </si>
  <si>
    <t xml:space="preserve">  EMT/ Intermediate Class (Volunteers)</t>
  </si>
  <si>
    <t>NH Fire Academy Continuing Education Programs (FF III, ICS, Command etc.)</t>
  </si>
  <si>
    <t>Outside Conference Seminars for education &amp; Officer Development FDIC</t>
  </si>
  <si>
    <t>New England Association of Fire Chief's Conference</t>
  </si>
  <si>
    <t>IT System Computer / printer / monitor / upgrades</t>
  </si>
  <si>
    <t>Inspection and occupancy forms Building</t>
  </si>
  <si>
    <t>Inspection and occupancy forms Health</t>
  </si>
  <si>
    <t>ICC dues (International Code Council)</t>
  </si>
  <si>
    <t>New Hampshire Building Officials Association dues</t>
  </si>
  <si>
    <t>New England Health Association dues</t>
  </si>
  <si>
    <t>Health Serve Safe Certification (Food Safety)</t>
  </si>
  <si>
    <t>Building Continuing Education</t>
  </si>
  <si>
    <t>Welfare officials workshop ($40) &amp; meeting seminars(4 x $15)</t>
  </si>
  <si>
    <t>Healthy at Home - home health visits and clinics</t>
  </si>
  <si>
    <t>Master Plan Implementation (Zoning/Regs/Studies)</t>
  </si>
  <si>
    <t xml:space="preserve">  Education, Seminars, Presentations, and Training</t>
  </si>
  <si>
    <t xml:space="preserve">  Website Hosting Servicess</t>
  </si>
  <si>
    <t>DMV Training</t>
  </si>
  <si>
    <t>ACIM (A Child Is Missing Alert)</t>
  </si>
  <si>
    <t>General Building Renovations</t>
  </si>
  <si>
    <t>01-16-8352-0 Education &amp; Training</t>
  </si>
  <si>
    <t xml:space="preserve"> Microsoft licenses</t>
  </si>
  <si>
    <t xml:space="preserve">Survey supplies, stakes, nails, marking paint and </t>
  </si>
  <si>
    <t>01-15-8910-0 Capital Reserve Fund Purchases</t>
  </si>
  <si>
    <t>Virtual Town Hall</t>
  </si>
  <si>
    <t>Heat (Gas)</t>
  </si>
  <si>
    <t>Open and Close</t>
  </si>
  <si>
    <t>Post Office (PO) Box</t>
  </si>
  <si>
    <t>Telephone &amp; Internet</t>
  </si>
  <si>
    <t xml:space="preserve">water and sewer </t>
  </si>
  <si>
    <t>Seminars and courses</t>
  </si>
  <si>
    <t xml:space="preserve"> Annual Conference and seminars</t>
  </si>
  <si>
    <t>Technology Coordinator/Computer tech - seminars and conferences</t>
  </si>
  <si>
    <t>Deputy Finance Director - conferences and seminars</t>
  </si>
  <si>
    <t>NHAAO and DRA meetings, NHAAO and conferences,</t>
  </si>
  <si>
    <t>Roof replacement</t>
  </si>
  <si>
    <t>01-21-8510-0 Transfer To Other Funds</t>
  </si>
  <si>
    <t>Repair of radio base station, portable radios, and mobile radios, radio system upgrades</t>
  </si>
  <si>
    <t>Seminars, conferences, and meeting registrations</t>
  </si>
  <si>
    <t>Seminars, conferences, and meetings travel and related expenses</t>
  </si>
  <si>
    <t>Copier paper and toner, computer paper and supplies, and miscellaneous supplies</t>
  </si>
  <si>
    <t>Master Fire Fighter</t>
  </si>
  <si>
    <t>Fire Fighter - Paramedic</t>
  </si>
  <si>
    <t>Firefighter</t>
  </si>
  <si>
    <t>Bishop field</t>
  </si>
  <si>
    <t>Fraser Square</t>
  </si>
  <si>
    <t>Turkey Hill &amp; Bishop Fields &amp; Martel</t>
  </si>
  <si>
    <t xml:space="preserve">  Town Paid internet</t>
  </si>
  <si>
    <t xml:space="preserve">   Total reimbursed to historical society</t>
  </si>
  <si>
    <t>Checks</t>
  </si>
  <si>
    <t>Economic development activities (including Website Development)</t>
  </si>
  <si>
    <t>Office Supplies</t>
  </si>
  <si>
    <t>Inspection Health Test Equipment</t>
  </si>
  <si>
    <t>Inspection Building Test Equipment</t>
  </si>
  <si>
    <t>Seminars / Meetings / Other than Certifications</t>
  </si>
  <si>
    <t>01-06-8321-0 Maintenance-Buildings &amp; Grounds</t>
  </si>
  <si>
    <t>Rust/Body Repair old Police Crusers</t>
  </si>
  <si>
    <t>International Code Council (ICC) Code Ref Material</t>
  </si>
  <si>
    <t>IT System upgrades</t>
  </si>
  <si>
    <t>Assistant Chief  Support Services</t>
  </si>
  <si>
    <t>EMT Part Time Ambulance Coverage Weekday First Shift (Station 1)</t>
  </si>
  <si>
    <t>EMT Part Time Ambulance Coverage Weekday Second Shift (Station 1)</t>
  </si>
  <si>
    <t>EMT Part Time Ambulance Coverage Weekend First Shift (Station 1)</t>
  </si>
  <si>
    <t>EMT Part Time Ambulance Coverage Weekend Second Shift (Station 1)</t>
  </si>
  <si>
    <t>EMT Part Time Ambulance Coverage Weekday First Shift (Station 2)</t>
  </si>
  <si>
    <t>EMT Per-Diem Ambulance Training Program (6 x 32 hrs.)</t>
  </si>
  <si>
    <t>Fire inspector 3 x 8 hr. shifts x 52 wk = 1,248 hr.  First Shift</t>
  </si>
  <si>
    <t>Fire/EMS Training Grounds, Testing &amp; Training (6 FF x 4 Shifts) 96 hours</t>
  </si>
  <si>
    <t>Paramedic In-house Educational Shift Class Coverage</t>
  </si>
  <si>
    <t>Emergency Call Back</t>
  </si>
  <si>
    <t>Holidays - 10 holidays X 24 hr. X 2 personnel</t>
  </si>
  <si>
    <t>CPR AED Supplies</t>
  </si>
  <si>
    <t>Ambulance Decontamination Supplies (Bio-Hazard Solutions etc.)</t>
  </si>
  <si>
    <t>Cost Ea.</t>
  </si>
  <si>
    <t>Stationery, training aids, time cards, business cards, Inspection forms, etc.</t>
  </si>
  <si>
    <t xml:space="preserve"> wireless for laptops</t>
  </si>
  <si>
    <t>G4 Communications Fastreach SDSL Annual Business</t>
  </si>
  <si>
    <t xml:space="preserve"> Cell Phone Engine (1 &amp; 2) I PAD Report/Data Access</t>
  </si>
  <si>
    <t xml:space="preserve"> Cell Phone Ambulance (1 &amp; 2) I PAD Report/Data Access</t>
  </si>
  <si>
    <t xml:space="preserve"> Cell Phone Ambulance 1 (Zoll Cardiac Monitor)</t>
  </si>
  <si>
    <t xml:space="preserve"> Cell Phone Ambulance 2 (Zoll Cardiac Monitor)</t>
  </si>
  <si>
    <t xml:space="preserve"> Cell Phone Ambulance 3 (Zoll  Cardiac Monitor)</t>
  </si>
  <si>
    <t>Emergency Generator and Switch Gear Maintenance Sta 1, 2 &amp; 3)</t>
  </si>
  <si>
    <t>Repair Overloaded Circuits, light ballast, switches etc. (on-going)</t>
  </si>
  <si>
    <t>Toxic Material Monitoring Sensor</t>
  </si>
  <si>
    <t>Jaws of Life maintenance, hydraulic Units/Tool Replacement</t>
  </si>
  <si>
    <t>Paint and Body Repair for vehicles</t>
  </si>
  <si>
    <t>Software Maintenance/Support Agreement</t>
  </si>
  <si>
    <t>Mattresses  Replacement</t>
  </si>
  <si>
    <t>Cardiac Monitor and Defibrillator service agreements  (Zoll)</t>
  </si>
  <si>
    <t xml:space="preserve">Replacement Mobile Radios </t>
  </si>
  <si>
    <t>F350 Ambulance 220</t>
  </si>
  <si>
    <t>SCBA Breathing Apparatus</t>
  </si>
  <si>
    <t>Town Hall Memorial Conference Room Equipment</t>
  </si>
  <si>
    <t>Media Staff Hardware</t>
  </si>
  <si>
    <t>Public Access Cameras and Audio Equipment</t>
  </si>
  <si>
    <t xml:space="preserve">  Supervisors of Checklist - 600 hr X $10</t>
  </si>
  <si>
    <t>Business Expo/Merrimack Rocks (offset by revenue)</t>
  </si>
  <si>
    <t>Total wages</t>
  </si>
  <si>
    <t>Director allocation (revenue transfer to General Fund)</t>
  </si>
  <si>
    <t>T-shirts</t>
  </si>
  <si>
    <t>Watson Park</t>
  </si>
  <si>
    <t>NH Rec and Park Association</t>
  </si>
  <si>
    <t>Fourth of July Celebration - Parade &amp; Fun Day</t>
  </si>
  <si>
    <t>Winter carnival (Port-a-potty, activity items)</t>
  </si>
  <si>
    <t>Lifeguards &amp; 4th of July</t>
  </si>
  <si>
    <t>Cellular airtime for mobile data terminals - 7</t>
  </si>
  <si>
    <t>Radio voting system - phone lines - 4</t>
  </si>
  <si>
    <t>Dispatching seminars &amp; Training</t>
  </si>
  <si>
    <t>Emergency Field First Aid supplies</t>
  </si>
  <si>
    <t>Welfare Software Maintenance Fee</t>
  </si>
  <si>
    <t xml:space="preserve">Adult fiction </t>
  </si>
  <si>
    <t>Adult non-fiction</t>
  </si>
  <si>
    <t xml:space="preserve">Reference </t>
  </si>
  <si>
    <t>Periodicals - Newspapers</t>
  </si>
  <si>
    <t>Periodicals - Professional</t>
  </si>
  <si>
    <t>Professional Non-Fiction</t>
  </si>
  <si>
    <t>On-line resources - databases</t>
  </si>
  <si>
    <t>On-line resources - Safari database</t>
  </si>
  <si>
    <t>On-line resources - Atomic Learning database</t>
  </si>
  <si>
    <t>3M eBooks</t>
  </si>
  <si>
    <t>CDs</t>
  </si>
  <si>
    <t>Video Games</t>
  </si>
  <si>
    <t xml:space="preserve">Town Hall, Annex, Ambulance Garage building, </t>
  </si>
  <si>
    <t>Property, liability and auto insurance</t>
  </si>
  <si>
    <t xml:space="preserve">Sprinkler system </t>
  </si>
  <si>
    <t>Elevator permits</t>
  </si>
  <si>
    <t>Maintenance of lawn mowers, bagger for mower, snowblowers and vacuum cleaners</t>
  </si>
  <si>
    <t>Computer paper, ink and miscellaneous office supplies</t>
  </si>
  <si>
    <t>Hand tools, maintenance of power tools, lifts, jacks  and</t>
  </si>
  <si>
    <t>log books and miscellaneous supplies</t>
  </si>
  <si>
    <t>Skid steer, loader, forklift and truck</t>
  </si>
  <si>
    <t>Heating of buildings, site lighting and other electrical services</t>
  </si>
  <si>
    <t>Diesel fuel: road tractors, loader and 1-ton truck</t>
  </si>
  <si>
    <t>Unleaded gasoline: pickup truck, mowers and other equipment</t>
  </si>
  <si>
    <t>Building repair, maintenanceand minor improvements</t>
  </si>
  <si>
    <t>Seeds, fertilizer and plants</t>
  </si>
  <si>
    <t>Printer, copier, alarm system, scale systems and computer</t>
  </si>
  <si>
    <t>Misc. wastes - light bulbs, propane tanks, etc.</t>
  </si>
  <si>
    <t>Solid Waste Attendant</t>
  </si>
  <si>
    <t>ESRI-GIS (software maintenance)</t>
  </si>
  <si>
    <t xml:space="preserve">GIS consultant support </t>
  </si>
  <si>
    <t>Total Station calibration</t>
  </si>
  <si>
    <t xml:space="preserve">Computer equipment </t>
  </si>
  <si>
    <t xml:space="preserve">Bridge replacement - Bean Road </t>
  </si>
  <si>
    <t>Farmers market assistant</t>
  </si>
  <si>
    <t>stationery, software and miscellaneous supplies</t>
  </si>
  <si>
    <t>Rubber boots, gloves and safety items</t>
  </si>
  <si>
    <t>Uniform service-Part Time</t>
  </si>
  <si>
    <t>Chemicals, filter paper, glassware, small instruments and other</t>
  </si>
  <si>
    <t>Mailing of monthly reports, correspondence and UPS shipping</t>
  </si>
  <si>
    <t>2-Compost hydrant charge 6"</t>
  </si>
  <si>
    <t>Conferences) and mileage reimbursement</t>
  </si>
  <si>
    <t>Maintenance of six pump stations</t>
  </si>
  <si>
    <t>Compost facility equipment maintenance</t>
  </si>
  <si>
    <t>VueWorks Software Support (Asset Management Software)</t>
  </si>
  <si>
    <t>Utility billing software support-Avitar</t>
  </si>
  <si>
    <t>Seminars, courses and state certification training</t>
  </si>
  <si>
    <t>Allocation of general fund administrative costs</t>
  </si>
  <si>
    <t>Hazardous &amp; universal waste removal</t>
  </si>
  <si>
    <t>Drug and alcohol- DOT testing</t>
  </si>
  <si>
    <t>Misc operating expenses not othewise assigned</t>
  </si>
  <si>
    <t>Computer replacements, installation and set up</t>
  </si>
  <si>
    <t>Transfer to sewer infrastructure Capital Reserve Fund</t>
  </si>
  <si>
    <t xml:space="preserve">Copier paper, ink cartridges, binders, file folders, log books, time cards </t>
  </si>
  <si>
    <t>supplies, batteries, propane and hand tools</t>
  </si>
  <si>
    <t>Uniform allowance - Teamsters</t>
  </si>
  <si>
    <t>Travel to meetings, workshops, seminars, and training sessions; travel to random CDL testing</t>
  </si>
  <si>
    <t>painting and other building repairs, oil/water separator</t>
  </si>
  <si>
    <t xml:space="preserve">  Seeding (30% coverage rate)</t>
  </si>
  <si>
    <t xml:space="preserve">  Fertilizer (2 applications)</t>
  </si>
  <si>
    <t>road maintenance and brine anti icing</t>
  </si>
  <si>
    <t>berms, sluiceways and catch basins</t>
  </si>
  <si>
    <t>Materials testing and fuel tank tightness tests</t>
  </si>
  <si>
    <t>Seminars, courses, conferences and training materials</t>
  </si>
  <si>
    <t>in-house sign making and traffic marking paint</t>
  </si>
  <si>
    <t>Trash removal</t>
  </si>
  <si>
    <t>Police details</t>
  </si>
  <si>
    <t>Volunteer supplies, Public Work Week outreach and MS4 education</t>
  </si>
  <si>
    <t>Roofing, emergency egress, insulation, air quality improvements</t>
  </si>
  <si>
    <t>6 Wheel dump truck, H-31</t>
  </si>
  <si>
    <t>Front end loader, H-16</t>
  </si>
  <si>
    <t>Traffic Light Preemption</t>
  </si>
  <si>
    <t>Excess Sick Leave Purchase</t>
  </si>
  <si>
    <t>Finance Director/Assistant Town Manager</t>
  </si>
  <si>
    <t>Maintenance of vehicles, light and heavy equipment</t>
  </si>
  <si>
    <t>Nixel</t>
  </si>
  <si>
    <t>Building Inspections after hours (20)</t>
  </si>
  <si>
    <t>Office Administration (100)</t>
  </si>
  <si>
    <t>8111 - overtime</t>
  </si>
  <si>
    <t>8111 Overtime</t>
  </si>
  <si>
    <t>TM Adjustment</t>
  </si>
  <si>
    <t>01-08-8505-0 Infrastructure/Paving</t>
  </si>
  <si>
    <t xml:space="preserve">Road Infrastructure Capital Reserve Fund </t>
  </si>
  <si>
    <t>33-33-8363-0 Fire Protection Area</t>
  </si>
  <si>
    <t xml:space="preserve"> Legal and professional advise Pipeline</t>
  </si>
  <si>
    <t xml:space="preserve">Full-time employees - </t>
  </si>
  <si>
    <t>Employee cost sharing  10%</t>
  </si>
  <si>
    <t>Short courses, technical seminars, conferences, books and APWA national conference</t>
  </si>
  <si>
    <t>2016-17</t>
  </si>
  <si>
    <t>01-25-8504-0 Office Equipment</t>
  </si>
  <si>
    <t>01-09-8504-0 Office Equipment</t>
  </si>
  <si>
    <t>01-09-8356-0 Solid Waste Disposal Constr &amp; Demolition materials</t>
  </si>
  <si>
    <t>01-08-8504-0 Office Equipment</t>
  </si>
  <si>
    <t>01-04-8814-0 Convincer Grant</t>
  </si>
  <si>
    <t>Workers compensation - 0.16%</t>
  </si>
  <si>
    <t>01-21-8910-0 Capital Reserve Fund Purchases</t>
  </si>
  <si>
    <t>Electronic Message Board Singage</t>
  </si>
  <si>
    <t xml:space="preserve">  Turnover (average $3401) - 1</t>
  </si>
  <si>
    <t>Maintenance I - 40 hr x 12 wks (June, July, August)</t>
  </si>
  <si>
    <t>Registration Software for Recreation Programs</t>
  </si>
  <si>
    <t xml:space="preserve">Credit Card Transaction Fees </t>
  </si>
  <si>
    <t>Compost</t>
  </si>
  <si>
    <t>Phase II</t>
  </si>
  <si>
    <t>Phase II and Compost</t>
  </si>
  <si>
    <t xml:space="preserve">   Less revenues</t>
  </si>
  <si>
    <t>Chairs-Replacement (Dispatch Console)</t>
  </si>
  <si>
    <t>OHRV</t>
  </si>
  <si>
    <t>Taser Replacement Program</t>
  </si>
  <si>
    <t>Camera / Recorder - Detectives</t>
  </si>
  <si>
    <t>Part Time Admin Clerk</t>
  </si>
  <si>
    <t>Install Security door at counter</t>
  </si>
  <si>
    <t>Station Shift Coverage (Vacation, Personal Time, 50% sick Time)</t>
  </si>
  <si>
    <t>Telephone cost allocation for Station 1, 2 and 3</t>
  </si>
  <si>
    <t>Cell Phone Officers</t>
  </si>
  <si>
    <t>Boarder Area Mutual Aid Association</t>
  </si>
  <si>
    <t>Regional Swift Water Rescue Team (Flood Protection)</t>
  </si>
  <si>
    <t>Hazardous Materials Containment Booms and Pads</t>
  </si>
  <si>
    <t>Office Chairs / Training Room Equipment</t>
  </si>
  <si>
    <t xml:space="preserve">Service truck </t>
  </si>
  <si>
    <t>Fleet maintenance courses and Emergency Vehicle Technician</t>
  </si>
  <si>
    <t>Lawn services</t>
  </si>
  <si>
    <t>Trailer</t>
  </si>
  <si>
    <t>6 Wheel dump truck, H-21</t>
  </si>
  <si>
    <t>Hand tools, safety, and misc items</t>
  </si>
  <si>
    <t>Flagger for working in railroad right-of-way</t>
  </si>
  <si>
    <t>Minor repairs to sewer manholes &amp; sewer line root control</t>
  </si>
  <si>
    <t>Summer Library Student Intern - Youth Services 10 weeks @ 20H</t>
  </si>
  <si>
    <t>Seasonal snow removal/landscaping</t>
  </si>
  <si>
    <t>01-15-8143 Incentive</t>
  </si>
  <si>
    <t>Librarica (SPOT)</t>
  </si>
  <si>
    <t>Graphic/Manga books</t>
  </si>
  <si>
    <t>OverDrive (NHSL downloadable, books, audio, magazines)</t>
  </si>
  <si>
    <t>Parking Lot Paving sidewalk</t>
  </si>
  <si>
    <t>01-02-8910-0 Capital Reserve Fund Purchases</t>
  </si>
  <si>
    <t>Town Wide valuation</t>
  </si>
  <si>
    <t>Sewer Pump Maintenance agreement  -Police</t>
  </si>
  <si>
    <t>Pickup (1 ton) Forestry Truck F1</t>
  </si>
  <si>
    <t>Boat Inflatable B2</t>
  </si>
  <si>
    <t>Wasserman Park Function Hall (heat)</t>
  </si>
  <si>
    <t>2017-18</t>
  </si>
  <si>
    <t>Public Acess Cameras and vidoe switches</t>
  </si>
  <si>
    <t>Public Access editing Systems</t>
  </si>
  <si>
    <t>Holiday pay - 10 holidays X 8 hr X 7 employees</t>
  </si>
  <si>
    <t>PT - Animal Control Officer</t>
  </si>
  <si>
    <t>31-10-8143-0 EMPLOYEE INCENTIVES/Raises</t>
  </si>
  <si>
    <t>01-15-8260-0 Telephone &amp; Services</t>
  </si>
  <si>
    <t xml:space="preserve">424-5021  - 5 lines bundled </t>
  </si>
  <si>
    <t>429-0576 Line 2</t>
  </si>
  <si>
    <t>424-8519 Burglar Alarm</t>
  </si>
  <si>
    <t>Employee recruitment ads and public notices; community outreach; marketing</t>
  </si>
  <si>
    <t>Welfare Administrator -28 hr X 53 wk = 1,484 hr</t>
  </si>
  <si>
    <t>01-09-8107-0 Wages - Part-Time</t>
  </si>
  <si>
    <t>31-27-8612-0 Principal - Long-Term Debt</t>
  </si>
  <si>
    <t>31-27-8614-0 Principal - Long-Term Debt</t>
  </si>
  <si>
    <t>31-27-8611-0 Interest - Long-Term Debt</t>
  </si>
  <si>
    <t>On-call Dispatchers</t>
  </si>
  <si>
    <t>College course tuition reimbursement - NEPBA112</t>
  </si>
  <si>
    <t>Master Firefighter - Paramedic</t>
  </si>
  <si>
    <t>Wing Rate</t>
  </si>
  <si>
    <t>and brochures and meals (over 14 hours of work during an emergency)</t>
  </si>
  <si>
    <t>Full-time employees - NEPBA 12</t>
  </si>
  <si>
    <t>Employee cost sharing - NEPBA 12</t>
  </si>
  <si>
    <t>Full-time employees - AFSCME 3657</t>
  </si>
  <si>
    <t>Full-time employees - NEPBA 112</t>
  </si>
  <si>
    <t>2017-18 BUDGET</t>
  </si>
  <si>
    <t>01-05-8321-0 Maintenance-Buildings &amp; Grounds</t>
  </si>
  <si>
    <t>01-09-8503-0 Vehicles</t>
  </si>
  <si>
    <t>01-17-8359-0 Other Outside Services</t>
  </si>
  <si>
    <t>8104 - Program Manager</t>
  </si>
  <si>
    <t>Pearson Rd. / Reeds Ferry School Ball field/Bishop</t>
  </si>
  <si>
    <t>Wasserman Park facilities and outdoor lighting</t>
  </si>
  <si>
    <t>AFSCME 3657</t>
  </si>
  <si>
    <t>Operator I</t>
  </si>
  <si>
    <t>Operator II Lab Technician</t>
  </si>
  <si>
    <t>Operator II</t>
  </si>
  <si>
    <t>Maintainer I</t>
  </si>
  <si>
    <t xml:space="preserve">  Turnover (average $8,770) - 6</t>
  </si>
  <si>
    <t>89-89-8375-0 Day Camp</t>
  </si>
  <si>
    <t>Cablecast/Webcast Devices</t>
  </si>
  <si>
    <t>Lower Power FM equipment</t>
  </si>
  <si>
    <t>Wasserman Park - removal of abandoned underground oil tank</t>
  </si>
  <si>
    <t>Wasserman Park - MYA Cabin</t>
  </si>
  <si>
    <t>Camp Director - 40 hours/wk x10 weeks</t>
  </si>
  <si>
    <t>Assistant Director/Program Director - 40 hours/wk x 9 weeks</t>
  </si>
  <si>
    <t>Kitchen Manager/Cook - 40 hours/wk x 8 weeks</t>
  </si>
  <si>
    <t>Kitchen Help/Cooks Assistant - 40 hours/wk x 8 weeks</t>
  </si>
  <si>
    <t xml:space="preserve">Waterfront Director hours divided between town and camp - 20 hr x 8 wk </t>
  </si>
  <si>
    <t>Counselors- 12 employees - 40 hours a week x 8 weeks</t>
  </si>
  <si>
    <t>1:1 Aides - 2 employees x 40 hrs/wk x 8 weeks</t>
  </si>
  <si>
    <t>Activity Specialists -5 employees x 40 hrs/wk x8 weeks</t>
  </si>
  <si>
    <t>Operating supplies - Food</t>
  </si>
  <si>
    <t>Program Supplies (Sports equipment, Arts &amp; Crafts &amp; Camper T-Shirts)</t>
  </si>
  <si>
    <t>Medical Supplies</t>
  </si>
  <si>
    <t xml:space="preserve">Uniforms </t>
  </si>
  <si>
    <t>Supplies</t>
  </si>
  <si>
    <t>Sibling Discount</t>
  </si>
  <si>
    <t>Back ground checks  (3 x $25.00 each)</t>
  </si>
  <si>
    <t>Camp Trek - Teen Trip &amp; Travel Camp (8 weeks)</t>
  </si>
  <si>
    <t>Teen Coordinator</t>
  </si>
  <si>
    <t>2 Counselors - 40 hrs/wk x 8 weeks</t>
  </si>
  <si>
    <t>Transportation (3 days wk/ 8 wks)</t>
  </si>
  <si>
    <t>Field Trip Admission Fees (3 days wk/ 8 wks)</t>
  </si>
  <si>
    <t>Merrimack Summer Stage Theater Camp (2 weeks)</t>
  </si>
  <si>
    <t>$500/wk</t>
  </si>
  <si>
    <t>89-89-8374-0 Recreation Programs</t>
  </si>
  <si>
    <t>Swimming Lessons (8 weeks)</t>
  </si>
  <si>
    <t>Supplies - Red Cross Certification Cards</t>
  </si>
  <si>
    <t xml:space="preserve">Operating Supplies </t>
  </si>
  <si>
    <t>Back ground checks  (2 x $25.00 each)</t>
  </si>
  <si>
    <t>Tennis Lessons (8 weeks)</t>
  </si>
  <si>
    <t>Tennis Instructor - 20 hrs/wk x 8 weeks</t>
  </si>
  <si>
    <t>Back ground checks  (1 x $25.00 each)</t>
  </si>
  <si>
    <t>School Vacation Week Programs (3 weeks)</t>
  </si>
  <si>
    <t>Director (45 hrs/wk x 3 wks)</t>
  </si>
  <si>
    <t>Back ground checks  (4 x $25.00 each)</t>
  </si>
  <si>
    <t xml:space="preserve">Operating Expense - Food </t>
  </si>
  <si>
    <t>20-13-8375-0 Day Camp Moved to revolving fund</t>
  </si>
  <si>
    <t>TOTAL</t>
  </si>
  <si>
    <t>Program Manager (30/70 GF and Revolving Fund)</t>
  </si>
  <si>
    <t>Park Attendant (weekends) for town beach -10 weekends</t>
  </si>
  <si>
    <t>Lifeguards (weekdays) for town beach - 40 hr x 8 wk x 2 employees</t>
  </si>
  <si>
    <t xml:space="preserve">Waterfront Director hours divided between town and camp - 20 hr x 9 wk </t>
  </si>
  <si>
    <t xml:space="preserve">8107- secretary/ Maintenance </t>
  </si>
  <si>
    <t>Cellular telephones - (9 Data / 3 service)</t>
  </si>
  <si>
    <t>Access Control / Security System Maintenance (PMI) Agreement</t>
  </si>
  <si>
    <t>Radio base station Police &amp; Fire</t>
  </si>
  <si>
    <t>Hiring Incentive</t>
  </si>
  <si>
    <t>Technology Assistant</t>
  </si>
  <si>
    <t>Criminal  &amp; Driving records checks</t>
  </si>
  <si>
    <t xml:space="preserve">Office Manager - Administration </t>
  </si>
  <si>
    <t>Head of Circulation</t>
  </si>
  <si>
    <t xml:space="preserve">  Aide I - Youth Services  </t>
  </si>
  <si>
    <t>Educational Incentive</t>
  </si>
  <si>
    <t>Online SRP Tracking - all (Beanstack)</t>
  </si>
  <si>
    <t>Museum Passes ( Library Insight)</t>
  </si>
  <si>
    <t xml:space="preserve"> Teen materials</t>
  </si>
  <si>
    <t xml:space="preserve">On-line resources - corepack </t>
  </si>
  <si>
    <t>Safety Shoes (Building Health Inspector)</t>
  </si>
  <si>
    <t>Clothing Allowence Building &amp; Health)</t>
  </si>
  <si>
    <t>Health Inspector Protective Clothing</t>
  </si>
  <si>
    <t>Building Inspector Protective Clothing</t>
  </si>
  <si>
    <t>Replacement Large format color printer/Copy Machine</t>
  </si>
  <si>
    <t>Recertification Training Paramedic (PALS), (ACLS) (1 x 24)</t>
  </si>
  <si>
    <t>AEMT Recertification Program (4 x 24)</t>
  </si>
  <si>
    <t>EMT Recertification Practical  (3 x 24) [from 96 reduced to 72]</t>
  </si>
  <si>
    <t>National Guard Backfill</t>
  </si>
  <si>
    <t>EMS Training Requirements</t>
  </si>
  <si>
    <t>EMT Recertification Practical [384 hrs reduced to 192]</t>
  </si>
  <si>
    <t>AEMT Advanced Recertification (36 hrs. x 6) 72</t>
  </si>
  <si>
    <t>Training New Personnel</t>
  </si>
  <si>
    <t>Cardiac 12 Lead Pads</t>
  </si>
  <si>
    <t>Auto Pulse Bands</t>
  </si>
  <si>
    <t>EZIO Needles</t>
  </si>
  <si>
    <t>Plowing of Station 1, Station 2 and Station 3</t>
  </si>
  <si>
    <t>Replacement Batteries for Stryker Power Stretchers</t>
  </si>
  <si>
    <t>Stryker Stair Chair, Ferno SCOOP Stokes service agreement (EMSAR)</t>
  </si>
  <si>
    <t>Advanced Life Support Manikin Training Device</t>
  </si>
  <si>
    <t>Hazardous Materials Cleanup Materials</t>
  </si>
  <si>
    <t>Large Diameter Supply Hose</t>
  </si>
  <si>
    <t>Custodian Town Hall - Nights</t>
  </si>
  <si>
    <t>Adult Community Center (General Maintenance)</t>
  </si>
  <si>
    <t>Maintenance of B&amp;G Vehicles</t>
  </si>
  <si>
    <t>PD - HVAC Replacement (1 of 6 units)</t>
  </si>
  <si>
    <t>TH - Projector for CDD Conference Room</t>
  </si>
  <si>
    <t>01-17-8503-0 Vehicles</t>
  </si>
  <si>
    <t xml:space="preserve">Fleet management license agreement </t>
  </si>
  <si>
    <t>Diagnostic Laptop</t>
  </si>
  <si>
    <t>NH Designer</t>
  </si>
  <si>
    <t>NH Land Surveyor</t>
  </si>
  <si>
    <t>NH Professional Engineer ( 2 @ $150.)</t>
  </si>
  <si>
    <t>Cadnet</t>
  </si>
  <si>
    <t>Internet service (Business Class)</t>
  </si>
  <si>
    <t>01-09-8502-0 Buildings</t>
  </si>
  <si>
    <t xml:space="preserve">and miscellaneous supplies. </t>
  </si>
  <si>
    <t>Minor repairs to Park buildings, winterizing, fuel island repairs, etc.</t>
  </si>
  <si>
    <t>Field maintenance (Martel, Twardosky, Watson):</t>
  </si>
  <si>
    <t>(MicroPaver, Iworq, ArcView, fuel software)</t>
  </si>
  <si>
    <t>Mosquito control application process to State</t>
  </si>
  <si>
    <t>Building repairs</t>
  </si>
  <si>
    <t>Small Equipment</t>
  </si>
  <si>
    <t>6 Wheel dump truck, H-22</t>
  </si>
  <si>
    <t>6 Wheel dump truck, H-27</t>
  </si>
  <si>
    <t>Paint Trailer</t>
  </si>
  <si>
    <t>SUV  H-1</t>
  </si>
  <si>
    <t>Mechanic II</t>
  </si>
  <si>
    <t xml:space="preserve">  Employees - NHRS Group I - age 60  - 1</t>
  </si>
  <si>
    <t>Sunset Shores Pump Stations (3)</t>
  </si>
  <si>
    <t>Plant boilers</t>
  </si>
  <si>
    <t>Heating remote buildings and generator operation</t>
  </si>
  <si>
    <t>Diesel fuel - loaders, roll off truck, sewer vac and skid steers</t>
  </si>
  <si>
    <t>Seminars, meetings, conferences (including WEF, VUEWorks,</t>
  </si>
  <si>
    <t>Sawdust bulking agent for composting</t>
  </si>
  <si>
    <t>Manhole/Sewer Line rehab</t>
  </si>
  <si>
    <t>First year of five year program to evaluate the sewer system</t>
  </si>
  <si>
    <t xml:space="preserve">Traffic Preemption </t>
  </si>
  <si>
    <t>Hutchinson Tower</t>
  </si>
  <si>
    <t>Job related training and seminars</t>
  </si>
  <si>
    <t>Thermal Imaging Rescue Cameras (2)</t>
  </si>
  <si>
    <t>Program Manager (65/45 GF and Revolving Fund)</t>
  </si>
  <si>
    <t>8104 - Other Full-time</t>
  </si>
  <si>
    <t>Executive Park Drive Reconstruction</t>
  </si>
  <si>
    <t>Bridge Replacement - US 3 (Design)  (Town portion is $60,000)</t>
  </si>
  <si>
    <t>Tipping fees paid at remote disposal site (Rate increase from $68.00)</t>
  </si>
  <si>
    <t>Single stream disposal costs (Rate increase from $15.00)</t>
  </si>
  <si>
    <t>Electrical and plumbing supplies, ice melt and hand tools</t>
  </si>
  <si>
    <t>TH - Window Replacements - Phase II</t>
  </si>
  <si>
    <t>Technology Coordinator</t>
  </si>
  <si>
    <t xml:space="preserve">Full-time employees - Union (IAFF) </t>
  </si>
  <si>
    <t xml:space="preserve">Full-time employees - Union (AFSCME 3657) </t>
  </si>
  <si>
    <t xml:space="preserve">Emergency Call Back </t>
  </si>
  <si>
    <t xml:space="preserve">Station Shift Coverage (Vacation, Sick Time, Personnel Time, etc.) </t>
  </si>
  <si>
    <t xml:space="preserve">AFSCME 93 </t>
  </si>
  <si>
    <t>Netting Twardosky Ball field</t>
  </si>
  <si>
    <t>Soughegan Trail</t>
  </si>
  <si>
    <t>WSI's for town swim lesson- 12.5 hrs wk X 8 wk X 3 employees  offset by revenues</t>
  </si>
  <si>
    <t>Tennis - Summer &amp; Fall for Youth &amp; Adults  offset by revenues</t>
  </si>
  <si>
    <t>01-13-8910-0 Capital Reserve Fund Purchases</t>
  </si>
  <si>
    <t xml:space="preserve">  Aide I -Youth Services </t>
  </si>
  <si>
    <t>(5021 Line 1; 7536 Line 3; 8456 Fire Alarm; 2519 &amp; 7537 DSL)</t>
  </si>
  <si>
    <t>Periodicals - Magazines Revistas</t>
  </si>
  <si>
    <t>General Fund Totals</t>
  </si>
  <si>
    <t xml:space="preserve">01 - GENERAL GOVERNMENT </t>
  </si>
  <si>
    <t>08 - HIGHWAY</t>
  </si>
  <si>
    <t>02 - ASSESSING</t>
  </si>
  <si>
    <t>03- FIRE</t>
  </si>
  <si>
    <t>04 - POLICE</t>
  </si>
  <si>
    <t>05 - COMMUNICATIONS</t>
  </si>
  <si>
    <t>06 - Code Enforcement</t>
  </si>
  <si>
    <t>07 - PUBLIC WORKS ADMINISTRATION</t>
  </si>
  <si>
    <t>09 - SOLID WASTE DISPOSAL</t>
  </si>
  <si>
    <t>13 - PARKS &amp; RECREATION</t>
  </si>
  <si>
    <t>15 - LIBRARY</t>
  </si>
  <si>
    <t>16 - EQUIPMENT MAINTENANCE</t>
  </si>
  <si>
    <t>17 - BUILDINGS &amp; GROUNDS</t>
  </si>
  <si>
    <t>21 - COMMUNITY DEVELOPMENT</t>
  </si>
  <si>
    <t>24 - TOWN CLERK/TAX COLLECTOR</t>
  </si>
  <si>
    <t>25 - WELFARE</t>
  </si>
  <si>
    <t>27 -DEBT SERVICE</t>
  </si>
  <si>
    <t>31-27 WWTF DEBT SERVICE</t>
  </si>
  <si>
    <t>10 - WASTEWATER TREATMENT</t>
  </si>
  <si>
    <t>32 - MEDIA</t>
  </si>
  <si>
    <t>33 - Fire Protection Area</t>
  </si>
  <si>
    <t>20 -Self Supporting Fund</t>
  </si>
  <si>
    <t>01-13-8104-0 Wages - Other Full-Time</t>
  </si>
  <si>
    <t>Parks &amp; Recreation Revolving Fund</t>
  </si>
  <si>
    <t>Grand Total All FUNDS</t>
  </si>
  <si>
    <t xml:space="preserve">Animal Control Officer </t>
  </si>
  <si>
    <t>Fuction Hall (propane)</t>
  </si>
  <si>
    <t>Bridge replacement - Bedford Road (Town portion is $225,808)</t>
  </si>
  <si>
    <t>DW &amp; Woodbury Sidewalk (Design) (Town portion is $21,000)</t>
  </si>
  <si>
    <t>Wage Adjustment</t>
  </si>
  <si>
    <t>Merrimack River Boat Access Mast Rd (Formally Griffin Street Boat Ramp)</t>
  </si>
  <si>
    <t>32-32-8143-0 EMPLOYEE INCENTIVES/Raises</t>
  </si>
  <si>
    <t>Holidays - 10 holidays X 24 hr. X 7personnel</t>
  </si>
  <si>
    <t>Holiday pay:10 holidays X 10 hr X 28 employees</t>
  </si>
  <si>
    <t>Misc.</t>
  </si>
  <si>
    <t>Increase in clothing allowance per contract</t>
  </si>
  <si>
    <t>01-01-8128-0 Retirement</t>
  </si>
  <si>
    <t>2018-19</t>
  </si>
  <si>
    <t>Highway Facility Project Bond</t>
  </si>
  <si>
    <t>01-07-8111-0 Overtime - Other</t>
  </si>
  <si>
    <t>01-21-8111-0 Overtime - Other</t>
  </si>
  <si>
    <t>31-10-8502-0 Buildings</t>
  </si>
  <si>
    <t>31-10-8505-0 Infrastructure</t>
  </si>
  <si>
    <t>32-32-8502-0 Building Improvements</t>
  </si>
  <si>
    <t>42-42-8505-0 Infrastructure</t>
  </si>
  <si>
    <t>89-89-8203-0 Operating Supplies</t>
  </si>
  <si>
    <t>89-89-8321-0 Maintenance - Buildings and Grounds</t>
  </si>
  <si>
    <t>89-89-8359-0 Other Outside Services (Credit Card fees)</t>
  </si>
  <si>
    <t xml:space="preserve"> Legal Union Negoitations</t>
  </si>
  <si>
    <t xml:space="preserve">8105 </t>
  </si>
  <si>
    <t xml:space="preserve">8111 </t>
  </si>
  <si>
    <t>Wifi Function Hall</t>
  </si>
  <si>
    <t>Bishop Field</t>
  </si>
  <si>
    <t>A&amp;E Public Safety Building</t>
  </si>
  <si>
    <t>01-27-8607-0 Interest - Long-Term Debt</t>
  </si>
  <si>
    <t>01-27-8609-0 Principal - Long-Term Debt</t>
  </si>
  <si>
    <t>2017 Highway Garage Improvements</t>
  </si>
  <si>
    <t>Deputy Chief</t>
  </si>
  <si>
    <t xml:space="preserve"> NEBPA 12</t>
  </si>
  <si>
    <t>Industrial Pretreat Mgr</t>
  </si>
  <si>
    <t>Asst. Maint. MGR.</t>
  </si>
  <si>
    <t>* need to spread 40,295 of overhead cost</t>
  </si>
  <si>
    <t xml:space="preserve">  Employees - NHRS Group II - 20 years of service - 3</t>
  </si>
  <si>
    <t xml:space="preserve">  Employees - NHRS Group I - age 60  - 7</t>
  </si>
  <si>
    <t>Fire/Building/Health Inspectors</t>
  </si>
  <si>
    <t>Uniform Patches etc.</t>
  </si>
  <si>
    <t>Fire Officer Projects and Program Ownership</t>
  </si>
  <si>
    <t>CPAP</t>
  </si>
  <si>
    <t>Firefighter Protective Clothing</t>
  </si>
  <si>
    <t>Off Probation Class A Uniform (per Union Contract)</t>
  </si>
  <si>
    <t>New Hire Firefighter Initial Uniform Issue (per Union Conract)</t>
  </si>
  <si>
    <t>Maintenance of  Air Packs  SCBA Units, SAR Units, Regulator Function test</t>
  </si>
  <si>
    <t>Fire extinguisher APW Foam maintenance and replacement</t>
  </si>
  <si>
    <t>Advanced EMT Course</t>
  </si>
  <si>
    <t>ACLS and PALS Litrature Education Materals</t>
  </si>
  <si>
    <t>Annual Promotional Testing, MFF, Lieutenant, Captain</t>
  </si>
  <si>
    <t>Master Firefighter Test (Union Contract)</t>
  </si>
  <si>
    <t>SCBA Fit Testing (Health Protection)</t>
  </si>
  <si>
    <t>16' Trailer for Sheltering Supplies</t>
  </si>
  <si>
    <t>Mass Casuality Equipment (Special OPS Trailer)</t>
  </si>
  <si>
    <t>Replacement AMKUS Rescue High Strength Cutter</t>
  </si>
  <si>
    <t>Storage Shed For Station 1 ( 8'X12")</t>
  </si>
  <si>
    <t>Replace Carpet Admin Hallways</t>
  </si>
  <si>
    <t>Firefighting Stand Pipe Kit</t>
  </si>
  <si>
    <t>Replacement Hand and Power Tools</t>
  </si>
  <si>
    <t>Replacement Mobile Radio (Mobile Command Trailer) Multi-Band</t>
  </si>
  <si>
    <t>Radio Programming  and Antennas, mounting</t>
  </si>
  <si>
    <t>NFPA 1582 Annual Employee Health Physicals</t>
  </si>
  <si>
    <t>Administrative Officer (EMS &amp; Traniing)</t>
  </si>
  <si>
    <t>Secretary (Building) (Part Time to Full Time)</t>
  </si>
  <si>
    <t>ICC License, IRC &amp; IBC Certifications (Fred 2019)</t>
  </si>
  <si>
    <t>NH State Master Electrical License(Fred 2020)</t>
  </si>
  <si>
    <t>ICC License, IRC &amp; IBC Certifications ( Rick 2020)</t>
  </si>
  <si>
    <t xml:space="preserve"> Building Inspection Courses (Commercial Codes Stds)</t>
  </si>
  <si>
    <t>Master Electrical NFPA Code Course (Fred 2020)</t>
  </si>
  <si>
    <t>Building/Health Annual Continuing Education</t>
  </si>
  <si>
    <t>Electrical/Pumbing Code Books</t>
  </si>
  <si>
    <t>Holiday pay - Captains Lieutenants Admin Officer and Fire Marshal</t>
  </si>
  <si>
    <t>Paramedic In-house Educational Development Program</t>
  </si>
  <si>
    <t>Computer Software Udated</t>
  </si>
  <si>
    <t>IAFF 2904</t>
  </si>
  <si>
    <t xml:space="preserve">Apparatus Preventative Mainnenace outside Contractor (NE Fire Equip, </t>
  </si>
  <si>
    <t>Bull Dog Fire App, AEV Ambulance, Grappone FORD</t>
  </si>
  <si>
    <t>211 United Way of Greater Nashua (Information, Homeless &amp; Addiction primary)</t>
  </si>
  <si>
    <t>new</t>
  </si>
  <si>
    <t>The Front Door Agency - (Emergency assistance, Security Deposit, Housing)</t>
  </si>
  <si>
    <t>NHPA dues, APA/AICP Dues, NHEDA Dues</t>
  </si>
  <si>
    <t>State planning and zoning workshops (for board members)</t>
  </si>
  <si>
    <t>Other training and professional development (staff members)</t>
  </si>
  <si>
    <t xml:space="preserve">  Commercial Printing of property pamphlets &amp; maps</t>
  </si>
  <si>
    <t xml:space="preserve">  Memberships:   NH Association of Conservation Commissions</t>
  </si>
  <si>
    <t>Remote Web and Cablecast Equipment</t>
  </si>
  <si>
    <t>Matthew Thorton Room Cameras and Equipment</t>
  </si>
  <si>
    <t>PCI Compliance Training (annual re: credit/debit card processing)</t>
  </si>
  <si>
    <t>Voting Booths</t>
  </si>
  <si>
    <t>National Recreation &amp; Park Association</t>
  </si>
  <si>
    <t>Seasonal activities - Movies in the Park</t>
  </si>
  <si>
    <t>Camp Medical Staff - 40 hours/wk x 8 weeks</t>
  </si>
  <si>
    <t>WSI's for camp swim lesson- 40 hr X 8 wk X 3 employees</t>
  </si>
  <si>
    <t>Lifeguard for Camp - 40 hr x 8 wk</t>
  </si>
  <si>
    <t>Junior Counselors - 4 employees x 40 hrs/wk x 8 weeks</t>
  </si>
  <si>
    <t>CIT Coordinator</t>
  </si>
  <si>
    <t>Back ground checks  (32x $25.00 each)</t>
  </si>
  <si>
    <t>5% Sibling Discount</t>
  </si>
  <si>
    <t xml:space="preserve">Summer Playground Camp (last 2 weeks of August) </t>
  </si>
  <si>
    <t>Director - 40 hours/wk x 2 weeks</t>
  </si>
  <si>
    <t>4 Counselors - 40 hrs/wk x 2 weeks</t>
  </si>
  <si>
    <t>Food</t>
  </si>
  <si>
    <t>Director - 40 hours/wk x+ 10 Prep</t>
  </si>
  <si>
    <t>2 Counselors - 40 hrs/wk + 5 hours prep each</t>
  </si>
  <si>
    <t xml:space="preserve">WSI's - public  swim lesson- 15 hr X 8 wk </t>
  </si>
  <si>
    <t>Counselors (40 hrs/wk x 3 wks) x 4 employees</t>
  </si>
  <si>
    <t xml:space="preserve">Cook (20 hrs/wk x 3 wks) </t>
  </si>
  <si>
    <t>Back ground checks  (5 x $25.00 each)</t>
  </si>
  <si>
    <t>Physicals, psychological exams, drug tests, and written entrance exams</t>
  </si>
  <si>
    <t>Mobile Messaging License</t>
  </si>
  <si>
    <t xml:space="preserve">Head of Adult Services, </t>
  </si>
  <si>
    <t>Head of Youth Services</t>
  </si>
  <si>
    <t xml:space="preserve">  Library Assistant I - Youth Services </t>
  </si>
  <si>
    <t xml:space="preserve">  Library Assistant I - Administration/Circ/Outreach</t>
  </si>
  <si>
    <t xml:space="preserve">  Library Assistant I - Technical Services </t>
  </si>
  <si>
    <t xml:space="preserve">  Aide I - Circulation  </t>
  </si>
  <si>
    <t xml:space="preserve">  Page - Circulation</t>
  </si>
  <si>
    <t xml:space="preserve">  Page/Aide - Children's Room</t>
  </si>
  <si>
    <t>Restoration of 4 hours Saturday</t>
  </si>
  <si>
    <t>overdue notices, interlibrary loan books, general correspondence</t>
  </si>
  <si>
    <t>Website hosting annual fee</t>
  </si>
  <si>
    <t>Email hosting annual fee; service</t>
  </si>
  <si>
    <t>Computer and printer maintenance</t>
  </si>
  <si>
    <t xml:space="preserve">Bindery </t>
  </si>
  <si>
    <t xml:space="preserve">Hoopla </t>
  </si>
  <si>
    <t>audio books</t>
  </si>
  <si>
    <t xml:space="preserve">Video  </t>
  </si>
  <si>
    <t>Summer engineering student - 3</t>
  </si>
  <si>
    <t>NH Septic Evaluator License</t>
  </si>
  <si>
    <t>Misc., National Public Works Week, PW Open House</t>
  </si>
  <si>
    <t xml:space="preserve">Diagnostic Equipment Software &amp; Updates </t>
  </si>
  <si>
    <t>Pest control (Termites, Ants, Rodents, Etc.) TH &amp; PD &amp; ACC</t>
  </si>
  <si>
    <t>Plowing Municipal Lots</t>
  </si>
  <si>
    <t>Pickup Truck, Light Duty, 4 X 2</t>
  </si>
  <si>
    <t xml:space="preserve">2 Interns - Summer 440 hours each - Interns to assist </t>
  </si>
  <si>
    <t xml:space="preserve">        Sewer/Pretreatment Program/Lab/Collections System</t>
  </si>
  <si>
    <t>1-Year round, part time maintainer (24 hours/week)</t>
  </si>
  <si>
    <t xml:space="preserve">City of Nashua </t>
  </si>
  <si>
    <t xml:space="preserve">Cellular telephones and wireless communications ( 8) </t>
  </si>
  <si>
    <t>Raise overhead door at compost</t>
  </si>
  <si>
    <t>Replacement liners for screw conveyors</t>
  </si>
  <si>
    <t>Replacement screw for press</t>
  </si>
  <si>
    <t xml:space="preserve">Trucks, loaders and sewer cleaner </t>
  </si>
  <si>
    <t>sampler for pretreatment program</t>
  </si>
  <si>
    <t>GPS Unit for locating infrastructure</t>
  </si>
  <si>
    <t>Replacement water purification system for the Laboratory</t>
  </si>
  <si>
    <t>electric pressure washer</t>
  </si>
  <si>
    <t>1-front end loader replacment</t>
  </si>
  <si>
    <t>Replacement of OEM lights with LED lights</t>
  </si>
  <si>
    <t>Replacement of 1 sludge pump</t>
  </si>
  <si>
    <t>Summer Maintainer T-shirts and safety boot allowance</t>
  </si>
  <si>
    <t>Stationery, plans, maps, business cards and forms, Door Knockers</t>
  </si>
  <si>
    <t>American Public Works Association (3 members)</t>
  </si>
  <si>
    <t>All-weather picnic tables (long lasting) (Replace 5 per year)</t>
  </si>
  <si>
    <t>Electrical Repairs for Vets Scoreboard</t>
  </si>
  <si>
    <t>Irrigation maintenance - (Vets, Reeds, Bise and Bishop)</t>
  </si>
  <si>
    <t>Exmark Mower</t>
  </si>
  <si>
    <t xml:space="preserve">Paint Machine </t>
  </si>
  <si>
    <t>Trailer for Hotbox</t>
  </si>
  <si>
    <t>Asphalt milling attach for H-43</t>
  </si>
  <si>
    <t>DW Hwy Paving - Cracksealing</t>
  </si>
  <si>
    <t>Paving Gravel Roads</t>
  </si>
  <si>
    <t>Seaverns Bridge Canoe Launch</t>
  </si>
  <si>
    <t>H-29 Spreader and Plow fit up</t>
  </si>
  <si>
    <t>3/4T Pickup H-2</t>
  </si>
  <si>
    <t>6 Wheel dump truck, H-28</t>
  </si>
  <si>
    <t>6 Wheel dump truck, H-34</t>
  </si>
  <si>
    <t>NE Resource Recovery Association</t>
  </si>
  <si>
    <t>Maintenenace software for Scale</t>
  </si>
  <si>
    <t>Chargers and batteries for vehicle and portable radios</t>
  </si>
  <si>
    <t xml:space="preserve">Surveilance Camera </t>
  </si>
  <si>
    <t>Truck Cab &amp; Chassis, Peterbilt</t>
  </si>
  <si>
    <t>South Fire Station Space Needs Accessment</t>
  </si>
  <si>
    <t>Portable Radio Replacement</t>
  </si>
  <si>
    <t>Rescue 1 Breathing Air Cascade Replacement</t>
  </si>
  <si>
    <t>Fire Apparatus Computer Replacement</t>
  </si>
  <si>
    <t>Fire Suppression Hose</t>
  </si>
  <si>
    <t>Access Monitoring Faciltiy Control</t>
  </si>
  <si>
    <t xml:space="preserve">  Message Board</t>
  </si>
  <si>
    <t>Athletic Field groomer</t>
  </si>
  <si>
    <t>Pond Dredging</t>
  </si>
  <si>
    <t>Dock Replaceemnt</t>
  </si>
  <si>
    <t>Skate Park</t>
  </si>
  <si>
    <t>Crime Scene vehicle replacement upfit</t>
  </si>
  <si>
    <t xml:space="preserve">TH - HVAC Upgrade </t>
  </si>
  <si>
    <t>01-21-8503-0 Vehicle</t>
  </si>
  <si>
    <t>Pool Car</t>
  </si>
  <si>
    <t xml:space="preserve">  Telephone upgrade</t>
  </si>
  <si>
    <t xml:space="preserve">  Moderators - 150 hr X 3 elections = 450 hr X $10</t>
  </si>
  <si>
    <t xml:space="preserve">  Election workers - 150 hr X 3 election = 450hr X $7.25</t>
  </si>
  <si>
    <t>01-09-8460-0 Education &amp; Training</t>
  </si>
  <si>
    <t>45 - Capital Project Fund</t>
  </si>
  <si>
    <t xml:space="preserve">  10 holidays X 10 hours X 9 officers = 900 hours</t>
  </si>
  <si>
    <t>Nozzle Parts, Adapters,  "O" Rings, Ball Valve Parts, Jaffery Intake Valves</t>
  </si>
  <si>
    <t>Unemployment compensation - .18%</t>
  </si>
  <si>
    <t>Last Rest Cemetery</t>
  </si>
  <si>
    <t>Milfoil Treatment Expendable trust</t>
  </si>
  <si>
    <t xml:space="preserve">  Wi-Fi Campus project </t>
  </si>
  <si>
    <t>8107 - Part Time &gt; $14,000</t>
  </si>
  <si>
    <t>8107 - Part Time &lt; $14,000</t>
  </si>
  <si>
    <t>8107 &gt; $14,000</t>
  </si>
  <si>
    <t>8107 - Part Time &gt;$14,000</t>
  </si>
  <si>
    <t>Personnel services 8102 - 8136</t>
  </si>
  <si>
    <t>SPO2 Adult/Pediatric</t>
  </si>
  <si>
    <t>Replace 2.5 Ton Air Handler &amp; Condenser for Admin</t>
  </si>
  <si>
    <t xml:space="preserve">Replace 5 ton Air Handler &amp; Condenser for Building Conf Rm </t>
  </si>
  <si>
    <t>Fire Command SUV (including Fitup $XXX)</t>
  </si>
  <si>
    <t>Patrol Sergeant (Special Investigation)</t>
  </si>
  <si>
    <t>International Association Chief of Police (IACP) Model Policy update and subscription service</t>
  </si>
  <si>
    <t>Patrol SUVs (3)</t>
  </si>
  <si>
    <t xml:space="preserve">  Back-up Console Fire/Police</t>
  </si>
  <si>
    <r>
      <t xml:space="preserve">01-25-8491-0 Other </t>
    </r>
    <r>
      <rPr>
        <sz val="8"/>
        <rFont val="Times New Roman"/>
        <family val="1"/>
      </rPr>
      <t>(property taxes, sewer, water, and personal maintenance)</t>
    </r>
  </si>
  <si>
    <t>Hiring of 1 new Officers</t>
  </si>
  <si>
    <t xml:space="preserve">  Emergency Medical Technician-Basic &amp; Intermediates Recertification's for Career, Call Division, Part Time</t>
  </si>
  <si>
    <t>Asst Director Waste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</si>
</sst>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 numFmtId="165" formatCode="_(* #,##0.0000_);_(* \(#,##0.0000\);_(* &quot;-&quot;_);_(@_)"/>
    <numFmt numFmtId="166" formatCode="_(* #,##0.000_);_(* \(#,##0.000\);_(* &quot;-&quot;???_);_(@_)"/>
    <numFmt numFmtId="167" formatCode="0_);\(0\)"/>
    <numFmt numFmtId="168" formatCode="_(* #,##0.0_);_(* \(#,##0.0\);_(* &quot;-&quot;?_);_(@_)"/>
    <numFmt numFmtId="169" formatCode="0.0%"/>
    <numFmt numFmtId="170" formatCode="_(* #,##0.00_);_(* \(#,##0.00\);_(* &quot;-&quot;_);_(@_)"/>
    <numFmt numFmtId="171" formatCode="&quot;$&quot;#,##0.00"/>
  </numFmts>
  <fonts count="34" x14ac:knownFonts="1">
    <font>
      <sz val="10"/>
      <name val="Arial"/>
    </font>
    <font>
      <sz val="10"/>
      <name val="Arial"/>
      <family val="2"/>
    </font>
    <font>
      <sz val="10"/>
      <name val="Arial"/>
      <family val="2"/>
    </font>
    <font>
      <u/>
      <sz val="10"/>
      <color indexed="12"/>
      <name val="Arial"/>
      <family val="2"/>
    </font>
    <font>
      <sz val="12"/>
      <name val="Arial"/>
      <family val="2"/>
    </font>
    <font>
      <sz val="8"/>
      <name val="Arial"/>
      <family val="2"/>
    </font>
    <font>
      <b/>
      <sz val="10"/>
      <name val="Times New Roman"/>
      <family val="1"/>
    </font>
    <font>
      <sz val="10"/>
      <name val="Times New Roman"/>
      <family val="1"/>
    </font>
    <font>
      <u val="singleAccounting"/>
      <sz val="10"/>
      <name val="Times New Roman"/>
      <family val="1"/>
    </font>
    <font>
      <b/>
      <u/>
      <sz val="10"/>
      <name val="Times New Roman"/>
      <family val="1"/>
    </font>
    <font>
      <b/>
      <i/>
      <u/>
      <sz val="10"/>
      <name val="Times New Roman"/>
      <family val="1"/>
    </font>
    <font>
      <u/>
      <sz val="10"/>
      <name val="Times New Roman"/>
      <family val="1"/>
    </font>
    <font>
      <b/>
      <i/>
      <sz val="10"/>
      <name val="Times New Roman"/>
      <family val="1"/>
    </font>
    <font>
      <b/>
      <u val="singleAccounting"/>
      <sz val="10"/>
      <name val="Times New Roman"/>
      <family val="1"/>
    </font>
    <font>
      <sz val="8"/>
      <name val="Times New Roman"/>
      <family val="1"/>
    </font>
    <font>
      <sz val="12"/>
      <name val="Times New Roman"/>
      <family val="1"/>
    </font>
    <font>
      <u val="singleAccounting"/>
      <sz val="12"/>
      <name val="Times New Roman"/>
      <family val="1"/>
    </font>
    <font>
      <i/>
      <u/>
      <sz val="10"/>
      <name val="Times New Roman"/>
      <family val="1"/>
    </font>
    <font>
      <sz val="9"/>
      <name val="Times New Roman"/>
      <family val="1"/>
    </font>
    <font>
      <u val="singleAccounting"/>
      <sz val="10"/>
      <name val="Arial"/>
      <family val="2"/>
    </font>
    <font>
      <b/>
      <sz val="9"/>
      <color indexed="81"/>
      <name val="Tahoma"/>
      <family val="2"/>
    </font>
    <font>
      <sz val="9"/>
      <color indexed="81"/>
      <name val="Tahoma"/>
      <family val="2"/>
    </font>
    <font>
      <strike/>
      <sz val="10"/>
      <name val="Times New Roman"/>
      <family val="1"/>
    </font>
    <font>
      <b/>
      <sz val="14"/>
      <name val="Times New Roman"/>
      <family val="1"/>
    </font>
    <font>
      <sz val="11"/>
      <color theme="1"/>
      <name val="Calibri"/>
      <family val="2"/>
      <scheme val="minor"/>
    </font>
    <font>
      <sz val="11"/>
      <name val="Calibri"/>
      <family val="2"/>
      <scheme val="minor"/>
    </font>
    <font>
      <sz val="10"/>
      <color theme="1"/>
      <name val="Times New Roman"/>
      <family val="1"/>
    </font>
    <font>
      <b/>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11"/>
      <color indexed="8"/>
      <name val="Calibri"/>
      <family val="2"/>
    </font>
    <font>
      <b/>
      <sz val="10"/>
      <color indexed="81"/>
      <name val="Tahoma"/>
      <family val="2"/>
    </font>
    <font>
      <b/>
      <sz val="11"/>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2">
    <xf numFmtId="0" fontId="0" fillId="0" borderId="0"/>
    <xf numFmtId="43" fontId="2"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4" fillId="0" borderId="0"/>
    <xf numFmtId="0" fontId="2" fillId="0" borderId="0"/>
    <xf numFmtId="0" fontId="2" fillId="0" borderId="0"/>
    <xf numFmtId="0" fontId="2" fillId="0" borderId="0"/>
    <xf numFmtId="0" fontId="1" fillId="0" borderId="0"/>
    <xf numFmtId="0" fontId="4" fillId="0" borderId="0"/>
    <xf numFmtId="9" fontId="1" fillId="0" borderId="0" applyFont="0" applyFill="0" applyBorder="0" applyAlignment="0" applyProtection="0"/>
  </cellStyleXfs>
  <cellXfs count="203">
    <xf numFmtId="0" fontId="0" fillId="0" borderId="0" xfId="0"/>
    <xf numFmtId="41" fontId="6" fillId="0" borderId="0" xfId="0" applyNumberFormat="1" applyFont="1" applyFill="1"/>
    <xf numFmtId="41" fontId="7" fillId="0" borderId="0" xfId="0" applyNumberFormat="1" applyFont="1" applyFill="1"/>
    <xf numFmtId="41" fontId="7" fillId="0" borderId="0" xfId="0" applyNumberFormat="1" applyFont="1" applyFill="1" applyBorder="1"/>
    <xf numFmtId="41" fontId="6" fillId="0" borderId="0" xfId="0" applyNumberFormat="1" applyFont="1" applyFill="1" applyAlignment="1">
      <alignment horizontal="center"/>
    </xf>
    <xf numFmtId="0" fontId="6" fillId="0" borderId="0" xfId="0" applyFont="1" applyFill="1" applyAlignment="1">
      <alignment horizontal="center"/>
    </xf>
    <xf numFmtId="0" fontId="7" fillId="0" borderId="0" xfId="0" applyFont="1" applyFill="1" applyAlignment="1"/>
    <xf numFmtId="0" fontId="7" fillId="0" borderId="0" xfId="0" applyFont="1" applyFill="1"/>
    <xf numFmtId="41" fontId="7" fillId="0" borderId="0" xfId="0" applyNumberFormat="1" applyFont="1" applyFill="1" applyAlignment="1">
      <alignment horizontal="right"/>
    </xf>
    <xf numFmtId="41" fontId="8" fillId="0" borderId="0" xfId="0" applyNumberFormat="1" applyFont="1" applyFill="1" applyAlignment="1">
      <alignment horizontal="right"/>
    </xf>
    <xf numFmtId="0" fontId="10" fillId="0" borderId="0" xfId="0" applyFont="1" applyFill="1" applyAlignment="1">
      <alignment horizontal="center"/>
    </xf>
    <xf numFmtId="41" fontId="8" fillId="0" borderId="0" xfId="0" applyNumberFormat="1" applyFont="1" applyFill="1"/>
    <xf numFmtId="43" fontId="7" fillId="0" borderId="0" xfId="0" applyNumberFormat="1" applyFont="1" applyFill="1"/>
    <xf numFmtId="0" fontId="7" fillId="0" borderId="0" xfId="0" quotePrefix="1" applyFont="1" applyFill="1"/>
    <xf numFmtId="164" fontId="7" fillId="0" borderId="0" xfId="0" applyNumberFormat="1" applyFont="1" applyFill="1"/>
    <xf numFmtId="0" fontId="10" fillId="0" borderId="0" xfId="0" quotePrefix="1" applyFont="1" applyFill="1" applyAlignment="1">
      <alignment horizontal="center"/>
    </xf>
    <xf numFmtId="41" fontId="7" fillId="0" borderId="0" xfId="0" applyNumberFormat="1" applyFont="1" applyFill="1" applyAlignment="1">
      <alignment horizontal="center"/>
    </xf>
    <xf numFmtId="14" fontId="10" fillId="0" borderId="0" xfId="0" applyNumberFormat="1" applyFont="1" applyFill="1" applyAlignment="1">
      <alignment horizontal="center"/>
    </xf>
    <xf numFmtId="41" fontId="11" fillId="0" borderId="0" xfId="0" applyNumberFormat="1" applyFont="1" applyFill="1"/>
    <xf numFmtId="41" fontId="11" fillId="0" borderId="0" xfId="0" applyNumberFormat="1" applyFont="1" applyFill="1" applyAlignment="1">
      <alignment horizontal="right"/>
    </xf>
    <xf numFmtId="0" fontId="6" fillId="0" borderId="0" xfId="0" applyFont="1" applyFill="1"/>
    <xf numFmtId="0" fontId="7" fillId="0" borderId="0" xfId="0" applyFont="1" applyFill="1" applyAlignment="1">
      <alignment horizontal="center"/>
    </xf>
    <xf numFmtId="43" fontId="7" fillId="0" borderId="0" xfId="0" applyNumberFormat="1" applyFont="1" applyFill="1" applyAlignment="1">
      <alignment horizontal="right"/>
    </xf>
    <xf numFmtId="0" fontId="7" fillId="0" borderId="0" xfId="0" applyFont="1" applyFill="1" applyAlignment="1">
      <alignment horizontal="left"/>
    </xf>
    <xf numFmtId="41" fontId="6" fillId="0" borderId="0" xfId="0" applyNumberFormat="1" applyFont="1" applyFill="1" applyAlignment="1">
      <alignment horizontal="right"/>
    </xf>
    <xf numFmtId="0" fontId="7" fillId="0" borderId="0" xfId="10" applyFont="1" applyFill="1"/>
    <xf numFmtId="41" fontId="7" fillId="0" borderId="0" xfId="10" applyNumberFormat="1" applyFont="1" applyFill="1"/>
    <xf numFmtId="41" fontId="16" fillId="0" borderId="0" xfId="0" applyNumberFormat="1" applyFont="1" applyFill="1"/>
    <xf numFmtId="0" fontId="11" fillId="0" borderId="0" xfId="0" applyFont="1" applyFill="1"/>
    <xf numFmtId="41" fontId="11" fillId="0" borderId="0" xfId="0" applyNumberFormat="1" applyFont="1" applyFill="1" applyAlignment="1">
      <alignment horizontal="center"/>
    </xf>
    <xf numFmtId="0" fontId="7" fillId="0" borderId="0" xfId="0" applyFont="1" applyFill="1" applyAlignment="1">
      <alignment horizontal="right"/>
    </xf>
    <xf numFmtId="41" fontId="8" fillId="0" borderId="0" xfId="0" applyNumberFormat="1" applyFont="1" applyFill="1" applyBorder="1"/>
    <xf numFmtId="164" fontId="7" fillId="0" borderId="0" xfId="10" applyNumberFormat="1" applyFont="1" applyFill="1"/>
    <xf numFmtId="0" fontId="7" fillId="0" borderId="0" xfId="0" applyFont="1" applyFill="1" applyAlignment="1">
      <alignment wrapText="1"/>
    </xf>
    <xf numFmtId="0" fontId="7" fillId="0" borderId="0" xfId="0" quotePrefix="1" applyFont="1" applyFill="1" applyAlignment="1">
      <alignment horizontal="left"/>
    </xf>
    <xf numFmtId="41" fontId="7" fillId="0" borderId="1" xfId="0" applyNumberFormat="1" applyFont="1" applyFill="1" applyBorder="1"/>
    <xf numFmtId="43" fontId="6" fillId="0" borderId="0" xfId="0" applyNumberFormat="1" applyFont="1" applyFill="1" applyAlignment="1">
      <alignment horizontal="center"/>
    </xf>
    <xf numFmtId="0" fontId="11" fillId="0" borderId="0" xfId="0" applyFont="1" applyFill="1" applyAlignment="1">
      <alignment horizontal="right"/>
    </xf>
    <xf numFmtId="43" fontId="7" fillId="0" borderId="0" xfId="0" applyNumberFormat="1" applyFont="1" applyFill="1" applyAlignment="1">
      <alignment horizontal="center"/>
    </xf>
    <xf numFmtId="43" fontId="8" fillId="0" borderId="0" xfId="0" applyNumberFormat="1" applyFont="1" applyFill="1"/>
    <xf numFmtId="41" fontId="7" fillId="0" borderId="0" xfId="0" applyNumberFormat="1" applyFont="1" applyFill="1" applyBorder="1" applyAlignment="1" applyProtection="1"/>
    <xf numFmtId="0" fontId="7" fillId="0" borderId="0" xfId="0" applyFont="1" applyFill="1" applyBorder="1" applyAlignment="1">
      <alignment horizontal="left"/>
    </xf>
    <xf numFmtId="0" fontId="7" fillId="0" borderId="0" xfId="0" applyFont="1" applyFill="1" applyBorder="1" applyAlignment="1">
      <alignment vertical="center"/>
    </xf>
    <xf numFmtId="0" fontId="7" fillId="0" borderId="0" xfId="0" applyNumberFormat="1" applyFont="1" applyFill="1" applyBorder="1" applyAlignment="1">
      <alignment horizontal="left"/>
    </xf>
    <xf numFmtId="41" fontId="7" fillId="0" borderId="0" xfId="0" applyNumberFormat="1" applyFont="1" applyFill="1" applyBorder="1" applyAlignment="1"/>
    <xf numFmtId="41" fontId="7" fillId="0" borderId="0" xfId="0" applyNumberFormat="1" applyFont="1" applyFill="1" applyBorder="1" applyAlignment="1">
      <alignment horizontal="left"/>
    </xf>
    <xf numFmtId="166" fontId="7" fillId="0" borderId="0" xfId="0" applyNumberFormat="1" applyFont="1" applyFill="1"/>
    <xf numFmtId="3" fontId="7" fillId="0" borderId="0" xfId="0" applyNumberFormat="1" applyFont="1" applyFill="1"/>
    <xf numFmtId="0" fontId="15" fillId="0" borderId="0" xfId="10" applyFont="1" applyFill="1"/>
    <xf numFmtId="0" fontId="10" fillId="0" borderId="0" xfId="10" applyFont="1" applyFill="1" applyAlignment="1">
      <alignment horizontal="center"/>
    </xf>
    <xf numFmtId="41" fontId="11" fillId="0" borderId="0" xfId="10" applyNumberFormat="1" applyFont="1" applyFill="1"/>
    <xf numFmtId="41" fontId="7" fillId="0" borderId="0" xfId="0" quotePrefix="1" applyNumberFormat="1" applyFont="1" applyFill="1"/>
    <xf numFmtId="41" fontId="7" fillId="0" borderId="0" xfId="0" applyNumberFormat="1" applyFont="1" applyFill="1" applyAlignment="1">
      <alignment horizontal="left"/>
    </xf>
    <xf numFmtId="41" fontId="10" fillId="0" borderId="0" xfId="0" applyNumberFormat="1" applyFont="1" applyFill="1" applyAlignment="1">
      <alignment horizontal="center"/>
    </xf>
    <xf numFmtId="41" fontId="10" fillId="0" borderId="0" xfId="0" applyNumberFormat="1" applyFont="1" applyFill="1"/>
    <xf numFmtId="41" fontId="8" fillId="0" borderId="0" xfId="10" applyNumberFormat="1" applyFont="1" applyFill="1"/>
    <xf numFmtId="43" fontId="7" fillId="0" borderId="0" xfId="10" applyNumberFormat="1" applyFont="1" applyFill="1"/>
    <xf numFmtId="0" fontId="7" fillId="0" borderId="0" xfId="10" applyFont="1" applyFill="1" applyAlignment="1">
      <alignment horizontal="left"/>
    </xf>
    <xf numFmtId="12" fontId="11" fillId="0" borderId="0" xfId="10" applyNumberFormat="1" applyFont="1" applyFill="1" applyAlignment="1">
      <alignment horizontal="right"/>
    </xf>
    <xf numFmtId="0" fontId="12" fillId="0" borderId="0" xfId="0" applyFont="1" applyFill="1" applyAlignment="1">
      <alignment horizontal="center"/>
    </xf>
    <xf numFmtId="49" fontId="6" fillId="0" borderId="0" xfId="9" applyNumberFormat="1" applyFont="1" applyFill="1"/>
    <xf numFmtId="0" fontId="7" fillId="0" borderId="0" xfId="0" applyFont="1" applyFill="1" applyBorder="1"/>
    <xf numFmtId="0" fontId="10" fillId="0" borderId="0" xfId="0" applyFont="1" applyFill="1" applyBorder="1" applyAlignment="1">
      <alignment horizontal="center"/>
    </xf>
    <xf numFmtId="0" fontId="7" fillId="0" borderId="0" xfId="0" applyFont="1" applyFill="1" applyBorder="1" applyAlignment="1"/>
    <xf numFmtId="43" fontId="7" fillId="0" borderId="0" xfId="0" applyNumberFormat="1" applyFont="1" applyFill="1" applyBorder="1"/>
    <xf numFmtId="41" fontId="7" fillId="0" borderId="0" xfId="2" applyNumberFormat="1" applyFont="1" applyFill="1"/>
    <xf numFmtId="0" fontId="18" fillId="0" borderId="0" xfId="0" applyFont="1" applyFill="1" applyAlignment="1"/>
    <xf numFmtId="3" fontId="11" fillId="0" borderId="0" xfId="0" applyNumberFormat="1" applyFont="1" applyFill="1"/>
    <xf numFmtId="1" fontId="7" fillId="0" borderId="0" xfId="0" applyNumberFormat="1" applyFont="1" applyFill="1"/>
    <xf numFmtId="169" fontId="7" fillId="0" borderId="0" xfId="11" applyNumberFormat="1" applyFont="1" applyFill="1" applyAlignment="1">
      <alignment horizontal="left"/>
    </xf>
    <xf numFmtId="0" fontId="17" fillId="0" borderId="0" xfId="0" applyFont="1" applyFill="1" applyBorder="1" applyAlignment="1">
      <alignment horizontal="center"/>
    </xf>
    <xf numFmtId="41" fontId="11" fillId="0" borderId="0" xfId="0" applyNumberFormat="1" applyFont="1" applyFill="1" applyBorder="1"/>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2" applyNumberFormat="1" applyFont="1" applyFill="1" applyBorder="1"/>
    <xf numFmtId="38" fontId="7" fillId="0" borderId="0" xfId="0" applyNumberFormat="1" applyFont="1" applyFill="1"/>
    <xf numFmtId="164" fontId="7" fillId="0" borderId="0" xfId="0" applyNumberFormat="1" applyFont="1" applyFill="1" applyBorder="1"/>
    <xf numFmtId="37" fontId="7" fillId="0" borderId="0" xfId="0" applyNumberFormat="1" applyFont="1" applyFill="1"/>
    <xf numFmtId="3" fontId="7" fillId="0" borderId="0" xfId="0" applyNumberFormat="1" applyFont="1" applyFill="1" applyBorder="1"/>
    <xf numFmtId="41" fontId="13" fillId="0" borderId="0" xfId="0" applyNumberFormat="1" applyFont="1" applyFill="1"/>
    <xf numFmtId="41" fontId="8" fillId="0" borderId="0" xfId="0" applyNumberFormat="1" applyFont="1" applyFill="1" applyAlignment="1">
      <alignment horizontal="center"/>
    </xf>
    <xf numFmtId="0" fontId="9" fillId="0" borderId="0" xfId="0" applyFont="1" applyFill="1" applyBorder="1" applyAlignment="1">
      <alignment horizontal="center"/>
    </xf>
    <xf numFmtId="14" fontId="9" fillId="0" borderId="0" xfId="0" applyNumberFormat="1" applyFont="1" applyFill="1" applyBorder="1" applyAlignment="1">
      <alignment horizontal="center"/>
    </xf>
    <xf numFmtId="3" fontId="7" fillId="0" borderId="0" xfId="0" applyNumberFormat="1" applyFont="1" applyFill="1" applyBorder="1" applyAlignment="1" applyProtection="1">
      <alignment horizontal="left"/>
      <protection locked="0"/>
    </xf>
    <xf numFmtId="10" fontId="7" fillId="0" borderId="0" xfId="0" applyNumberFormat="1" applyFont="1" applyFill="1"/>
    <xf numFmtId="0" fontId="11" fillId="0" borderId="0" xfId="0" applyFont="1" applyFill="1" applyAlignment="1">
      <alignment horizontal="left"/>
    </xf>
    <xf numFmtId="0" fontId="10" fillId="0" borderId="0" xfId="0" quotePrefix="1" applyFont="1" applyFill="1" applyBorder="1" applyAlignment="1">
      <alignment horizontal="center"/>
    </xf>
    <xf numFmtId="165" fontId="7" fillId="0" borderId="0" xfId="0" applyNumberFormat="1" applyFont="1" applyFill="1"/>
    <xf numFmtId="0" fontId="6" fillId="0" borderId="0" xfId="0" applyFont="1" applyFill="1" applyAlignment="1"/>
    <xf numFmtId="0" fontId="6" fillId="0" borderId="0" xfId="0" applyNumberFormat="1" applyFont="1" applyFill="1" applyBorder="1" applyAlignment="1">
      <alignment horizontal="left"/>
    </xf>
    <xf numFmtId="41" fontId="7" fillId="0" borderId="0" xfId="4" applyNumberFormat="1" applyFont="1" applyFill="1" applyBorder="1"/>
    <xf numFmtId="0" fontId="7" fillId="0" borderId="0" xfId="4" applyFont="1" applyFill="1" applyBorder="1"/>
    <xf numFmtId="43" fontId="7" fillId="0" borderId="0" xfId="4" applyNumberFormat="1" applyFont="1" applyFill="1" applyBorder="1"/>
    <xf numFmtId="41" fontId="8" fillId="0" borderId="0" xfId="4" applyNumberFormat="1" applyFont="1" applyFill="1" applyBorder="1"/>
    <xf numFmtId="164" fontId="7" fillId="0" borderId="0" xfId="4" applyNumberFormat="1" applyFont="1" applyFill="1" applyBorder="1"/>
    <xf numFmtId="0" fontId="10" fillId="0" borderId="0" xfId="4" applyFont="1" applyFill="1" applyBorder="1" applyAlignment="1">
      <alignment horizontal="center"/>
    </xf>
    <xf numFmtId="0" fontId="7" fillId="0" borderId="0" xfId="4" applyFont="1" applyFill="1" applyBorder="1" applyAlignment="1"/>
    <xf numFmtId="0" fontId="7" fillId="0" borderId="0" xfId="4" quotePrefix="1" applyFont="1" applyFill="1" applyBorder="1"/>
    <xf numFmtId="14" fontId="10" fillId="0" borderId="0" xfId="4" applyNumberFormat="1" applyFont="1" applyFill="1" applyBorder="1" applyAlignment="1">
      <alignment horizontal="center"/>
    </xf>
    <xf numFmtId="0" fontId="7" fillId="0" borderId="0" xfId="0" applyNumberFormat="1" applyFont="1" applyFill="1"/>
    <xf numFmtId="0" fontId="15" fillId="0" borderId="0" xfId="0" applyFont="1" applyFill="1"/>
    <xf numFmtId="170" fontId="7" fillId="0" borderId="0" xfId="4" applyNumberFormat="1" applyFont="1" applyFill="1" applyBorder="1"/>
    <xf numFmtId="0" fontId="10" fillId="0" borderId="0" xfId="0" applyFont="1" applyFill="1" applyAlignment="1">
      <alignment horizontal="left"/>
    </xf>
    <xf numFmtId="41" fontId="7" fillId="0" borderId="0" xfId="4" applyNumberFormat="1" applyFont="1" applyFill="1" applyBorder="1" applyProtection="1">
      <protection locked="0"/>
    </xf>
    <xf numFmtId="0" fontId="7" fillId="0" borderId="0" xfId="4" applyFont="1" applyFill="1" applyBorder="1" applyAlignment="1">
      <alignment horizontal="left"/>
    </xf>
    <xf numFmtId="41" fontId="9" fillId="0" borderId="0" xfId="0" applyNumberFormat="1" applyFont="1" applyFill="1" applyAlignment="1">
      <alignment horizontal="center"/>
    </xf>
    <xf numFmtId="41" fontId="17" fillId="0" borderId="0" xfId="0" applyNumberFormat="1" applyFont="1" applyFill="1" applyAlignment="1">
      <alignment horizontal="center"/>
    </xf>
    <xf numFmtId="41" fontId="7" fillId="0" borderId="0" xfId="0" applyNumberFormat="1" applyFont="1" applyFill="1" applyBorder="1" applyAlignment="1" applyProtection="1">
      <protection locked="0"/>
    </xf>
    <xf numFmtId="41" fontId="11" fillId="0" borderId="0" xfId="0" applyNumberFormat="1" applyFont="1" applyFill="1" applyBorder="1" applyAlignment="1" applyProtection="1">
      <protection locked="0"/>
    </xf>
    <xf numFmtId="2" fontId="7" fillId="0" borderId="0" xfId="0" applyNumberFormat="1" applyFont="1" applyFill="1"/>
    <xf numFmtId="170" fontId="7" fillId="0" borderId="0" xfId="0" applyNumberFormat="1" applyFont="1" applyFill="1"/>
    <xf numFmtId="167" fontId="7" fillId="0" borderId="0" xfId="0" applyNumberFormat="1" applyFont="1" applyFill="1"/>
    <xf numFmtId="41" fontId="7" fillId="0" borderId="0" xfId="5" applyNumberFormat="1" applyFont="1" applyFill="1"/>
    <xf numFmtId="41" fontId="7" fillId="0" borderId="0" xfId="5" applyNumberFormat="1" applyFont="1" applyFill="1" applyAlignment="1">
      <alignment horizontal="center" vertical="center"/>
    </xf>
    <xf numFmtId="41" fontId="8" fillId="0" borderId="0" xfId="5" applyNumberFormat="1" applyFont="1" applyFill="1"/>
    <xf numFmtId="41" fontId="8" fillId="0" borderId="0" xfId="5" applyNumberFormat="1" applyFont="1" applyFill="1" applyAlignment="1">
      <alignment horizontal="center" vertical="center"/>
    </xf>
    <xf numFmtId="3" fontId="8" fillId="0" borderId="0" xfId="0" applyNumberFormat="1" applyFont="1" applyFill="1"/>
    <xf numFmtId="0" fontId="11" fillId="0" borderId="0" xfId="0" applyFont="1" applyFill="1" applyAlignment="1">
      <alignment horizontal="center"/>
    </xf>
    <xf numFmtId="9" fontId="7" fillId="0" borderId="0" xfId="0" applyNumberFormat="1" applyFont="1" applyFill="1"/>
    <xf numFmtId="37" fontId="7" fillId="0" borderId="0" xfId="0" applyNumberFormat="1" applyFont="1" applyFill="1" applyBorder="1"/>
    <xf numFmtId="41" fontId="8" fillId="0" borderId="0" xfId="0" applyNumberFormat="1" applyFont="1" applyFill="1" applyBorder="1" applyAlignment="1">
      <alignment horizontal="center"/>
    </xf>
    <xf numFmtId="0" fontId="25" fillId="0" borderId="0" xfId="5" applyFont="1" applyFill="1"/>
    <xf numFmtId="41" fontId="22" fillId="0" borderId="0" xfId="4" applyNumberFormat="1" applyFont="1" applyFill="1" applyBorder="1"/>
    <xf numFmtId="41" fontId="11" fillId="0" borderId="0" xfId="3" applyNumberFormat="1" applyFont="1" applyFill="1" applyAlignment="1" applyProtection="1"/>
    <xf numFmtId="168" fontId="7" fillId="0" borderId="0" xfId="0" applyNumberFormat="1" applyFont="1" applyFill="1"/>
    <xf numFmtId="41" fontId="7" fillId="2" borderId="0" xfId="0" applyNumberFormat="1" applyFont="1" applyFill="1"/>
    <xf numFmtId="43" fontId="6" fillId="0" borderId="0" xfId="0" applyNumberFormat="1" applyFont="1" applyFill="1"/>
    <xf numFmtId="171" fontId="7" fillId="0" borderId="0" xfId="0" applyNumberFormat="1" applyFont="1" applyFill="1"/>
    <xf numFmtId="0" fontId="26" fillId="0" borderId="0" xfId="0" applyFont="1"/>
    <xf numFmtId="0" fontId="27" fillId="0" borderId="0" xfId="0" applyFont="1"/>
    <xf numFmtId="0" fontId="28" fillId="0" borderId="0" xfId="0" applyFont="1"/>
    <xf numFmtId="0" fontId="29" fillId="0" borderId="0" xfId="0" applyFont="1"/>
    <xf numFmtId="44" fontId="0" fillId="0" borderId="0" xfId="0" applyNumberFormat="1"/>
    <xf numFmtId="3" fontId="7" fillId="0" borderId="0" xfId="0" applyNumberFormat="1" applyFont="1" applyFill="1" applyAlignment="1">
      <alignment horizontal="right"/>
    </xf>
    <xf numFmtId="3" fontId="8" fillId="0" borderId="0" xfId="0" applyNumberFormat="1" applyFont="1" applyFill="1" applyAlignment="1">
      <alignment horizontal="right"/>
    </xf>
    <xf numFmtId="3" fontId="30" fillId="0" borderId="0" xfId="0" applyNumberFormat="1" applyFont="1"/>
    <xf numFmtId="3" fontId="28" fillId="0" borderId="0" xfId="0" applyNumberFormat="1" applyFont="1"/>
    <xf numFmtId="41" fontId="19" fillId="0" borderId="0" xfId="0" applyNumberFormat="1" applyFont="1" applyFill="1" applyBorder="1"/>
    <xf numFmtId="41" fontId="7" fillId="0" borderId="0" xfId="4" applyNumberFormat="1" applyFont="1" applyFill="1"/>
    <xf numFmtId="0" fontId="7" fillId="0" borderId="0" xfId="6" applyFont="1" applyFill="1"/>
    <xf numFmtId="41" fontId="7" fillId="0" borderId="0" xfId="6" applyNumberFormat="1" applyFont="1" applyFill="1"/>
    <xf numFmtId="43" fontId="7" fillId="0" borderId="0" xfId="4" applyNumberFormat="1" applyFont="1" applyFill="1"/>
    <xf numFmtId="41" fontId="7" fillId="0" borderId="0" xfId="4" applyNumberFormat="1" applyFont="1" applyFill="1" applyAlignment="1">
      <alignment horizontal="left"/>
    </xf>
    <xf numFmtId="41" fontId="7" fillId="0" borderId="0" xfId="4" applyNumberFormat="1" applyFont="1" applyFill="1" applyAlignment="1">
      <alignment horizontal="right"/>
    </xf>
    <xf numFmtId="41" fontId="8" fillId="0" borderId="0" xfId="4" applyNumberFormat="1" applyFont="1" applyFill="1"/>
    <xf numFmtId="41" fontId="10" fillId="0" borderId="0" xfId="4" applyNumberFormat="1" applyFont="1" applyFill="1" applyAlignment="1">
      <alignment horizontal="center"/>
    </xf>
    <xf numFmtId="41" fontId="6" fillId="0" borderId="0" xfId="4" applyNumberFormat="1" applyFont="1" applyFill="1"/>
    <xf numFmtId="41" fontId="6" fillId="0" borderId="0" xfId="4" applyNumberFormat="1" applyFont="1" applyFill="1" applyAlignment="1">
      <alignment horizontal="right"/>
    </xf>
    <xf numFmtId="41" fontId="12" fillId="0" borderId="0" xfId="4" applyNumberFormat="1" applyFont="1" applyFill="1" applyAlignment="1">
      <alignment horizontal="center"/>
    </xf>
    <xf numFmtId="41" fontId="7" fillId="0" borderId="0" xfId="0" quotePrefix="1" applyNumberFormat="1" applyFont="1" applyFill="1" applyAlignment="1">
      <alignment horizontal="left"/>
    </xf>
    <xf numFmtId="3" fontId="24" fillId="0" borderId="0" xfId="0" applyNumberFormat="1" applyFont="1"/>
    <xf numFmtId="14" fontId="10"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0" fontId="23" fillId="0" borderId="0" xfId="0" applyFont="1" applyFill="1" applyAlignment="1"/>
    <xf numFmtId="41" fontId="6" fillId="0" borderId="0" xfId="0" applyNumberFormat="1" applyFont="1" applyFill="1" applyAlignment="1"/>
    <xf numFmtId="41" fontId="23" fillId="0" borderId="0" xfId="0" applyNumberFormat="1" applyFont="1" applyFill="1" applyAlignment="1"/>
    <xf numFmtId="0" fontId="23" fillId="0" borderId="0" xfId="0" applyFont="1" applyFill="1" applyBorder="1" applyAlignment="1"/>
    <xf numFmtId="41" fontId="12" fillId="0" borderId="0" xfId="0" applyNumberFormat="1" applyFont="1" applyFill="1"/>
    <xf numFmtId="41" fontId="23" fillId="0" borderId="0" xfId="0" applyNumberFormat="1" applyFont="1" applyFill="1"/>
    <xf numFmtId="0" fontId="7" fillId="0" borderId="0" xfId="0" applyFont="1" applyFill="1"/>
    <xf numFmtId="0" fontId="7" fillId="0" borderId="0" xfId="0" applyFont="1" applyFill="1"/>
    <xf numFmtId="0" fontId="7" fillId="0" borderId="0" xfId="0" applyFont="1" applyFill="1"/>
    <xf numFmtId="0" fontId="10"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41" fontId="7" fillId="0" borderId="0" xfId="0" applyNumberFormat="1" applyFont="1" applyAlignment="1">
      <alignment horizontal="center"/>
    </xf>
    <xf numFmtId="0" fontId="7" fillId="0" borderId="0" xfId="0" applyFont="1" applyFill="1"/>
    <xf numFmtId="0" fontId="7" fillId="0" borderId="0" xfId="0" applyFont="1" applyFill="1"/>
    <xf numFmtId="0" fontId="10" fillId="0" borderId="0" xfId="0" applyFont="1" applyFill="1" applyAlignment="1">
      <alignment horizontal="center"/>
    </xf>
    <xf numFmtId="41" fontId="7" fillId="0" borderId="0" xfId="0" quotePrefix="1" applyNumberFormat="1" applyFont="1" applyFill="1" applyBorder="1"/>
    <xf numFmtId="0" fontId="1" fillId="0" borderId="0" xfId="0" applyFont="1"/>
    <xf numFmtId="10" fontId="7" fillId="0" borderId="0" xfId="0" applyNumberFormat="1" applyFont="1" applyFill="1" applyBorder="1"/>
    <xf numFmtId="41" fontId="11" fillId="3" borderId="0" xfId="0" applyNumberFormat="1" applyFont="1" applyFill="1"/>
    <xf numFmtId="0" fontId="31" fillId="0" borderId="0" xfId="0" applyNumberFormat="1" applyFont="1" applyFill="1" applyBorder="1" applyAlignment="1" applyProtection="1"/>
    <xf numFmtId="0" fontId="7" fillId="0" borderId="0" xfId="0" applyFont="1" applyFill="1"/>
    <xf numFmtId="0" fontId="10" fillId="0" borderId="0" xfId="0" applyFont="1" applyFill="1" applyAlignment="1">
      <alignment horizontal="center"/>
    </xf>
    <xf numFmtId="0" fontId="7" fillId="0" borderId="0" xfId="0" applyFont="1" applyFill="1"/>
    <xf numFmtId="3" fontId="29" fillId="0" borderId="0" xfId="0" applyNumberFormat="1" applyFont="1"/>
    <xf numFmtId="3" fontId="1" fillId="0" borderId="0" xfId="0" applyNumberFormat="1" applyFont="1"/>
    <xf numFmtId="41" fontId="7" fillId="3" borderId="0" xfId="0" applyNumberFormat="1" applyFont="1" applyFill="1" applyBorder="1"/>
    <xf numFmtId="8" fontId="1" fillId="0" borderId="0" xfId="7" applyNumberFormat="1" applyFont="1" applyFill="1"/>
    <xf numFmtId="0" fontId="7" fillId="0" borderId="0" xfId="4" applyNumberFormat="1" applyFont="1" applyFill="1" applyBorder="1" applyAlignment="1">
      <alignment horizontal="left"/>
    </xf>
    <xf numFmtId="0" fontId="22" fillId="0" borderId="0" xfId="0" applyFont="1" applyFill="1"/>
    <xf numFmtId="41" fontId="8" fillId="0" borderId="0" xfId="0" applyNumberFormat="1" applyFont="1" applyFill="1" applyBorder="1" applyAlignment="1">
      <alignment horizontal="right"/>
    </xf>
    <xf numFmtId="1" fontId="1" fillId="0" borderId="0" xfId="0" applyNumberFormat="1" applyFont="1" applyFill="1"/>
    <xf numFmtId="0" fontId="1" fillId="0" borderId="0" xfId="0" applyFont="1" applyFill="1"/>
    <xf numFmtId="0" fontId="1" fillId="0" borderId="0" xfId="8" applyFont="1" applyFill="1"/>
    <xf numFmtId="0" fontId="7" fillId="0" borderId="0" xfId="0" applyFont="1" applyFill="1"/>
    <xf numFmtId="0" fontId="9"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10" fillId="0" borderId="0" xfId="0" applyFont="1" applyFill="1" applyAlignment="1">
      <alignment horizontal="center"/>
    </xf>
    <xf numFmtId="0" fontId="6"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8" fillId="0" borderId="0" xfId="0" applyFont="1" applyFill="1" applyAlignment="1">
      <alignment horizontal="center"/>
    </xf>
    <xf numFmtId="0" fontId="10" fillId="0" borderId="0" xfId="0" applyFont="1" applyFill="1" applyAlignment="1">
      <alignment horizontal="center"/>
    </xf>
    <xf numFmtId="41" fontId="1" fillId="0" borderId="0" xfId="0" applyNumberFormat="1" applyFont="1" applyFill="1" applyBorder="1"/>
    <xf numFmtId="0" fontId="7" fillId="0" borderId="0" xfId="0" applyFont="1" applyFill="1" applyBorder="1" applyAlignment="1">
      <alignment wrapText="1"/>
    </xf>
    <xf numFmtId="41" fontId="7" fillId="0" borderId="0" xfId="0" applyNumberFormat="1" applyFont="1" applyFill="1" applyAlignment="1">
      <alignment wrapText="1"/>
    </xf>
    <xf numFmtId="41" fontId="7" fillId="0" borderId="0" xfId="0" applyNumberFormat="1" applyFont="1" applyFill="1" applyAlignment="1">
      <alignment horizontal="left" wrapText="1"/>
    </xf>
  </cellXfs>
  <cellStyles count="12">
    <cellStyle name="Comma 2" xfId="1"/>
    <cellStyle name="Currency" xfId="2" builtinId="4"/>
    <cellStyle name="Hyperlink" xfId="3" builtinId="8"/>
    <cellStyle name="Normal" xfId="0" builtinId="0"/>
    <cellStyle name="Normal 2" xfId="4"/>
    <cellStyle name="Normal 3" xfId="5"/>
    <cellStyle name="Normal_03-fire" xfId="6"/>
    <cellStyle name="Normal_04-police" xfId="7"/>
    <cellStyle name="Normal_08-highway" xfId="8"/>
    <cellStyle name="Normal_budget detail 2006-07" xfId="9"/>
    <cellStyle name="Normal_Highway Parks Solid Waste EquipMaint Budgets"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budget%20detail%20200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bob\LOCALS~1\Temp\Administrator\Local%20Settings\Temporary%20Internet%20Files\Content.IE5\YNCLY5G7\budget%20detail%20200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aul.MERRNET\My%20Documents\budget%202009-10\voted\Approved%20budget%20detail%202009-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gr adj"/>
      <sheetName val="bos adj"/>
      <sheetName val="mun tax rate"/>
      <sheetName val="summary-fund"/>
      <sheetName val="default"/>
      <sheetName val="crf"/>
      <sheetName val="union summary"/>
      <sheetName val="afscme2986"/>
      <sheetName val="ibpo"/>
      <sheetName val="ibpo (2)"/>
      <sheetName val="iaff"/>
      <sheetName val="teamsters"/>
      <sheetName val="afscme 93"/>
      <sheetName val="Sheet1"/>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FUND"/>
      <sheetName val="OBJECT"/>
      <sheetName val="ms-6 approp"/>
      <sheetName val="LINE ITEM"/>
      <sheetName val="summary-dept"/>
      <sheetName val="SUMMARY BY FUND"/>
      <sheetName val="TAX RATE"/>
      <sheetName val="CRF"/>
      <sheetName val="council adjustments"/>
      <sheetName val="MS -6 Rev"/>
      <sheetName val="revenu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80"/>
  <sheetViews>
    <sheetView tabSelected="1" zoomScaleNormal="100" zoomScaleSheetLayoutView="100" workbookViewId="0">
      <selection sqref="A1:J1"/>
    </sheetView>
  </sheetViews>
  <sheetFormatPr defaultColWidth="8.88671875" defaultRowHeight="13.2" x14ac:dyDescent="0.25"/>
  <cols>
    <col min="1" max="1" width="53.6640625" style="2" customWidth="1"/>
    <col min="2" max="2" width="8.6640625" style="2" bestFit="1" customWidth="1"/>
    <col min="3" max="3" width="10.44140625" style="2" customWidth="1"/>
    <col min="4" max="4" width="11.44140625" style="2" customWidth="1"/>
    <col min="5" max="7" width="10.88671875" style="2" customWidth="1"/>
    <col min="8" max="8" width="14" style="2" bestFit="1" customWidth="1"/>
    <col min="9" max="10" width="10.88671875" style="2" customWidth="1"/>
    <col min="11" max="16384" width="8.88671875" style="2"/>
  </cols>
  <sheetData>
    <row r="1" spans="1:10" x14ac:dyDescent="0.25">
      <c r="A1" s="194" t="e">
        <f>#REF!</f>
        <v>#REF!</v>
      </c>
      <c r="B1" s="195"/>
      <c r="C1" s="195"/>
      <c r="D1" s="195"/>
      <c r="E1" s="195"/>
      <c r="F1" s="195"/>
      <c r="G1" s="195"/>
      <c r="H1" s="195"/>
      <c r="I1" s="195"/>
      <c r="J1" s="195"/>
    </row>
    <row r="2" spans="1:10" ht="17.399999999999999" x14ac:dyDescent="0.3">
      <c r="A2" s="155" t="s">
        <v>1948</v>
      </c>
      <c r="B2" s="154"/>
      <c r="C2" s="154"/>
      <c r="D2" s="154"/>
      <c r="E2" s="154"/>
      <c r="F2" s="154"/>
    </row>
    <row r="4" spans="1:10" x14ac:dyDescent="0.25">
      <c r="E4" s="167" t="s">
        <v>232</v>
      </c>
      <c r="F4" s="167" t="s">
        <v>233</v>
      </c>
      <c r="G4" s="167" t="s">
        <v>69</v>
      </c>
      <c r="H4" s="167" t="s">
        <v>399</v>
      </c>
      <c r="I4" s="16" t="s">
        <v>303</v>
      </c>
      <c r="J4" s="16" t="s">
        <v>336</v>
      </c>
    </row>
    <row r="5" spans="1:10" ht="15" x14ac:dyDescent="0.4">
      <c r="E5" s="164" t="s">
        <v>1715</v>
      </c>
      <c r="F5" s="164" t="s">
        <v>1766</v>
      </c>
      <c r="G5" s="164" t="s">
        <v>1985</v>
      </c>
      <c r="H5" s="164" t="s">
        <v>1985</v>
      </c>
      <c r="I5" s="164" t="s">
        <v>1985</v>
      </c>
      <c r="J5" s="164" t="s">
        <v>1985</v>
      </c>
    </row>
    <row r="6" spans="1:10" ht="13.8" x14ac:dyDescent="0.3">
      <c r="A6" s="53" t="s">
        <v>1179</v>
      </c>
      <c r="E6" s="2">
        <v>28351</v>
      </c>
      <c r="F6" s="2">
        <v>28500</v>
      </c>
      <c r="G6" s="2">
        <v>27200</v>
      </c>
      <c r="H6" s="2">
        <v>27200</v>
      </c>
    </row>
    <row r="7" spans="1:10" x14ac:dyDescent="0.25">
      <c r="A7" s="2" t="s">
        <v>475</v>
      </c>
      <c r="B7" s="2">
        <v>7</v>
      </c>
      <c r="C7" s="2">
        <v>3600</v>
      </c>
      <c r="D7" s="2">
        <f>ROUND(B7*C7,0)</f>
        <v>25200</v>
      </c>
    </row>
    <row r="8" spans="1:10" x14ac:dyDescent="0.25">
      <c r="A8" s="2" t="s">
        <v>1180</v>
      </c>
      <c r="B8" s="2">
        <v>0</v>
      </c>
      <c r="C8" s="2">
        <v>1300</v>
      </c>
      <c r="D8" s="2">
        <f>ROUND(B8*C8,0)</f>
        <v>0</v>
      </c>
    </row>
    <row r="9" spans="1:10" ht="15" x14ac:dyDescent="0.4">
      <c r="A9" s="2" t="s">
        <v>1181</v>
      </c>
      <c r="B9" s="2">
        <v>1</v>
      </c>
      <c r="C9" s="2">
        <v>2000</v>
      </c>
      <c r="D9" s="11">
        <f>ROUND(B9*C9,0)</f>
        <v>2000</v>
      </c>
    </row>
    <row r="10" spans="1:10" x14ac:dyDescent="0.25">
      <c r="A10" s="2" t="s">
        <v>1182</v>
      </c>
      <c r="D10" s="2">
        <f>SUM(D7:D9)</f>
        <v>27200</v>
      </c>
    </row>
    <row r="12" spans="1:10" ht="13.8" x14ac:dyDescent="0.3">
      <c r="A12" s="53" t="s">
        <v>398</v>
      </c>
      <c r="E12" s="2">
        <v>400604</v>
      </c>
      <c r="F12" s="2">
        <v>402564</v>
      </c>
      <c r="G12" s="2">
        <v>404192</v>
      </c>
      <c r="H12" s="2">
        <v>404192</v>
      </c>
    </row>
    <row r="13" spans="1:10" x14ac:dyDescent="0.25">
      <c r="A13" s="2" t="s">
        <v>399</v>
      </c>
      <c r="B13" s="2">
        <v>52</v>
      </c>
      <c r="C13" s="2">
        <v>2675</v>
      </c>
      <c r="D13" s="2">
        <f>ROUND(B13*C13,0)</f>
        <v>139100</v>
      </c>
    </row>
    <row r="14" spans="1:10" x14ac:dyDescent="0.25">
      <c r="A14" s="2" t="s">
        <v>1700</v>
      </c>
      <c r="B14" s="2">
        <v>52</v>
      </c>
      <c r="C14" s="2">
        <v>2091</v>
      </c>
      <c r="D14" s="2">
        <f>ROUND(B14*C14,0)</f>
        <v>108732</v>
      </c>
    </row>
    <row r="15" spans="1:10" x14ac:dyDescent="0.25">
      <c r="A15" s="2" t="s">
        <v>1475</v>
      </c>
      <c r="B15" s="2">
        <v>52</v>
      </c>
      <c r="C15" s="2">
        <v>1504</v>
      </c>
      <c r="D15" s="2">
        <f>ROUND(B15*C15,0)</f>
        <v>78208</v>
      </c>
    </row>
    <row r="16" spans="1:10" x14ac:dyDescent="0.25">
      <c r="A16" s="2" t="s">
        <v>277</v>
      </c>
      <c r="B16" s="2">
        <v>52</v>
      </c>
      <c r="C16" s="2">
        <v>1401</v>
      </c>
      <c r="D16" s="2">
        <f>ROUND(B16*C16,0)</f>
        <v>72852</v>
      </c>
    </row>
    <row r="17" spans="1:8" ht="15" x14ac:dyDescent="0.4">
      <c r="A17" s="2" t="s">
        <v>912</v>
      </c>
      <c r="D17" s="11">
        <v>5300</v>
      </c>
    </row>
    <row r="18" spans="1:8" x14ac:dyDescent="0.25">
      <c r="D18" s="2">
        <f>SUM(D13:D17)</f>
        <v>404192</v>
      </c>
    </row>
    <row r="20" spans="1:8" ht="13.8" x14ac:dyDescent="0.3">
      <c r="A20" s="53" t="s">
        <v>326</v>
      </c>
      <c r="E20" s="2">
        <v>284721</v>
      </c>
      <c r="F20" s="2">
        <v>343512</v>
      </c>
      <c r="G20" s="2">
        <v>343512</v>
      </c>
      <c r="H20" s="2">
        <v>343512</v>
      </c>
    </row>
    <row r="21" spans="1:8" x14ac:dyDescent="0.25">
      <c r="A21" s="2" t="s">
        <v>690</v>
      </c>
      <c r="B21" s="2">
        <v>52</v>
      </c>
      <c r="C21" s="2">
        <v>832</v>
      </c>
      <c r="D21" s="2">
        <f t="shared" ref="D21:D27" si="0">ROUND(B21*C21,0)</f>
        <v>43264</v>
      </c>
    </row>
    <row r="22" spans="1:8" x14ac:dyDescent="0.25">
      <c r="A22" s="2" t="s">
        <v>1032</v>
      </c>
      <c r="B22" s="2">
        <v>52</v>
      </c>
      <c r="C22" s="2">
        <v>713</v>
      </c>
      <c r="D22" s="2">
        <f t="shared" si="0"/>
        <v>37076</v>
      </c>
    </row>
    <row r="23" spans="1:8" x14ac:dyDescent="0.25">
      <c r="A23" s="2" t="s">
        <v>179</v>
      </c>
      <c r="B23" s="2">
        <v>52</v>
      </c>
      <c r="C23" s="2">
        <v>1010</v>
      </c>
      <c r="D23" s="2">
        <f t="shared" si="0"/>
        <v>52520</v>
      </c>
    </row>
    <row r="24" spans="1:8" x14ac:dyDescent="0.25">
      <c r="A24" s="2" t="s">
        <v>434</v>
      </c>
      <c r="B24" s="2">
        <v>52</v>
      </c>
      <c r="C24" s="2">
        <v>845</v>
      </c>
      <c r="D24" s="2">
        <f t="shared" si="0"/>
        <v>43940</v>
      </c>
    </row>
    <row r="25" spans="1:8" x14ac:dyDescent="0.25">
      <c r="A25" s="2" t="s">
        <v>434</v>
      </c>
      <c r="B25" s="2">
        <v>52</v>
      </c>
      <c r="C25" s="2">
        <v>916</v>
      </c>
      <c r="D25" s="2">
        <f t="shared" si="0"/>
        <v>47632</v>
      </c>
    </row>
    <row r="26" spans="1:8" x14ac:dyDescent="0.25">
      <c r="A26" s="2" t="s">
        <v>1933</v>
      </c>
      <c r="B26" s="2">
        <v>52</v>
      </c>
      <c r="C26" s="2">
        <v>1290</v>
      </c>
      <c r="D26" s="2">
        <f t="shared" si="0"/>
        <v>67080</v>
      </c>
    </row>
    <row r="27" spans="1:8" x14ac:dyDescent="0.25">
      <c r="A27" s="2" t="s">
        <v>1854</v>
      </c>
      <c r="B27" s="2">
        <v>52</v>
      </c>
      <c r="C27" s="2">
        <v>929</v>
      </c>
      <c r="D27" s="2">
        <f t="shared" si="0"/>
        <v>48308</v>
      </c>
    </row>
    <row r="28" spans="1:8" ht="15" x14ac:dyDescent="0.4">
      <c r="A28" s="2" t="s">
        <v>912</v>
      </c>
      <c r="B28" s="2" t="s">
        <v>386</v>
      </c>
      <c r="C28" s="2" t="s">
        <v>386</v>
      </c>
      <c r="D28" s="39">
        <v>3692</v>
      </c>
    </row>
    <row r="29" spans="1:8" x14ac:dyDescent="0.25">
      <c r="A29" s="2" t="s">
        <v>1182</v>
      </c>
      <c r="D29" s="2">
        <f>SUM(D21:D28)</f>
        <v>343512</v>
      </c>
    </row>
    <row r="31" spans="1:8" ht="13.8" x14ac:dyDescent="0.3">
      <c r="A31" s="53" t="s">
        <v>387</v>
      </c>
      <c r="E31" s="2">
        <v>33150</v>
      </c>
      <c r="F31" s="2">
        <v>8184</v>
      </c>
      <c r="G31" s="2">
        <v>8184</v>
      </c>
      <c r="H31" s="2">
        <v>8184</v>
      </c>
    </row>
    <row r="32" spans="1:8" x14ac:dyDescent="0.25">
      <c r="A32" s="2" t="s">
        <v>1395</v>
      </c>
      <c r="B32" s="2">
        <v>530</v>
      </c>
      <c r="C32" s="12">
        <v>8.5500000000000007</v>
      </c>
      <c r="D32" s="2">
        <f>ROUND(B32*C32,0)</f>
        <v>4532</v>
      </c>
    </row>
    <row r="33" spans="1:8" ht="15" x14ac:dyDescent="0.4">
      <c r="A33" s="2" t="s">
        <v>1476</v>
      </c>
      <c r="B33" s="2">
        <v>225</v>
      </c>
      <c r="C33" s="12">
        <v>16.23</v>
      </c>
      <c r="D33" s="11">
        <f>ROUND(B33*C33,0)</f>
        <v>3652</v>
      </c>
    </row>
    <row r="34" spans="1:8" x14ac:dyDescent="0.25">
      <c r="C34" s="12"/>
      <c r="D34" s="2">
        <f>SUM(D32:D33)</f>
        <v>8184</v>
      </c>
    </row>
    <row r="35" spans="1:8" x14ac:dyDescent="0.25">
      <c r="C35" s="12"/>
    </row>
    <row r="36" spans="1:8" ht="13.8" x14ac:dyDescent="0.3">
      <c r="A36" s="53" t="s">
        <v>756</v>
      </c>
      <c r="C36" s="12"/>
      <c r="E36" s="2">
        <v>6299</v>
      </c>
      <c r="F36" s="2">
        <v>6760</v>
      </c>
      <c r="G36" s="2">
        <v>6830</v>
      </c>
      <c r="H36" s="2">
        <v>6830</v>
      </c>
    </row>
    <row r="37" spans="1:8" x14ac:dyDescent="0.25">
      <c r="A37" s="51" t="s">
        <v>757</v>
      </c>
      <c r="B37" s="2">
        <v>193</v>
      </c>
      <c r="C37" s="12">
        <f>+D29/2080/7*1.5</f>
        <v>35.38928571428572</v>
      </c>
      <c r="D37" s="2">
        <f>+C37*B37</f>
        <v>6830.1321428571437</v>
      </c>
    </row>
    <row r="38" spans="1:8" x14ac:dyDescent="0.25">
      <c r="A38" s="2" t="s">
        <v>386</v>
      </c>
      <c r="B38" s="2" t="s">
        <v>386</v>
      </c>
      <c r="C38" s="2" t="s">
        <v>386</v>
      </c>
      <c r="D38" s="2" t="s">
        <v>386</v>
      </c>
    </row>
    <row r="39" spans="1:8" ht="13.8" x14ac:dyDescent="0.3">
      <c r="A39" s="53" t="s">
        <v>180</v>
      </c>
      <c r="E39" s="2">
        <v>43373</v>
      </c>
      <c r="F39" s="2">
        <v>57350</v>
      </c>
      <c r="G39" s="2">
        <v>58080</v>
      </c>
      <c r="H39" s="2">
        <v>58080</v>
      </c>
    </row>
    <row r="40" spans="1:8" hidden="1" x14ac:dyDescent="0.25">
      <c r="A40" s="51" t="s">
        <v>181</v>
      </c>
      <c r="B40" s="2">
        <f>+D10</f>
        <v>27200</v>
      </c>
      <c r="C40" s="14">
        <v>1.4500000000000001E-2</v>
      </c>
      <c r="D40" s="2">
        <f>ROUND(B40*C40,0)</f>
        <v>394</v>
      </c>
    </row>
    <row r="41" spans="1:8" hidden="1" x14ac:dyDescent="0.25">
      <c r="A41" s="51" t="s">
        <v>182</v>
      </c>
      <c r="B41" s="2">
        <v>128400</v>
      </c>
      <c r="C41" s="14">
        <v>7.6499999999999999E-2</v>
      </c>
      <c r="D41" s="2">
        <f t="shared" ref="D41:D46" si="1">ROUND(B41*C41,0)</f>
        <v>9823</v>
      </c>
    </row>
    <row r="42" spans="1:8" hidden="1" x14ac:dyDescent="0.25">
      <c r="A42" s="2" t="s">
        <v>182</v>
      </c>
      <c r="B42" s="2">
        <f>IF((D13)&gt;127500,+D13+-127500,D13)</f>
        <v>11600</v>
      </c>
      <c r="C42" s="14">
        <v>1.4500000000000001E-2</v>
      </c>
      <c r="D42" s="2">
        <f t="shared" si="1"/>
        <v>168</v>
      </c>
    </row>
    <row r="43" spans="1:8" hidden="1" x14ac:dyDescent="0.25">
      <c r="A43" s="51" t="s">
        <v>1333</v>
      </c>
      <c r="B43" s="2">
        <f>SUM(D14:D17)-160</f>
        <v>264932</v>
      </c>
      <c r="C43" s="14">
        <v>7.6499999999999999E-2</v>
      </c>
      <c r="D43" s="2">
        <f t="shared" si="1"/>
        <v>20267</v>
      </c>
    </row>
    <row r="44" spans="1:8" hidden="1" x14ac:dyDescent="0.25">
      <c r="A44" s="51" t="s">
        <v>757</v>
      </c>
      <c r="B44" s="2">
        <f>+D29</f>
        <v>343512</v>
      </c>
      <c r="C44" s="14">
        <v>7.6499999999999999E-2</v>
      </c>
      <c r="D44" s="2">
        <f t="shared" si="1"/>
        <v>26279</v>
      </c>
    </row>
    <row r="45" spans="1:8" hidden="1" x14ac:dyDescent="0.25">
      <c r="A45" s="51" t="s">
        <v>183</v>
      </c>
      <c r="B45" s="2">
        <f>+D34</f>
        <v>8184</v>
      </c>
      <c r="C45" s="14">
        <v>7.6499999999999999E-2</v>
      </c>
      <c r="D45" s="2">
        <f t="shared" si="1"/>
        <v>626</v>
      </c>
    </row>
    <row r="46" spans="1:8" ht="15" hidden="1" x14ac:dyDescent="0.4">
      <c r="A46" s="51" t="s">
        <v>184</v>
      </c>
      <c r="B46" s="2">
        <f>+D37</f>
        <v>6830.1321428571437</v>
      </c>
      <c r="C46" s="14">
        <v>7.6499999999999999E-2</v>
      </c>
      <c r="D46" s="11">
        <f t="shared" si="1"/>
        <v>523</v>
      </c>
    </row>
    <row r="47" spans="1:8" hidden="1" x14ac:dyDescent="0.25">
      <c r="A47" s="2" t="s">
        <v>1182</v>
      </c>
      <c r="C47" s="14"/>
      <c r="D47" s="2">
        <f>SUM(D40:D46)</f>
        <v>58080</v>
      </c>
    </row>
    <row r="48" spans="1:8" x14ac:dyDescent="0.25">
      <c r="C48" s="14"/>
    </row>
    <row r="49" spans="1:8" ht="13.8" x14ac:dyDescent="0.3">
      <c r="A49" s="53" t="s">
        <v>1984</v>
      </c>
      <c r="C49" s="14"/>
      <c r="E49" s="2">
        <v>84521</v>
      </c>
      <c r="F49" s="2">
        <v>91478</v>
      </c>
      <c r="G49" s="2">
        <v>85866</v>
      </c>
      <c r="H49" s="2">
        <v>85866</v>
      </c>
    </row>
    <row r="50" spans="1:8" hidden="1" x14ac:dyDescent="0.25">
      <c r="A50" s="51" t="s">
        <v>1191</v>
      </c>
      <c r="B50" s="2">
        <f>+D10</f>
        <v>27200</v>
      </c>
      <c r="C50" s="14">
        <v>0</v>
      </c>
      <c r="D50" s="2">
        <f>+C50*B50</f>
        <v>0</v>
      </c>
    </row>
    <row r="51" spans="1:8" hidden="1" x14ac:dyDescent="0.25">
      <c r="A51" s="51" t="s">
        <v>182</v>
      </c>
      <c r="B51" s="2">
        <f>+D13</f>
        <v>139100</v>
      </c>
      <c r="C51" s="14">
        <v>0.1138</v>
      </c>
      <c r="D51" s="2">
        <f>+C51*B51</f>
        <v>15829.58</v>
      </c>
    </row>
    <row r="52" spans="1:8" hidden="1" x14ac:dyDescent="0.25">
      <c r="A52" s="51" t="s">
        <v>1192</v>
      </c>
      <c r="B52" s="2">
        <f>+D18-B51</f>
        <v>265092</v>
      </c>
      <c r="C52" s="14">
        <v>0.1138</v>
      </c>
      <c r="D52" s="2">
        <f>ROUND(B52*C52,0)</f>
        <v>30167</v>
      </c>
    </row>
    <row r="53" spans="1:8" hidden="1" x14ac:dyDescent="0.25">
      <c r="A53" s="2" t="s">
        <v>1044</v>
      </c>
      <c r="B53" s="2">
        <f>+D26</f>
        <v>67080</v>
      </c>
      <c r="C53" s="14">
        <v>0.1138</v>
      </c>
      <c r="D53" s="2">
        <f>ROUND(B53*C53,0)</f>
        <v>7634</v>
      </c>
    </row>
    <row r="54" spans="1:8" hidden="1" x14ac:dyDescent="0.25">
      <c r="A54" s="2" t="s">
        <v>1193</v>
      </c>
      <c r="B54" s="2">
        <f>+D29-D26</f>
        <v>276432</v>
      </c>
      <c r="C54" s="14">
        <v>0.1138</v>
      </c>
      <c r="D54" s="2">
        <f>ROUND(B54*C54,0)</f>
        <v>31458</v>
      </c>
    </row>
    <row r="55" spans="1:8" ht="15" hidden="1" x14ac:dyDescent="0.4">
      <c r="A55" s="51" t="s">
        <v>1334</v>
      </c>
      <c r="B55" s="2">
        <f>+D37</f>
        <v>6830.1321428571437</v>
      </c>
      <c r="C55" s="14">
        <v>0.1138</v>
      </c>
      <c r="D55" s="11">
        <f>ROUND(B55*C55,0)</f>
        <v>777</v>
      </c>
    </row>
    <row r="56" spans="1:8" hidden="1" x14ac:dyDescent="0.25">
      <c r="A56" s="2" t="s">
        <v>1182</v>
      </c>
      <c r="D56" s="2">
        <f>SUM(D50:D55)</f>
        <v>85865.58</v>
      </c>
    </row>
    <row r="58" spans="1:8" ht="13.8" x14ac:dyDescent="0.3">
      <c r="A58" s="53" t="s">
        <v>882</v>
      </c>
      <c r="E58" s="2">
        <v>162098</v>
      </c>
      <c r="F58" s="2">
        <v>189750</v>
      </c>
      <c r="G58" s="2">
        <v>201300</v>
      </c>
      <c r="H58" s="2">
        <v>201300</v>
      </c>
    </row>
    <row r="59" spans="1:8" x14ac:dyDescent="0.25">
      <c r="A59" s="2" t="s">
        <v>406</v>
      </c>
      <c r="B59" s="2">
        <v>11</v>
      </c>
      <c r="C59" s="2">
        <v>18300</v>
      </c>
      <c r="D59" s="2">
        <f>ROUND(B59*C59,0)</f>
        <v>201300</v>
      </c>
    </row>
    <row r="61" spans="1:8" ht="13.8" x14ac:dyDescent="0.3">
      <c r="A61" s="53" t="s">
        <v>883</v>
      </c>
      <c r="E61" s="2">
        <v>11868</v>
      </c>
      <c r="F61" s="2">
        <v>12870</v>
      </c>
      <c r="G61" s="2">
        <v>12870</v>
      </c>
      <c r="H61" s="2">
        <v>12870</v>
      </c>
    </row>
    <row r="62" spans="1:8" x14ac:dyDescent="0.25">
      <c r="A62" s="2" t="s">
        <v>406</v>
      </c>
      <c r="B62" s="2">
        <v>11</v>
      </c>
      <c r="C62" s="2">
        <v>1300</v>
      </c>
      <c r="D62" s="2">
        <f>ROUND(B62*C62,0)</f>
        <v>14300</v>
      </c>
    </row>
    <row r="63" spans="1:8" ht="15" x14ac:dyDescent="0.4">
      <c r="A63" s="2" t="s">
        <v>226</v>
      </c>
      <c r="D63" s="11">
        <f>-C62*0.1*B62</f>
        <v>-1430</v>
      </c>
    </row>
    <row r="64" spans="1:8" x14ac:dyDescent="0.25">
      <c r="A64" s="7" t="s">
        <v>751</v>
      </c>
      <c r="D64" s="2">
        <f>SUM(D62:D63)</f>
        <v>12870</v>
      </c>
    </row>
    <row r="66" spans="1:8" ht="13.8" x14ac:dyDescent="0.3">
      <c r="A66" s="53" t="s">
        <v>884</v>
      </c>
      <c r="E66" s="2">
        <v>1509</v>
      </c>
      <c r="F66" s="2">
        <v>1485</v>
      </c>
      <c r="G66" s="2">
        <v>1485</v>
      </c>
      <c r="H66" s="2">
        <v>1485</v>
      </c>
    </row>
    <row r="67" spans="1:8" hidden="1" x14ac:dyDescent="0.25">
      <c r="A67" s="2" t="s">
        <v>1190</v>
      </c>
      <c r="B67" s="2">
        <v>11</v>
      </c>
      <c r="C67" s="2">
        <v>135</v>
      </c>
      <c r="D67" s="2">
        <f>ROUND(B67*C67,0)</f>
        <v>1485</v>
      </c>
    </row>
    <row r="69" spans="1:8" ht="13.8" x14ac:dyDescent="0.3">
      <c r="A69" s="53" t="s">
        <v>885</v>
      </c>
      <c r="E69" s="2">
        <v>3944</v>
      </c>
      <c r="F69" s="2">
        <v>4510</v>
      </c>
      <c r="G69" s="2">
        <v>6930</v>
      </c>
      <c r="H69" s="2">
        <v>6930</v>
      </c>
    </row>
    <row r="70" spans="1:8" hidden="1" x14ac:dyDescent="0.25">
      <c r="A70" s="2" t="s">
        <v>776</v>
      </c>
      <c r="B70" s="2">
        <v>11</v>
      </c>
      <c r="C70" s="2">
        <v>630</v>
      </c>
      <c r="D70" s="2">
        <f>ROUND(B70*C70,0)</f>
        <v>6930</v>
      </c>
    </row>
    <row r="72" spans="1:8" ht="13.8" x14ac:dyDescent="0.3">
      <c r="A72" s="53" t="s">
        <v>1412</v>
      </c>
      <c r="E72" s="2">
        <v>1199</v>
      </c>
      <c r="F72" s="2">
        <v>1347</v>
      </c>
      <c r="G72" s="2">
        <v>1274</v>
      </c>
      <c r="H72" s="2">
        <v>1274</v>
      </c>
    </row>
    <row r="73" spans="1:8" hidden="1" x14ac:dyDescent="0.25">
      <c r="A73" s="51" t="s">
        <v>181</v>
      </c>
      <c r="B73" s="2">
        <f>+D10</f>
        <v>27200</v>
      </c>
      <c r="C73" s="14">
        <v>1.6000000000000001E-3</v>
      </c>
      <c r="D73" s="2">
        <f>ROUND(B73*C73,0)</f>
        <v>44</v>
      </c>
    </row>
    <row r="74" spans="1:8" hidden="1" x14ac:dyDescent="0.25">
      <c r="A74" s="51" t="s">
        <v>1406</v>
      </c>
      <c r="B74" s="2">
        <f>+D18</f>
        <v>404192</v>
      </c>
      <c r="C74" s="14">
        <v>1.6000000000000001E-3</v>
      </c>
      <c r="D74" s="2">
        <f>ROUND(B74*C74,0)+9</f>
        <v>656</v>
      </c>
    </row>
    <row r="75" spans="1:8" hidden="1" x14ac:dyDescent="0.25">
      <c r="A75" s="51" t="s">
        <v>757</v>
      </c>
      <c r="B75" s="2">
        <f>+D29</f>
        <v>343512</v>
      </c>
      <c r="C75" s="14">
        <v>1.6000000000000001E-3</v>
      </c>
      <c r="D75" s="2">
        <f>ROUND(B75*C75,0)</f>
        <v>550</v>
      </c>
    </row>
    <row r="76" spans="1:8" hidden="1" x14ac:dyDescent="0.25">
      <c r="A76" s="51" t="s">
        <v>183</v>
      </c>
      <c r="B76" s="2">
        <f>+D34</f>
        <v>8184</v>
      </c>
      <c r="C76" s="14">
        <v>1.6000000000000001E-3</v>
      </c>
      <c r="D76" s="2">
        <f>ROUND(B76*C76,0)</f>
        <v>13</v>
      </c>
    </row>
    <row r="77" spans="1:8" ht="15" hidden="1" x14ac:dyDescent="0.4">
      <c r="A77" s="51" t="s">
        <v>184</v>
      </c>
      <c r="B77" s="2">
        <f>+D37</f>
        <v>6830.1321428571437</v>
      </c>
      <c r="C77" s="14">
        <v>1.6000000000000001E-3</v>
      </c>
      <c r="D77" s="11">
        <f>ROUND(B77*C77,0)</f>
        <v>11</v>
      </c>
    </row>
    <row r="78" spans="1:8" hidden="1" x14ac:dyDescent="0.25">
      <c r="A78" s="2" t="s">
        <v>1182</v>
      </c>
      <c r="D78" s="2">
        <f>SUM(D73:D77)</f>
        <v>1274</v>
      </c>
    </row>
    <row r="80" spans="1:8" ht="13.8" x14ac:dyDescent="0.3">
      <c r="A80" s="53" t="s">
        <v>327</v>
      </c>
      <c r="E80" s="2">
        <v>394</v>
      </c>
      <c r="F80" s="2">
        <v>405</v>
      </c>
      <c r="G80" s="2">
        <v>301</v>
      </c>
      <c r="H80" s="2">
        <v>301</v>
      </c>
    </row>
    <row r="81" spans="1:8" hidden="1" x14ac:dyDescent="0.25">
      <c r="A81" s="51" t="s">
        <v>181</v>
      </c>
      <c r="B81" s="2">
        <f>+D10</f>
        <v>27200</v>
      </c>
      <c r="C81" s="2">
        <v>0</v>
      </c>
      <c r="D81" s="2">
        <f>ROUND(B81*C81,0)</f>
        <v>0</v>
      </c>
    </row>
    <row r="82" spans="1:8" hidden="1" x14ac:dyDescent="0.25">
      <c r="A82" s="51" t="s">
        <v>1406</v>
      </c>
      <c r="B82" s="2">
        <v>4</v>
      </c>
      <c r="C82" s="2">
        <v>26</v>
      </c>
      <c r="D82" s="2">
        <f>ROUND(B82*C82,0)</f>
        <v>104</v>
      </c>
    </row>
    <row r="83" spans="1:8" hidden="1" x14ac:dyDescent="0.25">
      <c r="A83" s="51" t="s">
        <v>757</v>
      </c>
      <c r="B83" s="2">
        <v>7</v>
      </c>
      <c r="C83" s="2">
        <v>26</v>
      </c>
      <c r="D83" s="2">
        <f>ROUND(B83*C83,0)</f>
        <v>182</v>
      </c>
    </row>
    <row r="84" spans="1:8" hidden="1" x14ac:dyDescent="0.25">
      <c r="A84" s="51" t="s">
        <v>1479</v>
      </c>
      <c r="B84" s="2">
        <v>0</v>
      </c>
      <c r="C84" s="2">
        <v>26</v>
      </c>
      <c r="D84" s="2">
        <f>ROUND(B84*C84,0)</f>
        <v>0</v>
      </c>
    </row>
    <row r="85" spans="1:8" ht="15" hidden="1" x14ac:dyDescent="0.4">
      <c r="A85" s="51" t="s">
        <v>183</v>
      </c>
      <c r="B85" s="2">
        <f>+B76</f>
        <v>8184</v>
      </c>
      <c r="C85" s="14">
        <v>1.8E-3</v>
      </c>
      <c r="D85" s="11">
        <f>ROUND(B85*C85,0)</f>
        <v>15</v>
      </c>
    </row>
    <row r="86" spans="1:8" hidden="1" x14ac:dyDescent="0.25">
      <c r="A86" s="2" t="s">
        <v>1182</v>
      </c>
      <c r="D86" s="2">
        <f>SUM(D81:D85)</f>
        <v>301</v>
      </c>
    </row>
    <row r="87" spans="1:8" ht="13.8" x14ac:dyDescent="0.3">
      <c r="A87" s="157"/>
    </row>
    <row r="88" spans="1:8" ht="13.8" x14ac:dyDescent="0.3">
      <c r="A88" s="53" t="s">
        <v>249</v>
      </c>
      <c r="B88" s="2" t="s">
        <v>386</v>
      </c>
      <c r="E88" s="2">
        <v>96832</v>
      </c>
      <c r="F88" s="2">
        <v>171408</v>
      </c>
      <c r="G88" s="2">
        <v>227560</v>
      </c>
      <c r="H88" s="2">
        <v>227560</v>
      </c>
    </row>
    <row r="89" spans="1:8" x14ac:dyDescent="0.25">
      <c r="A89" s="2" t="s">
        <v>290</v>
      </c>
    </row>
    <row r="90" spans="1:8" x14ac:dyDescent="0.25">
      <c r="A90" s="2" t="s">
        <v>2011</v>
      </c>
      <c r="D90" s="2">
        <v>48513</v>
      </c>
    </row>
    <row r="91" spans="1:8" x14ac:dyDescent="0.25">
      <c r="A91" s="2" t="s">
        <v>2010</v>
      </c>
      <c r="D91" s="2">
        <v>126427</v>
      </c>
    </row>
    <row r="92" spans="1:8" ht="15" x14ac:dyDescent="0.4">
      <c r="A92" s="2" t="s">
        <v>1803</v>
      </c>
      <c r="D92" s="11">
        <v>52620</v>
      </c>
    </row>
    <row r="93" spans="1:8" x14ac:dyDescent="0.25">
      <c r="A93" s="2" t="s">
        <v>251</v>
      </c>
      <c r="D93" s="2">
        <f>SUM(D90:D92)</f>
        <v>227560</v>
      </c>
    </row>
    <row r="95" spans="1:8" ht="13.8" x14ac:dyDescent="0.3">
      <c r="A95" s="53" t="s">
        <v>431</v>
      </c>
      <c r="E95" s="2">
        <v>0</v>
      </c>
      <c r="F95" s="2">
        <v>5000</v>
      </c>
      <c r="G95" s="2">
        <v>5000</v>
      </c>
      <c r="H95" s="2">
        <v>5000</v>
      </c>
    </row>
    <row r="96" spans="1:8" x14ac:dyDescent="0.25">
      <c r="A96" s="52" t="s">
        <v>178</v>
      </c>
      <c r="D96" s="2">
        <v>5000</v>
      </c>
    </row>
    <row r="97" spans="1:8" x14ac:dyDescent="0.25">
      <c r="A97" s="52" t="s">
        <v>1977</v>
      </c>
      <c r="D97" s="2">
        <v>0</v>
      </c>
    </row>
    <row r="98" spans="1:8" x14ac:dyDescent="0.25">
      <c r="A98" s="29"/>
    </row>
    <row r="99" spans="1:8" ht="13.8" x14ac:dyDescent="0.3">
      <c r="A99" s="53" t="s">
        <v>252</v>
      </c>
      <c r="E99" s="2">
        <v>10987</v>
      </c>
      <c r="F99" s="2">
        <v>7500</v>
      </c>
      <c r="G99" s="2">
        <v>11000</v>
      </c>
      <c r="H99" s="2">
        <v>11000</v>
      </c>
    </row>
    <row r="100" spans="1:8" x14ac:dyDescent="0.25">
      <c r="A100" s="2" t="s">
        <v>291</v>
      </c>
      <c r="B100" s="2">
        <v>8500</v>
      </c>
      <c r="C100" s="2">
        <v>8000</v>
      </c>
      <c r="D100" s="2">
        <v>11000</v>
      </c>
    </row>
    <row r="101" spans="1:8" x14ac:dyDescent="0.25">
      <c r="A101" s="2" t="s">
        <v>386</v>
      </c>
      <c r="C101" s="2" t="s">
        <v>386</v>
      </c>
      <c r="D101" s="2" t="s">
        <v>386</v>
      </c>
    </row>
    <row r="102" spans="1:8" ht="15" x14ac:dyDescent="0.4">
      <c r="A102" s="53" t="s">
        <v>1418</v>
      </c>
      <c r="B102" s="166" t="s">
        <v>1715</v>
      </c>
      <c r="C102" s="166" t="s">
        <v>1766</v>
      </c>
      <c r="D102" s="80" t="s">
        <v>1985</v>
      </c>
      <c r="E102" s="2">
        <v>11335</v>
      </c>
      <c r="F102" s="2">
        <v>10500</v>
      </c>
      <c r="G102" s="2">
        <v>11500</v>
      </c>
      <c r="H102" s="2">
        <v>11500</v>
      </c>
    </row>
    <row r="103" spans="1:8" x14ac:dyDescent="0.25">
      <c r="A103" s="2" t="s">
        <v>1419</v>
      </c>
      <c r="B103" s="2">
        <v>4500</v>
      </c>
      <c r="C103" s="2">
        <v>4500</v>
      </c>
      <c r="D103" s="2">
        <v>4500</v>
      </c>
    </row>
    <row r="104" spans="1:8" x14ac:dyDescent="0.25">
      <c r="A104" s="2" t="s">
        <v>580</v>
      </c>
      <c r="B104" s="2">
        <v>5000</v>
      </c>
      <c r="C104" s="2">
        <v>4000</v>
      </c>
      <c r="D104" s="2">
        <v>5000</v>
      </c>
    </row>
    <row r="105" spans="1:8" x14ac:dyDescent="0.25">
      <c r="A105" s="2" t="s">
        <v>1565</v>
      </c>
      <c r="B105" s="2">
        <v>500</v>
      </c>
      <c r="C105" s="2">
        <v>500</v>
      </c>
      <c r="D105" s="2">
        <v>500</v>
      </c>
    </row>
    <row r="106" spans="1:8" x14ac:dyDescent="0.25">
      <c r="A106" s="2" t="s">
        <v>306</v>
      </c>
      <c r="B106" s="2">
        <v>700</v>
      </c>
      <c r="C106" s="2">
        <v>700</v>
      </c>
      <c r="D106" s="2">
        <v>700</v>
      </c>
    </row>
    <row r="107" spans="1:8" ht="15" x14ac:dyDescent="0.4">
      <c r="A107" s="2" t="s">
        <v>307</v>
      </c>
      <c r="B107" s="11">
        <v>800</v>
      </c>
      <c r="C107" s="11">
        <v>800</v>
      </c>
      <c r="D107" s="11">
        <v>800</v>
      </c>
    </row>
    <row r="108" spans="1:8" x14ac:dyDescent="0.25">
      <c r="A108" s="2" t="s">
        <v>1182</v>
      </c>
      <c r="B108" s="2">
        <f>SUM(B103:B107)</f>
        <v>11500</v>
      </c>
      <c r="C108" s="2">
        <f>SUM(C103:C107)</f>
        <v>10500</v>
      </c>
      <c r="D108" s="2">
        <f>SUM(D103:D107)</f>
        <v>11500</v>
      </c>
    </row>
    <row r="110" spans="1:8" ht="15" x14ac:dyDescent="0.4">
      <c r="A110" s="53" t="s">
        <v>308</v>
      </c>
      <c r="B110" s="166" t="s">
        <v>1715</v>
      </c>
      <c r="C110" s="166" t="s">
        <v>1766</v>
      </c>
      <c r="D110" s="166" t="s">
        <v>1985</v>
      </c>
      <c r="E110" s="2">
        <v>5331</v>
      </c>
      <c r="F110" s="2">
        <v>6280</v>
      </c>
      <c r="G110" s="2">
        <v>6490</v>
      </c>
      <c r="H110" s="2">
        <v>6490</v>
      </c>
    </row>
    <row r="111" spans="1:8" x14ac:dyDescent="0.25">
      <c r="A111" s="2" t="s">
        <v>309</v>
      </c>
      <c r="B111" s="2">
        <v>5000</v>
      </c>
      <c r="C111" s="2">
        <v>5500</v>
      </c>
      <c r="D111" s="2">
        <v>5710</v>
      </c>
    </row>
    <row r="112" spans="1:8" ht="15" x14ac:dyDescent="0.4">
      <c r="A112" s="2" t="s">
        <v>310</v>
      </c>
      <c r="B112" s="11">
        <v>780</v>
      </c>
      <c r="C112" s="11">
        <v>780</v>
      </c>
      <c r="D112" s="11">
        <v>780</v>
      </c>
    </row>
    <row r="113" spans="1:8" x14ac:dyDescent="0.25">
      <c r="A113" s="2" t="s">
        <v>1182</v>
      </c>
      <c r="B113" s="16">
        <f>SUM(B111:B112)</f>
        <v>5780</v>
      </c>
      <c r="C113" s="16">
        <f>SUM(C111:C112)</f>
        <v>6280</v>
      </c>
      <c r="D113" s="16">
        <f>SUM(D111:D112)</f>
        <v>6490</v>
      </c>
    </row>
    <row r="115" spans="1:8" ht="15" x14ac:dyDescent="0.4">
      <c r="A115" s="53" t="s">
        <v>311</v>
      </c>
      <c r="B115" s="166" t="s">
        <v>1715</v>
      </c>
      <c r="C115" s="166" t="s">
        <v>1766</v>
      </c>
      <c r="D115" s="166" t="s">
        <v>1985</v>
      </c>
      <c r="E115" s="2">
        <v>7932</v>
      </c>
      <c r="F115" s="2">
        <v>13500</v>
      </c>
      <c r="G115" s="2">
        <v>10075</v>
      </c>
      <c r="H115" s="2">
        <v>10075</v>
      </c>
    </row>
    <row r="116" spans="1:8" x14ac:dyDescent="0.25">
      <c r="A116" s="2" t="s">
        <v>897</v>
      </c>
      <c r="B116" s="2">
        <v>2940</v>
      </c>
      <c r="C116" s="2">
        <v>4300</v>
      </c>
      <c r="D116" s="2">
        <v>4375</v>
      </c>
    </row>
    <row r="117" spans="1:8" x14ac:dyDescent="0.25">
      <c r="A117" s="2" t="s">
        <v>213</v>
      </c>
      <c r="B117" s="2">
        <v>3200</v>
      </c>
      <c r="C117" s="2">
        <v>3200</v>
      </c>
      <c r="D117" s="2">
        <v>3200</v>
      </c>
    </row>
    <row r="118" spans="1:8" ht="15" x14ac:dyDescent="0.4">
      <c r="A118" s="2" t="s">
        <v>296</v>
      </c>
      <c r="B118" s="11">
        <v>16200</v>
      </c>
      <c r="C118" s="11">
        <v>6000</v>
      </c>
      <c r="D118" s="11">
        <v>2500</v>
      </c>
    </row>
    <row r="119" spans="1:8" x14ac:dyDescent="0.25">
      <c r="A119" s="2" t="s">
        <v>1182</v>
      </c>
      <c r="B119" s="2">
        <f>SUM(B116:B118)</f>
        <v>22340</v>
      </c>
      <c r="C119" s="2">
        <f>SUM(C116:C118)</f>
        <v>13500</v>
      </c>
      <c r="D119" s="2">
        <f>SUM(D116:D118)</f>
        <v>10075</v>
      </c>
    </row>
    <row r="121" spans="1:8" ht="15" x14ac:dyDescent="0.4">
      <c r="A121" s="53" t="s">
        <v>1328</v>
      </c>
      <c r="B121" s="166" t="s">
        <v>1715</v>
      </c>
      <c r="C121" s="166" t="s">
        <v>1766</v>
      </c>
      <c r="D121" s="166" t="s">
        <v>1985</v>
      </c>
      <c r="E121" s="2">
        <v>1503</v>
      </c>
      <c r="F121" s="2">
        <v>1875</v>
      </c>
      <c r="G121" s="2">
        <v>1875</v>
      </c>
      <c r="H121" s="2">
        <v>1875</v>
      </c>
    </row>
    <row r="122" spans="1:8" x14ac:dyDescent="0.25">
      <c r="A122" s="2" t="s">
        <v>1329</v>
      </c>
      <c r="B122" s="2">
        <v>0</v>
      </c>
      <c r="C122" s="2">
        <v>0</v>
      </c>
      <c r="D122" s="2">
        <v>0</v>
      </c>
    </row>
    <row r="123" spans="1:8" x14ac:dyDescent="0.25">
      <c r="A123" s="2" t="s">
        <v>1062</v>
      </c>
      <c r="B123" s="2">
        <v>250</v>
      </c>
      <c r="C123" s="2">
        <v>250</v>
      </c>
      <c r="D123" s="2">
        <v>250</v>
      </c>
    </row>
    <row r="124" spans="1:8" x14ac:dyDescent="0.25">
      <c r="A124" s="2" t="s">
        <v>1063</v>
      </c>
      <c r="B124" s="2">
        <v>1000</v>
      </c>
      <c r="C124" s="2">
        <v>1000</v>
      </c>
      <c r="D124" s="2">
        <v>1000</v>
      </c>
    </row>
    <row r="125" spans="1:8" x14ac:dyDescent="0.25">
      <c r="A125" s="2" t="s">
        <v>1131</v>
      </c>
      <c r="B125" s="2">
        <v>210</v>
      </c>
      <c r="C125" s="2">
        <v>420</v>
      </c>
      <c r="D125" s="2">
        <v>420</v>
      </c>
    </row>
    <row r="126" spans="1:8" x14ac:dyDescent="0.25">
      <c r="A126" s="2" t="s">
        <v>946</v>
      </c>
      <c r="B126" s="2">
        <v>175</v>
      </c>
      <c r="C126" s="2">
        <v>175</v>
      </c>
      <c r="D126" s="2">
        <v>175</v>
      </c>
    </row>
    <row r="127" spans="1:8" ht="15" x14ac:dyDescent="0.4">
      <c r="A127" s="2" t="s">
        <v>1480</v>
      </c>
      <c r="B127" s="11">
        <v>30</v>
      </c>
      <c r="C127" s="11">
        <v>30</v>
      </c>
      <c r="D127" s="11">
        <v>30</v>
      </c>
    </row>
    <row r="128" spans="1:8" x14ac:dyDescent="0.25">
      <c r="A128" s="2" t="s">
        <v>1182</v>
      </c>
      <c r="B128" s="2">
        <f>SUM(B122:B127)</f>
        <v>1665</v>
      </c>
      <c r="C128" s="2">
        <f>SUM(C122:C127)</f>
        <v>1875</v>
      </c>
      <c r="D128" s="2">
        <f>SUM(D122:D127)</f>
        <v>1875</v>
      </c>
    </row>
    <row r="130" spans="1:8" ht="15" x14ac:dyDescent="0.4">
      <c r="A130" s="53" t="s">
        <v>176</v>
      </c>
      <c r="B130" s="166" t="s">
        <v>1715</v>
      </c>
      <c r="C130" s="166" t="s">
        <v>1766</v>
      </c>
      <c r="D130" s="166" t="s">
        <v>1985</v>
      </c>
      <c r="E130" s="2">
        <v>528</v>
      </c>
      <c r="F130" s="2">
        <v>700</v>
      </c>
      <c r="G130" s="2">
        <v>700</v>
      </c>
      <c r="H130" s="2">
        <v>700</v>
      </c>
    </row>
    <row r="131" spans="1:8" x14ac:dyDescent="0.25">
      <c r="A131" s="2" t="s">
        <v>307</v>
      </c>
      <c r="B131" s="2">
        <v>500</v>
      </c>
      <c r="C131" s="2">
        <v>300</v>
      </c>
      <c r="D131" s="2">
        <v>300</v>
      </c>
    </row>
    <row r="132" spans="1:8" ht="15" x14ac:dyDescent="0.4">
      <c r="A132" s="2" t="s">
        <v>996</v>
      </c>
      <c r="B132" s="11">
        <v>375</v>
      </c>
      <c r="C132" s="11">
        <v>400</v>
      </c>
      <c r="D132" s="11">
        <v>400</v>
      </c>
    </row>
    <row r="133" spans="1:8" x14ac:dyDescent="0.25">
      <c r="A133" s="2" t="s">
        <v>1182</v>
      </c>
      <c r="B133" s="2">
        <f>SUM(B131:B132)</f>
        <v>875</v>
      </c>
      <c r="C133" s="2">
        <f>SUM(C131:C132)</f>
        <v>700</v>
      </c>
      <c r="D133" s="2">
        <f>SUM(D131:D132)</f>
        <v>700</v>
      </c>
    </row>
    <row r="135" spans="1:8" ht="15" x14ac:dyDescent="0.4">
      <c r="A135" s="53" t="s">
        <v>998</v>
      </c>
      <c r="B135" s="166" t="s">
        <v>1715</v>
      </c>
      <c r="C135" s="166" t="s">
        <v>1766</v>
      </c>
      <c r="D135" s="166" t="s">
        <v>1985</v>
      </c>
      <c r="E135" s="2">
        <v>7722</v>
      </c>
      <c r="F135" s="2">
        <v>10572</v>
      </c>
      <c r="G135" s="2">
        <v>8495</v>
      </c>
      <c r="H135" s="2">
        <v>8495</v>
      </c>
    </row>
    <row r="136" spans="1:8" x14ac:dyDescent="0.25">
      <c r="A136" s="2" t="s">
        <v>999</v>
      </c>
      <c r="B136" s="2">
        <v>9881</v>
      </c>
      <c r="C136" s="2">
        <v>10572</v>
      </c>
      <c r="D136" s="2">
        <v>8495</v>
      </c>
    </row>
    <row r="138" spans="1:8" ht="15" x14ac:dyDescent="0.4">
      <c r="A138" s="53" t="s">
        <v>1000</v>
      </c>
      <c r="B138" s="166" t="s">
        <v>1715</v>
      </c>
      <c r="C138" s="166" t="s">
        <v>1766</v>
      </c>
      <c r="D138" s="166" t="s">
        <v>1985</v>
      </c>
      <c r="E138" s="2">
        <v>95610</v>
      </c>
      <c r="F138" s="2">
        <v>100000</v>
      </c>
      <c r="G138" s="2">
        <v>125000</v>
      </c>
      <c r="H138" s="2">
        <v>125000</v>
      </c>
    </row>
    <row r="139" spans="1:8" x14ac:dyDescent="0.25">
      <c r="A139" s="2" t="s">
        <v>417</v>
      </c>
      <c r="B139" s="2">
        <v>100000</v>
      </c>
      <c r="C139" s="2">
        <v>100000</v>
      </c>
      <c r="D139" s="2">
        <v>100000</v>
      </c>
    </row>
    <row r="140" spans="1:8" x14ac:dyDescent="0.25">
      <c r="A140" s="2" t="s">
        <v>1996</v>
      </c>
      <c r="D140" s="2">
        <v>25000</v>
      </c>
    </row>
    <row r="141" spans="1:8" ht="15" x14ac:dyDescent="0.4">
      <c r="A141" s="2" t="s">
        <v>1711</v>
      </c>
      <c r="B141" s="11">
        <v>50000</v>
      </c>
      <c r="C141" s="11">
        <v>0</v>
      </c>
      <c r="D141" s="11">
        <v>0</v>
      </c>
    </row>
    <row r="142" spans="1:8" x14ac:dyDescent="0.25">
      <c r="B142" s="2">
        <f>SUM(B139:B141)</f>
        <v>150000</v>
      </c>
      <c r="C142" s="2">
        <f>SUM(C139:C141)</f>
        <v>100000</v>
      </c>
      <c r="D142" s="2">
        <f>SUM(D139:D141)</f>
        <v>125000</v>
      </c>
    </row>
    <row r="144" spans="1:8" ht="15" x14ac:dyDescent="0.4">
      <c r="A144" s="53" t="s">
        <v>1001</v>
      </c>
      <c r="B144" s="166" t="s">
        <v>1715</v>
      </c>
      <c r="C144" s="166" t="s">
        <v>1766</v>
      </c>
      <c r="D144" s="166" t="s">
        <v>1985</v>
      </c>
      <c r="E144" s="2">
        <v>1323</v>
      </c>
      <c r="F144" s="2">
        <v>1750</v>
      </c>
      <c r="G144" s="2">
        <v>1750</v>
      </c>
      <c r="H144" s="2">
        <v>1750</v>
      </c>
    </row>
    <row r="145" spans="1:8" x14ac:dyDescent="0.25">
      <c r="A145" s="2" t="s">
        <v>515</v>
      </c>
      <c r="B145" s="2">
        <v>250</v>
      </c>
      <c r="C145" s="2">
        <v>250</v>
      </c>
      <c r="D145" s="2">
        <v>250</v>
      </c>
    </row>
    <row r="146" spans="1:8" x14ac:dyDescent="0.25">
      <c r="A146" s="2" t="s">
        <v>155</v>
      </c>
      <c r="B146" s="2">
        <v>250</v>
      </c>
      <c r="C146" s="2">
        <v>250</v>
      </c>
      <c r="D146" s="2">
        <v>250</v>
      </c>
    </row>
    <row r="147" spans="1:8" x14ac:dyDescent="0.25">
      <c r="A147" s="2" t="s">
        <v>228</v>
      </c>
      <c r="B147" s="2">
        <v>250</v>
      </c>
      <c r="C147" s="2">
        <v>250</v>
      </c>
      <c r="D147" s="2">
        <v>250</v>
      </c>
    </row>
    <row r="148" spans="1:8" ht="15" x14ac:dyDescent="0.4">
      <c r="A148" s="2" t="s">
        <v>307</v>
      </c>
      <c r="B148" s="11">
        <v>1000</v>
      </c>
      <c r="C148" s="11">
        <v>1000</v>
      </c>
      <c r="D148" s="11">
        <v>1000</v>
      </c>
    </row>
    <row r="149" spans="1:8" x14ac:dyDescent="0.25">
      <c r="A149" s="2" t="s">
        <v>1182</v>
      </c>
      <c r="B149" s="2">
        <f>SUM(B145:B148)</f>
        <v>1750</v>
      </c>
      <c r="C149" s="2">
        <f>SUM(C145:C148)</f>
        <v>1750</v>
      </c>
      <c r="D149" s="2">
        <f>SUM(D145:D148)</f>
        <v>1750</v>
      </c>
    </row>
    <row r="151" spans="1:8" ht="15" x14ac:dyDescent="0.4">
      <c r="A151" s="53" t="s">
        <v>514</v>
      </c>
      <c r="B151" s="166" t="s">
        <v>1715</v>
      </c>
      <c r="C151" s="166" t="s">
        <v>1766</v>
      </c>
      <c r="D151" s="166" t="s">
        <v>1985</v>
      </c>
      <c r="E151" s="2">
        <v>7743</v>
      </c>
      <c r="F151" s="2">
        <v>6100</v>
      </c>
      <c r="G151" s="2">
        <v>4490</v>
      </c>
      <c r="H151" s="2">
        <v>4490</v>
      </c>
    </row>
    <row r="152" spans="1:8" x14ac:dyDescent="0.25">
      <c r="A152" s="2" t="s">
        <v>1004</v>
      </c>
      <c r="B152" s="2">
        <v>4300</v>
      </c>
      <c r="C152" s="2">
        <v>3500</v>
      </c>
      <c r="D152" s="2">
        <v>1750</v>
      </c>
    </row>
    <row r="153" spans="1:8" x14ac:dyDescent="0.25">
      <c r="A153" s="2" t="s">
        <v>499</v>
      </c>
      <c r="B153" s="2">
        <v>2300</v>
      </c>
      <c r="C153" s="2">
        <v>1750</v>
      </c>
      <c r="D153" s="2">
        <v>1890</v>
      </c>
    </row>
    <row r="154" spans="1:8" x14ac:dyDescent="0.25">
      <c r="A154" s="2" t="s">
        <v>592</v>
      </c>
      <c r="B154" s="2">
        <v>700</v>
      </c>
      <c r="C154" s="2">
        <v>700</v>
      </c>
      <c r="D154" s="2">
        <v>700</v>
      </c>
    </row>
    <row r="155" spans="1:8" ht="15" x14ac:dyDescent="0.4">
      <c r="A155" s="2" t="s">
        <v>307</v>
      </c>
      <c r="B155" s="11">
        <v>150</v>
      </c>
      <c r="C155" s="11">
        <v>150</v>
      </c>
      <c r="D155" s="11">
        <v>150</v>
      </c>
    </row>
    <row r="156" spans="1:8" x14ac:dyDescent="0.25">
      <c r="A156" s="2" t="s">
        <v>1182</v>
      </c>
      <c r="B156" s="2">
        <f>SUM(B152:B155)</f>
        <v>7450</v>
      </c>
      <c r="C156" s="2">
        <f>SUM(C152:C155)</f>
        <v>6100</v>
      </c>
      <c r="D156" s="2">
        <f>SUM(D152:D155)</f>
        <v>4490</v>
      </c>
    </row>
    <row r="158" spans="1:8" ht="15" x14ac:dyDescent="0.4">
      <c r="A158" s="53" t="s">
        <v>47</v>
      </c>
      <c r="B158" s="166" t="s">
        <v>1715</v>
      </c>
      <c r="C158" s="166" t="s">
        <v>1766</v>
      </c>
      <c r="D158" s="166" t="s">
        <v>1985</v>
      </c>
      <c r="E158" s="2">
        <v>20000</v>
      </c>
      <c r="F158" s="2">
        <v>8000</v>
      </c>
      <c r="G158" s="2">
        <v>25000</v>
      </c>
      <c r="H158" s="2">
        <v>25000</v>
      </c>
    </row>
    <row r="159" spans="1:8" x14ac:dyDescent="0.25">
      <c r="A159" s="2" t="s">
        <v>624</v>
      </c>
      <c r="B159" s="2">
        <v>8000</v>
      </c>
      <c r="C159" s="2">
        <v>8000</v>
      </c>
      <c r="D159" s="2">
        <v>0</v>
      </c>
    </row>
    <row r="160" spans="1:8" ht="15" x14ac:dyDescent="0.4">
      <c r="A160" s="2" t="s">
        <v>2001</v>
      </c>
      <c r="B160" s="31">
        <v>0</v>
      </c>
      <c r="C160" s="31">
        <v>0</v>
      </c>
      <c r="D160" s="31">
        <v>25000</v>
      </c>
    </row>
    <row r="161" spans="1:8" x14ac:dyDescent="0.25">
      <c r="B161" s="2">
        <f>SUM(B159:B160)</f>
        <v>8000</v>
      </c>
      <c r="C161" s="2">
        <f>SUM(C159:C160)</f>
        <v>8000</v>
      </c>
      <c r="D161" s="2">
        <f>SUM(D159:D160)</f>
        <v>25000</v>
      </c>
    </row>
    <row r="163" spans="1:8" ht="15" x14ac:dyDescent="0.4">
      <c r="A163" s="53" t="s">
        <v>48</v>
      </c>
      <c r="B163" s="166" t="s">
        <v>1715</v>
      </c>
      <c r="C163" s="166" t="s">
        <v>1766</v>
      </c>
      <c r="D163" s="166" t="s">
        <v>1985</v>
      </c>
      <c r="E163" s="2">
        <v>1023</v>
      </c>
      <c r="F163" s="2">
        <v>8900</v>
      </c>
      <c r="G163" s="2">
        <v>11400</v>
      </c>
      <c r="H163" s="2">
        <v>11400</v>
      </c>
    </row>
    <row r="164" spans="1:8" x14ac:dyDescent="0.25">
      <c r="A164" s="2" t="s">
        <v>515</v>
      </c>
      <c r="B164" s="2">
        <v>750</v>
      </c>
      <c r="C164" s="2">
        <v>750</v>
      </c>
      <c r="D164" s="2">
        <v>750</v>
      </c>
    </row>
    <row r="165" spans="1:8" x14ac:dyDescent="0.25">
      <c r="A165" s="2" t="s">
        <v>978</v>
      </c>
      <c r="B165" s="2">
        <v>500</v>
      </c>
      <c r="C165" s="2">
        <v>500</v>
      </c>
      <c r="D165" s="2">
        <v>500</v>
      </c>
    </row>
    <row r="166" spans="1:8" x14ac:dyDescent="0.25">
      <c r="A166" s="2" t="s">
        <v>1548</v>
      </c>
      <c r="B166" s="2">
        <v>5000</v>
      </c>
      <c r="C166" s="2">
        <v>250</v>
      </c>
      <c r="D166" s="2">
        <v>250</v>
      </c>
    </row>
    <row r="167" spans="1:8" x14ac:dyDescent="0.25">
      <c r="A167" s="2" t="s">
        <v>275</v>
      </c>
      <c r="B167" s="2">
        <v>150</v>
      </c>
      <c r="C167" s="2">
        <v>150</v>
      </c>
      <c r="D167" s="2">
        <v>150</v>
      </c>
    </row>
    <row r="168" spans="1:8" x14ac:dyDescent="0.25">
      <c r="A168" s="2" t="s">
        <v>1549</v>
      </c>
      <c r="B168" s="2">
        <v>450</v>
      </c>
      <c r="C168" s="2">
        <v>1000</v>
      </c>
      <c r="D168" s="2">
        <v>1000</v>
      </c>
    </row>
    <row r="169" spans="1:8" x14ac:dyDescent="0.25">
      <c r="A169" s="2" t="s">
        <v>274</v>
      </c>
      <c r="B169" s="2">
        <v>450</v>
      </c>
      <c r="C169" s="2">
        <v>1000</v>
      </c>
      <c r="D169" s="2">
        <v>1000</v>
      </c>
    </row>
    <row r="170" spans="1:8" x14ac:dyDescent="0.25">
      <c r="A170" s="2" t="s">
        <v>229</v>
      </c>
      <c r="B170" s="2">
        <v>150</v>
      </c>
      <c r="C170" s="2">
        <v>150</v>
      </c>
      <c r="D170" s="2">
        <v>150</v>
      </c>
    </row>
    <row r="171" spans="1:8" x14ac:dyDescent="0.25">
      <c r="A171" s="2" t="s">
        <v>618</v>
      </c>
      <c r="B171" s="2">
        <v>100</v>
      </c>
      <c r="C171" s="2">
        <v>100</v>
      </c>
      <c r="D171" s="2">
        <v>100</v>
      </c>
    </row>
    <row r="172" spans="1:8" x14ac:dyDescent="0.25">
      <c r="A172" s="2" t="s">
        <v>1547</v>
      </c>
      <c r="B172" s="2">
        <v>1100</v>
      </c>
      <c r="C172" s="2">
        <v>0</v>
      </c>
      <c r="D172" s="2">
        <v>0</v>
      </c>
    </row>
    <row r="173" spans="1:8" x14ac:dyDescent="0.25">
      <c r="A173" s="2" t="s">
        <v>1367</v>
      </c>
      <c r="B173" s="2">
        <v>200</v>
      </c>
      <c r="C173" s="2">
        <v>0</v>
      </c>
      <c r="D173" s="2">
        <v>0</v>
      </c>
    </row>
    <row r="174" spans="1:8" ht="15" x14ac:dyDescent="0.4">
      <c r="A174" s="2" t="s">
        <v>25</v>
      </c>
      <c r="B174" s="11">
        <v>5000</v>
      </c>
      <c r="C174" s="11">
        <v>5000</v>
      </c>
      <c r="D174" s="11">
        <v>7500</v>
      </c>
    </row>
    <row r="175" spans="1:8" x14ac:dyDescent="0.25">
      <c r="A175" s="2" t="s">
        <v>1182</v>
      </c>
      <c r="B175" s="2">
        <f>SUM(B164:B174)</f>
        <v>13850</v>
      </c>
      <c r="C175" s="2">
        <f>SUM(C164:C174)</f>
        <v>8900</v>
      </c>
      <c r="D175" s="2">
        <f>SUM(D164:D174)</f>
        <v>11400</v>
      </c>
    </row>
    <row r="177" spans="1:8" ht="15" x14ac:dyDescent="0.4">
      <c r="A177" s="53" t="s">
        <v>1071</v>
      </c>
      <c r="B177" s="166" t="s">
        <v>1715</v>
      </c>
      <c r="C177" s="166" t="s">
        <v>1766</v>
      </c>
      <c r="D177" s="166" t="s">
        <v>1985</v>
      </c>
      <c r="E177" s="2">
        <v>82426</v>
      </c>
      <c r="F177" s="2">
        <v>86800</v>
      </c>
      <c r="G177" s="2">
        <v>86800</v>
      </c>
      <c r="H177" s="2">
        <v>86800</v>
      </c>
    </row>
    <row r="178" spans="1:8" x14ac:dyDescent="0.25">
      <c r="A178" s="2" t="s">
        <v>567</v>
      </c>
      <c r="B178" s="2">
        <v>40505</v>
      </c>
      <c r="C178" s="2">
        <v>42500</v>
      </c>
      <c r="D178" s="2">
        <v>42500</v>
      </c>
    </row>
    <row r="179" spans="1:8" x14ac:dyDescent="0.25">
      <c r="A179" s="2" t="s">
        <v>619</v>
      </c>
      <c r="B179" s="2">
        <v>6000</v>
      </c>
      <c r="C179" s="2">
        <v>12000</v>
      </c>
      <c r="D179" s="2">
        <v>12000</v>
      </c>
    </row>
    <row r="180" spans="1:8" x14ac:dyDescent="0.25">
      <c r="A180" s="2" t="s">
        <v>82</v>
      </c>
      <c r="B180" s="2">
        <v>5000</v>
      </c>
      <c r="C180" s="2">
        <v>5000</v>
      </c>
      <c r="D180" s="2">
        <v>5000</v>
      </c>
    </row>
    <row r="181" spans="1:8" x14ac:dyDescent="0.25">
      <c r="A181" s="2" t="s">
        <v>1540</v>
      </c>
      <c r="B181" s="2">
        <v>2300</v>
      </c>
      <c r="C181" s="2">
        <v>2300</v>
      </c>
      <c r="D181" s="2">
        <v>2300</v>
      </c>
    </row>
    <row r="182" spans="1:8" ht="15" x14ac:dyDescent="0.4">
      <c r="A182" s="2" t="s">
        <v>610</v>
      </c>
      <c r="B182" s="11">
        <v>20000</v>
      </c>
      <c r="C182" s="11">
        <v>25000</v>
      </c>
      <c r="D182" s="11">
        <v>25000</v>
      </c>
    </row>
    <row r="183" spans="1:8" x14ac:dyDescent="0.25">
      <c r="A183" s="2" t="s">
        <v>1182</v>
      </c>
      <c r="B183" s="2">
        <f>SUM(B178:B182)</f>
        <v>73805</v>
      </c>
      <c r="C183" s="2">
        <f>SUM(C178:C182)</f>
        <v>86800</v>
      </c>
      <c r="D183" s="2">
        <f>SUM(D178:D182)</f>
        <v>86800</v>
      </c>
    </row>
    <row r="185" spans="1:8" ht="15" x14ac:dyDescent="0.4">
      <c r="A185" s="53" t="s">
        <v>568</v>
      </c>
      <c r="B185" s="166" t="s">
        <v>1715</v>
      </c>
      <c r="C185" s="166" t="s">
        <v>1766</v>
      </c>
      <c r="D185" s="166" t="s">
        <v>1985</v>
      </c>
      <c r="E185" s="2">
        <v>93589</v>
      </c>
      <c r="F185" s="2">
        <v>99900</v>
      </c>
      <c r="G185" s="2">
        <v>99900</v>
      </c>
      <c r="H185" s="2">
        <v>99900</v>
      </c>
    </row>
    <row r="186" spans="1:8" x14ac:dyDescent="0.25">
      <c r="A186" s="2" t="s">
        <v>569</v>
      </c>
      <c r="B186" s="2">
        <v>30200</v>
      </c>
      <c r="C186" s="2">
        <v>30200</v>
      </c>
      <c r="D186" s="2">
        <v>30200</v>
      </c>
    </row>
    <row r="187" spans="1:8" x14ac:dyDescent="0.25">
      <c r="A187" s="2" t="s">
        <v>992</v>
      </c>
      <c r="B187" s="2">
        <v>15000</v>
      </c>
      <c r="C187" s="2">
        <v>15000</v>
      </c>
      <c r="D187" s="2">
        <v>15000</v>
      </c>
    </row>
    <row r="188" spans="1:8" x14ac:dyDescent="0.25">
      <c r="A188" s="2" t="s">
        <v>1335</v>
      </c>
      <c r="B188" s="2">
        <v>4000</v>
      </c>
      <c r="C188" s="2">
        <v>4000</v>
      </c>
      <c r="D188" s="2">
        <v>4000</v>
      </c>
    </row>
    <row r="189" spans="1:8" x14ac:dyDescent="0.25">
      <c r="A189" s="2" t="s">
        <v>1855</v>
      </c>
      <c r="B189" s="2">
        <v>10000</v>
      </c>
      <c r="C189" s="2">
        <v>12000</v>
      </c>
      <c r="D189" s="2">
        <v>12000</v>
      </c>
    </row>
    <row r="190" spans="1:8" x14ac:dyDescent="0.25">
      <c r="A190" s="2" t="s">
        <v>854</v>
      </c>
      <c r="B190" s="2">
        <v>3700</v>
      </c>
      <c r="C190" s="2">
        <v>3700</v>
      </c>
      <c r="D190" s="2">
        <v>3700</v>
      </c>
    </row>
    <row r="191" spans="1:8" x14ac:dyDescent="0.25">
      <c r="A191" s="2" t="s">
        <v>681</v>
      </c>
      <c r="B191" s="18">
        <v>35000</v>
      </c>
      <c r="C191" s="18">
        <v>35000</v>
      </c>
      <c r="D191" s="18">
        <v>35000</v>
      </c>
    </row>
    <row r="192" spans="1:8" x14ac:dyDescent="0.25">
      <c r="A192" s="2" t="s">
        <v>1182</v>
      </c>
      <c r="B192" s="2">
        <f>SUM(B186:B191)</f>
        <v>97900</v>
      </c>
      <c r="C192" s="2">
        <f>SUM(C186:C191)</f>
        <v>99900</v>
      </c>
      <c r="D192" s="2">
        <f>SUM(D186:D191)</f>
        <v>99900</v>
      </c>
    </row>
    <row r="194" spans="1:8" ht="15" x14ac:dyDescent="0.4">
      <c r="A194" s="53" t="s">
        <v>616</v>
      </c>
      <c r="B194" s="166" t="s">
        <v>1715</v>
      </c>
      <c r="C194" s="166" t="s">
        <v>1766</v>
      </c>
      <c r="D194" s="166" t="s">
        <v>1985</v>
      </c>
      <c r="E194" s="2">
        <v>33636</v>
      </c>
      <c r="F194" s="2">
        <v>32551</v>
      </c>
      <c r="G194" s="2">
        <v>32545</v>
      </c>
      <c r="H194" s="2">
        <v>32545</v>
      </c>
    </row>
    <row r="195" spans="1:8" x14ac:dyDescent="0.25">
      <c r="A195" s="2" t="s">
        <v>405</v>
      </c>
      <c r="B195" s="2">
        <v>31480</v>
      </c>
      <c r="C195" s="2">
        <v>32551</v>
      </c>
      <c r="D195" s="2">
        <v>32545</v>
      </c>
    </row>
    <row r="197" spans="1:8" ht="13.8" x14ac:dyDescent="0.3">
      <c r="A197" s="53" t="s">
        <v>578</v>
      </c>
      <c r="E197" s="2">
        <v>5161</v>
      </c>
      <c r="F197" s="2">
        <v>5160</v>
      </c>
      <c r="G197" s="2">
        <v>5240</v>
      </c>
      <c r="H197" s="2">
        <v>5240</v>
      </c>
    </row>
    <row r="198" spans="1:8" ht="15" x14ac:dyDescent="0.4">
      <c r="A198" s="2" t="s">
        <v>770</v>
      </c>
      <c r="B198" s="166" t="s">
        <v>1715</v>
      </c>
      <c r="C198" s="166" t="s">
        <v>1766</v>
      </c>
      <c r="D198" s="166" t="s">
        <v>1985</v>
      </c>
    </row>
    <row r="199" spans="1:8" x14ac:dyDescent="0.25">
      <c r="A199" s="2" t="s">
        <v>771</v>
      </c>
      <c r="B199" s="2">
        <v>614</v>
      </c>
      <c r="C199" s="2">
        <v>554</v>
      </c>
      <c r="D199" s="2">
        <v>700</v>
      </c>
    </row>
    <row r="200" spans="1:8" x14ac:dyDescent="0.25">
      <c r="A200" s="2" t="s">
        <v>772</v>
      </c>
      <c r="B200" s="2">
        <v>500</v>
      </c>
      <c r="C200" s="2">
        <v>519</v>
      </c>
      <c r="D200" s="2">
        <v>510</v>
      </c>
    </row>
    <row r="201" spans="1:8" x14ac:dyDescent="0.25">
      <c r="A201" s="2" t="s">
        <v>773</v>
      </c>
      <c r="B201" s="2">
        <v>1424</v>
      </c>
      <c r="C201" s="2">
        <v>1118</v>
      </c>
      <c r="D201" s="2">
        <v>1600</v>
      </c>
    </row>
    <row r="202" spans="1:8" x14ac:dyDescent="0.25">
      <c r="A202" s="2" t="s">
        <v>774</v>
      </c>
      <c r="B202" s="2">
        <v>1007</v>
      </c>
      <c r="C202" s="2">
        <v>1096</v>
      </c>
      <c r="D202" s="2">
        <v>1300</v>
      </c>
    </row>
    <row r="203" spans="1:8" x14ac:dyDescent="0.25">
      <c r="A203" s="2" t="s">
        <v>775</v>
      </c>
      <c r="B203" s="2">
        <v>69</v>
      </c>
      <c r="C203" s="2">
        <v>70</v>
      </c>
      <c r="D203" s="2">
        <v>76</v>
      </c>
    </row>
    <row r="204" spans="1:8" x14ac:dyDescent="0.25">
      <c r="A204" s="2" t="s">
        <v>762</v>
      </c>
      <c r="B204" s="2">
        <v>900</v>
      </c>
      <c r="C204" s="2">
        <v>625</v>
      </c>
      <c r="D204" s="2">
        <v>250</v>
      </c>
    </row>
    <row r="205" spans="1:8" x14ac:dyDescent="0.25">
      <c r="A205" s="2" t="s">
        <v>682</v>
      </c>
      <c r="B205" s="2">
        <v>190</v>
      </c>
      <c r="C205" s="2">
        <v>307</v>
      </c>
      <c r="D205" s="2">
        <v>400</v>
      </c>
    </row>
    <row r="206" spans="1:8" ht="15" x14ac:dyDescent="0.4">
      <c r="A206" s="2" t="s">
        <v>1229</v>
      </c>
      <c r="B206" s="11">
        <f>579+2185</f>
        <v>2764</v>
      </c>
      <c r="C206" s="11">
        <f>182+1384</f>
        <v>1566</v>
      </c>
      <c r="D206" s="11">
        <v>825</v>
      </c>
    </row>
    <row r="207" spans="1:8" x14ac:dyDescent="0.25">
      <c r="A207" s="2" t="s">
        <v>1230</v>
      </c>
      <c r="B207" s="2">
        <f>SUM(B199:B206)</f>
        <v>7468</v>
      </c>
      <c r="C207" s="2">
        <f>SUM(C199:C206)</f>
        <v>5855</v>
      </c>
      <c r="D207" s="2">
        <f>SUM(D199:D206)</f>
        <v>5661</v>
      </c>
    </row>
    <row r="208" spans="1:8" x14ac:dyDescent="0.25">
      <c r="A208" s="2" t="s">
        <v>1731</v>
      </c>
      <c r="B208" s="2">
        <v>-2548</v>
      </c>
      <c r="C208" s="2">
        <v>-935</v>
      </c>
      <c r="D208" s="2">
        <v>-2103</v>
      </c>
    </row>
    <row r="209" spans="1:8" x14ac:dyDescent="0.25">
      <c r="A209" s="2" t="s">
        <v>1331</v>
      </c>
      <c r="B209" s="18">
        <v>0</v>
      </c>
      <c r="C209" s="18">
        <v>0</v>
      </c>
      <c r="D209" s="18">
        <v>1442</v>
      </c>
    </row>
    <row r="210" spans="1:8" x14ac:dyDescent="0.25">
      <c r="A210" s="2" t="s">
        <v>1564</v>
      </c>
      <c r="B210" s="2">
        <f>SUM(B207:B209)</f>
        <v>4920</v>
      </c>
      <c r="C210" s="2">
        <f>SUM(C207:C209)</f>
        <v>4920</v>
      </c>
      <c r="D210" s="2">
        <f>SUM(D207:D209)</f>
        <v>5000</v>
      </c>
    </row>
    <row r="211" spans="1:8" x14ac:dyDescent="0.25">
      <c r="A211" s="2" t="s">
        <v>1563</v>
      </c>
      <c r="B211" s="18">
        <v>240</v>
      </c>
      <c r="C211" s="18">
        <v>240</v>
      </c>
      <c r="D211" s="18">
        <v>240</v>
      </c>
    </row>
    <row r="212" spans="1:8" x14ac:dyDescent="0.25">
      <c r="A212" s="2" t="s">
        <v>443</v>
      </c>
      <c r="B212" s="2">
        <f>SUM(B210:B211)</f>
        <v>5160</v>
      </c>
      <c r="C212" s="2">
        <f>SUM(C210:C211)</f>
        <v>5160</v>
      </c>
      <c r="D212" s="2">
        <f>SUM(D210:D211)</f>
        <v>5240</v>
      </c>
    </row>
    <row r="214" spans="1:8" ht="15" x14ac:dyDescent="0.4">
      <c r="A214" s="53" t="s">
        <v>369</v>
      </c>
      <c r="B214" s="166" t="s">
        <v>1715</v>
      </c>
      <c r="C214" s="166" t="s">
        <v>1766</v>
      </c>
      <c r="D214" s="166" t="s">
        <v>1985</v>
      </c>
      <c r="E214" s="2">
        <v>0</v>
      </c>
      <c r="F214" s="2">
        <v>200</v>
      </c>
      <c r="G214" s="2">
        <v>75</v>
      </c>
      <c r="H214" s="2">
        <v>75</v>
      </c>
    </row>
    <row r="215" spans="1:8" x14ac:dyDescent="0.25">
      <c r="A215" s="7" t="s">
        <v>370</v>
      </c>
      <c r="B215" s="2">
        <v>75</v>
      </c>
      <c r="C215" s="2">
        <v>75</v>
      </c>
      <c r="D215" s="2">
        <v>75</v>
      </c>
    </row>
    <row r="216" spans="1:8" ht="15" x14ac:dyDescent="0.4">
      <c r="A216" s="7" t="s">
        <v>26</v>
      </c>
      <c r="B216" s="11">
        <v>125</v>
      </c>
      <c r="C216" s="11">
        <v>125</v>
      </c>
      <c r="D216" s="11">
        <v>0</v>
      </c>
    </row>
    <row r="217" spans="1:8" x14ac:dyDescent="0.25">
      <c r="B217" s="2">
        <f>SUM(B215:B216)</f>
        <v>200</v>
      </c>
      <c r="C217" s="2">
        <f>SUM(C215:C216)</f>
        <v>200</v>
      </c>
      <c r="D217" s="2">
        <f>SUM(D215:D216)</f>
        <v>75</v>
      </c>
    </row>
    <row r="220" spans="1:8" ht="15" x14ac:dyDescent="0.4">
      <c r="A220" s="53" t="s">
        <v>444</v>
      </c>
      <c r="B220" s="166" t="s">
        <v>1715</v>
      </c>
      <c r="C220" s="166" t="s">
        <v>1766</v>
      </c>
      <c r="D220" s="166" t="s">
        <v>1985</v>
      </c>
      <c r="E220" s="2">
        <v>58167</v>
      </c>
      <c r="F220" s="2">
        <v>19147</v>
      </c>
      <c r="G220" s="2">
        <v>35422</v>
      </c>
      <c r="H220" s="2">
        <v>35413</v>
      </c>
    </row>
    <row r="221" spans="1:8" x14ac:dyDescent="0.25">
      <c r="A221" s="2" t="s">
        <v>445</v>
      </c>
      <c r="B221" s="2" t="s">
        <v>386</v>
      </c>
      <c r="C221" s="2" t="s">
        <v>386</v>
      </c>
    </row>
    <row r="222" spans="1:8" x14ac:dyDescent="0.25">
      <c r="A222" s="2" t="s">
        <v>1612</v>
      </c>
      <c r="B222" s="2">
        <v>6000</v>
      </c>
      <c r="C222" s="2">
        <v>6000</v>
      </c>
      <c r="D222" s="2">
        <v>6000</v>
      </c>
    </row>
    <row r="223" spans="1:8" x14ac:dyDescent="0.25">
      <c r="A223" s="2" t="s">
        <v>2162</v>
      </c>
      <c r="B223" s="2">
        <v>4500</v>
      </c>
      <c r="C223" s="2">
        <v>1500</v>
      </c>
      <c r="D223" s="2">
        <v>4500</v>
      </c>
    </row>
    <row r="224" spans="1:8" ht="15" x14ac:dyDescent="0.4">
      <c r="A224" s="2" t="s">
        <v>2163</v>
      </c>
      <c r="B224" s="11">
        <v>3263</v>
      </c>
      <c r="C224" s="11">
        <v>1087.5</v>
      </c>
      <c r="D224" s="11">
        <v>3263</v>
      </c>
    </row>
    <row r="225" spans="1:8" x14ac:dyDescent="0.25">
      <c r="A225" s="2" t="s">
        <v>446</v>
      </c>
      <c r="B225" s="2">
        <f>SUM(B222:B224)</f>
        <v>13763</v>
      </c>
      <c r="C225" s="2">
        <f>SUM(C222:C224)</f>
        <v>8587.5</v>
      </c>
      <c r="D225" s="2">
        <f>SUM(D222:D224)</f>
        <v>13763</v>
      </c>
    </row>
    <row r="226" spans="1:8" x14ac:dyDescent="0.25">
      <c r="A226" s="2" t="s">
        <v>447</v>
      </c>
      <c r="B226" s="2">
        <f>ROUND(B222*0.0765,0)</f>
        <v>459</v>
      </c>
      <c r="C226" s="2">
        <f>ROUND(C222*0.0765,0)</f>
        <v>459</v>
      </c>
      <c r="D226" s="2">
        <f>ROUND(D222*0.0765,0)</f>
        <v>459</v>
      </c>
    </row>
    <row r="227" spans="1:8" x14ac:dyDescent="0.25">
      <c r="A227" s="2" t="s">
        <v>1721</v>
      </c>
      <c r="B227" s="2">
        <f>ROUND(B222*0.0016,0)</f>
        <v>10</v>
      </c>
      <c r="C227" s="2">
        <f>ROUND(C222*0.0016,0)</f>
        <v>10</v>
      </c>
      <c r="D227" s="2">
        <f>ROUND(D222*0.0016,0)</f>
        <v>10</v>
      </c>
    </row>
    <row r="228" spans="1:8" x14ac:dyDescent="0.25">
      <c r="A228" s="2" t="s">
        <v>2168</v>
      </c>
      <c r="B228" s="2">
        <f>+B222*0.34%</f>
        <v>20.400000000000002</v>
      </c>
      <c r="C228" s="2">
        <f>+C222*0.34%</f>
        <v>20.400000000000002</v>
      </c>
      <c r="D228" s="2">
        <f>+D222*0.18%</f>
        <v>10.799999999999999</v>
      </c>
    </row>
    <row r="229" spans="1:8" x14ac:dyDescent="0.25">
      <c r="A229" s="2" t="s">
        <v>604</v>
      </c>
      <c r="B229" s="2">
        <v>1200</v>
      </c>
      <c r="C229" s="2">
        <v>1200</v>
      </c>
      <c r="D229" s="2">
        <v>2000</v>
      </c>
    </row>
    <row r="230" spans="1:8" x14ac:dyDescent="0.25">
      <c r="A230" s="2" t="s">
        <v>468</v>
      </c>
      <c r="B230" s="2">
        <v>11000</v>
      </c>
      <c r="C230" s="2">
        <v>5000</v>
      </c>
      <c r="D230" s="2">
        <v>12000</v>
      </c>
    </row>
    <row r="231" spans="1:8" x14ac:dyDescent="0.25">
      <c r="A231" s="2" t="s">
        <v>217</v>
      </c>
      <c r="B231" s="2">
        <v>750</v>
      </c>
      <c r="C231" s="2">
        <v>750</v>
      </c>
      <c r="D231" s="2">
        <v>750</v>
      </c>
    </row>
    <row r="232" spans="1:8" x14ac:dyDescent="0.25">
      <c r="A232" s="2" t="s">
        <v>352</v>
      </c>
      <c r="B232" s="2">
        <v>0</v>
      </c>
      <c r="C232" s="2">
        <v>700</v>
      </c>
      <c r="D232" s="2">
        <v>2400</v>
      </c>
    </row>
    <row r="233" spans="1:8" x14ac:dyDescent="0.25">
      <c r="A233" s="2" t="s">
        <v>17</v>
      </c>
      <c r="B233" s="2">
        <v>2400</v>
      </c>
      <c r="C233" s="2">
        <v>800</v>
      </c>
      <c r="D233" s="2">
        <v>2400</v>
      </c>
    </row>
    <row r="234" spans="1:8" x14ac:dyDescent="0.25">
      <c r="A234" s="2" t="s">
        <v>566</v>
      </c>
      <c r="B234" s="2">
        <v>120</v>
      </c>
      <c r="C234" s="2">
        <v>120</v>
      </c>
      <c r="D234" s="2">
        <v>120</v>
      </c>
    </row>
    <row r="235" spans="1:8" ht="15" x14ac:dyDescent="0.4">
      <c r="A235" s="2" t="s">
        <v>18</v>
      </c>
      <c r="B235" s="11">
        <v>1500</v>
      </c>
      <c r="C235" s="11">
        <v>1500</v>
      </c>
      <c r="D235" s="11">
        <v>1500</v>
      </c>
    </row>
    <row r="236" spans="1:8" x14ac:dyDescent="0.25">
      <c r="A236" s="2" t="s">
        <v>1182</v>
      </c>
      <c r="B236" s="2">
        <f>SUM(B225:B235)</f>
        <v>31222.400000000001</v>
      </c>
      <c r="C236" s="2">
        <f>SUM(C225:C235)</f>
        <v>19146.900000000001</v>
      </c>
      <c r="D236" s="2">
        <f>SUM(D225:D235)</f>
        <v>35412.800000000003</v>
      </c>
    </row>
    <row r="238" spans="1:8" ht="15" x14ac:dyDescent="0.4">
      <c r="A238" s="53" t="s">
        <v>19</v>
      </c>
      <c r="B238" s="166" t="s">
        <v>1715</v>
      </c>
      <c r="C238" s="166" t="s">
        <v>1766</v>
      </c>
      <c r="D238" s="166" t="s">
        <v>1985</v>
      </c>
      <c r="E238" s="2">
        <v>22682</v>
      </c>
      <c r="F238" s="2">
        <v>17500</v>
      </c>
      <c r="G238" s="2">
        <v>20000</v>
      </c>
      <c r="H238" s="2">
        <v>20000</v>
      </c>
    </row>
    <row r="239" spans="1:8" x14ac:dyDescent="0.25">
      <c r="A239" s="2" t="s">
        <v>649</v>
      </c>
      <c r="B239" s="2">
        <v>14000</v>
      </c>
      <c r="C239" s="2">
        <v>17500</v>
      </c>
      <c r="D239" s="2">
        <v>20000</v>
      </c>
    </row>
    <row r="241" spans="1:8" ht="15" x14ac:dyDescent="0.4">
      <c r="A241" s="53" t="s">
        <v>1107</v>
      </c>
      <c r="B241" s="166" t="s">
        <v>1715</v>
      </c>
      <c r="C241" s="166" t="s">
        <v>1766</v>
      </c>
      <c r="D241" s="166" t="s">
        <v>1985</v>
      </c>
      <c r="E241" s="2">
        <v>23459</v>
      </c>
      <c r="F241" s="2">
        <v>15800</v>
      </c>
      <c r="G241" s="2">
        <v>19300</v>
      </c>
      <c r="H241" s="2">
        <v>15800</v>
      </c>
    </row>
    <row r="242" spans="1:8" x14ac:dyDescent="0.25">
      <c r="A242" s="2" t="s">
        <v>1108</v>
      </c>
      <c r="B242" s="2">
        <v>5000</v>
      </c>
      <c r="C242" s="2">
        <v>5000</v>
      </c>
      <c r="D242" s="2">
        <v>5000</v>
      </c>
    </row>
    <row r="243" spans="1:8" x14ac:dyDescent="0.25">
      <c r="A243" s="2" t="s">
        <v>2169</v>
      </c>
      <c r="B243" s="2">
        <v>5000</v>
      </c>
      <c r="C243" s="2">
        <v>5000</v>
      </c>
      <c r="D243" s="2">
        <v>5000</v>
      </c>
    </row>
    <row r="244" spans="1:8" x14ac:dyDescent="0.25">
      <c r="A244" s="2" t="s">
        <v>1613</v>
      </c>
      <c r="B244" s="2">
        <v>21500</v>
      </c>
      <c r="C244" s="2">
        <v>0</v>
      </c>
      <c r="D244" s="2">
        <v>0</v>
      </c>
    </row>
    <row r="245" spans="1:8" x14ac:dyDescent="0.25">
      <c r="A245" s="2" t="s">
        <v>154</v>
      </c>
      <c r="B245" s="2">
        <v>5500</v>
      </c>
      <c r="C245" s="2">
        <v>5500</v>
      </c>
      <c r="D245" s="2">
        <v>5500</v>
      </c>
    </row>
    <row r="246" spans="1:8" ht="15" x14ac:dyDescent="0.4">
      <c r="A246" s="2" t="s">
        <v>307</v>
      </c>
      <c r="B246" s="11">
        <v>300</v>
      </c>
      <c r="C246" s="11">
        <v>300</v>
      </c>
      <c r="D246" s="11">
        <v>300</v>
      </c>
    </row>
    <row r="247" spans="1:8" x14ac:dyDescent="0.25">
      <c r="A247" s="2" t="s">
        <v>1182</v>
      </c>
      <c r="B247" s="2">
        <f>SUM(B242:B246)</f>
        <v>37300</v>
      </c>
      <c r="C247" s="2">
        <f>SUM(C242:C246)</f>
        <v>15800</v>
      </c>
      <c r="D247" s="2">
        <f>SUM(D242:D246)</f>
        <v>15800</v>
      </c>
    </row>
    <row r="249" spans="1:8" ht="15" x14ac:dyDescent="0.4">
      <c r="A249" s="53" t="s">
        <v>1416</v>
      </c>
      <c r="B249" s="166" t="s">
        <v>1715</v>
      </c>
      <c r="C249" s="166" t="s">
        <v>1766</v>
      </c>
      <c r="D249" s="166" t="s">
        <v>1985</v>
      </c>
      <c r="E249" s="2">
        <v>0</v>
      </c>
      <c r="F249" s="2">
        <v>1</v>
      </c>
      <c r="G249" s="2">
        <v>1</v>
      </c>
      <c r="H249" s="2">
        <v>1</v>
      </c>
    </row>
    <row r="250" spans="1:8" x14ac:dyDescent="0.25">
      <c r="A250" s="2" t="s">
        <v>636</v>
      </c>
      <c r="B250" s="2">
        <v>1</v>
      </c>
      <c r="C250" s="2">
        <v>1</v>
      </c>
      <c r="D250" s="2">
        <v>1</v>
      </c>
    </row>
    <row r="253" spans="1:8" ht="15" x14ac:dyDescent="0.4">
      <c r="A253" s="53" t="s">
        <v>754</v>
      </c>
      <c r="B253" s="166" t="s">
        <v>1715</v>
      </c>
      <c r="C253" s="166" t="s">
        <v>1766</v>
      </c>
      <c r="D253" s="166" t="s">
        <v>1985</v>
      </c>
      <c r="E253" s="2">
        <v>2551</v>
      </c>
      <c r="F253" s="2">
        <v>3500</v>
      </c>
      <c r="G253" s="2">
        <v>3500</v>
      </c>
      <c r="H253" s="2">
        <v>3500</v>
      </c>
    </row>
    <row r="254" spans="1:8" x14ac:dyDescent="0.25">
      <c r="A254" s="2" t="s">
        <v>1354</v>
      </c>
      <c r="B254" s="2">
        <v>3500</v>
      </c>
      <c r="C254" s="2">
        <v>3500</v>
      </c>
      <c r="D254" s="2">
        <v>3500</v>
      </c>
    </row>
    <row r="256" spans="1:8" ht="15" x14ac:dyDescent="0.4">
      <c r="A256" s="53" t="s">
        <v>1362</v>
      </c>
      <c r="B256" s="166" t="s">
        <v>1715</v>
      </c>
      <c r="C256" s="166" t="s">
        <v>1766</v>
      </c>
      <c r="D256" s="166" t="s">
        <v>1985</v>
      </c>
      <c r="E256" s="2">
        <v>55300</v>
      </c>
      <c r="F256" s="2">
        <v>55300</v>
      </c>
      <c r="G256" s="2">
        <v>55300</v>
      </c>
      <c r="H256" s="2">
        <v>55300</v>
      </c>
    </row>
    <row r="257" spans="1:10" ht="15" x14ac:dyDescent="0.4">
      <c r="A257" s="2" t="s">
        <v>549</v>
      </c>
      <c r="B257" s="19"/>
      <c r="C257" s="19"/>
      <c r="D257" s="19"/>
      <c r="E257" s="11"/>
      <c r="F257" s="11"/>
      <c r="G257" s="11"/>
      <c r="H257" s="11"/>
      <c r="I257" s="11"/>
      <c r="J257" s="11"/>
    </row>
    <row r="258" spans="1:10" x14ac:dyDescent="0.25">
      <c r="A258" s="2" t="s">
        <v>967</v>
      </c>
      <c r="B258" s="8">
        <v>300</v>
      </c>
      <c r="C258" s="8">
        <v>300</v>
      </c>
      <c r="D258" s="8">
        <v>300</v>
      </c>
      <c r="E258" s="8"/>
      <c r="F258" s="8"/>
      <c r="G258" s="8"/>
      <c r="H258" s="8"/>
      <c r="I258" s="8"/>
      <c r="J258" s="8"/>
    </row>
    <row r="259" spans="1:10" x14ac:dyDescent="0.25">
      <c r="A259" s="2" t="s">
        <v>1134</v>
      </c>
      <c r="B259" s="8">
        <v>0</v>
      </c>
      <c r="C259" s="8">
        <v>0</v>
      </c>
      <c r="D259" s="8">
        <v>0</v>
      </c>
      <c r="E259" s="8"/>
      <c r="F259" s="8"/>
      <c r="G259" s="8"/>
      <c r="H259" s="8"/>
      <c r="I259" s="8"/>
      <c r="J259" s="8"/>
    </row>
    <row r="260" spans="1:10" x14ac:dyDescent="0.25">
      <c r="A260" s="2" t="s">
        <v>581</v>
      </c>
      <c r="B260" s="19">
        <v>0</v>
      </c>
      <c r="C260" s="19">
        <v>0</v>
      </c>
      <c r="D260" s="19">
        <v>0</v>
      </c>
      <c r="E260" s="19"/>
      <c r="F260" s="19"/>
      <c r="G260" s="19"/>
      <c r="H260" s="19"/>
      <c r="I260" s="19"/>
      <c r="J260" s="19"/>
    </row>
    <row r="261" spans="1:10" x14ac:dyDescent="0.25">
      <c r="A261" s="2" t="s">
        <v>251</v>
      </c>
      <c r="B261" s="8">
        <f>SUM(B258:B260)</f>
        <v>300</v>
      </c>
      <c r="C261" s="8">
        <f>SUM(C258:C260)</f>
        <v>300</v>
      </c>
      <c r="D261" s="8">
        <f>SUM(D258:D260)</f>
        <v>300</v>
      </c>
      <c r="E261" s="8"/>
      <c r="F261" s="8"/>
      <c r="G261" s="8"/>
      <c r="H261" s="8"/>
      <c r="I261" s="8"/>
      <c r="J261" s="8"/>
    </row>
    <row r="262" spans="1:10" x14ac:dyDescent="0.25">
      <c r="A262" s="2" t="s">
        <v>316</v>
      </c>
      <c r="B262" s="2">
        <v>35000</v>
      </c>
      <c r="C262" s="2">
        <v>35000</v>
      </c>
      <c r="D262" s="2">
        <v>35000</v>
      </c>
    </row>
    <row r="263" spans="1:10" x14ac:dyDescent="0.25">
      <c r="A263" s="2" t="s">
        <v>2170</v>
      </c>
      <c r="B263" s="2">
        <v>10000</v>
      </c>
      <c r="C263" s="2">
        <v>10000</v>
      </c>
      <c r="D263" s="2">
        <v>10000</v>
      </c>
    </row>
    <row r="264" spans="1:10" ht="15" x14ac:dyDescent="0.4">
      <c r="A264" s="2" t="s">
        <v>317</v>
      </c>
      <c r="B264" s="11">
        <v>10000</v>
      </c>
      <c r="C264" s="11">
        <v>10000</v>
      </c>
      <c r="D264" s="11">
        <v>10000</v>
      </c>
    </row>
    <row r="265" spans="1:10" x14ac:dyDescent="0.25">
      <c r="A265" s="2" t="s">
        <v>1182</v>
      </c>
      <c r="B265" s="2">
        <f>SUM(B261:B264)</f>
        <v>55300</v>
      </c>
      <c r="C265" s="2">
        <f>SUM(C261:C264)</f>
        <v>55300</v>
      </c>
      <c r="D265" s="2">
        <f>SUM(D261:D264)</f>
        <v>55300</v>
      </c>
    </row>
    <row r="267" spans="1:10" ht="15" x14ac:dyDescent="0.4">
      <c r="A267" s="53" t="s">
        <v>1456</v>
      </c>
      <c r="B267" s="166" t="s">
        <v>1715</v>
      </c>
      <c r="C267" s="166" t="s">
        <v>1766</v>
      </c>
      <c r="D267" s="166" t="s">
        <v>1985</v>
      </c>
      <c r="E267" s="11">
        <v>14112</v>
      </c>
      <c r="F267" s="11">
        <v>45000</v>
      </c>
      <c r="G267" s="11">
        <v>71311</v>
      </c>
      <c r="H267" s="11">
        <v>71311</v>
      </c>
      <c r="I267" s="11">
        <v>0</v>
      </c>
      <c r="J267" s="11">
        <v>0</v>
      </c>
    </row>
    <row r="268" spans="1:10" x14ac:dyDescent="0.25">
      <c r="A268" s="2" t="s">
        <v>1537</v>
      </c>
      <c r="B268" s="2">
        <v>30000</v>
      </c>
      <c r="C268" s="2">
        <v>35000</v>
      </c>
      <c r="D268" s="2">
        <v>0</v>
      </c>
    </row>
    <row r="269" spans="1:10" x14ac:dyDescent="0.25">
      <c r="A269" s="2" t="s">
        <v>2161</v>
      </c>
      <c r="D269" s="2">
        <v>71311</v>
      </c>
    </row>
    <row r="270" spans="1:10" ht="15" x14ac:dyDescent="0.4">
      <c r="A270" s="41" t="s">
        <v>2171</v>
      </c>
      <c r="B270" s="11">
        <v>0</v>
      </c>
      <c r="C270" s="11">
        <v>10000</v>
      </c>
      <c r="D270" s="11">
        <v>0</v>
      </c>
    </row>
    <row r="271" spans="1:10" x14ac:dyDescent="0.25">
      <c r="B271" s="2">
        <f>SUM(B268:B270)</f>
        <v>30000</v>
      </c>
      <c r="C271" s="2">
        <f>SUM(C268:C270)</f>
        <v>45000</v>
      </c>
      <c r="D271" s="2">
        <f>SUM(D268:D270)</f>
        <v>71311</v>
      </c>
    </row>
    <row r="272" spans="1:10" x14ac:dyDescent="0.25">
      <c r="A272" s="16" t="s">
        <v>386</v>
      </c>
    </row>
    <row r="273" spans="1:10" x14ac:dyDescent="0.25">
      <c r="A273" s="2" t="s">
        <v>1267</v>
      </c>
      <c r="E273" s="2">
        <f t="shared" ref="E273:J273" si="2">SUM(E6:E267)</f>
        <v>1720983</v>
      </c>
      <c r="F273" s="2">
        <f t="shared" si="2"/>
        <v>1881659</v>
      </c>
      <c r="G273" s="2">
        <f t="shared" si="2"/>
        <v>2037753</v>
      </c>
      <c r="H273" s="2">
        <f t="shared" si="2"/>
        <v>2034244</v>
      </c>
      <c r="I273" s="2">
        <f t="shared" si="2"/>
        <v>0</v>
      </c>
      <c r="J273" s="2">
        <f t="shared" si="2"/>
        <v>0</v>
      </c>
    </row>
    <row r="275" spans="1:10" x14ac:dyDescent="0.25">
      <c r="A275" s="2" t="s">
        <v>571</v>
      </c>
      <c r="E275" s="2">
        <f t="shared" ref="E275:J275" si="3">SUM(E6:E95)</f>
        <v>1158863</v>
      </c>
      <c r="F275" s="2">
        <f t="shared" si="3"/>
        <v>1325123</v>
      </c>
      <c r="G275" s="2">
        <f t="shared" si="3"/>
        <v>1390584</v>
      </c>
      <c r="H275" s="2">
        <f t="shared" si="3"/>
        <v>1390584</v>
      </c>
      <c r="I275" s="2">
        <f t="shared" si="3"/>
        <v>0</v>
      </c>
      <c r="J275" s="2">
        <f t="shared" si="3"/>
        <v>0</v>
      </c>
    </row>
    <row r="276" spans="1:10" x14ac:dyDescent="0.25">
      <c r="A276" s="2" t="s">
        <v>895</v>
      </c>
      <c r="E276" s="2">
        <f t="shared" ref="E276:J276" si="4">SUM(E99:E241)</f>
        <v>490157</v>
      </c>
      <c r="F276" s="2">
        <f>SUM(F99:F241)</f>
        <v>452735</v>
      </c>
      <c r="G276" s="2">
        <f t="shared" si="4"/>
        <v>517057</v>
      </c>
      <c r="H276" s="2">
        <f>SUM(H99:H241)</f>
        <v>513548</v>
      </c>
      <c r="I276" s="2">
        <f t="shared" si="4"/>
        <v>0</v>
      </c>
      <c r="J276" s="2">
        <f t="shared" si="4"/>
        <v>0</v>
      </c>
    </row>
    <row r="277" spans="1:10" ht="15" x14ac:dyDescent="0.4">
      <c r="A277" s="2" t="s">
        <v>896</v>
      </c>
      <c r="E277" s="11">
        <f t="shared" ref="E277:J277" si="5">SUM(E249:E267)</f>
        <v>71963</v>
      </c>
      <c r="F277" s="11">
        <f>SUM(F249:F267)</f>
        <v>103801</v>
      </c>
      <c r="G277" s="11">
        <f t="shared" si="5"/>
        <v>130112</v>
      </c>
      <c r="H277" s="11">
        <f>SUM(H249:H267)</f>
        <v>130112</v>
      </c>
      <c r="I277" s="11">
        <f t="shared" si="5"/>
        <v>0</v>
      </c>
      <c r="J277" s="11">
        <f t="shared" si="5"/>
        <v>0</v>
      </c>
    </row>
    <row r="278" spans="1:10" x14ac:dyDescent="0.25">
      <c r="A278" s="2" t="s">
        <v>1182</v>
      </c>
      <c r="E278" s="2">
        <f t="shared" ref="E278:J278" si="6">SUM(E275:E277)</f>
        <v>1720983</v>
      </c>
      <c r="F278" s="2">
        <f t="shared" si="6"/>
        <v>1881659</v>
      </c>
      <c r="G278" s="2">
        <f t="shared" si="6"/>
        <v>2037753</v>
      </c>
      <c r="H278" s="2">
        <f>SUM(H275:H277)</f>
        <v>2034244</v>
      </c>
      <c r="I278" s="2">
        <f t="shared" si="6"/>
        <v>0</v>
      </c>
      <c r="J278" s="2">
        <f t="shared" si="6"/>
        <v>0</v>
      </c>
    </row>
    <row r="280" spans="1:10" x14ac:dyDescent="0.25">
      <c r="I280" s="2">
        <f>+I278-H278</f>
        <v>-2034244</v>
      </c>
      <c r="J280" s="2">
        <f>+J278-I278</f>
        <v>0</v>
      </c>
    </row>
  </sheetData>
  <mergeCells count="1">
    <mergeCell ref="A1:J1"/>
  </mergeCells>
  <phoneticPr fontId="0" type="noConversion"/>
  <printOptions gridLines="1"/>
  <pageMargins left="0.75" right="0.16" top="0.51" bottom="0.22" header="0.5" footer="0.24"/>
  <pageSetup scale="95" fitToHeight="12" orientation="landscape" r:id="rId1"/>
  <headerFooter alignWithMargins="0"/>
  <rowBreaks count="6" manualBreakCount="6">
    <brk id="57" max="16383" man="1"/>
    <brk id="109" max="7" man="1"/>
    <brk id="149" max="16383" man="1"/>
    <brk id="184" max="16383" man="1"/>
    <brk id="219" max="16383" man="1"/>
    <brk id="255"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295"/>
  <sheetViews>
    <sheetView zoomScaleNormal="100" zoomScaleSheetLayoutView="100" workbookViewId="0">
      <selection sqref="A1:J1"/>
    </sheetView>
  </sheetViews>
  <sheetFormatPr defaultColWidth="8.88671875" defaultRowHeight="13.2" x14ac:dyDescent="0.25"/>
  <cols>
    <col min="1" max="1" width="66.44140625" style="191" customWidth="1"/>
    <col min="2" max="3" width="9.44140625" style="191" bestFit="1" customWidth="1"/>
    <col min="4" max="4" width="9.44140625" style="2" bestFit="1" customWidth="1"/>
    <col min="5" max="5" width="11.33203125" style="191" bestFit="1" customWidth="1"/>
    <col min="6" max="6" width="10.88671875" style="191" customWidth="1"/>
    <col min="7" max="7" width="10.88671875" style="191" bestFit="1" customWidth="1"/>
    <col min="8" max="8" width="14" style="191" bestFit="1" customWidth="1"/>
    <col min="9" max="10" width="10.88671875" style="191" customWidth="1"/>
    <col min="11" max="16384" width="8.88671875" style="191"/>
  </cols>
  <sheetData>
    <row r="1" spans="1:10" s="191" customFormat="1" x14ac:dyDescent="0.25">
      <c r="A1" s="194" t="e">
        <f>#REF!</f>
        <v>#REF!</v>
      </c>
      <c r="B1" s="195"/>
      <c r="C1" s="195"/>
      <c r="D1" s="195"/>
      <c r="E1" s="195"/>
      <c r="F1" s="195"/>
      <c r="G1" s="195"/>
      <c r="H1" s="195"/>
      <c r="I1" s="195"/>
      <c r="J1" s="195"/>
    </row>
    <row r="2" spans="1:10" s="191" customFormat="1" ht="17.399999999999999" x14ac:dyDescent="0.3">
      <c r="A2" s="153" t="s">
        <v>1957</v>
      </c>
      <c r="B2" s="153"/>
      <c r="C2" s="153"/>
      <c r="D2" s="153"/>
      <c r="E2" s="153"/>
      <c r="F2" s="153"/>
    </row>
    <row r="3" spans="1:10" s="191" customFormat="1" x14ac:dyDescent="0.25">
      <c r="B3" s="2"/>
      <c r="C3" s="2"/>
      <c r="D3" s="2"/>
      <c r="E3" s="2"/>
      <c r="F3" s="2"/>
    </row>
    <row r="4" spans="1:10" s="191" customFormat="1" x14ac:dyDescent="0.25">
      <c r="B4" s="2"/>
      <c r="C4" s="2"/>
      <c r="D4" s="2"/>
      <c r="E4" s="16" t="s">
        <v>232</v>
      </c>
      <c r="F4" s="16" t="s">
        <v>233</v>
      </c>
      <c r="G4" s="16" t="s">
        <v>69</v>
      </c>
      <c r="H4" s="16" t="s">
        <v>399</v>
      </c>
      <c r="I4" s="16" t="s">
        <v>303</v>
      </c>
      <c r="J4" s="16" t="s">
        <v>336</v>
      </c>
    </row>
    <row r="5" spans="1:10" s="191" customFormat="1" ht="15" x14ac:dyDescent="0.4">
      <c r="B5" s="2"/>
      <c r="C5" s="2"/>
      <c r="D5" s="2"/>
      <c r="E5" s="192" t="s">
        <v>1715</v>
      </c>
      <c r="F5" s="192" t="s">
        <v>1766</v>
      </c>
      <c r="G5" s="192" t="s">
        <v>1985</v>
      </c>
      <c r="H5" s="192" t="s">
        <v>1985</v>
      </c>
      <c r="I5" s="192" t="s">
        <v>1985</v>
      </c>
      <c r="J5" s="192" t="s">
        <v>1985</v>
      </c>
    </row>
    <row r="6" spans="1:10" s="191" customFormat="1" ht="13.8" x14ac:dyDescent="0.3">
      <c r="A6" s="193" t="s">
        <v>1417</v>
      </c>
      <c r="B6" s="2"/>
      <c r="C6" s="2"/>
      <c r="D6" s="2"/>
      <c r="E6" s="2">
        <v>68243</v>
      </c>
      <c r="F6" s="2">
        <v>68276</v>
      </c>
      <c r="G6" s="2">
        <v>68276</v>
      </c>
      <c r="H6" s="2">
        <v>68276</v>
      </c>
      <c r="I6" s="2"/>
      <c r="J6" s="2"/>
    </row>
    <row r="7" spans="1:10" s="191" customFormat="1" x14ac:dyDescent="0.25">
      <c r="A7" s="23" t="s">
        <v>429</v>
      </c>
      <c r="B7" s="2">
        <v>52</v>
      </c>
      <c r="C7" s="2">
        <v>1313</v>
      </c>
      <c r="D7" s="2">
        <f>+C7*B7</f>
        <v>68276</v>
      </c>
      <c r="E7" s="2"/>
      <c r="F7" s="2"/>
      <c r="G7" s="2"/>
      <c r="H7" s="2"/>
      <c r="I7" s="2"/>
      <c r="J7" s="2"/>
    </row>
    <row r="8" spans="1:10" s="191" customFormat="1" ht="15" x14ac:dyDescent="0.4">
      <c r="A8" s="191" t="s">
        <v>912</v>
      </c>
      <c r="B8" s="2"/>
      <c r="C8" s="2"/>
      <c r="D8" s="11">
        <v>0</v>
      </c>
      <c r="E8" s="2"/>
      <c r="F8" s="11"/>
      <c r="G8" s="11"/>
      <c r="H8" s="11"/>
      <c r="I8" s="11"/>
      <c r="J8" s="11"/>
    </row>
    <row r="9" spans="1:10" s="191" customFormat="1" x14ac:dyDescent="0.25">
      <c r="A9" s="191" t="s">
        <v>1182</v>
      </c>
      <c r="B9" s="2"/>
      <c r="C9" s="2"/>
      <c r="D9" s="2">
        <f>SUM(D7:D8)</f>
        <v>68276</v>
      </c>
      <c r="E9" s="2"/>
      <c r="F9" s="2"/>
      <c r="G9" s="2"/>
      <c r="H9" s="2"/>
      <c r="I9" s="2"/>
      <c r="J9" s="2"/>
    </row>
    <row r="10" spans="1:10" s="191" customFormat="1" x14ac:dyDescent="0.25">
      <c r="B10" s="2"/>
      <c r="C10" s="2"/>
      <c r="D10" s="2"/>
      <c r="E10" s="2"/>
      <c r="F10" s="2"/>
      <c r="G10" s="2"/>
      <c r="H10" s="2"/>
      <c r="I10" s="2"/>
      <c r="J10" s="2"/>
    </row>
    <row r="11" spans="1:10" s="191" customFormat="1" x14ac:dyDescent="0.25">
      <c r="B11" s="2"/>
      <c r="C11" s="2"/>
      <c r="D11" s="2"/>
      <c r="E11" s="2"/>
      <c r="F11" s="2"/>
      <c r="G11" s="2"/>
      <c r="H11" s="2"/>
      <c r="I11" s="2"/>
      <c r="J11" s="2"/>
    </row>
    <row r="12" spans="1:10" s="191" customFormat="1" ht="13.8" x14ac:dyDescent="0.3">
      <c r="A12" s="193" t="s">
        <v>1970</v>
      </c>
      <c r="B12" s="2"/>
      <c r="C12" s="2"/>
      <c r="D12" s="2"/>
      <c r="E12" s="2">
        <v>63</v>
      </c>
      <c r="F12" s="2">
        <v>38792</v>
      </c>
      <c r="G12" s="2">
        <v>38792</v>
      </c>
      <c r="H12" s="2">
        <v>38792</v>
      </c>
      <c r="I12" s="2"/>
      <c r="J12" s="2"/>
    </row>
    <row r="13" spans="1:10" s="191" customFormat="1" x14ac:dyDescent="0.25">
      <c r="A13" s="191" t="s">
        <v>1925</v>
      </c>
      <c r="B13" s="2">
        <v>52</v>
      </c>
      <c r="C13" s="2">
        <v>746</v>
      </c>
      <c r="D13" s="2">
        <f>+C13*B13</f>
        <v>38792</v>
      </c>
      <c r="E13" s="2"/>
      <c r="F13" s="2"/>
      <c r="G13" s="2"/>
      <c r="H13" s="2"/>
      <c r="I13" s="2"/>
      <c r="J13" s="2"/>
    </row>
    <row r="14" spans="1:10" s="191" customFormat="1" ht="15" x14ac:dyDescent="0.4">
      <c r="A14" s="191" t="s">
        <v>912</v>
      </c>
      <c r="B14" s="2"/>
      <c r="C14" s="2"/>
      <c r="D14" s="11">
        <v>0</v>
      </c>
      <c r="I14" s="2"/>
      <c r="J14" s="2"/>
    </row>
    <row r="15" spans="1:10" s="191" customFormat="1" x14ac:dyDescent="0.25">
      <c r="A15" s="191" t="s">
        <v>1182</v>
      </c>
      <c r="B15" s="2"/>
      <c r="C15" s="2"/>
      <c r="D15" s="2">
        <f>SUM(D13:D14)</f>
        <v>38792</v>
      </c>
      <c r="E15" s="2"/>
      <c r="F15" s="2"/>
      <c r="G15" s="2"/>
      <c r="H15" s="2"/>
      <c r="I15" s="2"/>
      <c r="J15" s="2"/>
    </row>
    <row r="16" spans="1:10" s="191" customFormat="1" x14ac:dyDescent="0.25">
      <c r="B16" s="2"/>
      <c r="C16" s="2"/>
      <c r="D16" s="2"/>
      <c r="E16" s="2"/>
      <c r="F16" s="2"/>
      <c r="G16" s="2"/>
      <c r="H16" s="2"/>
      <c r="I16" s="2"/>
      <c r="J16" s="2"/>
    </row>
    <row r="17" spans="1:10" s="191" customFormat="1" x14ac:dyDescent="0.25">
      <c r="B17" s="2"/>
      <c r="C17" s="2"/>
      <c r="D17" s="2"/>
      <c r="E17" s="2"/>
      <c r="F17" s="2"/>
      <c r="G17" s="2"/>
      <c r="H17" s="2"/>
      <c r="I17" s="2"/>
      <c r="J17" s="2"/>
    </row>
    <row r="18" spans="1:10" s="191" customFormat="1" ht="13.8" x14ac:dyDescent="0.3">
      <c r="A18" s="193" t="s">
        <v>1045</v>
      </c>
      <c r="B18" s="2"/>
      <c r="C18" s="2"/>
      <c r="D18" s="2"/>
      <c r="E18" s="2">
        <v>26949</v>
      </c>
      <c r="F18" s="2">
        <v>32173</v>
      </c>
      <c r="G18" s="2">
        <v>32173</v>
      </c>
      <c r="H18" s="2">
        <v>32173</v>
      </c>
      <c r="I18" s="2"/>
      <c r="J18" s="2"/>
    </row>
    <row r="19" spans="1:10" s="191" customFormat="1" x14ac:dyDescent="0.25">
      <c r="A19" s="191" t="s">
        <v>1845</v>
      </c>
      <c r="B19" s="2">
        <v>0</v>
      </c>
      <c r="C19" s="12">
        <v>18.27</v>
      </c>
      <c r="D19" s="2">
        <f t="shared" ref="D19:D24" si="0">ROUND(B19*C19,0)</f>
        <v>0</v>
      </c>
      <c r="E19" s="2"/>
      <c r="F19" s="2"/>
      <c r="G19" s="2"/>
      <c r="H19" s="2"/>
      <c r="I19" s="2"/>
      <c r="J19" s="2"/>
    </row>
    <row r="20" spans="1:10" s="191" customFormat="1" x14ac:dyDescent="0.25">
      <c r="A20" s="191" t="s">
        <v>1942</v>
      </c>
      <c r="B20" s="2">
        <v>0</v>
      </c>
      <c r="C20" s="12">
        <v>9.25</v>
      </c>
      <c r="D20" s="2">
        <f t="shared" si="0"/>
        <v>0</v>
      </c>
      <c r="E20" s="2"/>
      <c r="F20" s="2"/>
      <c r="G20" s="2"/>
      <c r="H20" s="2"/>
      <c r="I20" s="2"/>
      <c r="J20" s="2"/>
    </row>
    <row r="21" spans="1:10" s="191" customFormat="1" x14ac:dyDescent="0.25">
      <c r="A21" s="191" t="s">
        <v>1846</v>
      </c>
      <c r="B21" s="2">
        <v>160</v>
      </c>
      <c r="C21" s="12">
        <v>10</v>
      </c>
      <c r="D21" s="2">
        <f t="shared" si="0"/>
        <v>1600</v>
      </c>
      <c r="E21" s="2"/>
      <c r="F21" s="2"/>
      <c r="G21" s="2"/>
      <c r="H21" s="2"/>
      <c r="I21" s="2"/>
      <c r="J21" s="2"/>
    </row>
    <row r="22" spans="1:10" s="191" customFormat="1" x14ac:dyDescent="0.25">
      <c r="A22" s="191" t="s">
        <v>1847</v>
      </c>
      <c r="B22" s="2">
        <v>640</v>
      </c>
      <c r="C22" s="12">
        <v>10</v>
      </c>
      <c r="D22" s="2">
        <f t="shared" si="0"/>
        <v>6400</v>
      </c>
      <c r="E22" s="2"/>
      <c r="F22" s="2"/>
      <c r="G22" s="2"/>
      <c r="H22" s="2"/>
      <c r="I22" s="2"/>
      <c r="J22" s="2"/>
    </row>
    <row r="23" spans="1:10" s="191" customFormat="1" x14ac:dyDescent="0.25">
      <c r="A23" s="191" t="s">
        <v>1848</v>
      </c>
      <c r="B23" s="2">
        <v>180</v>
      </c>
      <c r="C23" s="12">
        <v>13.98</v>
      </c>
      <c r="D23" s="2">
        <f t="shared" si="0"/>
        <v>2516</v>
      </c>
      <c r="E23" s="2"/>
      <c r="F23" s="2"/>
      <c r="G23" s="2"/>
      <c r="H23" s="2"/>
      <c r="I23" s="2"/>
      <c r="J23" s="2"/>
    </row>
    <row r="24" spans="1:10" s="191" customFormat="1" x14ac:dyDescent="0.25">
      <c r="A24" s="191" t="s">
        <v>1941</v>
      </c>
      <c r="B24" s="2">
        <v>0</v>
      </c>
      <c r="C24" s="12">
        <v>10</v>
      </c>
      <c r="D24" s="2">
        <f t="shared" si="0"/>
        <v>0</v>
      </c>
      <c r="E24" s="2"/>
      <c r="F24" s="2"/>
      <c r="G24" s="2"/>
      <c r="H24" s="2"/>
      <c r="I24" s="2"/>
      <c r="J24" s="2"/>
    </row>
    <row r="25" spans="1:10" s="191" customFormat="1" x14ac:dyDescent="0.25">
      <c r="A25" s="191" t="s">
        <v>1725</v>
      </c>
      <c r="B25" s="2">
        <v>480</v>
      </c>
      <c r="C25" s="12">
        <v>11.56</v>
      </c>
      <c r="D25" s="2">
        <f>ROUND(B25*C25,0)</f>
        <v>5549</v>
      </c>
      <c r="E25" s="2"/>
      <c r="F25" s="18"/>
      <c r="G25" s="18"/>
      <c r="H25" s="18"/>
      <c r="I25" s="18"/>
      <c r="J25" s="18"/>
    </row>
    <row r="26" spans="1:10" s="191" customFormat="1" ht="15" x14ac:dyDescent="0.4">
      <c r="A26" s="191" t="s">
        <v>1802</v>
      </c>
      <c r="B26" s="2">
        <v>1144</v>
      </c>
      <c r="C26" s="12">
        <v>14.08</v>
      </c>
      <c r="D26" s="11">
        <f>ROUND(B26*C26,0)</f>
        <v>16108</v>
      </c>
      <c r="E26" s="2"/>
      <c r="F26" s="2"/>
      <c r="G26" s="2"/>
      <c r="H26" s="2"/>
      <c r="I26" s="2"/>
      <c r="J26" s="2"/>
    </row>
    <row r="27" spans="1:10" s="191" customFormat="1" x14ac:dyDescent="0.25">
      <c r="A27" s="191" t="s">
        <v>1182</v>
      </c>
      <c r="B27" s="2"/>
      <c r="C27" s="2"/>
      <c r="D27" s="2">
        <f>SUM(D19:D26)</f>
        <v>32173</v>
      </c>
      <c r="E27" s="2"/>
      <c r="F27" s="2"/>
      <c r="G27" s="2"/>
      <c r="H27" s="2"/>
      <c r="I27" s="2"/>
      <c r="J27" s="2"/>
    </row>
    <row r="28" spans="1:10" s="191" customFormat="1" x14ac:dyDescent="0.25">
      <c r="D28" s="2"/>
    </row>
    <row r="29" spans="1:10" s="191" customFormat="1" ht="13.8" x14ac:dyDescent="0.3">
      <c r="A29" s="193" t="s">
        <v>4</v>
      </c>
      <c r="D29" s="2"/>
      <c r="E29" s="2">
        <v>0</v>
      </c>
      <c r="F29" s="2">
        <v>500</v>
      </c>
      <c r="G29" s="2">
        <v>500</v>
      </c>
      <c r="H29" s="2">
        <v>500</v>
      </c>
      <c r="I29" s="2"/>
      <c r="J29" s="2"/>
    </row>
    <row r="30" spans="1:10" s="191" customFormat="1" x14ac:dyDescent="0.25">
      <c r="A30" s="191" t="s">
        <v>1621</v>
      </c>
      <c r="B30" s="2">
        <v>31</v>
      </c>
      <c r="C30" s="12">
        <v>16.13</v>
      </c>
      <c r="D30" s="2">
        <v>500</v>
      </c>
      <c r="E30" s="2"/>
      <c r="F30" s="2"/>
      <c r="G30" s="2"/>
      <c r="H30" s="2"/>
      <c r="I30" s="2"/>
      <c r="J30" s="2"/>
    </row>
    <row r="31" spans="1:10" s="191" customFormat="1" ht="13.8" x14ac:dyDescent="0.3">
      <c r="A31" s="193" t="s">
        <v>5</v>
      </c>
      <c r="D31" s="2"/>
      <c r="E31" s="2">
        <v>7239</v>
      </c>
      <c r="F31" s="2">
        <v>10691</v>
      </c>
      <c r="G31" s="2">
        <v>10691</v>
      </c>
      <c r="H31" s="2">
        <v>10691</v>
      </c>
      <c r="I31" s="2"/>
      <c r="J31" s="2"/>
    </row>
    <row r="32" spans="1:10" s="191" customFormat="1" hidden="1" x14ac:dyDescent="0.25">
      <c r="A32" s="13" t="s">
        <v>1406</v>
      </c>
      <c r="B32" s="2">
        <f>+D9</f>
        <v>68276</v>
      </c>
      <c r="C32" s="14">
        <v>7.6499999999999999E-2</v>
      </c>
      <c r="D32" s="2">
        <f>ROUND(B32*C32,0)</f>
        <v>5223</v>
      </c>
      <c r="E32" s="2"/>
      <c r="F32" s="2"/>
      <c r="G32" s="2"/>
      <c r="H32" s="2"/>
      <c r="I32" s="2"/>
      <c r="J32" s="2"/>
    </row>
    <row r="33" spans="1:10" s="191" customFormat="1" hidden="1" x14ac:dyDescent="0.25">
      <c r="A33" s="13" t="s">
        <v>757</v>
      </c>
      <c r="B33" s="2">
        <f>+D15</f>
        <v>38792</v>
      </c>
      <c r="C33" s="14">
        <v>7.6499999999999999E-2</v>
      </c>
      <c r="D33" s="2">
        <f>ROUND(B33*C33,0)</f>
        <v>2968</v>
      </c>
      <c r="E33" s="2"/>
      <c r="F33" s="2"/>
      <c r="G33" s="2"/>
      <c r="H33" s="2"/>
      <c r="I33" s="2"/>
      <c r="J33" s="2"/>
    </row>
    <row r="34" spans="1:10" s="191" customFormat="1" hidden="1" x14ac:dyDescent="0.25">
      <c r="A34" s="13" t="s">
        <v>183</v>
      </c>
      <c r="B34" s="2">
        <f>+D27</f>
        <v>32173</v>
      </c>
      <c r="C34" s="14">
        <v>7.6499999999999999E-2</v>
      </c>
      <c r="D34" s="2">
        <f>ROUND(B34*C34,0)+1</f>
        <v>2462</v>
      </c>
      <c r="E34" s="2"/>
      <c r="F34" s="2"/>
      <c r="G34" s="2"/>
      <c r="H34" s="2"/>
      <c r="I34" s="2"/>
      <c r="J34" s="2"/>
    </row>
    <row r="35" spans="1:10" s="191" customFormat="1" ht="15" hidden="1" x14ac:dyDescent="0.4">
      <c r="A35" s="13" t="s">
        <v>184</v>
      </c>
      <c r="B35" s="2">
        <f>+D30</f>
        <v>500</v>
      </c>
      <c r="C35" s="14">
        <v>7.6499999999999999E-2</v>
      </c>
      <c r="D35" s="11">
        <f>ROUND(B35*C35,0)</f>
        <v>38</v>
      </c>
      <c r="E35" s="2"/>
      <c r="F35" s="2"/>
      <c r="G35" s="2"/>
      <c r="H35" s="2"/>
      <c r="I35" s="2"/>
      <c r="J35" s="2"/>
    </row>
    <row r="36" spans="1:10" s="191" customFormat="1" hidden="1" x14ac:dyDescent="0.25">
      <c r="A36" s="191" t="s">
        <v>1182</v>
      </c>
      <c r="D36" s="2">
        <f>SUM(D32:D35)</f>
        <v>10691</v>
      </c>
      <c r="E36" s="2"/>
      <c r="F36" s="2"/>
      <c r="G36" s="2"/>
      <c r="H36" s="2"/>
      <c r="I36" s="2"/>
      <c r="J36" s="2"/>
    </row>
    <row r="37" spans="1:10" s="191" customFormat="1" x14ac:dyDescent="0.25">
      <c r="D37" s="2"/>
      <c r="E37" s="2"/>
      <c r="F37" s="2"/>
      <c r="G37" s="2"/>
      <c r="H37" s="2"/>
      <c r="I37" s="2"/>
      <c r="J37" s="2"/>
    </row>
    <row r="38" spans="1:10" s="191" customFormat="1" ht="13.8" x14ac:dyDescent="0.3">
      <c r="A38" s="193" t="s">
        <v>42</v>
      </c>
      <c r="D38" s="2"/>
      <c r="E38" s="2">
        <v>7625</v>
      </c>
      <c r="F38" s="2">
        <v>13009</v>
      </c>
      <c r="G38" s="2">
        <v>12185</v>
      </c>
      <c r="H38" s="2">
        <v>12185</v>
      </c>
      <c r="I38" s="2"/>
      <c r="J38" s="2"/>
    </row>
    <row r="39" spans="1:10" s="191" customFormat="1" hidden="1" x14ac:dyDescent="0.25">
      <c r="A39" s="13" t="s">
        <v>1406</v>
      </c>
      <c r="B39" s="2">
        <f>+D9</f>
        <v>68276</v>
      </c>
      <c r="C39" s="14">
        <v>0.1138</v>
      </c>
      <c r="D39" s="2">
        <f>ROUND(B39*C39,0)</f>
        <v>7770</v>
      </c>
      <c r="E39" s="2"/>
      <c r="F39" s="2"/>
      <c r="G39" s="2"/>
      <c r="H39" s="2"/>
      <c r="I39" s="2"/>
      <c r="J39" s="2"/>
    </row>
    <row r="40" spans="1:10" s="191" customFormat="1" ht="15" hidden="1" x14ac:dyDescent="0.4">
      <c r="A40" s="13" t="s">
        <v>757</v>
      </c>
      <c r="B40" s="2">
        <f>+D15</f>
        <v>38792</v>
      </c>
      <c r="C40" s="14">
        <v>0.1138</v>
      </c>
      <c r="D40" s="11">
        <f>ROUND(B40*C40,0)</f>
        <v>4415</v>
      </c>
      <c r="E40" s="2"/>
      <c r="F40" s="2"/>
      <c r="G40" s="2"/>
      <c r="H40" s="2"/>
      <c r="I40" s="2"/>
      <c r="J40" s="2"/>
    </row>
    <row r="41" spans="1:10" s="191" customFormat="1" hidden="1" x14ac:dyDescent="0.25">
      <c r="A41" s="191" t="s">
        <v>1182</v>
      </c>
      <c r="B41" s="2"/>
      <c r="C41" s="14"/>
      <c r="D41" s="2">
        <f>SUM(D39:D40)</f>
        <v>12185</v>
      </c>
      <c r="E41" s="2"/>
      <c r="F41" s="2"/>
      <c r="G41" s="2"/>
      <c r="H41" s="2"/>
      <c r="I41" s="2"/>
      <c r="J41" s="2"/>
    </row>
    <row r="42" spans="1:10" s="191" customFormat="1" x14ac:dyDescent="0.25">
      <c r="D42" s="2"/>
      <c r="E42" s="2"/>
      <c r="F42" s="2"/>
      <c r="G42" s="2"/>
      <c r="H42" s="2"/>
      <c r="I42" s="2"/>
      <c r="J42" s="2"/>
    </row>
    <row r="43" spans="1:10" s="191" customFormat="1" ht="13.8" x14ac:dyDescent="0.3">
      <c r="A43" s="193" t="s">
        <v>43</v>
      </c>
      <c r="D43" s="2"/>
      <c r="E43" s="2">
        <v>16187</v>
      </c>
      <c r="F43" s="2">
        <v>34500</v>
      </c>
      <c r="G43" s="2">
        <v>36600</v>
      </c>
      <c r="H43" s="2">
        <v>36600</v>
      </c>
      <c r="I43" s="2"/>
      <c r="J43" s="2"/>
    </row>
    <row r="44" spans="1:10" s="191" customFormat="1" x14ac:dyDescent="0.25">
      <c r="A44" s="191" t="s">
        <v>406</v>
      </c>
      <c r="B44" s="124">
        <v>2</v>
      </c>
      <c r="C44" s="2">
        <v>18300</v>
      </c>
      <c r="D44" s="2">
        <f>ROUND(B44*C44,0)</f>
        <v>36600</v>
      </c>
      <c r="E44" s="2"/>
      <c r="F44" s="2"/>
      <c r="G44" s="2"/>
      <c r="H44" s="2"/>
      <c r="I44" s="2"/>
      <c r="J44" s="2"/>
    </row>
    <row r="45" spans="1:10" s="191" customFormat="1" x14ac:dyDescent="0.25">
      <c r="B45" s="124"/>
      <c r="D45" s="2"/>
      <c r="E45" s="2"/>
      <c r="F45" s="2"/>
      <c r="G45" s="2"/>
      <c r="H45" s="2"/>
      <c r="I45" s="2"/>
      <c r="J45" s="2"/>
    </row>
    <row r="46" spans="1:10" s="191" customFormat="1" ht="13.8" x14ac:dyDescent="0.3">
      <c r="A46" s="193" t="s">
        <v>1031</v>
      </c>
      <c r="B46" s="124"/>
      <c r="D46" s="2"/>
      <c r="E46" s="2">
        <v>1187</v>
      </c>
      <c r="F46" s="2">
        <v>2340</v>
      </c>
      <c r="G46" s="2">
        <v>2340</v>
      </c>
      <c r="H46" s="2">
        <v>2340</v>
      </c>
      <c r="I46" s="2"/>
      <c r="J46" s="2"/>
    </row>
    <row r="47" spans="1:10" s="191" customFormat="1" x14ac:dyDescent="0.25">
      <c r="A47" s="191" t="s">
        <v>406</v>
      </c>
      <c r="B47" s="124">
        <v>2</v>
      </c>
      <c r="C47" s="2">
        <v>1300</v>
      </c>
      <c r="D47" s="2">
        <f>ROUND(B47*C47,0)</f>
        <v>2600</v>
      </c>
      <c r="E47" s="2"/>
      <c r="F47" s="2"/>
      <c r="G47" s="2"/>
      <c r="H47" s="2"/>
      <c r="I47" s="2"/>
      <c r="J47" s="2"/>
    </row>
    <row r="48" spans="1:10" s="191" customFormat="1" ht="15" x14ac:dyDescent="0.4">
      <c r="A48" s="191" t="s">
        <v>226</v>
      </c>
      <c r="B48" s="124"/>
      <c r="C48" s="2"/>
      <c r="D48" s="11">
        <f>+C47*-0.1*B47</f>
        <v>-260</v>
      </c>
      <c r="E48" s="2"/>
      <c r="F48" s="2"/>
      <c r="G48" s="2"/>
      <c r="H48" s="2"/>
      <c r="I48" s="2"/>
      <c r="J48" s="2"/>
    </row>
    <row r="49" spans="1:10" s="191" customFormat="1" x14ac:dyDescent="0.25">
      <c r="A49" s="191" t="s">
        <v>751</v>
      </c>
      <c r="B49" s="124"/>
      <c r="C49" s="2"/>
      <c r="D49" s="2">
        <f>SUM(D47:D48)</f>
        <v>2340</v>
      </c>
      <c r="E49" s="2"/>
      <c r="F49" s="2"/>
      <c r="G49" s="2"/>
      <c r="H49" s="2"/>
      <c r="I49" s="2"/>
      <c r="J49" s="2"/>
    </row>
    <row r="50" spans="1:10" s="191" customFormat="1" x14ac:dyDescent="0.25">
      <c r="B50" s="124"/>
      <c r="D50" s="2"/>
      <c r="E50" s="2"/>
      <c r="F50" s="2"/>
      <c r="G50" s="2"/>
      <c r="H50" s="2"/>
      <c r="I50" s="2"/>
      <c r="J50" s="2"/>
    </row>
    <row r="51" spans="1:10" s="191" customFormat="1" ht="13.8" x14ac:dyDescent="0.3">
      <c r="A51" s="193" t="s">
        <v>149</v>
      </c>
      <c r="B51" s="124"/>
      <c r="D51" s="2"/>
      <c r="E51" s="2">
        <v>149</v>
      </c>
      <c r="F51" s="2">
        <v>270</v>
      </c>
      <c r="G51" s="2">
        <v>270</v>
      </c>
      <c r="H51" s="2">
        <v>270</v>
      </c>
      <c r="I51" s="2"/>
      <c r="J51" s="2"/>
    </row>
    <row r="52" spans="1:10" s="191" customFormat="1" hidden="1" x14ac:dyDescent="0.25">
      <c r="A52" s="191" t="s">
        <v>406</v>
      </c>
      <c r="B52" s="124">
        <v>2</v>
      </c>
      <c r="C52" s="2">
        <v>135</v>
      </c>
      <c r="D52" s="2">
        <f>ROUND(B52*C52,0)</f>
        <v>270</v>
      </c>
      <c r="E52" s="2"/>
      <c r="F52" s="2"/>
      <c r="G52" s="2"/>
      <c r="H52" s="2"/>
      <c r="I52" s="2"/>
      <c r="J52" s="2"/>
    </row>
    <row r="53" spans="1:10" s="191" customFormat="1" x14ac:dyDescent="0.25">
      <c r="B53" s="124"/>
      <c r="D53" s="2"/>
      <c r="E53" s="2"/>
      <c r="F53" s="2"/>
      <c r="G53" s="2"/>
      <c r="H53" s="2"/>
      <c r="I53" s="2"/>
      <c r="J53" s="2"/>
    </row>
    <row r="54" spans="1:10" s="191" customFormat="1" ht="13.8" x14ac:dyDescent="0.3">
      <c r="A54" s="193" t="s">
        <v>150</v>
      </c>
      <c r="B54" s="124"/>
      <c r="D54" s="2"/>
      <c r="E54" s="2">
        <v>428</v>
      </c>
      <c r="F54" s="2">
        <v>820</v>
      </c>
      <c r="G54" s="2">
        <v>1260</v>
      </c>
      <c r="H54" s="2">
        <v>1260</v>
      </c>
      <c r="I54" s="2"/>
      <c r="J54" s="2"/>
    </row>
    <row r="55" spans="1:10" s="191" customFormat="1" hidden="1" x14ac:dyDescent="0.25">
      <c r="A55" s="191" t="s">
        <v>406</v>
      </c>
      <c r="B55" s="124">
        <v>2</v>
      </c>
      <c r="C55" s="2">
        <v>630</v>
      </c>
      <c r="D55" s="2">
        <f>ROUND(B55*C55,0)</f>
        <v>1260</v>
      </c>
      <c r="E55" s="2"/>
      <c r="F55" s="2"/>
      <c r="G55" s="2"/>
      <c r="H55" s="2"/>
      <c r="I55" s="2"/>
      <c r="J55" s="2"/>
    </row>
    <row r="56" spans="1:10" s="191" customFormat="1" x14ac:dyDescent="0.25">
      <c r="D56" s="2"/>
      <c r="E56" s="2"/>
      <c r="F56" s="2"/>
      <c r="G56" s="2"/>
      <c r="H56" s="2"/>
      <c r="I56" s="2"/>
      <c r="J56" s="2"/>
    </row>
    <row r="57" spans="1:10" s="191" customFormat="1" ht="13.8" x14ac:dyDescent="0.3">
      <c r="A57" s="193" t="s">
        <v>151</v>
      </c>
      <c r="D57" s="2"/>
      <c r="E57" s="2">
        <f>342+1263</f>
        <v>1605</v>
      </c>
      <c r="F57" s="2">
        <v>2718</v>
      </c>
      <c r="G57" s="2">
        <v>2785</v>
      </c>
      <c r="H57" s="2">
        <v>2785</v>
      </c>
      <c r="I57" s="2"/>
      <c r="J57" s="2"/>
    </row>
    <row r="58" spans="1:10" s="191" customFormat="1" hidden="1" x14ac:dyDescent="0.25">
      <c r="A58" s="13" t="s">
        <v>1104</v>
      </c>
      <c r="B58" s="2">
        <f>+D7+D8</f>
        <v>68276</v>
      </c>
      <c r="C58" s="14">
        <v>1.9300000000000001E-2</v>
      </c>
      <c r="D58" s="2">
        <f t="shared" ref="D58:D63" si="1">ROUND(B58*C58,0)</f>
        <v>1318</v>
      </c>
      <c r="E58" s="2"/>
      <c r="F58" s="2"/>
      <c r="G58" s="2"/>
      <c r="H58" s="2"/>
      <c r="I58" s="2"/>
      <c r="J58" s="2"/>
    </row>
    <row r="59" spans="1:10" s="191" customFormat="1" hidden="1" x14ac:dyDescent="0.25">
      <c r="A59" s="13" t="s">
        <v>1926</v>
      </c>
      <c r="B59" s="2">
        <f>+B33</f>
        <v>38792</v>
      </c>
      <c r="C59" s="14">
        <v>1.9300000000000001E-2</v>
      </c>
      <c r="D59" s="2">
        <f t="shared" si="1"/>
        <v>749</v>
      </c>
      <c r="E59" s="2"/>
      <c r="F59" s="2"/>
      <c r="G59" s="2"/>
      <c r="H59" s="2"/>
      <c r="I59" s="2"/>
      <c r="J59" s="2"/>
    </row>
    <row r="60" spans="1:10" s="191" customFormat="1" hidden="1" x14ac:dyDescent="0.25">
      <c r="A60" s="13" t="s">
        <v>1050</v>
      </c>
      <c r="B60" s="2">
        <f>+D19</f>
        <v>0</v>
      </c>
      <c r="C60" s="14">
        <v>1.6000000000000001E-3</v>
      </c>
      <c r="D60" s="2">
        <f t="shared" si="1"/>
        <v>0</v>
      </c>
      <c r="E60" s="2"/>
      <c r="F60" s="2"/>
      <c r="G60" s="2"/>
      <c r="H60" s="2"/>
      <c r="I60" s="2"/>
      <c r="J60" s="2"/>
    </row>
    <row r="61" spans="1:10" s="191" customFormat="1" hidden="1" x14ac:dyDescent="0.25">
      <c r="A61" s="13" t="s">
        <v>535</v>
      </c>
      <c r="B61" s="2">
        <f>+D26</f>
        <v>16108</v>
      </c>
      <c r="C61" s="14">
        <v>2.47E-2</v>
      </c>
      <c r="D61" s="2">
        <f t="shared" si="1"/>
        <v>398</v>
      </c>
      <c r="E61" s="2"/>
      <c r="F61" s="2"/>
      <c r="G61" s="2"/>
      <c r="H61" s="2"/>
      <c r="I61" s="2"/>
      <c r="J61" s="2"/>
    </row>
    <row r="62" spans="1:10" s="191" customFormat="1" hidden="1" x14ac:dyDescent="0.25">
      <c r="A62" s="13" t="s">
        <v>1445</v>
      </c>
      <c r="B62" s="2">
        <f>+D25+D23+D22+D21</f>
        <v>16065</v>
      </c>
      <c r="C62" s="14">
        <v>1.9300000000000001E-2</v>
      </c>
      <c r="D62" s="2">
        <f t="shared" si="1"/>
        <v>310</v>
      </c>
      <c r="E62" s="2"/>
      <c r="F62" s="2"/>
      <c r="G62" s="2"/>
      <c r="H62" s="2"/>
      <c r="I62" s="2"/>
      <c r="J62" s="2"/>
    </row>
    <row r="63" spans="1:10" s="191" customFormat="1" ht="15" hidden="1" x14ac:dyDescent="0.4">
      <c r="A63" s="13" t="s">
        <v>1998</v>
      </c>
      <c r="B63" s="2">
        <f>+D30</f>
        <v>500</v>
      </c>
      <c r="C63" s="14">
        <v>1.9300000000000001E-2</v>
      </c>
      <c r="D63" s="11">
        <f t="shared" si="1"/>
        <v>10</v>
      </c>
      <c r="E63" s="2"/>
      <c r="F63" s="2"/>
      <c r="G63" s="2"/>
      <c r="H63" s="2"/>
      <c r="I63" s="2"/>
      <c r="J63" s="2"/>
    </row>
    <row r="64" spans="1:10" s="191" customFormat="1" hidden="1" x14ac:dyDescent="0.25">
      <c r="A64" s="191" t="s">
        <v>1182</v>
      </c>
      <c r="D64" s="2">
        <f>SUM(D58:D63)</f>
        <v>2785</v>
      </c>
      <c r="E64" s="2"/>
      <c r="F64" s="2"/>
      <c r="G64" s="2"/>
      <c r="H64" s="2"/>
      <c r="I64" s="2"/>
      <c r="J64" s="2"/>
    </row>
    <row r="65" spans="1:10" s="191" customFormat="1" x14ac:dyDescent="0.25">
      <c r="D65" s="2"/>
      <c r="E65" s="2"/>
      <c r="F65" s="2"/>
      <c r="G65" s="2"/>
      <c r="H65" s="2"/>
      <c r="I65" s="2"/>
      <c r="J65" s="2"/>
    </row>
    <row r="66" spans="1:10" s="191" customFormat="1" ht="13.8" x14ac:dyDescent="0.3">
      <c r="A66" s="193" t="s">
        <v>328</v>
      </c>
      <c r="D66" s="2"/>
      <c r="E66" s="2">
        <v>-543</v>
      </c>
      <c r="F66" s="2">
        <v>211</v>
      </c>
      <c r="G66" s="2">
        <v>159</v>
      </c>
      <c r="H66" s="2">
        <v>159</v>
      </c>
      <c r="I66" s="2"/>
      <c r="J66" s="2"/>
    </row>
    <row r="67" spans="1:10" s="191" customFormat="1" hidden="1" x14ac:dyDescent="0.25">
      <c r="A67" s="191" t="s">
        <v>430</v>
      </c>
      <c r="B67" s="2">
        <v>1</v>
      </c>
      <c r="C67" s="2">
        <v>26</v>
      </c>
      <c r="D67" s="2">
        <f>ROUND(B67*C67,0)</f>
        <v>26</v>
      </c>
      <c r="E67" s="2"/>
      <c r="F67" s="2"/>
      <c r="G67" s="2"/>
      <c r="H67" s="2"/>
      <c r="I67" s="2"/>
      <c r="J67" s="2"/>
    </row>
    <row r="68" spans="1:10" s="191" customFormat="1" hidden="1" x14ac:dyDescent="0.25">
      <c r="A68" s="13" t="s">
        <v>1926</v>
      </c>
      <c r="B68" s="2">
        <v>1</v>
      </c>
      <c r="C68" s="2">
        <v>26</v>
      </c>
      <c r="D68" s="2">
        <f>ROUND(B68*C68,0)</f>
        <v>26</v>
      </c>
      <c r="E68" s="2"/>
      <c r="F68" s="2"/>
      <c r="G68" s="2"/>
      <c r="H68" s="2"/>
      <c r="I68" s="2"/>
      <c r="J68" s="2"/>
    </row>
    <row r="69" spans="1:10" s="191" customFormat="1" hidden="1" x14ac:dyDescent="0.25">
      <c r="A69" s="13" t="s">
        <v>1795</v>
      </c>
      <c r="B69" s="124">
        <v>0.5</v>
      </c>
      <c r="C69" s="2">
        <v>26</v>
      </c>
      <c r="D69" s="2">
        <f>ROUND(B69*C69,0)</f>
        <v>13</v>
      </c>
      <c r="E69" s="2"/>
      <c r="F69" s="2"/>
      <c r="G69" s="2"/>
      <c r="H69" s="2"/>
      <c r="I69" s="2"/>
      <c r="J69" s="2"/>
    </row>
    <row r="70" spans="1:10" s="191" customFormat="1" hidden="1" x14ac:dyDescent="0.25">
      <c r="A70" s="13" t="s">
        <v>183</v>
      </c>
      <c r="B70" s="2">
        <f>+D21+D22+D23+D25</f>
        <v>16065</v>
      </c>
      <c r="C70" s="14">
        <v>1.8E-3</v>
      </c>
      <c r="D70" s="2">
        <f>ROUND(B70*C70,0)+13</f>
        <v>42</v>
      </c>
      <c r="E70" s="2"/>
      <c r="F70" s="2"/>
      <c r="G70" s="2"/>
      <c r="H70" s="2"/>
      <c r="I70" s="2"/>
      <c r="J70" s="2"/>
    </row>
    <row r="71" spans="1:10" s="191" customFormat="1" ht="15" hidden="1" x14ac:dyDescent="0.4">
      <c r="A71" s="13" t="s">
        <v>1849</v>
      </c>
      <c r="B71" s="2">
        <v>2</v>
      </c>
      <c r="C71" s="2">
        <v>26</v>
      </c>
      <c r="D71" s="11">
        <f>ROUND(B71*C71,0)</f>
        <v>52</v>
      </c>
      <c r="E71" s="2"/>
      <c r="F71" s="2"/>
      <c r="G71" s="2"/>
      <c r="H71" s="2"/>
      <c r="I71" s="2"/>
      <c r="J71" s="2"/>
    </row>
    <row r="72" spans="1:10" s="191" customFormat="1" hidden="1" x14ac:dyDescent="0.25">
      <c r="A72" s="191" t="s">
        <v>1182</v>
      </c>
      <c r="D72" s="2">
        <f>SUM(D67:D71)</f>
        <v>159</v>
      </c>
      <c r="E72" s="2"/>
      <c r="F72" s="2"/>
      <c r="G72" s="2"/>
      <c r="H72" s="2"/>
      <c r="I72" s="2"/>
      <c r="J72" s="2"/>
    </row>
    <row r="73" spans="1:10" s="191" customFormat="1" x14ac:dyDescent="0.25">
      <c r="D73" s="2"/>
      <c r="E73" s="2"/>
      <c r="F73" s="2"/>
      <c r="G73" s="2"/>
      <c r="H73" s="2"/>
      <c r="I73" s="2"/>
      <c r="J73" s="2"/>
    </row>
    <row r="74" spans="1:10" s="191" customFormat="1" ht="13.8" x14ac:dyDescent="0.3">
      <c r="A74" s="193" t="s">
        <v>329</v>
      </c>
      <c r="D74" s="2"/>
      <c r="E74" s="2">
        <v>1253</v>
      </c>
      <c r="F74" s="2">
        <v>1000</v>
      </c>
      <c r="G74" s="2">
        <v>1000</v>
      </c>
      <c r="H74" s="2">
        <v>1000</v>
      </c>
      <c r="I74" s="2"/>
      <c r="J74" s="2"/>
    </row>
    <row r="75" spans="1:10" s="191" customFormat="1" x14ac:dyDescent="0.25">
      <c r="A75" s="191" t="s">
        <v>404</v>
      </c>
      <c r="D75" s="2" t="s">
        <v>386</v>
      </c>
      <c r="E75" s="2"/>
      <c r="F75" s="2"/>
      <c r="G75" s="2"/>
      <c r="H75" s="2"/>
      <c r="I75" s="2"/>
      <c r="J75" s="2"/>
    </row>
    <row r="76" spans="1:10" s="191" customFormat="1" x14ac:dyDescent="0.25">
      <c r="A76" s="191" t="s">
        <v>565</v>
      </c>
      <c r="C76" s="2"/>
      <c r="D76" s="2">
        <v>1000</v>
      </c>
      <c r="E76" s="2"/>
      <c r="F76" s="2"/>
      <c r="G76" s="2"/>
      <c r="H76" s="2"/>
      <c r="I76" s="2"/>
      <c r="J76" s="2"/>
    </row>
    <row r="77" spans="1:10" s="191" customFormat="1" x14ac:dyDescent="0.25">
      <c r="A77" s="191" t="s">
        <v>386</v>
      </c>
      <c r="C77" s="2" t="s">
        <v>386</v>
      </c>
      <c r="D77" s="2" t="s">
        <v>386</v>
      </c>
      <c r="E77" s="2"/>
      <c r="F77" s="2"/>
      <c r="G77" s="2"/>
      <c r="H77" s="2"/>
      <c r="I77" s="2"/>
      <c r="J77" s="2"/>
    </row>
    <row r="78" spans="1:10" s="191" customFormat="1" ht="13.8" x14ac:dyDescent="0.3">
      <c r="A78" s="193" t="s">
        <v>1308</v>
      </c>
      <c r="C78" s="2"/>
      <c r="D78" s="2"/>
      <c r="E78" s="2">
        <v>4399</v>
      </c>
      <c r="F78" s="2">
        <v>3500</v>
      </c>
      <c r="G78" s="2">
        <v>3500</v>
      </c>
      <c r="H78" s="2">
        <v>3500</v>
      </c>
      <c r="I78" s="2"/>
      <c r="J78" s="2"/>
    </row>
    <row r="79" spans="1:10" s="191" customFormat="1" x14ac:dyDescent="0.25">
      <c r="A79" s="191" t="s">
        <v>490</v>
      </c>
      <c r="B79" s="6"/>
      <c r="C79" s="2"/>
      <c r="D79" s="2">
        <v>3500</v>
      </c>
      <c r="E79" s="2"/>
      <c r="F79" s="2"/>
      <c r="G79" s="2"/>
      <c r="H79" s="2"/>
      <c r="I79" s="2"/>
      <c r="J79" s="2"/>
    </row>
    <row r="80" spans="1:10" s="191" customFormat="1" x14ac:dyDescent="0.25">
      <c r="A80" s="6"/>
      <c r="B80" s="6"/>
      <c r="C80" s="2"/>
      <c r="D80" s="2"/>
      <c r="E80" s="2"/>
      <c r="F80" s="2"/>
      <c r="G80" s="2"/>
      <c r="H80" s="2"/>
      <c r="I80" s="2"/>
      <c r="J80" s="2"/>
    </row>
    <row r="81" spans="1:10" s="191" customFormat="1" ht="13.8" x14ac:dyDescent="0.3">
      <c r="A81" s="193" t="s">
        <v>554</v>
      </c>
      <c r="D81" s="2" t="s">
        <v>386</v>
      </c>
      <c r="E81" s="2">
        <v>494</v>
      </c>
      <c r="F81" s="2">
        <v>500</v>
      </c>
      <c r="G81" s="2">
        <v>500</v>
      </c>
      <c r="H81" s="2">
        <v>500</v>
      </c>
      <c r="I81" s="2"/>
      <c r="J81" s="2"/>
    </row>
    <row r="82" spans="1:10" s="191" customFormat="1" x14ac:dyDescent="0.25">
      <c r="A82" s="191" t="s">
        <v>1616</v>
      </c>
      <c r="B82" s="2" t="s">
        <v>386</v>
      </c>
      <c r="C82" s="2" t="s">
        <v>386</v>
      </c>
      <c r="D82" s="2">
        <v>500</v>
      </c>
      <c r="E82" s="2"/>
      <c r="F82" s="2"/>
      <c r="G82" s="2"/>
      <c r="H82" s="2"/>
      <c r="I82" s="2"/>
      <c r="J82" s="2"/>
    </row>
    <row r="83" spans="1:10" s="191" customFormat="1" x14ac:dyDescent="0.25">
      <c r="D83" s="2"/>
      <c r="E83" s="2"/>
      <c r="F83" s="2"/>
      <c r="G83" s="2"/>
      <c r="H83" s="2"/>
      <c r="I83" s="2"/>
      <c r="J83" s="2"/>
    </row>
    <row r="84" spans="1:10" s="191" customFormat="1" ht="13.8" x14ac:dyDescent="0.3">
      <c r="A84" s="193" t="s">
        <v>994</v>
      </c>
      <c r="D84" s="2"/>
      <c r="E84" s="2">
        <v>44</v>
      </c>
      <c r="F84" s="2">
        <v>300</v>
      </c>
      <c r="G84" s="2">
        <v>300</v>
      </c>
      <c r="H84" s="2">
        <v>300</v>
      </c>
      <c r="I84" s="2"/>
      <c r="J84" s="2"/>
    </row>
    <row r="85" spans="1:10" s="191" customFormat="1" x14ac:dyDescent="0.25">
      <c r="A85" s="191" t="s">
        <v>416</v>
      </c>
      <c r="C85" s="2"/>
      <c r="D85" s="2">
        <v>300</v>
      </c>
    </row>
    <row r="86" spans="1:10" s="191" customFormat="1" x14ac:dyDescent="0.25">
      <c r="A86" s="191" t="s">
        <v>386</v>
      </c>
      <c r="C86" s="2" t="s">
        <v>386</v>
      </c>
      <c r="D86" s="2" t="s">
        <v>386</v>
      </c>
      <c r="E86" s="2"/>
      <c r="F86" s="2"/>
      <c r="G86" s="2"/>
      <c r="H86" s="2"/>
      <c r="I86" s="2"/>
      <c r="J86" s="2"/>
    </row>
    <row r="87" spans="1:10" s="191" customFormat="1" ht="13.8" x14ac:dyDescent="0.3">
      <c r="A87" s="193" t="s">
        <v>1070</v>
      </c>
      <c r="C87" s="2"/>
      <c r="D87" s="2"/>
      <c r="E87" s="2">
        <v>402</v>
      </c>
      <c r="F87" s="2">
        <v>530</v>
      </c>
      <c r="G87" s="2">
        <v>530</v>
      </c>
      <c r="H87" s="2">
        <v>530</v>
      </c>
      <c r="I87" s="2"/>
      <c r="J87" s="2"/>
    </row>
    <row r="88" spans="1:10" s="191" customFormat="1" x14ac:dyDescent="0.25">
      <c r="A88" s="191" t="s">
        <v>735</v>
      </c>
      <c r="C88" s="2"/>
      <c r="D88" s="2">
        <v>530</v>
      </c>
      <c r="E88" s="2"/>
      <c r="F88" s="2"/>
      <c r="G88" s="2"/>
      <c r="H88" s="2"/>
      <c r="I88" s="2"/>
      <c r="J88" s="2"/>
    </row>
    <row r="89" spans="1:10" s="191" customFormat="1" x14ac:dyDescent="0.25">
      <c r="A89" s="191" t="s">
        <v>1132</v>
      </c>
      <c r="C89" s="2"/>
      <c r="D89" s="2"/>
      <c r="E89" s="2"/>
      <c r="F89" s="2"/>
      <c r="G89" s="2"/>
      <c r="H89" s="2"/>
      <c r="I89" s="2"/>
      <c r="J89" s="2"/>
    </row>
    <row r="90" spans="1:10" s="191" customFormat="1" x14ac:dyDescent="0.25">
      <c r="C90" s="2"/>
      <c r="D90" s="2"/>
      <c r="E90" s="2"/>
      <c r="F90" s="2"/>
      <c r="G90" s="2"/>
      <c r="H90" s="2"/>
      <c r="I90" s="2"/>
      <c r="J90" s="2"/>
    </row>
    <row r="91" spans="1:10" s="191" customFormat="1" ht="13.8" x14ac:dyDescent="0.3">
      <c r="A91" s="193" t="s">
        <v>607</v>
      </c>
      <c r="C91" s="2"/>
      <c r="D91" s="2"/>
      <c r="E91" s="2">
        <v>27004</v>
      </c>
      <c r="F91" s="2">
        <v>30915</v>
      </c>
      <c r="G91" s="2">
        <v>30492</v>
      </c>
      <c r="H91" s="2">
        <v>30492</v>
      </c>
      <c r="I91" s="2"/>
      <c r="J91" s="2"/>
    </row>
    <row r="92" spans="1:10" s="191" customFormat="1" x14ac:dyDescent="0.25">
      <c r="A92" s="191" t="s">
        <v>473</v>
      </c>
      <c r="C92" s="2"/>
      <c r="D92" s="2">
        <v>9485</v>
      </c>
      <c r="E92" s="2"/>
      <c r="F92" s="2"/>
      <c r="G92" s="2"/>
      <c r="H92" s="2"/>
      <c r="I92" s="2"/>
      <c r="J92" s="2"/>
    </row>
    <row r="93" spans="1:10" s="191" customFormat="1" x14ac:dyDescent="0.25">
      <c r="A93" s="191" t="s">
        <v>51</v>
      </c>
      <c r="C93" s="2"/>
      <c r="D93" s="2">
        <v>180</v>
      </c>
      <c r="E93" s="2"/>
      <c r="F93" s="2"/>
      <c r="G93" s="2"/>
      <c r="H93" s="2"/>
      <c r="I93" s="2"/>
      <c r="J93" s="2"/>
    </row>
    <row r="94" spans="1:10" s="191" customFormat="1" x14ac:dyDescent="0.25">
      <c r="A94" s="191" t="s">
        <v>292</v>
      </c>
      <c r="C94" s="2"/>
      <c r="D94" s="2">
        <v>4575</v>
      </c>
      <c r="E94" s="2"/>
      <c r="F94" s="2"/>
      <c r="G94" s="2"/>
      <c r="H94" s="2"/>
      <c r="I94" s="2"/>
      <c r="J94" s="2"/>
    </row>
    <row r="95" spans="1:10" s="191" customFormat="1" x14ac:dyDescent="0.25">
      <c r="A95" s="191" t="s">
        <v>293</v>
      </c>
      <c r="C95" s="2"/>
      <c r="D95" s="2">
        <v>915</v>
      </c>
      <c r="E95" s="2"/>
      <c r="F95" s="2"/>
      <c r="G95" s="2"/>
      <c r="H95" s="2"/>
      <c r="I95" s="2"/>
      <c r="J95" s="2"/>
    </row>
    <row r="96" spans="1:10" s="191" customFormat="1" x14ac:dyDescent="0.25">
      <c r="A96" s="191" t="s">
        <v>294</v>
      </c>
      <c r="C96" s="2"/>
      <c r="D96" s="2">
        <v>1539</v>
      </c>
      <c r="E96" s="2"/>
      <c r="F96" s="2"/>
      <c r="G96" s="2"/>
      <c r="H96" s="2"/>
      <c r="I96" s="2"/>
      <c r="J96" s="2"/>
    </row>
    <row r="97" spans="1:10" s="191" customFormat="1" x14ac:dyDescent="0.25">
      <c r="A97" s="191" t="s">
        <v>307</v>
      </c>
      <c r="C97" s="2"/>
      <c r="D97" s="2">
        <v>1600</v>
      </c>
      <c r="E97" s="2"/>
      <c r="F97" s="2"/>
      <c r="G97" s="2"/>
      <c r="H97" s="2"/>
      <c r="I97" s="2"/>
      <c r="J97" s="2"/>
    </row>
    <row r="98" spans="1:10" s="191" customFormat="1" x14ac:dyDescent="0.25">
      <c r="A98" s="191" t="s">
        <v>1617</v>
      </c>
      <c r="C98" s="2"/>
      <c r="D98" s="2">
        <v>200</v>
      </c>
      <c r="E98" s="2"/>
      <c r="F98" s="2"/>
      <c r="G98" s="2"/>
      <c r="H98" s="2"/>
      <c r="I98" s="2"/>
      <c r="J98" s="2"/>
    </row>
    <row r="99" spans="1:10" s="191" customFormat="1" ht="15" x14ac:dyDescent="0.4">
      <c r="A99" s="191" t="s">
        <v>1797</v>
      </c>
      <c r="C99" s="11"/>
      <c r="D99" s="2">
        <v>11818</v>
      </c>
      <c r="E99" s="2"/>
      <c r="F99" s="2"/>
      <c r="G99" s="2"/>
      <c r="H99" s="2"/>
      <c r="I99" s="2"/>
      <c r="J99" s="2"/>
    </row>
    <row r="100" spans="1:10" s="191" customFormat="1" ht="15" x14ac:dyDescent="0.4">
      <c r="A100" s="191" t="s">
        <v>1560</v>
      </c>
      <c r="C100" s="11"/>
      <c r="D100" s="18">
        <v>180</v>
      </c>
      <c r="E100" s="2"/>
      <c r="F100" s="2"/>
      <c r="G100" s="2"/>
      <c r="H100" s="2"/>
      <c r="I100" s="2"/>
      <c r="J100" s="2"/>
    </row>
    <row r="101" spans="1:10" s="191" customFormat="1" x14ac:dyDescent="0.25">
      <c r="A101" s="191" t="s">
        <v>1182</v>
      </c>
      <c r="C101" s="2"/>
      <c r="D101" s="2">
        <f>SUM(D92:D100)</f>
        <v>30492</v>
      </c>
      <c r="E101" s="2"/>
      <c r="F101" s="2"/>
      <c r="G101" s="2"/>
      <c r="H101" s="2"/>
      <c r="I101" s="2"/>
      <c r="J101" s="2"/>
    </row>
    <row r="102" spans="1:10" s="191" customFormat="1" x14ac:dyDescent="0.25">
      <c r="C102" s="2"/>
      <c r="D102" s="2"/>
      <c r="E102" s="2"/>
      <c r="F102" s="2"/>
      <c r="G102" s="2"/>
      <c r="H102" s="2"/>
      <c r="I102" s="2"/>
      <c r="J102" s="2"/>
    </row>
    <row r="103" spans="1:10" s="191" customFormat="1" ht="13.8" x14ac:dyDescent="0.3">
      <c r="A103" s="193" t="s">
        <v>374</v>
      </c>
      <c r="C103" s="2"/>
      <c r="D103" s="2"/>
      <c r="E103" s="2">
        <v>5594</v>
      </c>
      <c r="F103" s="2">
        <v>7000</v>
      </c>
      <c r="G103" s="2">
        <v>6250</v>
      </c>
      <c r="H103" s="2">
        <v>6250</v>
      </c>
      <c r="I103" s="2"/>
      <c r="J103" s="2"/>
    </row>
    <row r="104" spans="1:10" s="191" customFormat="1" x14ac:dyDescent="0.25">
      <c r="A104" s="191" t="s">
        <v>261</v>
      </c>
      <c r="B104" s="2"/>
      <c r="C104" s="12"/>
      <c r="D104" s="2">
        <v>1450</v>
      </c>
      <c r="E104" s="2"/>
      <c r="F104" s="2"/>
      <c r="G104" s="2"/>
      <c r="H104" s="2"/>
      <c r="I104" s="2"/>
      <c r="J104" s="2"/>
    </row>
    <row r="105" spans="1:10" s="191" customFormat="1" ht="15" x14ac:dyDescent="0.4">
      <c r="A105" s="191" t="s">
        <v>1974</v>
      </c>
      <c r="B105" s="2"/>
      <c r="C105" s="12"/>
      <c r="D105" s="11">
        <v>4800</v>
      </c>
      <c r="E105" s="2"/>
      <c r="F105" s="2"/>
      <c r="G105" s="2"/>
      <c r="H105" s="2"/>
      <c r="I105" s="2"/>
      <c r="J105" s="2"/>
    </row>
    <row r="106" spans="1:10" s="191" customFormat="1" x14ac:dyDescent="0.25">
      <c r="B106" s="2"/>
      <c r="C106" s="12"/>
      <c r="D106" s="2">
        <f>SUM(D104:D105)</f>
        <v>6250</v>
      </c>
      <c r="E106" s="2"/>
      <c r="F106" s="2"/>
      <c r="G106" s="2"/>
      <c r="H106" s="2"/>
      <c r="I106" s="2"/>
      <c r="J106" s="2"/>
    </row>
    <row r="107" spans="1:10" s="191" customFormat="1" x14ac:dyDescent="0.25">
      <c r="B107" s="2"/>
      <c r="C107" s="12"/>
      <c r="D107" s="2"/>
      <c r="E107" s="2"/>
      <c r="F107" s="2"/>
      <c r="G107" s="2"/>
      <c r="H107" s="2"/>
      <c r="I107" s="2"/>
      <c r="J107" s="2"/>
    </row>
    <row r="108" spans="1:10" s="191" customFormat="1" ht="13.8" x14ac:dyDescent="0.3">
      <c r="A108" s="193" t="s">
        <v>262</v>
      </c>
      <c r="D108" s="2"/>
      <c r="E108" s="2">
        <v>15052</v>
      </c>
      <c r="F108" s="2">
        <v>11287</v>
      </c>
      <c r="G108" s="2">
        <v>15133</v>
      </c>
      <c r="H108" s="2">
        <v>15133</v>
      </c>
      <c r="I108" s="2"/>
      <c r="J108" s="2"/>
    </row>
    <row r="109" spans="1:10" s="191" customFormat="1" x14ac:dyDescent="0.25">
      <c r="A109" s="191" t="s">
        <v>1562</v>
      </c>
      <c r="D109" s="2">
        <v>3003</v>
      </c>
      <c r="E109" s="2"/>
      <c r="F109" s="2"/>
      <c r="G109" s="2"/>
      <c r="H109" s="2"/>
      <c r="I109" s="2"/>
      <c r="J109" s="2"/>
    </row>
    <row r="110" spans="1:10" s="191" customFormat="1" x14ac:dyDescent="0.25">
      <c r="A110" s="191" t="s">
        <v>1237</v>
      </c>
      <c r="D110" s="2">
        <v>895</v>
      </c>
      <c r="E110" s="2"/>
      <c r="F110" s="2"/>
      <c r="G110" s="2"/>
      <c r="H110" s="2"/>
      <c r="I110" s="2"/>
      <c r="J110" s="2"/>
    </row>
    <row r="111" spans="1:10" s="191" customFormat="1" x14ac:dyDescent="0.25">
      <c r="A111" s="191" t="s">
        <v>2000</v>
      </c>
      <c r="D111" s="2">
        <v>5000</v>
      </c>
      <c r="E111" s="2"/>
      <c r="F111" s="2"/>
      <c r="G111" s="2"/>
      <c r="H111" s="2"/>
      <c r="I111" s="2"/>
      <c r="J111" s="2"/>
    </row>
    <row r="112" spans="1:10" s="191" customFormat="1" x14ac:dyDescent="0.25">
      <c r="A112" s="191" t="s">
        <v>1796</v>
      </c>
      <c r="D112" s="2">
        <v>3169</v>
      </c>
      <c r="E112" s="2"/>
      <c r="F112" s="2"/>
      <c r="G112" s="2"/>
      <c r="H112" s="2"/>
      <c r="I112" s="2"/>
      <c r="J112" s="2"/>
    </row>
    <row r="113" spans="1:10" s="191" customFormat="1" x14ac:dyDescent="0.25">
      <c r="A113" s="191" t="s">
        <v>1238</v>
      </c>
      <c r="D113" s="2">
        <v>1442</v>
      </c>
      <c r="E113" s="2"/>
      <c r="F113" s="18"/>
      <c r="G113" s="18"/>
      <c r="H113" s="18"/>
      <c r="I113" s="18"/>
      <c r="J113" s="18"/>
    </row>
    <row r="114" spans="1:10" s="191" customFormat="1" x14ac:dyDescent="0.25">
      <c r="A114" s="191" t="s">
        <v>1239</v>
      </c>
      <c r="B114" s="28"/>
      <c r="D114" s="18">
        <v>1624</v>
      </c>
      <c r="E114" s="2"/>
      <c r="F114" s="2"/>
      <c r="G114" s="2"/>
      <c r="H114" s="2"/>
      <c r="I114" s="2"/>
      <c r="J114" s="2"/>
    </row>
    <row r="115" spans="1:10" s="191" customFormat="1" x14ac:dyDescent="0.25">
      <c r="D115" s="2">
        <f>SUM(D109:D114)</f>
        <v>15133</v>
      </c>
      <c r="E115" s="2"/>
      <c r="F115" s="2"/>
      <c r="G115" s="2"/>
      <c r="H115" s="2"/>
      <c r="I115" s="2"/>
      <c r="J115" s="2"/>
    </row>
    <row r="116" spans="1:10" s="191" customFormat="1" x14ac:dyDescent="0.25">
      <c r="A116" s="191" t="s">
        <v>386</v>
      </c>
      <c r="D116" s="2" t="s">
        <v>386</v>
      </c>
      <c r="E116" s="2"/>
      <c r="F116" s="2"/>
      <c r="G116" s="2"/>
      <c r="H116" s="2"/>
      <c r="I116" s="2"/>
      <c r="J116" s="2"/>
    </row>
    <row r="117" spans="1:10" s="191" customFormat="1" ht="13.8" x14ac:dyDescent="0.3">
      <c r="A117" s="193" t="s">
        <v>13</v>
      </c>
      <c r="D117" s="2"/>
      <c r="E117" s="2">
        <v>396</v>
      </c>
      <c r="F117" s="2">
        <v>484</v>
      </c>
      <c r="G117" s="2">
        <v>484</v>
      </c>
      <c r="H117" s="2">
        <v>484</v>
      </c>
      <c r="I117" s="2"/>
      <c r="J117" s="2"/>
    </row>
    <row r="118" spans="1:10" s="191" customFormat="1" x14ac:dyDescent="0.25">
      <c r="A118" s="191" t="s">
        <v>606</v>
      </c>
      <c r="D118" s="2">
        <v>484</v>
      </c>
      <c r="E118" s="2"/>
      <c r="F118" s="2"/>
      <c r="G118" s="2"/>
      <c r="H118" s="2"/>
      <c r="I118" s="2"/>
      <c r="J118" s="2"/>
    </row>
    <row r="119" spans="1:10" s="191" customFormat="1" x14ac:dyDescent="0.25">
      <c r="D119" s="2"/>
      <c r="E119" s="2"/>
      <c r="F119" s="2"/>
      <c r="G119" s="2"/>
      <c r="H119" s="2"/>
      <c r="I119" s="2"/>
      <c r="J119" s="2"/>
    </row>
    <row r="120" spans="1:10" s="191" customFormat="1" ht="13.8" x14ac:dyDescent="0.3">
      <c r="A120" s="193" t="s">
        <v>14</v>
      </c>
      <c r="D120" s="2"/>
      <c r="E120" s="2">
        <v>555</v>
      </c>
      <c r="F120" s="2">
        <v>375</v>
      </c>
      <c r="G120" s="2">
        <v>513</v>
      </c>
      <c r="H120" s="2">
        <v>513</v>
      </c>
      <c r="I120" s="2"/>
      <c r="J120" s="2"/>
    </row>
    <row r="121" spans="1:10" s="191" customFormat="1" x14ac:dyDescent="0.25">
      <c r="A121" s="191" t="s">
        <v>488</v>
      </c>
      <c r="B121" s="2">
        <v>205</v>
      </c>
      <c r="C121" s="12">
        <v>2.5</v>
      </c>
      <c r="D121" s="2">
        <f>ROUND(B121*C121,0)</f>
        <v>513</v>
      </c>
      <c r="F121" s="2"/>
      <c r="G121" s="2"/>
      <c r="H121" s="2"/>
      <c r="I121" s="2"/>
      <c r="J121" s="2"/>
    </row>
    <row r="122" spans="1:10" s="191" customFormat="1" x14ac:dyDescent="0.25">
      <c r="D122" s="2"/>
      <c r="E122" s="2"/>
      <c r="F122" s="2"/>
      <c r="G122" s="2"/>
      <c r="H122" s="2"/>
      <c r="I122" s="2"/>
      <c r="J122" s="2"/>
    </row>
    <row r="123" spans="1:10" s="191" customFormat="1" ht="13.8" x14ac:dyDescent="0.3">
      <c r="A123" s="193" t="s">
        <v>886</v>
      </c>
      <c r="D123" s="8" t="s">
        <v>386</v>
      </c>
      <c r="E123" s="2">
        <v>5500</v>
      </c>
      <c r="F123" s="2">
        <v>3420</v>
      </c>
      <c r="G123" s="2">
        <v>5509</v>
      </c>
      <c r="H123" s="2">
        <v>5509</v>
      </c>
      <c r="I123" s="2"/>
      <c r="J123" s="2"/>
    </row>
    <row r="124" spans="1:10" s="191" customFormat="1" x14ac:dyDescent="0.25">
      <c r="A124" s="191" t="s">
        <v>897</v>
      </c>
      <c r="C124" s="2"/>
      <c r="D124" s="2">
        <v>2689</v>
      </c>
      <c r="E124" s="2"/>
      <c r="F124" s="18"/>
      <c r="G124" s="18"/>
      <c r="H124" s="18"/>
      <c r="I124" s="18"/>
      <c r="J124" s="18"/>
    </row>
    <row r="125" spans="1:10" s="191" customFormat="1" x14ac:dyDescent="0.25">
      <c r="A125" s="191" t="s">
        <v>1999</v>
      </c>
      <c r="C125" s="2"/>
      <c r="D125" s="2">
        <v>1800</v>
      </c>
      <c r="E125" s="2"/>
      <c r="F125" s="18"/>
      <c r="G125" s="18"/>
      <c r="H125" s="18"/>
      <c r="I125" s="18"/>
      <c r="J125" s="18"/>
    </row>
    <row r="126" spans="1:10" s="191" customFormat="1" ht="15" x14ac:dyDescent="0.4">
      <c r="A126" s="191" t="s">
        <v>295</v>
      </c>
      <c r="C126" s="11"/>
      <c r="D126" s="18">
        <v>1019.76</v>
      </c>
      <c r="E126" s="2"/>
      <c r="F126" s="2"/>
      <c r="G126" s="2"/>
      <c r="H126" s="2"/>
      <c r="I126" s="2"/>
      <c r="J126" s="2"/>
    </row>
    <row r="127" spans="1:10" s="191" customFormat="1" x14ac:dyDescent="0.25">
      <c r="A127" s="191" t="s">
        <v>1182</v>
      </c>
      <c r="C127" s="2"/>
      <c r="D127" s="2">
        <f>SUM(D124:D126)</f>
        <v>5508.76</v>
      </c>
      <c r="E127" s="2"/>
      <c r="F127" s="2"/>
      <c r="G127" s="2"/>
      <c r="H127" s="2"/>
      <c r="I127" s="2"/>
      <c r="J127" s="2"/>
    </row>
    <row r="128" spans="1:10" s="191" customFormat="1" x14ac:dyDescent="0.25">
      <c r="C128" s="2"/>
      <c r="D128" s="2"/>
      <c r="E128" s="2"/>
      <c r="F128" s="2"/>
      <c r="G128" s="2"/>
      <c r="H128" s="2"/>
      <c r="I128" s="2"/>
      <c r="J128" s="2"/>
    </row>
    <row r="129" spans="1:10" s="191" customFormat="1" ht="13.8" x14ac:dyDescent="0.3">
      <c r="A129" s="193" t="s">
        <v>1123</v>
      </c>
      <c r="C129" s="2"/>
      <c r="D129" s="2"/>
      <c r="E129" s="2">
        <v>330</v>
      </c>
      <c r="F129" s="2">
        <v>370</v>
      </c>
      <c r="G129" s="2">
        <v>400</v>
      </c>
      <c r="H129" s="2">
        <v>400</v>
      </c>
      <c r="I129" s="2"/>
      <c r="J129" s="2"/>
    </row>
    <row r="130" spans="1:10" s="191" customFormat="1" x14ac:dyDescent="0.25">
      <c r="A130" s="191" t="s">
        <v>1618</v>
      </c>
      <c r="B130" s="2" t="s">
        <v>386</v>
      </c>
      <c r="C130" s="2"/>
      <c r="D130" s="2">
        <v>130</v>
      </c>
      <c r="E130" s="2"/>
      <c r="F130" s="2"/>
      <c r="G130" s="2"/>
      <c r="H130" s="2"/>
      <c r="I130" s="2"/>
      <c r="J130" s="2"/>
    </row>
    <row r="131" spans="1:10" s="191" customFormat="1" x14ac:dyDescent="0.25">
      <c r="A131" s="191" t="s">
        <v>41</v>
      </c>
      <c r="B131" s="2"/>
      <c r="C131" s="2"/>
      <c r="D131" s="2">
        <v>100</v>
      </c>
      <c r="E131" s="2"/>
      <c r="F131" s="2"/>
      <c r="G131" s="2"/>
      <c r="H131" s="2"/>
      <c r="I131" s="2"/>
      <c r="J131" s="2"/>
    </row>
    <row r="132" spans="1:10" s="191" customFormat="1" ht="15" x14ac:dyDescent="0.4">
      <c r="A132" s="191" t="s">
        <v>2063</v>
      </c>
      <c r="B132" s="2"/>
      <c r="C132" s="11"/>
      <c r="D132" s="11">
        <v>170</v>
      </c>
      <c r="E132" s="2"/>
      <c r="F132" s="2"/>
      <c r="G132" s="2"/>
      <c r="H132" s="2"/>
      <c r="I132" s="2"/>
      <c r="J132" s="2"/>
    </row>
    <row r="133" spans="1:10" s="191" customFormat="1" x14ac:dyDescent="0.25">
      <c r="A133" s="191" t="s">
        <v>1182</v>
      </c>
      <c r="B133" s="2"/>
      <c r="C133" s="2"/>
      <c r="D133" s="2">
        <f>SUM(D130:D132)</f>
        <v>400</v>
      </c>
      <c r="E133" s="2"/>
      <c r="F133" s="2"/>
      <c r="G133" s="2"/>
      <c r="H133" s="2"/>
      <c r="I133" s="2"/>
      <c r="J133" s="2"/>
    </row>
    <row r="134" spans="1:10" s="191" customFormat="1" x14ac:dyDescent="0.25">
      <c r="A134" s="191" t="s">
        <v>386</v>
      </c>
      <c r="C134" s="2"/>
      <c r="D134" s="2" t="s">
        <v>386</v>
      </c>
      <c r="E134" s="2"/>
      <c r="F134" s="2"/>
      <c r="G134" s="2"/>
      <c r="H134" s="2"/>
      <c r="I134" s="2"/>
      <c r="J134" s="2"/>
    </row>
    <row r="135" spans="1:10" s="191" customFormat="1" ht="13.8" x14ac:dyDescent="0.3">
      <c r="A135" s="17" t="s">
        <v>1315</v>
      </c>
      <c r="C135" s="2"/>
      <c r="D135" s="2"/>
      <c r="E135" s="2">
        <v>4789</v>
      </c>
      <c r="F135" s="2">
        <v>6184</v>
      </c>
      <c r="G135" s="2">
        <v>5267</v>
      </c>
      <c r="H135" s="2">
        <v>5267</v>
      </c>
      <c r="I135" s="2"/>
      <c r="J135" s="2"/>
    </row>
    <row r="136" spans="1:10" s="191" customFormat="1" x14ac:dyDescent="0.25">
      <c r="A136" s="191" t="s">
        <v>999</v>
      </c>
      <c r="C136" s="2"/>
      <c r="D136" s="2">
        <v>5267</v>
      </c>
      <c r="E136" s="2"/>
      <c r="F136" s="2"/>
      <c r="G136" s="2"/>
      <c r="H136" s="2"/>
      <c r="I136" s="2"/>
      <c r="J136" s="2"/>
    </row>
    <row r="137" spans="1:10" s="191" customFormat="1" x14ac:dyDescent="0.25">
      <c r="C137" s="2"/>
      <c r="D137" s="2"/>
      <c r="E137" s="2"/>
      <c r="F137" s="2"/>
      <c r="G137" s="2"/>
      <c r="H137" s="2"/>
      <c r="I137" s="2"/>
      <c r="J137" s="2"/>
    </row>
    <row r="138" spans="1:10" s="191" customFormat="1" ht="13.8" x14ac:dyDescent="0.3">
      <c r="A138" s="193" t="s">
        <v>152</v>
      </c>
      <c r="C138" s="2"/>
      <c r="D138" s="2"/>
      <c r="E138" s="2">
        <v>380</v>
      </c>
      <c r="F138" s="2">
        <v>550</v>
      </c>
      <c r="G138" s="2">
        <v>550</v>
      </c>
      <c r="H138" s="2">
        <v>550</v>
      </c>
      <c r="I138" s="2"/>
      <c r="J138" s="2"/>
    </row>
    <row r="139" spans="1:10" s="191" customFormat="1" x14ac:dyDescent="0.25">
      <c r="A139" s="191" t="s">
        <v>593</v>
      </c>
      <c r="C139" s="2"/>
      <c r="D139" s="2">
        <v>550</v>
      </c>
      <c r="E139" s="2"/>
      <c r="F139" s="2"/>
      <c r="G139" s="2"/>
      <c r="H139" s="2"/>
      <c r="I139" s="2"/>
      <c r="J139" s="2"/>
    </row>
    <row r="140" spans="1:10" s="191" customFormat="1" x14ac:dyDescent="0.25">
      <c r="A140" s="191" t="s">
        <v>386</v>
      </c>
      <c r="C140" s="2"/>
      <c r="D140" s="2" t="s">
        <v>386</v>
      </c>
      <c r="E140" s="2"/>
      <c r="F140" s="2"/>
      <c r="G140" s="2"/>
      <c r="H140" s="2"/>
      <c r="I140" s="2"/>
      <c r="J140" s="2"/>
    </row>
    <row r="141" spans="1:10" s="191" customFormat="1" ht="13.8" x14ac:dyDescent="0.3">
      <c r="A141" s="193" t="s">
        <v>1015</v>
      </c>
      <c r="C141" s="8"/>
      <c r="D141" s="8" t="s">
        <v>386</v>
      </c>
      <c r="E141" s="2">
        <v>23287</v>
      </c>
      <c r="F141" s="2">
        <v>21230</v>
      </c>
      <c r="G141" s="2">
        <v>21230</v>
      </c>
      <c r="H141" s="2">
        <v>21230</v>
      </c>
      <c r="I141" s="2"/>
      <c r="J141" s="2"/>
    </row>
    <row r="142" spans="1:10" s="191" customFormat="1" x14ac:dyDescent="0.25">
      <c r="A142" s="66" t="s">
        <v>588</v>
      </c>
      <c r="B142" s="6"/>
      <c r="C142" s="2"/>
      <c r="D142" s="2">
        <v>10490</v>
      </c>
      <c r="E142" s="2"/>
      <c r="F142" s="2"/>
      <c r="G142" s="2"/>
      <c r="H142" s="2"/>
      <c r="I142" s="2"/>
      <c r="J142" s="2"/>
    </row>
    <row r="143" spans="1:10" s="191" customFormat="1" x14ac:dyDescent="0.25">
      <c r="A143" s="66" t="s">
        <v>99</v>
      </c>
      <c r="B143" s="6"/>
      <c r="C143" s="2"/>
      <c r="D143" s="2">
        <v>2240</v>
      </c>
      <c r="E143" s="2"/>
      <c r="F143" s="2"/>
      <c r="G143" s="2"/>
      <c r="H143" s="2"/>
      <c r="I143" s="2"/>
      <c r="J143" s="2"/>
    </row>
    <row r="144" spans="1:10" s="191" customFormat="1" x14ac:dyDescent="0.25">
      <c r="A144" s="6" t="s">
        <v>481</v>
      </c>
      <c r="B144" s="6"/>
      <c r="C144" s="2"/>
      <c r="D144" s="2">
        <v>3000</v>
      </c>
      <c r="E144" s="2"/>
      <c r="F144" s="2"/>
      <c r="G144" s="2"/>
      <c r="H144" s="2"/>
      <c r="I144" s="2"/>
      <c r="J144" s="2"/>
    </row>
    <row r="145" spans="1:10" s="191" customFormat="1" x14ac:dyDescent="0.25">
      <c r="A145" s="191" t="s">
        <v>1765</v>
      </c>
      <c r="C145" s="2" t="s">
        <v>386</v>
      </c>
      <c r="D145" s="2">
        <v>3500</v>
      </c>
      <c r="E145" s="2"/>
      <c r="F145" s="2"/>
      <c r="G145" s="2"/>
      <c r="H145" s="2"/>
      <c r="I145" s="2"/>
      <c r="J145" s="2"/>
    </row>
    <row r="146" spans="1:10" s="191" customFormat="1" ht="17.399999999999999" x14ac:dyDescent="0.45">
      <c r="A146" s="191" t="s">
        <v>642</v>
      </c>
      <c r="C146" s="27"/>
      <c r="D146" s="11">
        <v>2000</v>
      </c>
      <c r="E146" s="2"/>
      <c r="F146" s="2"/>
      <c r="G146" s="2"/>
      <c r="H146" s="2"/>
      <c r="I146" s="2"/>
      <c r="J146" s="2"/>
    </row>
    <row r="147" spans="1:10" s="191" customFormat="1" x14ac:dyDescent="0.25">
      <c r="A147" s="191" t="s">
        <v>1182</v>
      </c>
      <c r="C147" s="2"/>
      <c r="D147" s="2">
        <f>SUM(D142:D146)</f>
        <v>21230</v>
      </c>
      <c r="E147" s="2"/>
      <c r="F147" s="2"/>
      <c r="G147" s="2"/>
      <c r="H147" s="2"/>
      <c r="I147" s="2"/>
      <c r="J147" s="2"/>
    </row>
    <row r="148" spans="1:10" s="191" customFormat="1" x14ac:dyDescent="0.25">
      <c r="C148" s="2"/>
      <c r="D148" s="2"/>
      <c r="E148" s="2"/>
      <c r="F148" s="2"/>
      <c r="G148" s="2"/>
      <c r="H148" s="2"/>
      <c r="I148" s="2"/>
      <c r="J148" s="2"/>
    </row>
    <row r="149" spans="1:10" s="191" customFormat="1" ht="13.8" x14ac:dyDescent="0.3">
      <c r="A149" s="193" t="s">
        <v>873</v>
      </c>
      <c r="C149" s="2"/>
      <c r="D149" s="2"/>
      <c r="E149" s="2">
        <v>1994</v>
      </c>
      <c r="F149" s="2">
        <v>2000</v>
      </c>
      <c r="G149" s="2">
        <v>2000</v>
      </c>
      <c r="H149" s="2">
        <v>2000</v>
      </c>
      <c r="I149" s="2"/>
      <c r="J149" s="2"/>
    </row>
    <row r="150" spans="1:10" s="191" customFormat="1" x14ac:dyDescent="0.25">
      <c r="A150" s="191" t="s">
        <v>73</v>
      </c>
      <c r="C150" s="2"/>
      <c r="D150" s="2">
        <v>2000</v>
      </c>
      <c r="E150" s="2"/>
    </row>
    <row r="151" spans="1:10" s="191" customFormat="1" x14ac:dyDescent="0.25">
      <c r="C151" s="2"/>
      <c r="D151" s="2"/>
      <c r="E151" s="2"/>
      <c r="F151" s="2"/>
      <c r="G151" s="2"/>
      <c r="H151" s="2"/>
      <c r="I151" s="2"/>
      <c r="J151" s="2"/>
    </row>
    <row r="152" spans="1:10" s="191" customFormat="1" x14ac:dyDescent="0.25">
      <c r="C152" s="2"/>
      <c r="D152" s="2"/>
      <c r="E152" s="2"/>
      <c r="F152" s="2"/>
      <c r="G152" s="2"/>
      <c r="H152" s="2"/>
      <c r="I152" s="2"/>
      <c r="J152" s="2"/>
    </row>
    <row r="153" spans="1:10" s="191" customFormat="1" ht="13.8" x14ac:dyDescent="0.3">
      <c r="A153" s="193" t="s">
        <v>1405</v>
      </c>
      <c r="C153" s="2"/>
      <c r="D153" s="2"/>
      <c r="E153" s="2">
        <v>791</v>
      </c>
      <c r="F153" s="2">
        <v>775</v>
      </c>
      <c r="G153" s="2">
        <v>950</v>
      </c>
      <c r="H153" s="2">
        <v>950</v>
      </c>
      <c r="I153" s="2"/>
      <c r="J153" s="2"/>
    </row>
    <row r="154" spans="1:10" s="191" customFormat="1" x14ac:dyDescent="0.25">
      <c r="A154" s="191" t="s">
        <v>590</v>
      </c>
      <c r="C154" s="2"/>
      <c r="D154" s="2">
        <v>750</v>
      </c>
      <c r="E154" s="2"/>
      <c r="F154" s="2"/>
      <c r="G154" s="2"/>
      <c r="H154" s="2"/>
      <c r="I154" s="2"/>
      <c r="J154" s="2"/>
    </row>
    <row r="155" spans="1:10" s="191" customFormat="1" ht="15" x14ac:dyDescent="0.4">
      <c r="A155" s="191" t="s">
        <v>74</v>
      </c>
      <c r="C155" s="11"/>
      <c r="D155" s="11">
        <v>200</v>
      </c>
      <c r="E155" s="2"/>
      <c r="F155" s="2"/>
      <c r="G155" s="2"/>
      <c r="H155" s="2"/>
      <c r="I155" s="2"/>
      <c r="J155" s="2"/>
    </row>
    <row r="156" spans="1:10" s="191" customFormat="1" x14ac:dyDescent="0.25">
      <c r="A156" s="191" t="s">
        <v>1182</v>
      </c>
      <c r="C156" s="2"/>
      <c r="D156" s="2">
        <f>SUM(D154:D155)</f>
        <v>950</v>
      </c>
      <c r="E156" s="2"/>
    </row>
    <row r="157" spans="1:10" s="191" customFormat="1" x14ac:dyDescent="0.25">
      <c r="C157" s="2"/>
      <c r="D157" s="2"/>
      <c r="E157" s="2"/>
      <c r="F157" s="2"/>
      <c r="G157" s="2"/>
      <c r="H157" s="2"/>
      <c r="I157" s="2"/>
      <c r="J157" s="2"/>
    </row>
    <row r="158" spans="1:10" s="191" customFormat="1" ht="13.8" x14ac:dyDescent="0.3">
      <c r="A158" s="193" t="s">
        <v>1228</v>
      </c>
      <c r="C158" s="2"/>
      <c r="D158" s="2"/>
      <c r="E158" s="2">
        <v>337</v>
      </c>
      <c r="F158" s="2">
        <v>400</v>
      </c>
      <c r="G158" s="2">
        <v>400</v>
      </c>
      <c r="H158" s="2">
        <v>400</v>
      </c>
      <c r="I158" s="2"/>
      <c r="J158" s="2"/>
    </row>
    <row r="159" spans="1:10" s="191" customFormat="1" x14ac:dyDescent="0.25">
      <c r="A159" s="191" t="s">
        <v>1077</v>
      </c>
      <c r="C159" s="2"/>
      <c r="D159" s="2">
        <v>400</v>
      </c>
      <c r="E159" s="2"/>
      <c r="F159" s="2"/>
      <c r="G159" s="2"/>
      <c r="H159" s="2"/>
      <c r="I159" s="2"/>
      <c r="J159" s="2"/>
    </row>
    <row r="160" spans="1:10" s="191" customFormat="1" x14ac:dyDescent="0.25">
      <c r="C160" s="2"/>
      <c r="D160" s="2"/>
      <c r="E160" s="2"/>
      <c r="F160" s="2"/>
      <c r="G160" s="2"/>
      <c r="H160" s="2"/>
      <c r="I160" s="2"/>
      <c r="J160" s="2"/>
    </row>
    <row r="161" spans="1:10" s="191" customFormat="1" ht="13.8" x14ac:dyDescent="0.3">
      <c r="A161" s="193" t="s">
        <v>1078</v>
      </c>
      <c r="C161" s="2"/>
      <c r="D161" s="2"/>
      <c r="E161" s="2">
        <v>487</v>
      </c>
      <c r="F161" s="2">
        <v>500</v>
      </c>
      <c r="G161" s="2">
        <v>500</v>
      </c>
      <c r="H161" s="2">
        <v>500</v>
      </c>
      <c r="I161" s="2"/>
      <c r="J161" s="2"/>
    </row>
    <row r="162" spans="1:10" s="191" customFormat="1" x14ac:dyDescent="0.25">
      <c r="A162" s="191" t="s">
        <v>1301</v>
      </c>
      <c r="C162" s="2"/>
      <c r="D162" s="2">
        <v>500</v>
      </c>
      <c r="E162" s="2"/>
      <c r="F162" s="2"/>
      <c r="G162" s="2"/>
      <c r="H162" s="2"/>
      <c r="I162" s="2"/>
      <c r="J162" s="2"/>
    </row>
    <row r="163" spans="1:10" s="191" customFormat="1" x14ac:dyDescent="0.25">
      <c r="A163" s="191" t="s">
        <v>386</v>
      </c>
      <c r="C163" s="2"/>
      <c r="D163" s="2" t="s">
        <v>386</v>
      </c>
      <c r="E163" s="2"/>
      <c r="F163" s="2"/>
      <c r="G163" s="2"/>
      <c r="H163" s="2"/>
      <c r="I163" s="2"/>
      <c r="J163" s="2"/>
    </row>
    <row r="164" spans="1:10" s="191" customFormat="1" ht="13.8" x14ac:dyDescent="0.3">
      <c r="A164" s="193" t="s">
        <v>1302</v>
      </c>
      <c r="C164" s="2"/>
      <c r="D164" s="2"/>
      <c r="E164" s="2">
        <v>640</v>
      </c>
      <c r="F164" s="2">
        <v>200</v>
      </c>
      <c r="G164" s="2">
        <v>200</v>
      </c>
      <c r="H164" s="2">
        <v>200</v>
      </c>
      <c r="I164" s="2"/>
      <c r="J164" s="2"/>
    </row>
    <row r="165" spans="1:10" s="191" customFormat="1" x14ac:dyDescent="0.25">
      <c r="A165" s="191" t="s">
        <v>589</v>
      </c>
      <c r="C165" s="2"/>
      <c r="D165" s="2">
        <v>200</v>
      </c>
      <c r="E165" s="2"/>
      <c r="F165" s="2"/>
      <c r="G165" s="2"/>
      <c r="H165" s="2"/>
      <c r="I165" s="2"/>
      <c r="J165" s="2"/>
    </row>
    <row r="166" spans="1:10" s="191" customFormat="1" x14ac:dyDescent="0.25">
      <c r="D166" s="8" t="s">
        <v>386</v>
      </c>
      <c r="E166" s="2"/>
      <c r="F166" s="2"/>
      <c r="G166" s="2"/>
      <c r="H166" s="2"/>
      <c r="I166" s="2"/>
      <c r="J166" s="2"/>
    </row>
    <row r="167" spans="1:10" s="191" customFormat="1" ht="13.8" x14ac:dyDescent="0.3">
      <c r="A167" s="193" t="s">
        <v>715</v>
      </c>
      <c r="E167" s="2">
        <v>72000</v>
      </c>
      <c r="F167" s="16">
        <v>64052</v>
      </c>
      <c r="G167" s="16">
        <v>64366</v>
      </c>
      <c r="H167" s="16">
        <v>64366</v>
      </c>
      <c r="I167" s="16"/>
      <c r="J167" s="16"/>
    </row>
    <row r="168" spans="1:10" s="191" customFormat="1" ht="13.8" x14ac:dyDescent="0.3">
      <c r="A168" s="193"/>
      <c r="B168" s="19" t="s">
        <v>1715</v>
      </c>
      <c r="C168" s="19" t="s">
        <v>1766</v>
      </c>
      <c r="D168" s="19" t="s">
        <v>1985</v>
      </c>
      <c r="E168" s="2"/>
      <c r="F168" s="16"/>
      <c r="G168" s="16"/>
      <c r="H168" s="16"/>
      <c r="I168" s="16"/>
      <c r="J168" s="16"/>
    </row>
    <row r="169" spans="1:10" s="191" customFormat="1" x14ac:dyDescent="0.25">
      <c r="A169" s="20" t="s">
        <v>1379</v>
      </c>
      <c r="B169" s="2">
        <v>28006</v>
      </c>
      <c r="C169" s="2">
        <v>25617.18</v>
      </c>
      <c r="D169" s="2">
        <v>25817</v>
      </c>
      <c r="E169" s="2"/>
    </row>
    <row r="170" spans="1:10" s="191" customFormat="1" x14ac:dyDescent="0.25">
      <c r="A170" s="191" t="s">
        <v>716</v>
      </c>
      <c r="B170" s="2">
        <v>115157</v>
      </c>
      <c r="C170" s="2">
        <v>161814</v>
      </c>
      <c r="D170" s="2">
        <v>124750</v>
      </c>
      <c r="E170" s="2"/>
    </row>
    <row r="171" spans="1:10" s="191" customFormat="1" x14ac:dyDescent="0.25">
      <c r="A171" s="191" t="s">
        <v>719</v>
      </c>
      <c r="B171" s="2">
        <v>92019</v>
      </c>
      <c r="C171" s="2">
        <v>89000</v>
      </c>
      <c r="D171" s="2">
        <v>96000</v>
      </c>
      <c r="E171" s="2"/>
    </row>
    <row r="172" spans="1:10" s="191" customFormat="1" x14ac:dyDescent="0.25">
      <c r="A172" s="191" t="s">
        <v>720</v>
      </c>
      <c r="B172" s="16">
        <v>50640</v>
      </c>
      <c r="C172" s="16">
        <v>50176</v>
      </c>
      <c r="D172" s="16">
        <v>51607</v>
      </c>
      <c r="E172" s="2"/>
      <c r="F172" s="16"/>
      <c r="G172" s="16"/>
      <c r="H172" s="16"/>
      <c r="I172" s="16"/>
      <c r="J172" s="16"/>
    </row>
    <row r="173" spans="1:10" s="191" customFormat="1" x14ac:dyDescent="0.25">
      <c r="A173" s="191" t="s">
        <v>985</v>
      </c>
      <c r="B173" s="16">
        <v>73120</v>
      </c>
      <c r="C173" s="16">
        <v>86111</v>
      </c>
      <c r="D173" s="16">
        <v>100550</v>
      </c>
      <c r="E173" s="2"/>
      <c r="F173" s="16"/>
      <c r="G173" s="16"/>
      <c r="H173" s="16"/>
      <c r="I173" s="16"/>
      <c r="J173" s="16"/>
    </row>
    <row r="174" spans="1:10" s="191" customFormat="1" x14ac:dyDescent="0.25">
      <c r="A174" s="191" t="s">
        <v>721</v>
      </c>
      <c r="B174" s="16">
        <v>31771</v>
      </c>
      <c r="C174" s="16">
        <v>32700</v>
      </c>
      <c r="D174" s="16">
        <v>38075</v>
      </c>
      <c r="E174" s="2"/>
      <c r="F174" s="16"/>
      <c r="G174" s="16"/>
      <c r="H174" s="16"/>
      <c r="I174" s="16"/>
      <c r="J174" s="16"/>
    </row>
    <row r="175" spans="1:10" s="191" customFormat="1" x14ac:dyDescent="0.25">
      <c r="A175" s="191" t="s">
        <v>1119</v>
      </c>
      <c r="B175" s="16">
        <v>24150</v>
      </c>
      <c r="C175" s="16">
        <v>24696</v>
      </c>
      <c r="D175" s="16">
        <v>29100</v>
      </c>
      <c r="E175" s="2"/>
      <c r="F175" s="16"/>
      <c r="G175" s="16"/>
      <c r="H175" s="16"/>
      <c r="I175" s="16"/>
      <c r="J175" s="16"/>
    </row>
    <row r="176" spans="1:10" s="191" customFormat="1" ht="15" x14ac:dyDescent="0.4">
      <c r="A176" s="191" t="s">
        <v>855</v>
      </c>
      <c r="B176" s="192">
        <v>12385</v>
      </c>
      <c r="C176" s="192">
        <v>15141</v>
      </c>
      <c r="D176" s="192">
        <v>54649</v>
      </c>
      <c r="E176" s="2"/>
      <c r="F176" s="192"/>
      <c r="G176" s="192"/>
      <c r="H176" s="192"/>
      <c r="I176" s="192"/>
      <c r="J176" s="192"/>
    </row>
    <row r="177" spans="1:10" s="191" customFormat="1" x14ac:dyDescent="0.25">
      <c r="A177" s="191" t="s">
        <v>722</v>
      </c>
      <c r="B177" s="16">
        <f>SUM(B169:B176)</f>
        <v>427248</v>
      </c>
      <c r="C177" s="16">
        <f>SUM(C169:C176)</f>
        <v>485255.18</v>
      </c>
      <c r="D177" s="16">
        <f>SUM(D169:D176)</f>
        <v>520548</v>
      </c>
      <c r="E177" s="2"/>
      <c r="F177" s="16"/>
      <c r="G177" s="16"/>
      <c r="H177" s="16"/>
      <c r="I177" s="16"/>
      <c r="J177" s="16"/>
    </row>
    <row r="178" spans="1:10" s="191" customFormat="1" ht="15" x14ac:dyDescent="0.4">
      <c r="A178" s="191" t="s">
        <v>723</v>
      </c>
      <c r="B178" s="192">
        <f>-425236+72000</f>
        <v>-353236</v>
      </c>
      <c r="C178" s="192">
        <v>-421203</v>
      </c>
      <c r="D178" s="192">
        <v>-456182</v>
      </c>
      <c r="E178" s="2"/>
      <c r="F178" s="192"/>
      <c r="G178" s="192"/>
      <c r="H178" s="192"/>
      <c r="I178" s="192"/>
      <c r="J178" s="192"/>
    </row>
    <row r="179" spans="1:10" s="191" customFormat="1" x14ac:dyDescent="0.25">
      <c r="A179" s="191" t="s">
        <v>724</v>
      </c>
      <c r="B179" s="16">
        <f>B177+B178</f>
        <v>74012</v>
      </c>
      <c r="C179" s="16">
        <f>C177+C178</f>
        <v>64052.179999999993</v>
      </c>
      <c r="D179" s="16">
        <f>D177+D178</f>
        <v>64366</v>
      </c>
      <c r="E179" s="2"/>
      <c r="F179" s="16"/>
      <c r="G179" s="16"/>
      <c r="H179" s="16"/>
      <c r="I179" s="16"/>
      <c r="J179" s="16"/>
    </row>
    <row r="180" spans="1:10" s="191" customFormat="1" ht="15" x14ac:dyDescent="0.4">
      <c r="A180" s="191" t="s">
        <v>1243</v>
      </c>
      <c r="B180" s="192">
        <v>-2012</v>
      </c>
      <c r="C180" s="192">
        <v>0</v>
      </c>
      <c r="D180" s="192">
        <v>0</v>
      </c>
      <c r="E180" s="2"/>
      <c r="F180" s="192"/>
      <c r="G180" s="192"/>
      <c r="H180" s="192"/>
      <c r="I180" s="192"/>
      <c r="J180" s="192"/>
    </row>
    <row r="181" spans="1:10" s="191" customFormat="1" x14ac:dyDescent="0.25">
      <c r="A181" s="191" t="s">
        <v>1244</v>
      </c>
      <c r="B181" s="16">
        <f>+B179+B180</f>
        <v>72000</v>
      </c>
      <c r="C181" s="16">
        <f>+C179+C180</f>
        <v>64052.179999999993</v>
      </c>
      <c r="D181" s="16">
        <f>+D179+D180</f>
        <v>64366</v>
      </c>
      <c r="E181" s="2"/>
      <c r="F181" s="16"/>
      <c r="G181" s="16"/>
      <c r="H181" s="16"/>
      <c r="I181" s="16"/>
      <c r="J181" s="16"/>
    </row>
    <row r="182" spans="1:10" s="191" customFormat="1" x14ac:dyDescent="0.25">
      <c r="A182" s="191" t="s">
        <v>667</v>
      </c>
      <c r="B182" s="16"/>
      <c r="C182" s="16"/>
      <c r="D182" s="16"/>
      <c r="E182" s="2"/>
      <c r="F182" s="16"/>
      <c r="G182" s="16"/>
      <c r="H182" s="16"/>
      <c r="I182" s="16"/>
      <c r="J182" s="16"/>
    </row>
    <row r="183" spans="1:10" s="191" customFormat="1" x14ac:dyDescent="0.25">
      <c r="A183" s="191" t="s">
        <v>1394</v>
      </c>
      <c r="B183" s="29">
        <v>0</v>
      </c>
      <c r="C183" s="29">
        <v>0</v>
      </c>
      <c r="D183" s="29">
        <v>0</v>
      </c>
      <c r="E183" s="2"/>
      <c r="F183" s="29"/>
      <c r="G183" s="29"/>
      <c r="H183" s="29"/>
      <c r="I183" s="29"/>
      <c r="J183" s="29"/>
    </row>
    <row r="184" spans="1:10" s="191" customFormat="1" x14ac:dyDescent="0.25">
      <c r="B184" s="16">
        <f>SUM(B181:B183)</f>
        <v>72000</v>
      </c>
      <c r="C184" s="16">
        <f>SUM(C181:C183)</f>
        <v>64052.179999999993</v>
      </c>
      <c r="D184" s="16">
        <f>SUM(D181:D183)</f>
        <v>64366</v>
      </c>
      <c r="E184" s="2"/>
      <c r="F184" s="16"/>
      <c r="G184" s="16"/>
      <c r="H184" s="16"/>
      <c r="I184" s="16"/>
      <c r="J184" s="16"/>
    </row>
    <row r="185" spans="1:10" s="191" customFormat="1" x14ac:dyDescent="0.25">
      <c r="B185" s="2"/>
      <c r="C185" s="2"/>
      <c r="D185" s="29"/>
      <c r="E185" s="2"/>
      <c r="F185" s="16"/>
      <c r="G185" s="16"/>
      <c r="H185" s="16"/>
      <c r="I185" s="16"/>
      <c r="J185" s="16"/>
    </row>
    <row r="186" spans="1:10" s="191" customFormat="1" ht="13.8" x14ac:dyDescent="0.3">
      <c r="A186" s="193" t="s">
        <v>748</v>
      </c>
      <c r="B186" s="30" t="s">
        <v>386</v>
      </c>
      <c r="C186" s="30" t="s">
        <v>386</v>
      </c>
      <c r="D186" s="16"/>
      <c r="E186" s="2">
        <v>38258</v>
      </c>
      <c r="F186" s="2">
        <v>40000</v>
      </c>
      <c r="G186" s="2">
        <v>40000</v>
      </c>
      <c r="H186" s="2">
        <v>40000</v>
      </c>
      <c r="I186" s="2"/>
      <c r="J186" s="2"/>
    </row>
    <row r="187" spans="1:10" s="191" customFormat="1" x14ac:dyDescent="0.25">
      <c r="A187" s="191" t="s">
        <v>1619</v>
      </c>
      <c r="B187" s="2" t="s">
        <v>386</v>
      </c>
      <c r="C187" s="2" t="s">
        <v>386</v>
      </c>
      <c r="D187" s="2">
        <v>40000</v>
      </c>
      <c r="E187" s="2"/>
      <c r="F187" s="2"/>
      <c r="G187" s="2"/>
      <c r="H187" s="2"/>
      <c r="I187" s="2"/>
      <c r="J187" s="2"/>
    </row>
    <row r="188" spans="1:10" s="191" customFormat="1" x14ac:dyDescent="0.25">
      <c r="D188" s="2"/>
      <c r="E188" s="2"/>
      <c r="F188" s="2"/>
      <c r="G188" s="2"/>
      <c r="H188" s="2"/>
      <c r="I188" s="2"/>
      <c r="J188" s="2"/>
    </row>
    <row r="189" spans="1:10" s="191" customFormat="1" ht="13.8" x14ac:dyDescent="0.3">
      <c r="A189" s="193" t="s">
        <v>394</v>
      </c>
      <c r="D189" s="2"/>
      <c r="E189" s="2">
        <v>0</v>
      </c>
      <c r="F189" s="2">
        <v>1000</v>
      </c>
      <c r="G189" s="2">
        <v>1000</v>
      </c>
      <c r="H189" s="2">
        <v>1000</v>
      </c>
      <c r="I189" s="2"/>
      <c r="J189" s="2"/>
    </row>
    <row r="190" spans="1:10" s="191" customFormat="1" x14ac:dyDescent="0.25">
      <c r="A190" s="191" t="s">
        <v>395</v>
      </c>
      <c r="D190" s="2">
        <v>1000</v>
      </c>
      <c r="E190" s="2"/>
      <c r="F190" s="2"/>
      <c r="G190" s="2"/>
      <c r="H190" s="2"/>
      <c r="I190" s="2"/>
      <c r="J190" s="2"/>
    </row>
    <row r="191" spans="1:10" s="191" customFormat="1" x14ac:dyDescent="0.25">
      <c r="D191" s="2"/>
      <c r="E191" s="2"/>
      <c r="F191" s="2"/>
      <c r="G191" s="2"/>
      <c r="H191" s="2"/>
      <c r="I191" s="2"/>
      <c r="J191" s="2"/>
    </row>
    <row r="192" spans="1:10" s="191" customFormat="1" ht="13.8" x14ac:dyDescent="0.3">
      <c r="A192" s="193" t="s">
        <v>633</v>
      </c>
      <c r="D192" s="8" t="s">
        <v>386</v>
      </c>
      <c r="E192" s="2">
        <f>12258+1449</f>
        <v>13707</v>
      </c>
      <c r="F192" s="2">
        <v>12700</v>
      </c>
      <c r="G192" s="2">
        <v>13200</v>
      </c>
      <c r="H192" s="2">
        <v>13200</v>
      </c>
      <c r="I192" s="2"/>
      <c r="J192" s="2"/>
    </row>
    <row r="193" spans="1:10" s="191" customFormat="1" x14ac:dyDescent="0.25">
      <c r="A193" s="191" t="s">
        <v>634</v>
      </c>
      <c r="C193" s="2"/>
      <c r="D193" s="2">
        <v>1500</v>
      </c>
      <c r="E193" s="2"/>
    </row>
    <row r="194" spans="1:10" s="191" customFormat="1" x14ac:dyDescent="0.25">
      <c r="A194" s="191" t="s">
        <v>75</v>
      </c>
      <c r="C194" s="2"/>
      <c r="D194" s="2">
        <v>0</v>
      </c>
      <c r="E194" s="2"/>
    </row>
    <row r="195" spans="1:10" s="191" customFormat="1" x14ac:dyDescent="0.25">
      <c r="A195" s="191" t="s">
        <v>76</v>
      </c>
      <c r="C195" s="2"/>
      <c r="D195" s="2">
        <v>2000</v>
      </c>
      <c r="E195" s="2"/>
    </row>
    <row r="196" spans="1:10" s="191" customFormat="1" x14ac:dyDescent="0.25">
      <c r="A196" s="191" t="s">
        <v>77</v>
      </c>
      <c r="C196" s="2"/>
      <c r="D196" s="2">
        <v>1300</v>
      </c>
      <c r="E196" s="2"/>
      <c r="F196" s="2"/>
      <c r="G196" s="2"/>
      <c r="H196" s="2"/>
      <c r="I196" s="2"/>
      <c r="J196" s="2"/>
    </row>
    <row r="197" spans="1:10" s="191" customFormat="1" x14ac:dyDescent="0.25">
      <c r="A197" s="191" t="s">
        <v>78</v>
      </c>
      <c r="C197" s="2"/>
      <c r="D197" s="2">
        <v>1000</v>
      </c>
      <c r="E197" s="2"/>
      <c r="F197" s="2"/>
      <c r="G197" s="2"/>
      <c r="H197" s="2"/>
      <c r="I197" s="2"/>
      <c r="J197" s="2"/>
    </row>
    <row r="198" spans="1:10" s="191" customFormat="1" x14ac:dyDescent="0.25">
      <c r="A198" s="191" t="s">
        <v>1620</v>
      </c>
      <c r="C198" s="2"/>
      <c r="D198" s="2">
        <v>1200</v>
      </c>
      <c r="E198" s="2"/>
      <c r="F198" s="2"/>
      <c r="G198" s="2"/>
      <c r="H198" s="2"/>
      <c r="I198" s="2"/>
      <c r="J198" s="2"/>
    </row>
    <row r="199" spans="1:10" s="191" customFormat="1" x14ac:dyDescent="0.25">
      <c r="A199" s="191" t="s">
        <v>79</v>
      </c>
      <c r="C199" s="2"/>
      <c r="D199" s="2">
        <v>0</v>
      </c>
      <c r="E199" s="2"/>
      <c r="F199" s="2"/>
      <c r="G199" s="2"/>
      <c r="H199" s="2"/>
      <c r="I199" s="2"/>
      <c r="J199" s="2"/>
    </row>
    <row r="200" spans="1:10" s="191" customFormat="1" x14ac:dyDescent="0.25">
      <c r="A200" s="191" t="s">
        <v>2064</v>
      </c>
      <c r="C200" s="2"/>
      <c r="D200" s="2">
        <v>1200</v>
      </c>
      <c r="E200" s="2"/>
      <c r="F200" s="2"/>
      <c r="G200" s="2"/>
      <c r="H200" s="2"/>
      <c r="I200" s="2"/>
      <c r="J200" s="2"/>
    </row>
    <row r="201" spans="1:10" s="191" customFormat="1" ht="15" x14ac:dyDescent="0.4">
      <c r="A201" s="191" t="s">
        <v>1053</v>
      </c>
      <c r="C201" s="2"/>
      <c r="D201" s="11">
        <v>5000</v>
      </c>
      <c r="E201" s="2"/>
      <c r="F201" s="2"/>
      <c r="G201" s="2"/>
      <c r="H201" s="2"/>
      <c r="I201" s="2"/>
      <c r="J201" s="2"/>
    </row>
    <row r="202" spans="1:10" s="191" customFormat="1" x14ac:dyDescent="0.25">
      <c r="A202" s="6" t="s">
        <v>1283</v>
      </c>
      <c r="C202" s="2"/>
      <c r="D202" s="2">
        <f>SUM(D193:D201)</f>
        <v>13200</v>
      </c>
      <c r="E202" s="2"/>
      <c r="F202" s="2"/>
      <c r="G202" s="2"/>
      <c r="H202" s="2"/>
      <c r="I202" s="2"/>
      <c r="J202" s="2"/>
    </row>
    <row r="203" spans="1:10" s="191" customFormat="1" x14ac:dyDescent="0.25">
      <c r="A203" s="6"/>
      <c r="C203" s="2"/>
      <c r="D203" s="2"/>
      <c r="E203" s="2"/>
      <c r="F203" s="2"/>
      <c r="G203" s="2"/>
      <c r="H203" s="2"/>
      <c r="I203" s="2"/>
      <c r="J203" s="2"/>
    </row>
    <row r="204" spans="1:10" s="191" customFormat="1" ht="13.8" x14ac:dyDescent="0.3">
      <c r="A204" s="193" t="s">
        <v>456</v>
      </c>
      <c r="D204" s="2"/>
      <c r="E204" s="2">
        <v>9703</v>
      </c>
      <c r="F204" s="2">
        <v>7500</v>
      </c>
      <c r="G204" s="2">
        <v>7500</v>
      </c>
      <c r="H204" s="2">
        <v>7500</v>
      </c>
      <c r="I204" s="2"/>
      <c r="J204" s="2"/>
    </row>
    <row r="205" spans="1:10" s="191" customFormat="1" x14ac:dyDescent="0.25">
      <c r="A205" s="191" t="s">
        <v>457</v>
      </c>
      <c r="B205" s="191" t="s">
        <v>386</v>
      </c>
      <c r="C205" s="2"/>
      <c r="D205" s="2">
        <v>7500</v>
      </c>
      <c r="E205" s="2"/>
      <c r="F205" s="2"/>
      <c r="G205" s="2"/>
      <c r="H205" s="2"/>
      <c r="I205" s="2"/>
      <c r="J205" s="2"/>
    </row>
    <row r="206" spans="1:10" s="191" customFormat="1" x14ac:dyDescent="0.25">
      <c r="D206" s="8" t="s">
        <v>386</v>
      </c>
      <c r="E206" s="2"/>
      <c r="F206" s="2"/>
      <c r="G206" s="2"/>
      <c r="H206" s="2"/>
      <c r="I206" s="2"/>
      <c r="J206" s="2"/>
    </row>
    <row r="207" spans="1:10" s="191" customFormat="1" ht="13.8" x14ac:dyDescent="0.3">
      <c r="A207" s="193" t="s">
        <v>458</v>
      </c>
      <c r="E207" s="2">
        <v>37925</v>
      </c>
      <c r="F207" s="2">
        <v>22074</v>
      </c>
      <c r="G207" s="2">
        <v>22576</v>
      </c>
      <c r="H207" s="2">
        <v>22576</v>
      </c>
      <c r="I207" s="2"/>
      <c r="J207" s="2"/>
    </row>
    <row r="208" spans="1:10" s="191" customFormat="1" ht="15" x14ac:dyDescent="0.4">
      <c r="A208" s="193"/>
      <c r="B208" s="9" t="s">
        <v>1715</v>
      </c>
      <c r="C208" s="9" t="s">
        <v>1766</v>
      </c>
      <c r="D208" s="9" t="s">
        <v>1985</v>
      </c>
      <c r="E208" s="2"/>
      <c r="F208" s="2"/>
      <c r="G208" s="2"/>
      <c r="H208" s="2"/>
      <c r="I208" s="2"/>
      <c r="J208" s="2"/>
    </row>
    <row r="209" spans="1:10" s="191" customFormat="1" x14ac:dyDescent="0.25">
      <c r="A209" s="191" t="s">
        <v>992</v>
      </c>
      <c r="B209" s="113">
        <v>100</v>
      </c>
      <c r="C209" s="113">
        <v>168</v>
      </c>
      <c r="D209" s="113">
        <v>36</v>
      </c>
      <c r="E209" s="2"/>
    </row>
    <row r="210" spans="1:10" s="191" customFormat="1" x14ac:dyDescent="0.25">
      <c r="A210" s="191" t="s">
        <v>1332</v>
      </c>
      <c r="B210" s="113">
        <v>100</v>
      </c>
      <c r="C210" s="113">
        <v>100</v>
      </c>
      <c r="D210" s="113">
        <v>100</v>
      </c>
      <c r="E210" s="2"/>
    </row>
    <row r="211" spans="1:10" s="191" customFormat="1" x14ac:dyDescent="0.25">
      <c r="A211" s="191" t="s">
        <v>1116</v>
      </c>
      <c r="B211" s="113">
        <v>400</v>
      </c>
      <c r="C211" s="113">
        <v>400</v>
      </c>
      <c r="D211" s="113">
        <v>400</v>
      </c>
      <c r="E211" s="2"/>
    </row>
    <row r="212" spans="1:10" s="191" customFormat="1" x14ac:dyDescent="0.25">
      <c r="A212" s="191" t="s">
        <v>273</v>
      </c>
      <c r="B212" s="113">
        <v>235</v>
      </c>
      <c r="C212" s="113">
        <v>650</v>
      </c>
      <c r="D212" s="113">
        <v>500</v>
      </c>
      <c r="E212" s="2"/>
      <c r="F212" s="2"/>
      <c r="G212" s="2"/>
      <c r="H212" s="2"/>
      <c r="I212" s="2"/>
      <c r="J212" s="2"/>
    </row>
    <row r="213" spans="1:10" s="191" customFormat="1" x14ac:dyDescent="0.25">
      <c r="A213" s="191" t="s">
        <v>952</v>
      </c>
      <c r="B213" s="113">
        <v>5400</v>
      </c>
      <c r="C213" s="113">
        <v>6916</v>
      </c>
      <c r="D213" s="113">
        <v>6700</v>
      </c>
      <c r="E213" s="2"/>
      <c r="F213" s="2"/>
      <c r="G213" s="2"/>
      <c r="H213" s="2"/>
      <c r="I213" s="2"/>
      <c r="J213" s="2"/>
    </row>
    <row r="214" spans="1:10" s="191" customFormat="1" x14ac:dyDescent="0.25">
      <c r="A214" s="191" t="s">
        <v>1300</v>
      </c>
      <c r="B214" s="113">
        <v>7600</v>
      </c>
      <c r="C214" s="113">
        <v>7500</v>
      </c>
      <c r="D214" s="113">
        <v>7200</v>
      </c>
      <c r="E214" s="2"/>
      <c r="F214" s="2"/>
      <c r="G214" s="2"/>
      <c r="H214" s="2"/>
      <c r="I214" s="2"/>
      <c r="J214" s="2"/>
    </row>
    <row r="215" spans="1:10" s="191" customFormat="1" x14ac:dyDescent="0.25">
      <c r="A215" s="191" t="s">
        <v>953</v>
      </c>
      <c r="B215" s="113">
        <v>100</v>
      </c>
      <c r="C215" s="113">
        <v>500</v>
      </c>
      <c r="D215" s="113">
        <v>500</v>
      </c>
      <c r="E215" s="2"/>
      <c r="F215" s="2"/>
      <c r="G215" s="2"/>
      <c r="H215" s="2"/>
      <c r="I215" s="2"/>
      <c r="J215" s="2"/>
    </row>
    <row r="216" spans="1:10" s="191" customFormat="1" x14ac:dyDescent="0.25">
      <c r="A216" s="191" t="s">
        <v>1541</v>
      </c>
      <c r="B216" s="113">
        <v>2400</v>
      </c>
      <c r="C216" s="113">
        <v>2500</v>
      </c>
      <c r="D216" s="113">
        <v>2000</v>
      </c>
      <c r="E216" s="2"/>
      <c r="F216" s="2"/>
      <c r="G216" s="2"/>
      <c r="H216" s="2"/>
      <c r="I216" s="2"/>
      <c r="J216" s="2"/>
    </row>
    <row r="217" spans="1:10" s="191" customFormat="1" x14ac:dyDescent="0.25">
      <c r="A217" s="191" t="s">
        <v>1051</v>
      </c>
      <c r="B217" s="113">
        <v>2400</v>
      </c>
      <c r="C217" s="113">
        <v>2500</v>
      </c>
      <c r="D217" s="113">
        <v>1500</v>
      </c>
      <c r="E217" s="2"/>
      <c r="F217" s="2"/>
      <c r="G217" s="2"/>
      <c r="H217" s="2"/>
      <c r="I217" s="2"/>
      <c r="J217" s="2"/>
    </row>
    <row r="218" spans="1:10" s="191" customFormat="1" x14ac:dyDescent="0.25">
      <c r="A218" s="191" t="s">
        <v>963</v>
      </c>
      <c r="B218" s="113">
        <v>600</v>
      </c>
      <c r="C218" s="113">
        <v>700</v>
      </c>
      <c r="D218" s="113">
        <v>700</v>
      </c>
      <c r="E218" s="2"/>
      <c r="F218" s="2"/>
      <c r="G218" s="2"/>
      <c r="H218" s="2"/>
      <c r="I218" s="2"/>
      <c r="J218" s="2"/>
    </row>
    <row r="219" spans="1:10" s="191" customFormat="1" x14ac:dyDescent="0.25">
      <c r="A219" s="191" t="s">
        <v>995</v>
      </c>
      <c r="B219" s="113">
        <v>350</v>
      </c>
      <c r="C219" s="113">
        <v>500</v>
      </c>
      <c r="D219" s="113">
        <v>500</v>
      </c>
      <c r="E219" s="2"/>
      <c r="F219" s="2"/>
      <c r="G219" s="2"/>
      <c r="H219" s="2"/>
      <c r="I219" s="2"/>
      <c r="J219" s="2"/>
    </row>
    <row r="220" spans="1:10" s="191" customFormat="1" x14ac:dyDescent="0.25">
      <c r="A220" s="191" t="s">
        <v>802</v>
      </c>
      <c r="B220" s="113">
        <v>800</v>
      </c>
      <c r="C220" s="113">
        <v>800</v>
      </c>
      <c r="D220" s="113">
        <v>1000</v>
      </c>
      <c r="E220" s="2"/>
      <c r="F220" s="2"/>
      <c r="G220" s="2"/>
      <c r="H220" s="2"/>
      <c r="I220" s="2"/>
      <c r="J220" s="2"/>
    </row>
    <row r="221" spans="1:10" s="191" customFormat="1" x14ac:dyDescent="0.25">
      <c r="A221" s="191" t="s">
        <v>1542</v>
      </c>
      <c r="B221" s="113">
        <v>1800</v>
      </c>
      <c r="C221" s="113"/>
      <c r="D221" s="113">
        <v>0</v>
      </c>
      <c r="E221" s="2"/>
      <c r="F221" s="2"/>
      <c r="G221" s="2"/>
      <c r="H221" s="2"/>
      <c r="I221" s="2"/>
      <c r="J221" s="2"/>
    </row>
    <row r="222" spans="1:10" s="191" customFormat="1" ht="14.4" x14ac:dyDescent="0.3">
      <c r="A222" s="191" t="s">
        <v>309</v>
      </c>
      <c r="B222" s="121">
        <v>25</v>
      </c>
      <c r="C222" s="121">
        <v>150</v>
      </c>
      <c r="D222" s="121">
        <v>150</v>
      </c>
      <c r="E222" s="2"/>
      <c r="F222" s="2"/>
      <c r="G222" s="2"/>
      <c r="H222" s="2"/>
      <c r="I222" s="2"/>
      <c r="J222" s="2"/>
    </row>
    <row r="223" spans="1:10" s="191" customFormat="1" ht="14.4" x14ac:dyDescent="0.3">
      <c r="A223" s="191" t="s">
        <v>1543</v>
      </c>
      <c r="B223" s="121">
        <v>140</v>
      </c>
      <c r="C223" s="121">
        <v>140</v>
      </c>
      <c r="D223" s="121">
        <v>140</v>
      </c>
      <c r="E223" s="2"/>
      <c r="F223" s="2"/>
      <c r="G223" s="2"/>
      <c r="H223" s="2"/>
      <c r="I223" s="2"/>
      <c r="J223" s="2"/>
    </row>
    <row r="224" spans="1:10" s="191" customFormat="1" ht="14.4" x14ac:dyDescent="0.3">
      <c r="A224" s="191" t="s">
        <v>954</v>
      </c>
      <c r="B224" s="121">
        <v>5500</v>
      </c>
      <c r="C224" s="121">
        <v>3500</v>
      </c>
      <c r="D224" s="121">
        <v>3500</v>
      </c>
      <c r="E224" s="2"/>
      <c r="F224" s="2"/>
      <c r="G224" s="2"/>
      <c r="H224" s="2"/>
      <c r="I224" s="2"/>
      <c r="J224" s="2"/>
    </row>
    <row r="225" spans="1:10" s="191" customFormat="1" x14ac:dyDescent="0.25">
      <c r="A225" s="191" t="s">
        <v>955</v>
      </c>
      <c r="B225" s="113">
        <v>250</v>
      </c>
      <c r="C225" s="113">
        <v>250</v>
      </c>
      <c r="D225" s="113">
        <v>250</v>
      </c>
      <c r="E225" s="2"/>
      <c r="F225" s="2"/>
      <c r="G225" s="2"/>
      <c r="H225" s="2"/>
      <c r="I225" s="2"/>
      <c r="J225" s="2"/>
    </row>
    <row r="226" spans="1:10" s="191" customFormat="1" x14ac:dyDescent="0.25">
      <c r="A226" s="191" t="s">
        <v>1117</v>
      </c>
      <c r="B226" s="113">
        <v>100</v>
      </c>
      <c r="C226" s="113">
        <v>300</v>
      </c>
      <c r="D226" s="113">
        <v>300</v>
      </c>
      <c r="E226" s="2"/>
      <c r="F226" s="2"/>
      <c r="G226" s="2"/>
      <c r="H226" s="2"/>
      <c r="I226" s="2"/>
      <c r="J226" s="2"/>
    </row>
    <row r="227" spans="1:10" s="191" customFormat="1" x14ac:dyDescent="0.25">
      <c r="A227" s="191" t="s">
        <v>1544</v>
      </c>
      <c r="B227" s="113">
        <v>1600</v>
      </c>
      <c r="C227" s="113">
        <v>1700</v>
      </c>
      <c r="D227" s="113">
        <v>1800</v>
      </c>
      <c r="E227" s="2"/>
      <c r="F227" s="2"/>
      <c r="G227" s="2"/>
      <c r="H227" s="2"/>
      <c r="I227" s="2"/>
      <c r="J227" s="2"/>
    </row>
    <row r="228" spans="1:10" s="191" customFormat="1" x14ac:dyDescent="0.25">
      <c r="A228" s="191" t="s">
        <v>1545</v>
      </c>
      <c r="B228" s="113">
        <v>800</v>
      </c>
      <c r="C228" s="113">
        <v>800</v>
      </c>
      <c r="D228" s="113">
        <v>800</v>
      </c>
      <c r="E228" s="2"/>
      <c r="F228" s="2"/>
      <c r="G228" s="2"/>
      <c r="H228" s="2"/>
      <c r="I228" s="2"/>
      <c r="J228" s="2"/>
    </row>
    <row r="229" spans="1:10" s="191" customFormat="1" x14ac:dyDescent="0.25">
      <c r="A229" s="191" t="s">
        <v>1130</v>
      </c>
      <c r="B229" s="113">
        <v>11000</v>
      </c>
      <c r="C229" s="113">
        <v>7500</v>
      </c>
      <c r="D229" s="113">
        <v>5000</v>
      </c>
      <c r="E229" s="2"/>
      <c r="F229" s="2"/>
      <c r="G229" s="2"/>
      <c r="H229" s="2"/>
      <c r="I229" s="2"/>
      <c r="J229" s="2"/>
    </row>
    <row r="230" spans="1:10" s="191" customFormat="1" ht="15" x14ac:dyDescent="0.25">
      <c r="A230" s="191" t="s">
        <v>890</v>
      </c>
      <c r="B230" s="115">
        <v>12000</v>
      </c>
      <c r="C230" s="115">
        <v>12000</v>
      </c>
      <c r="D230" s="115">
        <v>12000</v>
      </c>
      <c r="E230" s="2"/>
      <c r="F230" s="2"/>
      <c r="G230" s="2"/>
      <c r="H230" s="2"/>
      <c r="I230" s="2"/>
      <c r="J230" s="2"/>
    </row>
    <row r="231" spans="1:10" s="191" customFormat="1" x14ac:dyDescent="0.25">
      <c r="A231" s="191" t="s">
        <v>722</v>
      </c>
      <c r="B231" s="113">
        <v>36700</v>
      </c>
      <c r="C231" s="113">
        <f>SUM(C209:C230)</f>
        <v>49574</v>
      </c>
      <c r="D231" s="113">
        <f>SUM(D209:D230)</f>
        <v>45076</v>
      </c>
      <c r="E231" s="2"/>
      <c r="F231" s="2"/>
      <c r="G231" s="2"/>
      <c r="H231" s="2"/>
      <c r="I231" s="2"/>
      <c r="J231" s="2"/>
    </row>
    <row r="232" spans="1:10" s="191" customFormat="1" x14ac:dyDescent="0.25">
      <c r="A232" s="191" t="s">
        <v>668</v>
      </c>
      <c r="B232" s="112">
        <v>-26798.82</v>
      </c>
      <c r="C232" s="112">
        <v>-27500</v>
      </c>
      <c r="D232" s="112">
        <v>-22500</v>
      </c>
      <c r="E232" s="2"/>
      <c r="F232" s="2"/>
      <c r="G232" s="2"/>
      <c r="H232" s="2"/>
      <c r="I232" s="2"/>
      <c r="J232" s="2"/>
    </row>
    <row r="233" spans="1:10" s="191" customFormat="1" ht="15" x14ac:dyDescent="0.4">
      <c r="A233" s="191" t="s">
        <v>1394</v>
      </c>
      <c r="B233" s="114">
        <v>-7000</v>
      </c>
      <c r="C233" s="114">
        <v>0</v>
      </c>
      <c r="D233" s="114">
        <v>0</v>
      </c>
      <c r="E233" s="2"/>
      <c r="F233" s="2"/>
      <c r="G233" s="2"/>
      <c r="H233" s="2"/>
      <c r="I233" s="2"/>
      <c r="J233" s="2"/>
    </row>
    <row r="234" spans="1:10" s="191" customFormat="1" x14ac:dyDescent="0.25">
      <c r="A234" s="191" t="s">
        <v>704</v>
      </c>
      <c r="B234" s="112">
        <v>12560</v>
      </c>
      <c r="C234" s="112">
        <f>SUM(C231:C233)</f>
        <v>22074</v>
      </c>
      <c r="D234" s="112">
        <f>SUM(D231:D233)</f>
        <v>22576</v>
      </c>
      <c r="E234" s="2"/>
      <c r="F234" s="2"/>
      <c r="G234" s="2"/>
      <c r="H234" s="2"/>
      <c r="I234" s="2"/>
      <c r="J234" s="2"/>
    </row>
    <row r="235" spans="1:10" s="191" customFormat="1" x14ac:dyDescent="0.25">
      <c r="B235" s="2"/>
      <c r="C235" s="2"/>
      <c r="D235" s="112"/>
      <c r="E235" s="2"/>
      <c r="F235" s="2"/>
      <c r="G235" s="2"/>
      <c r="H235" s="2"/>
      <c r="I235" s="2"/>
      <c r="J235" s="2"/>
    </row>
    <row r="236" spans="1:10" s="191" customFormat="1" ht="13.8" x14ac:dyDescent="0.3">
      <c r="A236" s="193" t="s">
        <v>397</v>
      </c>
      <c r="B236" s="2"/>
      <c r="C236" s="2"/>
      <c r="D236" s="2"/>
      <c r="E236" s="2">
        <v>3480</v>
      </c>
      <c r="F236" s="2">
        <v>3480</v>
      </c>
      <c r="G236" s="2">
        <v>3480</v>
      </c>
      <c r="H236" s="2">
        <v>3480</v>
      </c>
      <c r="I236" s="2"/>
      <c r="J236" s="2"/>
    </row>
    <row r="237" spans="1:10" s="191" customFormat="1" x14ac:dyDescent="0.25">
      <c r="A237" s="191" t="s">
        <v>1726</v>
      </c>
      <c r="B237" s="2"/>
      <c r="C237" s="2">
        <v>3480</v>
      </c>
      <c r="D237" s="2">
        <v>3480</v>
      </c>
      <c r="E237" s="2"/>
      <c r="F237" s="2"/>
      <c r="G237" s="2"/>
      <c r="H237" s="2"/>
      <c r="I237" s="2"/>
      <c r="J237" s="2"/>
    </row>
    <row r="238" spans="1:10" s="191" customFormat="1" x14ac:dyDescent="0.25">
      <c r="B238" s="2"/>
      <c r="C238" s="2"/>
      <c r="D238" s="2"/>
      <c r="E238" s="2"/>
      <c r="F238" s="2"/>
      <c r="G238" s="2"/>
      <c r="H238" s="2"/>
      <c r="I238" s="2"/>
      <c r="J238" s="2"/>
    </row>
    <row r="239" spans="1:10" s="191" customFormat="1" x14ac:dyDescent="0.25">
      <c r="A239" s="190" t="s">
        <v>862</v>
      </c>
      <c r="B239" s="2"/>
      <c r="C239" s="2"/>
      <c r="D239" s="2"/>
      <c r="E239" s="2">
        <v>23177</v>
      </c>
      <c r="F239" s="2">
        <v>10400</v>
      </c>
      <c r="G239" s="2">
        <v>241875</v>
      </c>
      <c r="H239" s="2">
        <v>91875</v>
      </c>
      <c r="I239" s="2"/>
      <c r="J239" s="2"/>
    </row>
    <row r="240" spans="1:10" s="191" customFormat="1" x14ac:dyDescent="0.25">
      <c r="A240" s="23" t="s">
        <v>2154</v>
      </c>
      <c r="B240" s="2">
        <v>0</v>
      </c>
      <c r="C240" s="2">
        <v>0</v>
      </c>
      <c r="D240" s="2">
        <v>49549</v>
      </c>
      <c r="E240" s="2"/>
      <c r="F240" s="2"/>
      <c r="G240" s="2"/>
      <c r="H240" s="2"/>
      <c r="I240" s="2"/>
      <c r="J240" s="2"/>
    </row>
    <row r="241" spans="1:10" s="191" customFormat="1" x14ac:dyDescent="0.25">
      <c r="A241" s="23" t="s">
        <v>2155</v>
      </c>
      <c r="B241" s="2">
        <v>0</v>
      </c>
      <c r="C241" s="2">
        <v>0</v>
      </c>
      <c r="D241" s="2">
        <v>42326</v>
      </c>
      <c r="E241" s="2"/>
      <c r="F241" s="2"/>
      <c r="G241" s="2"/>
      <c r="H241" s="2"/>
      <c r="I241" s="2"/>
      <c r="J241" s="2"/>
    </row>
    <row r="242" spans="1:10" s="191" customFormat="1" x14ac:dyDescent="0.25">
      <c r="A242" s="23" t="s">
        <v>1807</v>
      </c>
      <c r="B242" s="2">
        <v>2400</v>
      </c>
      <c r="C242" s="2">
        <v>0</v>
      </c>
      <c r="D242" s="2">
        <v>0</v>
      </c>
      <c r="E242" s="2"/>
      <c r="F242" s="2"/>
      <c r="G242" s="2"/>
      <c r="H242" s="2"/>
      <c r="I242" s="2"/>
      <c r="J242" s="2"/>
    </row>
    <row r="243" spans="1:10" s="191" customFormat="1" x14ac:dyDescent="0.25">
      <c r="A243" s="23" t="s">
        <v>1808</v>
      </c>
      <c r="B243" s="2">
        <v>8000</v>
      </c>
      <c r="C243" s="2">
        <v>0</v>
      </c>
      <c r="D243" s="2">
        <v>0</v>
      </c>
      <c r="E243" s="2"/>
      <c r="F243" s="2"/>
      <c r="G243" s="2"/>
      <c r="H243" s="2"/>
      <c r="I243" s="2"/>
      <c r="J243" s="2"/>
    </row>
    <row r="244" spans="1:10" s="191" customFormat="1" ht="15" x14ac:dyDescent="0.4">
      <c r="A244" s="23" t="s">
        <v>2156</v>
      </c>
      <c r="B244" s="11">
        <v>0</v>
      </c>
      <c r="C244" s="11">
        <v>0</v>
      </c>
      <c r="D244" s="11">
        <v>0</v>
      </c>
      <c r="E244" s="2"/>
      <c r="F244" s="2"/>
      <c r="G244" s="2"/>
      <c r="H244" s="2"/>
      <c r="I244" s="2"/>
      <c r="J244" s="2"/>
    </row>
    <row r="245" spans="1:10" s="191" customFormat="1" hidden="1" x14ac:dyDescent="0.25">
      <c r="A245" s="85"/>
      <c r="B245" s="2">
        <f>SUM(B240:B244)</f>
        <v>10400</v>
      </c>
      <c r="C245" s="2">
        <f>SUM(C240:C244)</f>
        <v>0</v>
      </c>
      <c r="D245" s="2">
        <f>SUM(D240:D244)</f>
        <v>91875</v>
      </c>
      <c r="E245" s="2"/>
      <c r="F245" s="2"/>
      <c r="G245" s="2"/>
      <c r="H245" s="2"/>
      <c r="I245" s="2"/>
      <c r="J245" s="2"/>
    </row>
    <row r="246" spans="1:10" s="191" customFormat="1" hidden="1" x14ac:dyDescent="0.25">
      <c r="A246" s="85"/>
      <c r="B246" s="2"/>
      <c r="C246" s="2"/>
      <c r="D246" s="2"/>
      <c r="E246" s="2"/>
      <c r="F246" s="2"/>
      <c r="G246" s="2"/>
      <c r="H246" s="2"/>
      <c r="I246" s="2"/>
      <c r="J246" s="2"/>
    </row>
    <row r="247" spans="1:10" s="191" customFormat="1" ht="13.8" hidden="1" x14ac:dyDescent="0.3">
      <c r="A247" s="193" t="s">
        <v>397</v>
      </c>
      <c r="B247" s="2"/>
      <c r="C247" s="2"/>
      <c r="D247" s="2"/>
      <c r="E247" s="2"/>
      <c r="F247" s="2"/>
      <c r="G247" s="2"/>
      <c r="H247" s="2"/>
      <c r="I247" s="2"/>
      <c r="J247" s="2"/>
    </row>
    <row r="248" spans="1:10" s="191" customFormat="1" hidden="1" x14ac:dyDescent="0.25">
      <c r="B248" s="2"/>
      <c r="C248" s="2"/>
      <c r="D248" s="2"/>
      <c r="E248" s="2"/>
      <c r="F248" s="2"/>
      <c r="G248" s="2"/>
      <c r="H248" s="2"/>
      <c r="I248" s="2"/>
      <c r="J248" s="2"/>
    </row>
    <row r="249" spans="1:10" s="191" customFormat="1" ht="15" hidden="1" x14ac:dyDescent="0.4">
      <c r="A249" s="193" t="s">
        <v>1361</v>
      </c>
      <c r="B249" s="8" t="s">
        <v>386</v>
      </c>
      <c r="C249" s="8" t="s">
        <v>386</v>
      </c>
      <c r="D249" s="8" t="s">
        <v>386</v>
      </c>
      <c r="E249" s="11"/>
      <c r="F249" s="11"/>
      <c r="G249" s="11"/>
      <c r="H249" s="11"/>
      <c r="I249" s="11"/>
      <c r="J249" s="11"/>
    </row>
    <row r="250" spans="1:10" s="191" customFormat="1" hidden="1" x14ac:dyDescent="0.25">
      <c r="A250" s="191" t="s">
        <v>400</v>
      </c>
      <c r="B250" s="2">
        <v>0</v>
      </c>
      <c r="C250" s="2">
        <v>0</v>
      </c>
      <c r="D250" s="2">
        <v>0</v>
      </c>
      <c r="E250" s="2"/>
      <c r="F250" s="2"/>
      <c r="G250" s="2"/>
      <c r="H250" s="2"/>
      <c r="I250" s="2"/>
      <c r="J250" s="2"/>
    </row>
    <row r="251" spans="1:10" s="191" customFormat="1" ht="15" hidden="1" x14ac:dyDescent="0.4">
      <c r="A251" s="191" t="s">
        <v>828</v>
      </c>
      <c r="B251" s="11">
        <v>0</v>
      </c>
      <c r="C251" s="11">
        <v>0</v>
      </c>
      <c r="D251" s="11">
        <v>0</v>
      </c>
      <c r="E251" s="2"/>
      <c r="F251" s="2"/>
      <c r="G251" s="2"/>
      <c r="H251" s="2"/>
      <c r="I251" s="2"/>
      <c r="J251" s="2"/>
    </row>
    <row r="252" spans="1:10" s="191" customFormat="1" hidden="1" x14ac:dyDescent="0.25">
      <c r="A252" s="191" t="s">
        <v>1182</v>
      </c>
      <c r="B252" s="2">
        <f>SUM(B250:B251)</f>
        <v>0</v>
      </c>
      <c r="C252" s="2">
        <f>SUM(C250:C251)</f>
        <v>0</v>
      </c>
      <c r="D252" s="2">
        <f>SUM(D250:D251)</f>
        <v>0</v>
      </c>
      <c r="E252" s="2"/>
      <c r="F252" s="2"/>
      <c r="G252" s="2"/>
      <c r="H252" s="2"/>
      <c r="I252" s="2"/>
      <c r="J252" s="2"/>
    </row>
    <row r="253" spans="1:10" s="191" customFormat="1" x14ac:dyDescent="0.25">
      <c r="B253" s="2">
        <f>SUM(B245)</f>
        <v>10400</v>
      </c>
      <c r="C253" s="2">
        <f>SUM(C245)</f>
        <v>0</v>
      </c>
      <c r="D253" s="2">
        <f>SUM(D245)</f>
        <v>91875</v>
      </c>
      <c r="E253" s="2"/>
      <c r="F253" s="2"/>
      <c r="G253" s="2"/>
      <c r="H253" s="2"/>
      <c r="I253" s="2"/>
      <c r="J253" s="2"/>
    </row>
    <row r="254" spans="1:10" s="191" customFormat="1" x14ac:dyDescent="0.25">
      <c r="B254" s="2"/>
      <c r="C254" s="2"/>
      <c r="D254" s="2"/>
      <c r="E254" s="2"/>
      <c r="F254" s="2"/>
      <c r="G254" s="2"/>
      <c r="H254" s="2"/>
      <c r="I254" s="2"/>
      <c r="J254" s="2"/>
    </row>
    <row r="255" spans="1:10" s="191" customFormat="1" ht="15" x14ac:dyDescent="0.4">
      <c r="A255" s="193" t="s">
        <v>1943</v>
      </c>
      <c r="B255" s="2"/>
      <c r="C255" s="2"/>
      <c r="D255" s="2"/>
      <c r="E255" s="11">
        <v>0</v>
      </c>
      <c r="F255" s="11">
        <v>50000</v>
      </c>
      <c r="G255" s="11">
        <v>0</v>
      </c>
      <c r="H255" s="11">
        <v>0</v>
      </c>
      <c r="I255" s="11"/>
      <c r="J255" s="11"/>
    </row>
    <row r="256" spans="1:10" s="191" customFormat="1" x14ac:dyDescent="0.25">
      <c r="A256" s="191" t="s">
        <v>1939</v>
      </c>
      <c r="B256" s="2"/>
      <c r="C256" s="2">
        <v>50000</v>
      </c>
      <c r="D256" s="2">
        <v>0</v>
      </c>
      <c r="E256" s="2"/>
      <c r="F256" s="2"/>
      <c r="G256" s="2"/>
      <c r="H256" s="2"/>
      <c r="I256" s="2"/>
      <c r="J256" s="2"/>
    </row>
    <row r="257" spans="1:10" s="191" customFormat="1" x14ac:dyDescent="0.25">
      <c r="B257" s="2"/>
      <c r="C257" s="2"/>
      <c r="D257" s="2"/>
      <c r="E257" s="2"/>
      <c r="F257" s="2"/>
      <c r="G257" s="2"/>
      <c r="H257" s="2"/>
      <c r="I257" s="2"/>
      <c r="J257" s="2"/>
    </row>
    <row r="258" spans="1:10" s="191" customFormat="1" x14ac:dyDescent="0.25">
      <c r="A258" s="191" t="s">
        <v>1267</v>
      </c>
      <c r="C258" s="2"/>
      <c r="D258" s="2"/>
      <c r="E258" s="2">
        <f t="shared" ref="E258:J258" si="2">SUM(E6:E255)</f>
        <v>421110</v>
      </c>
      <c r="F258" s="2">
        <f t="shared" si="2"/>
        <v>507026</v>
      </c>
      <c r="G258" s="2">
        <f t="shared" si="2"/>
        <v>695736</v>
      </c>
      <c r="H258" s="2">
        <f t="shared" si="2"/>
        <v>545736</v>
      </c>
      <c r="I258" s="2">
        <f t="shared" si="2"/>
        <v>0</v>
      </c>
      <c r="J258" s="2">
        <f t="shared" si="2"/>
        <v>0</v>
      </c>
    </row>
    <row r="259" spans="1:10" s="191" customFormat="1" x14ac:dyDescent="0.25">
      <c r="C259" s="2"/>
      <c r="D259" s="2"/>
      <c r="E259" s="2"/>
      <c r="F259" s="2"/>
      <c r="G259" s="2"/>
      <c r="H259" s="2"/>
      <c r="I259" s="2"/>
      <c r="J259" s="2"/>
    </row>
    <row r="260" spans="1:10" s="191" customFormat="1" x14ac:dyDescent="0.25">
      <c r="A260" s="191" t="s">
        <v>917</v>
      </c>
      <c r="D260" s="2"/>
      <c r="E260" s="2">
        <f t="shared" ref="E260:J260" si="3">SUM(E6:E72)</f>
        <v>129132</v>
      </c>
      <c r="F260" s="2">
        <f t="shared" si="3"/>
        <v>204300</v>
      </c>
      <c r="G260" s="2">
        <f t="shared" si="3"/>
        <v>206031</v>
      </c>
      <c r="H260" s="2">
        <f t="shared" si="3"/>
        <v>206031</v>
      </c>
      <c r="I260" s="2">
        <f t="shared" si="3"/>
        <v>0</v>
      </c>
      <c r="J260" s="2">
        <f t="shared" si="3"/>
        <v>0</v>
      </c>
    </row>
    <row r="261" spans="1:10" s="191" customFormat="1" x14ac:dyDescent="0.25">
      <c r="A261" s="191" t="s">
        <v>895</v>
      </c>
      <c r="D261" s="2"/>
      <c r="E261" s="2">
        <f t="shared" ref="E261:J261" si="4">SUM(E74:E234)</f>
        <v>265321</v>
      </c>
      <c r="F261" s="2">
        <f t="shared" si="4"/>
        <v>238846</v>
      </c>
      <c r="G261" s="2">
        <f t="shared" si="4"/>
        <v>244350</v>
      </c>
      <c r="H261" s="2">
        <f t="shared" si="4"/>
        <v>244350</v>
      </c>
      <c r="I261" s="2">
        <f t="shared" si="4"/>
        <v>0</v>
      </c>
      <c r="J261" s="2">
        <f t="shared" si="4"/>
        <v>0</v>
      </c>
    </row>
    <row r="262" spans="1:10" s="191" customFormat="1" ht="15" x14ac:dyDescent="0.4">
      <c r="A262" s="191" t="s">
        <v>896</v>
      </c>
      <c r="D262" s="2"/>
      <c r="E262" s="11">
        <f t="shared" ref="E262:J262" si="5">SUM(E236:E255)</f>
        <v>26657</v>
      </c>
      <c r="F262" s="11">
        <f t="shared" si="5"/>
        <v>63880</v>
      </c>
      <c r="G262" s="11">
        <f t="shared" si="5"/>
        <v>245355</v>
      </c>
      <c r="H262" s="11">
        <f t="shared" si="5"/>
        <v>95355</v>
      </c>
      <c r="I262" s="11">
        <f t="shared" si="5"/>
        <v>0</v>
      </c>
      <c r="J262" s="11">
        <f t="shared" si="5"/>
        <v>0</v>
      </c>
    </row>
    <row r="263" spans="1:10" s="191" customFormat="1" x14ac:dyDescent="0.25">
      <c r="A263" s="191" t="s">
        <v>1182</v>
      </c>
      <c r="D263" s="2"/>
      <c r="E263" s="2">
        <f t="shared" ref="E263:J263" si="6">SUM(E260:E262)</f>
        <v>421110</v>
      </c>
      <c r="F263" s="2">
        <f t="shared" si="6"/>
        <v>507026</v>
      </c>
      <c r="G263" s="2">
        <f t="shared" si="6"/>
        <v>695736</v>
      </c>
      <c r="H263" s="2">
        <f t="shared" si="6"/>
        <v>545736</v>
      </c>
      <c r="I263" s="2">
        <f t="shared" si="6"/>
        <v>0</v>
      </c>
      <c r="J263" s="2">
        <f t="shared" si="6"/>
        <v>0</v>
      </c>
    </row>
    <row r="264" spans="1:10" s="191" customFormat="1" x14ac:dyDescent="0.25">
      <c r="D264" s="2"/>
    </row>
    <row r="265" spans="1:10" s="191" customFormat="1" x14ac:dyDescent="0.25">
      <c r="D265" s="2"/>
      <c r="F265" s="2"/>
    </row>
    <row r="266" spans="1:10" s="191" customFormat="1" x14ac:dyDescent="0.25">
      <c r="D266" s="2"/>
    </row>
    <row r="267" spans="1:10" s="191" customFormat="1" x14ac:dyDescent="0.25">
      <c r="D267" s="2"/>
    </row>
    <row r="268" spans="1:10" s="191" customFormat="1" x14ac:dyDescent="0.25">
      <c r="D268" s="2"/>
      <c r="E268" s="2"/>
    </row>
    <row r="269" spans="1:10" s="191" customFormat="1" x14ac:dyDescent="0.25">
      <c r="D269" s="2"/>
    </row>
    <row r="270" spans="1:10" s="191" customFormat="1" x14ac:dyDescent="0.25">
      <c r="D270" s="2"/>
    </row>
    <row r="271" spans="1:10" s="191" customFormat="1" x14ac:dyDescent="0.25">
      <c r="D271" s="2"/>
    </row>
    <row r="272" spans="1:10" s="191" customFormat="1" x14ac:dyDescent="0.25">
      <c r="D272" s="2"/>
    </row>
    <row r="273" spans="4:4" s="191" customFormat="1" x14ac:dyDescent="0.25">
      <c r="D273" s="2"/>
    </row>
    <row r="274" spans="4:4" s="191" customFormat="1" x14ac:dyDescent="0.25">
      <c r="D274" s="2"/>
    </row>
    <row r="275" spans="4:4" s="191" customFormat="1" x14ac:dyDescent="0.25">
      <c r="D275" s="2"/>
    </row>
    <row r="276" spans="4:4" s="191" customFormat="1" x14ac:dyDescent="0.25">
      <c r="D276" s="2"/>
    </row>
    <row r="277" spans="4:4" s="191" customFormat="1" x14ac:dyDescent="0.25">
      <c r="D277" s="2"/>
    </row>
    <row r="278" spans="4:4" s="191" customFormat="1" x14ac:dyDescent="0.25">
      <c r="D278" s="2"/>
    </row>
    <row r="279" spans="4:4" s="191" customFormat="1" x14ac:dyDescent="0.25">
      <c r="D279" s="2"/>
    </row>
    <row r="280" spans="4:4" s="191" customFormat="1" x14ac:dyDescent="0.25">
      <c r="D280" s="2"/>
    </row>
    <row r="281" spans="4:4" s="191" customFormat="1" x14ac:dyDescent="0.25">
      <c r="D281" s="2"/>
    </row>
    <row r="282" spans="4:4" s="191" customFormat="1" x14ac:dyDescent="0.25">
      <c r="D282" s="2"/>
    </row>
    <row r="283" spans="4:4" s="191" customFormat="1" x14ac:dyDescent="0.25">
      <c r="D283" s="2"/>
    </row>
    <row r="284" spans="4:4" s="191" customFormat="1" x14ac:dyDescent="0.25">
      <c r="D284" s="2"/>
    </row>
    <row r="285" spans="4:4" s="191" customFormat="1" x14ac:dyDescent="0.25">
      <c r="D285" s="2"/>
    </row>
    <row r="286" spans="4:4" s="191" customFormat="1" x14ac:dyDescent="0.25">
      <c r="D286" s="2"/>
    </row>
    <row r="287" spans="4:4" s="191" customFormat="1" x14ac:dyDescent="0.25">
      <c r="D287" s="2"/>
    </row>
    <row r="288" spans="4:4" s="191" customFormat="1" x14ac:dyDescent="0.25">
      <c r="D288" s="2"/>
    </row>
    <row r="289" spans="4:4" s="191" customFormat="1" x14ac:dyDescent="0.25">
      <c r="D289" s="2"/>
    </row>
    <row r="290" spans="4:4" s="191" customFormat="1" x14ac:dyDescent="0.25">
      <c r="D290" s="2"/>
    </row>
    <row r="291" spans="4:4" s="191" customFormat="1" x14ac:dyDescent="0.25">
      <c r="D291" s="2"/>
    </row>
    <row r="292" spans="4:4" s="191" customFormat="1" x14ac:dyDescent="0.25">
      <c r="D292" s="2"/>
    </row>
    <row r="293" spans="4:4" s="191" customFormat="1" x14ac:dyDescent="0.25">
      <c r="D293" s="2"/>
    </row>
    <row r="294" spans="4:4" s="191" customFormat="1" x14ac:dyDescent="0.25">
      <c r="D294" s="2"/>
    </row>
    <row r="295" spans="4:4" s="191" customFormat="1" x14ac:dyDescent="0.25">
      <c r="D295" s="2"/>
    </row>
  </sheetData>
  <mergeCells count="1">
    <mergeCell ref="A1:J1"/>
  </mergeCells>
  <phoneticPr fontId="0" type="noConversion"/>
  <printOptions gridLines="1"/>
  <pageMargins left="0.75" right="0.16" top="0.51" bottom="0.22" header="0.5" footer="0"/>
  <pageSetup scale="89" fitToHeight="16" orientation="landscape" r:id="rId1"/>
  <headerFooter alignWithMargins="0"/>
  <rowBreaks count="4" manualBreakCount="4">
    <brk id="65" max="7" man="1"/>
    <brk id="115" max="7" man="1"/>
    <brk id="203" max="7" man="1"/>
    <brk id="254" max="7"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72"/>
  <sheetViews>
    <sheetView zoomScaleNormal="100" zoomScaleSheetLayoutView="100" workbookViewId="0">
      <selection sqref="A1:I1"/>
    </sheetView>
  </sheetViews>
  <sheetFormatPr defaultColWidth="8.88671875" defaultRowHeight="13.2" x14ac:dyDescent="0.25"/>
  <cols>
    <col min="1" max="1" width="51.6640625" style="191" bestFit="1" customWidth="1"/>
    <col min="2" max="2" width="9.44140625" style="191" bestFit="1" customWidth="1"/>
    <col min="3" max="3" width="8.88671875" style="191" customWidth="1"/>
    <col min="4" max="6" width="10.88671875" style="191" customWidth="1"/>
    <col min="7" max="7" width="14" style="191" bestFit="1" customWidth="1"/>
    <col min="8" max="9" width="10.88671875" style="191" customWidth="1"/>
    <col min="10" max="10" width="0" style="191" hidden="1" customWidth="1"/>
    <col min="11" max="16384" width="8.88671875" style="191"/>
  </cols>
  <sheetData>
    <row r="1" spans="1:9" x14ac:dyDescent="0.25">
      <c r="A1" s="194" t="e">
        <f>#REF!</f>
        <v>#REF!</v>
      </c>
      <c r="B1" s="195"/>
      <c r="C1" s="195"/>
      <c r="D1" s="195"/>
      <c r="E1" s="195"/>
      <c r="F1" s="195"/>
      <c r="G1" s="195"/>
      <c r="H1" s="195"/>
      <c r="I1" s="195"/>
    </row>
    <row r="2" spans="1:9" ht="17.399999999999999" x14ac:dyDescent="0.3">
      <c r="A2" s="153" t="s">
        <v>1958</v>
      </c>
      <c r="B2" s="153"/>
      <c r="C2" s="153"/>
      <c r="D2" s="153"/>
      <c r="E2" s="153"/>
    </row>
    <row r="3" spans="1:9" x14ac:dyDescent="0.25">
      <c r="B3" s="2"/>
      <c r="C3" s="2"/>
      <c r="D3" s="2"/>
      <c r="E3" s="2"/>
      <c r="H3" s="84"/>
      <c r="I3" s="118"/>
    </row>
    <row r="4" spans="1:9" x14ac:dyDescent="0.25">
      <c r="B4" s="2"/>
      <c r="C4" s="2"/>
      <c r="D4" s="2"/>
      <c r="E4" s="167" t="s">
        <v>232</v>
      </c>
      <c r="F4" s="167" t="s">
        <v>233</v>
      </c>
      <c r="G4" s="167" t="s">
        <v>69</v>
      </c>
      <c r="H4" s="16" t="s">
        <v>303</v>
      </c>
      <c r="I4" s="16" t="s">
        <v>336</v>
      </c>
    </row>
    <row r="5" spans="1:9" ht="15" x14ac:dyDescent="0.4">
      <c r="B5" s="2"/>
      <c r="C5" s="2"/>
      <c r="D5" s="2"/>
      <c r="E5" s="192" t="s">
        <v>1715</v>
      </c>
      <c r="F5" s="192" t="s">
        <v>1766</v>
      </c>
      <c r="G5" s="192" t="s">
        <v>1985</v>
      </c>
      <c r="H5" s="192" t="s">
        <v>1985</v>
      </c>
      <c r="I5" s="192" t="s">
        <v>1985</v>
      </c>
    </row>
    <row r="6" spans="1:9" ht="13.8" x14ac:dyDescent="0.3">
      <c r="A6" s="95" t="s">
        <v>401</v>
      </c>
      <c r="B6" s="90"/>
      <c r="C6" s="90"/>
      <c r="D6" s="90"/>
      <c r="E6" s="90">
        <v>187919</v>
      </c>
      <c r="F6" s="90">
        <v>301960</v>
      </c>
      <c r="G6" s="90">
        <v>304352</v>
      </c>
      <c r="H6" s="90">
        <v>304352</v>
      </c>
      <c r="I6" s="90"/>
    </row>
    <row r="7" spans="1:9" x14ac:dyDescent="0.25">
      <c r="A7" s="91" t="s">
        <v>101</v>
      </c>
      <c r="B7" s="90">
        <v>52</v>
      </c>
      <c r="C7" s="90">
        <f>55+1370</f>
        <v>1425</v>
      </c>
      <c r="D7" s="90">
        <f t="shared" ref="D7:D12" si="0">+C7*B7</f>
        <v>74100</v>
      </c>
      <c r="E7" s="90"/>
      <c r="F7" s="90"/>
      <c r="G7" s="90"/>
      <c r="H7" s="90"/>
      <c r="I7" s="90"/>
    </row>
    <row r="8" spans="1:9" x14ac:dyDescent="0.25">
      <c r="A8" s="91" t="s">
        <v>102</v>
      </c>
      <c r="B8" s="90">
        <v>52</v>
      </c>
      <c r="C8" s="90">
        <v>893</v>
      </c>
      <c r="D8" s="90">
        <f t="shared" si="0"/>
        <v>46436</v>
      </c>
      <c r="E8" s="90"/>
      <c r="F8" s="90"/>
      <c r="G8" s="90"/>
      <c r="H8" s="90"/>
      <c r="I8" s="90"/>
    </row>
    <row r="9" spans="1:9" x14ac:dyDescent="0.25">
      <c r="A9" s="91" t="s">
        <v>2084</v>
      </c>
      <c r="B9" s="90">
        <v>52</v>
      </c>
      <c r="C9" s="90">
        <v>885</v>
      </c>
      <c r="D9" s="90">
        <f t="shared" si="0"/>
        <v>46020</v>
      </c>
      <c r="E9" s="90"/>
      <c r="F9" s="90"/>
      <c r="G9" s="90"/>
      <c r="H9" s="90"/>
      <c r="I9" s="90"/>
    </row>
    <row r="10" spans="1:9" x14ac:dyDescent="0.25">
      <c r="A10" s="183" t="s">
        <v>2085</v>
      </c>
      <c r="B10" s="90">
        <v>52</v>
      </c>
      <c r="C10" s="90">
        <v>839</v>
      </c>
      <c r="D10" s="90">
        <f t="shared" si="0"/>
        <v>43628</v>
      </c>
      <c r="E10" s="90"/>
    </row>
    <row r="11" spans="1:9" x14ac:dyDescent="0.25">
      <c r="A11" s="91" t="s">
        <v>1856</v>
      </c>
      <c r="B11" s="90">
        <v>52</v>
      </c>
      <c r="C11" s="90">
        <v>876</v>
      </c>
      <c r="D11" s="90">
        <f t="shared" si="0"/>
        <v>45552</v>
      </c>
      <c r="E11" s="90"/>
    </row>
    <row r="12" spans="1:9" x14ac:dyDescent="0.25">
      <c r="A12" s="91" t="s">
        <v>1857</v>
      </c>
      <c r="B12" s="90">
        <v>52</v>
      </c>
      <c r="C12" s="90">
        <v>883</v>
      </c>
      <c r="D12" s="90">
        <f t="shared" si="0"/>
        <v>45916</v>
      </c>
      <c r="E12" s="90"/>
    </row>
    <row r="13" spans="1:9" ht="15" x14ac:dyDescent="0.4">
      <c r="A13" s="91" t="s">
        <v>912</v>
      </c>
      <c r="B13" s="90"/>
      <c r="C13" s="90"/>
      <c r="D13" s="93">
        <v>2700</v>
      </c>
      <c r="E13" s="90"/>
      <c r="F13" s="90"/>
      <c r="G13" s="90"/>
      <c r="H13" s="90"/>
      <c r="I13" s="90"/>
    </row>
    <row r="14" spans="1:9" x14ac:dyDescent="0.25">
      <c r="A14" s="91" t="s">
        <v>1182</v>
      </c>
      <c r="B14" s="90"/>
      <c r="C14" s="90"/>
      <c r="D14" s="90">
        <f>SUM(D7:D13)</f>
        <v>304352</v>
      </c>
      <c r="E14" s="90"/>
      <c r="F14" s="90"/>
      <c r="G14" s="90"/>
      <c r="H14" s="90"/>
      <c r="I14" s="90"/>
    </row>
    <row r="15" spans="1:9" x14ac:dyDescent="0.25">
      <c r="A15" s="91"/>
      <c r="B15" s="90"/>
      <c r="C15" s="90"/>
      <c r="D15" s="90"/>
      <c r="E15" s="90"/>
      <c r="F15" s="91"/>
      <c r="G15" s="91"/>
      <c r="H15" s="91"/>
      <c r="I15" s="91"/>
    </row>
    <row r="16" spans="1:9" ht="13.8" x14ac:dyDescent="0.3">
      <c r="A16" s="95" t="s">
        <v>973</v>
      </c>
      <c r="B16" s="90"/>
      <c r="C16" s="90"/>
      <c r="D16" s="90"/>
      <c r="E16" s="90">
        <v>351366</v>
      </c>
      <c r="F16" s="90">
        <v>265937</v>
      </c>
      <c r="G16" s="90">
        <v>267658</v>
      </c>
      <c r="H16" s="90">
        <v>267831</v>
      </c>
      <c r="I16" s="90"/>
    </row>
    <row r="17" spans="1:9" x14ac:dyDescent="0.25">
      <c r="A17" s="91" t="s">
        <v>974</v>
      </c>
      <c r="B17" s="90" t="s">
        <v>386</v>
      </c>
      <c r="C17" s="90" t="s">
        <v>386</v>
      </c>
      <c r="D17" s="90" t="s">
        <v>386</v>
      </c>
      <c r="E17" s="90"/>
      <c r="F17" s="90"/>
      <c r="G17" s="90"/>
      <c r="H17" s="90"/>
      <c r="I17" s="90"/>
    </row>
    <row r="18" spans="1:9" x14ac:dyDescent="0.25">
      <c r="A18" s="191" t="s">
        <v>1278</v>
      </c>
      <c r="B18" s="191">
        <v>52</v>
      </c>
      <c r="C18" s="191">
        <v>811</v>
      </c>
      <c r="D18" s="90">
        <f>+C18*B18</f>
        <v>42172</v>
      </c>
      <c r="E18" s="90"/>
      <c r="F18" s="90"/>
      <c r="G18" s="90"/>
      <c r="H18" s="90"/>
      <c r="I18" s="90"/>
    </row>
    <row r="19" spans="1:9" x14ac:dyDescent="0.25">
      <c r="A19" s="191" t="s">
        <v>2086</v>
      </c>
      <c r="B19" s="191">
        <v>52</v>
      </c>
      <c r="C19" s="191">
        <v>624</v>
      </c>
      <c r="D19" s="90">
        <f>+C19*B19</f>
        <v>32448</v>
      </c>
      <c r="E19" s="90"/>
      <c r="F19" s="90"/>
      <c r="G19" s="90"/>
      <c r="H19" s="90"/>
      <c r="I19" s="90"/>
    </row>
    <row r="20" spans="1:9" x14ac:dyDescent="0.25">
      <c r="A20" s="191" t="s">
        <v>2087</v>
      </c>
      <c r="B20" s="191">
        <v>52</v>
      </c>
      <c r="C20" s="191">
        <v>624</v>
      </c>
      <c r="D20" s="90">
        <f>+C20*B20</f>
        <v>32448</v>
      </c>
      <c r="E20" s="90"/>
      <c r="F20" s="90"/>
      <c r="G20" s="90"/>
      <c r="H20" s="90"/>
      <c r="I20" s="90"/>
    </row>
    <row r="21" spans="1:9" x14ac:dyDescent="0.25">
      <c r="A21" s="191" t="s">
        <v>2088</v>
      </c>
      <c r="B21" s="191">
        <v>52</v>
      </c>
      <c r="C21" s="191">
        <v>680</v>
      </c>
      <c r="D21" s="90">
        <f>+C21*B21</f>
        <v>35360</v>
      </c>
      <c r="E21" s="90"/>
      <c r="F21" s="90"/>
      <c r="G21" s="90"/>
      <c r="H21" s="90"/>
      <c r="I21" s="90"/>
    </row>
    <row r="22" spans="1:9" x14ac:dyDescent="0.25">
      <c r="A22" s="191" t="s">
        <v>912</v>
      </c>
      <c r="D22" s="90">
        <v>500</v>
      </c>
      <c r="E22" s="90"/>
      <c r="F22" s="90"/>
      <c r="G22" s="90"/>
      <c r="H22" s="90"/>
      <c r="I22" s="90"/>
    </row>
    <row r="23" spans="1:9" x14ac:dyDescent="0.25">
      <c r="A23" s="191" t="s">
        <v>1347</v>
      </c>
      <c r="B23" s="191" t="s">
        <v>386</v>
      </c>
      <c r="C23" s="191" t="s">
        <v>386</v>
      </c>
      <c r="D23" s="90" t="s">
        <v>386</v>
      </c>
      <c r="E23" s="90"/>
      <c r="F23" s="90"/>
      <c r="G23" s="90"/>
      <c r="H23" s="90"/>
    </row>
    <row r="24" spans="1:9" x14ac:dyDescent="0.25">
      <c r="A24" s="191" t="s">
        <v>1858</v>
      </c>
      <c r="B24" s="191">
        <v>1040</v>
      </c>
      <c r="C24" s="191">
        <v>12.58</v>
      </c>
      <c r="D24" s="90">
        <f t="shared" ref="D24:D37" si="1">+C24*B24</f>
        <v>13083.2</v>
      </c>
      <c r="E24" s="90"/>
      <c r="I24" s="101"/>
    </row>
    <row r="25" spans="1:9" x14ac:dyDescent="0.25">
      <c r="A25" s="191" t="s">
        <v>1944</v>
      </c>
      <c r="B25" s="191">
        <v>1040</v>
      </c>
      <c r="C25" s="191">
        <v>12.83</v>
      </c>
      <c r="D25" s="90">
        <f t="shared" si="1"/>
        <v>13343.2</v>
      </c>
      <c r="E25" s="90"/>
      <c r="F25" s="101"/>
      <c r="G25" s="101"/>
      <c r="H25" s="101"/>
    </row>
    <row r="26" spans="1:9" x14ac:dyDescent="0.25">
      <c r="A26" s="191" t="s">
        <v>1753</v>
      </c>
      <c r="B26" s="191">
        <v>200</v>
      </c>
      <c r="C26" s="191">
        <v>11.22</v>
      </c>
      <c r="D26" s="90">
        <f t="shared" si="1"/>
        <v>2244</v>
      </c>
      <c r="E26" s="90"/>
    </row>
    <row r="27" spans="1:9" x14ac:dyDescent="0.25">
      <c r="A27" s="191" t="s">
        <v>103</v>
      </c>
      <c r="B27" s="191">
        <v>936</v>
      </c>
      <c r="C27" s="191">
        <v>12.24</v>
      </c>
      <c r="D27" s="90">
        <f t="shared" si="1"/>
        <v>11456.64</v>
      </c>
      <c r="E27" s="90"/>
      <c r="I27" s="101"/>
    </row>
    <row r="28" spans="1:9" x14ac:dyDescent="0.25">
      <c r="A28" s="191" t="s">
        <v>2089</v>
      </c>
      <c r="B28" s="191">
        <v>1040</v>
      </c>
      <c r="C28" s="191">
        <v>13.68</v>
      </c>
      <c r="D28" s="90">
        <f t="shared" si="1"/>
        <v>14227.199999999999</v>
      </c>
      <c r="E28" s="90"/>
      <c r="F28" s="101"/>
      <c r="G28" s="101"/>
      <c r="H28" s="101"/>
      <c r="I28" s="101"/>
    </row>
    <row r="29" spans="1:9" x14ac:dyDescent="0.25">
      <c r="A29" s="191" t="s">
        <v>103</v>
      </c>
      <c r="B29" s="191">
        <v>780</v>
      </c>
      <c r="C29" s="191">
        <v>12.24</v>
      </c>
      <c r="D29" s="90">
        <f t="shared" si="1"/>
        <v>9547.2000000000007</v>
      </c>
      <c r="E29" s="90"/>
      <c r="F29" s="101"/>
      <c r="G29" s="101"/>
      <c r="H29" s="101"/>
      <c r="I29" s="101"/>
    </row>
    <row r="30" spans="1:9" x14ac:dyDescent="0.25">
      <c r="A30" s="191" t="s">
        <v>2089</v>
      </c>
      <c r="B30" s="191">
        <v>676</v>
      </c>
      <c r="C30" s="191">
        <v>12.24</v>
      </c>
      <c r="D30" s="90">
        <f t="shared" si="1"/>
        <v>8274.24</v>
      </c>
      <c r="E30" s="90"/>
      <c r="F30" s="101"/>
      <c r="G30" s="101"/>
      <c r="H30" s="101"/>
      <c r="I30" s="101"/>
    </row>
    <row r="31" spans="1:9" x14ac:dyDescent="0.25">
      <c r="A31" s="191" t="s">
        <v>103</v>
      </c>
      <c r="B31" s="191">
        <v>780</v>
      </c>
      <c r="C31" s="191">
        <v>12.83</v>
      </c>
      <c r="D31" s="90">
        <f t="shared" si="1"/>
        <v>10007.4</v>
      </c>
      <c r="E31" s="90"/>
      <c r="F31" s="101"/>
      <c r="G31" s="101"/>
      <c r="H31" s="101"/>
      <c r="I31" s="101"/>
    </row>
    <row r="32" spans="1:9" x14ac:dyDescent="0.25">
      <c r="A32" s="184" t="s">
        <v>104</v>
      </c>
      <c r="D32" s="90">
        <f t="shared" si="1"/>
        <v>0</v>
      </c>
      <c r="E32" s="90"/>
      <c r="F32" s="101"/>
      <c r="G32" s="101"/>
      <c r="H32" s="101"/>
    </row>
    <row r="33" spans="1:9" x14ac:dyDescent="0.25">
      <c r="A33" s="191" t="s">
        <v>103</v>
      </c>
      <c r="B33" s="191">
        <v>728</v>
      </c>
      <c r="C33" s="191">
        <v>12</v>
      </c>
      <c r="D33" s="90">
        <f t="shared" si="1"/>
        <v>8736</v>
      </c>
      <c r="E33" s="90"/>
      <c r="I33" s="101"/>
    </row>
    <row r="34" spans="1:9" x14ac:dyDescent="0.25">
      <c r="A34" s="191" t="s">
        <v>2090</v>
      </c>
      <c r="B34" s="191">
        <v>312</v>
      </c>
      <c r="C34" s="191">
        <v>8.7799999999999994</v>
      </c>
      <c r="D34" s="90">
        <f t="shared" si="1"/>
        <v>2739.3599999999997</v>
      </c>
      <c r="E34" s="90"/>
      <c r="F34" s="101"/>
      <c r="G34" s="101"/>
      <c r="H34" s="101"/>
      <c r="I34" s="101"/>
    </row>
    <row r="35" spans="1:9" x14ac:dyDescent="0.25">
      <c r="A35" s="91" t="s">
        <v>2091</v>
      </c>
      <c r="B35" s="90">
        <v>636</v>
      </c>
      <c r="C35" s="92">
        <v>10</v>
      </c>
      <c r="D35" s="90">
        <f t="shared" si="1"/>
        <v>6360</v>
      </c>
      <c r="E35" s="90"/>
      <c r="F35" s="101"/>
      <c r="G35" s="101"/>
      <c r="H35" s="101"/>
      <c r="I35" s="101"/>
    </row>
    <row r="36" spans="1:9" x14ac:dyDescent="0.25">
      <c r="A36" s="91" t="s">
        <v>105</v>
      </c>
      <c r="B36" s="90">
        <v>1219</v>
      </c>
      <c r="C36" s="92">
        <v>16.32</v>
      </c>
      <c r="D36" s="90">
        <f t="shared" si="1"/>
        <v>19894.080000000002</v>
      </c>
      <c r="E36" s="90"/>
      <c r="F36" s="101"/>
      <c r="G36" s="101"/>
      <c r="H36" s="101"/>
      <c r="I36" s="101"/>
    </row>
    <row r="37" spans="1:9" x14ac:dyDescent="0.25">
      <c r="A37" s="91" t="s">
        <v>558</v>
      </c>
      <c r="B37" s="90">
        <v>300</v>
      </c>
      <c r="C37" s="92">
        <v>13.3</v>
      </c>
      <c r="D37" s="90">
        <f t="shared" si="1"/>
        <v>3990</v>
      </c>
      <c r="E37" s="90"/>
      <c r="F37" s="101"/>
      <c r="G37" s="101"/>
      <c r="H37" s="101"/>
      <c r="I37" s="101"/>
    </row>
    <row r="38" spans="1:9" ht="15" x14ac:dyDescent="0.4">
      <c r="A38" s="91" t="s">
        <v>1859</v>
      </c>
      <c r="B38" s="90"/>
      <c r="C38" s="92"/>
      <c r="D38" s="93">
        <v>1000</v>
      </c>
      <c r="E38" s="90"/>
      <c r="F38" s="101"/>
      <c r="G38" s="101"/>
      <c r="H38" s="101"/>
      <c r="I38" s="101"/>
    </row>
    <row r="39" spans="1:9" x14ac:dyDescent="0.25">
      <c r="A39" s="91" t="s">
        <v>1182</v>
      </c>
      <c r="B39" s="90"/>
      <c r="C39" s="90"/>
      <c r="D39" s="90">
        <f>SUM(D18:D38)</f>
        <v>267830.52</v>
      </c>
      <c r="E39" s="90"/>
      <c r="F39" s="90"/>
      <c r="G39" s="90"/>
      <c r="H39" s="90"/>
      <c r="I39" s="90"/>
    </row>
    <row r="40" spans="1:9" x14ac:dyDescent="0.25">
      <c r="B40" s="90"/>
      <c r="C40" s="90"/>
      <c r="D40" s="90"/>
      <c r="E40" s="90"/>
      <c r="F40" s="90"/>
      <c r="G40" s="90"/>
      <c r="H40" s="90"/>
      <c r="I40" s="90"/>
    </row>
    <row r="41" spans="1:9" x14ac:dyDescent="0.25">
      <c r="A41" s="91"/>
      <c r="B41" s="90" t="s">
        <v>386</v>
      </c>
      <c r="C41" s="90"/>
      <c r="D41" s="90" t="s">
        <v>386</v>
      </c>
      <c r="E41" s="90"/>
      <c r="F41" s="91"/>
      <c r="G41" s="91"/>
      <c r="H41" s="91"/>
      <c r="I41" s="91"/>
    </row>
    <row r="42" spans="1:9" ht="13.8" x14ac:dyDescent="0.3">
      <c r="A42" s="95" t="s">
        <v>559</v>
      </c>
      <c r="B42" s="91"/>
      <c r="C42" s="91"/>
      <c r="D42" s="90"/>
      <c r="E42" s="90">
        <v>30400</v>
      </c>
      <c r="F42" s="90">
        <v>34614</v>
      </c>
      <c r="G42" s="90">
        <v>38679</v>
      </c>
      <c r="H42" s="90">
        <v>38679</v>
      </c>
      <c r="I42" s="90"/>
    </row>
    <row r="43" spans="1:9" x14ac:dyDescent="0.25">
      <c r="A43" s="91" t="s">
        <v>106</v>
      </c>
      <c r="B43" s="90">
        <v>1196</v>
      </c>
      <c r="C43" s="92">
        <v>19.52</v>
      </c>
      <c r="D43" s="90">
        <f>+C43*B43</f>
        <v>23345.919999999998</v>
      </c>
      <c r="E43" s="90"/>
      <c r="F43" s="90"/>
      <c r="G43" s="90"/>
      <c r="H43" s="90"/>
      <c r="I43" s="90"/>
    </row>
    <row r="44" spans="1:9" x14ac:dyDescent="0.25">
      <c r="A44" s="91" t="s">
        <v>969</v>
      </c>
      <c r="B44" s="90">
        <v>1196</v>
      </c>
      <c r="C44" s="92">
        <v>12.82</v>
      </c>
      <c r="D44" s="90">
        <f>+C44*B44</f>
        <v>15332.720000000001</v>
      </c>
      <c r="E44" s="90"/>
      <c r="F44" s="90"/>
      <c r="G44" s="90"/>
      <c r="H44" s="90"/>
      <c r="I44" s="90"/>
    </row>
    <row r="45" spans="1:9" ht="15" x14ac:dyDescent="0.4">
      <c r="A45" s="90" t="s">
        <v>1754</v>
      </c>
      <c r="B45" s="90">
        <v>0</v>
      </c>
      <c r="C45" s="92">
        <v>15</v>
      </c>
      <c r="D45" s="93">
        <v>0</v>
      </c>
      <c r="E45" s="90"/>
    </row>
    <row r="46" spans="1:9" x14ac:dyDescent="0.25">
      <c r="A46" s="91" t="s">
        <v>1182</v>
      </c>
      <c r="B46" s="90"/>
      <c r="C46" s="90"/>
      <c r="D46" s="90">
        <f>SUM(D43:D45)</f>
        <v>38678.639999999999</v>
      </c>
      <c r="E46" s="90"/>
      <c r="F46" s="90"/>
      <c r="G46" s="90"/>
      <c r="H46" s="90"/>
      <c r="I46" s="90"/>
    </row>
    <row r="47" spans="1:9" x14ac:dyDescent="0.25">
      <c r="A47" s="91"/>
      <c r="B47" s="90"/>
      <c r="C47" s="92"/>
      <c r="D47" s="90"/>
      <c r="E47" s="90"/>
      <c r="F47" s="90"/>
      <c r="G47" s="90"/>
      <c r="H47" s="90"/>
      <c r="I47" s="90"/>
    </row>
    <row r="48" spans="1:9" ht="13.8" x14ac:dyDescent="0.3">
      <c r="A48" s="95" t="s">
        <v>1231</v>
      </c>
      <c r="B48" s="91"/>
      <c r="C48" s="91"/>
      <c r="D48" s="90"/>
      <c r="E48" s="90">
        <v>43522</v>
      </c>
      <c r="F48" s="90">
        <v>46092</v>
      </c>
      <c r="G48" s="90">
        <v>46622</v>
      </c>
      <c r="H48" s="90">
        <v>46731</v>
      </c>
      <c r="I48" s="90"/>
    </row>
    <row r="49" spans="1:9" hidden="1" x14ac:dyDescent="0.25">
      <c r="A49" s="104">
        <v>8103</v>
      </c>
      <c r="B49" s="90">
        <f>+D14</f>
        <v>304352</v>
      </c>
      <c r="C49" s="91">
        <v>7.6499999999999999E-2</v>
      </c>
      <c r="D49" s="90">
        <f>+C49*B49</f>
        <v>23282.928</v>
      </c>
      <c r="E49" s="90"/>
      <c r="F49" s="90"/>
      <c r="G49" s="90"/>
      <c r="H49" s="90"/>
      <c r="I49" s="90"/>
    </row>
    <row r="50" spans="1:9" hidden="1" x14ac:dyDescent="0.25">
      <c r="A50" s="97" t="s">
        <v>757</v>
      </c>
      <c r="B50" s="90">
        <f>+D39</f>
        <v>267830.52</v>
      </c>
      <c r="C50" s="91">
        <v>7.6499999999999999E-2</v>
      </c>
      <c r="D50" s="90">
        <f>+C50*B50</f>
        <v>20489.034780000002</v>
      </c>
      <c r="E50" s="90"/>
      <c r="F50" s="90"/>
      <c r="G50" s="90"/>
      <c r="H50" s="90"/>
      <c r="I50" s="90"/>
    </row>
    <row r="51" spans="1:9" ht="15" hidden="1" x14ac:dyDescent="0.4">
      <c r="A51" s="97" t="s">
        <v>183</v>
      </c>
      <c r="B51" s="90">
        <f>+D46</f>
        <v>38678.639999999999</v>
      </c>
      <c r="C51" s="91">
        <v>7.6499999999999999E-2</v>
      </c>
      <c r="D51" s="93">
        <f>+C51*B51</f>
        <v>2958.9159599999998</v>
      </c>
      <c r="E51" s="90"/>
      <c r="F51" s="90"/>
      <c r="G51" s="90"/>
      <c r="H51" s="90"/>
      <c r="I51" s="90"/>
    </row>
    <row r="52" spans="1:9" hidden="1" x14ac:dyDescent="0.25">
      <c r="A52" s="91" t="s">
        <v>1182</v>
      </c>
      <c r="B52" s="91"/>
      <c r="C52" s="91"/>
      <c r="D52" s="90">
        <f>SUM(D49:D51)</f>
        <v>46730.87874</v>
      </c>
      <c r="E52" s="90"/>
      <c r="F52" s="90"/>
      <c r="G52" s="90"/>
      <c r="H52" s="90"/>
      <c r="I52" s="90"/>
    </row>
    <row r="53" spans="1:9" x14ac:dyDescent="0.25">
      <c r="A53" s="91"/>
      <c r="B53" s="91"/>
      <c r="C53" s="91"/>
      <c r="D53" s="90"/>
      <c r="E53" s="90"/>
      <c r="F53" s="90"/>
      <c r="G53" s="90"/>
      <c r="H53" s="90"/>
      <c r="I53" s="90"/>
    </row>
    <row r="54" spans="1:9" ht="13.8" x14ac:dyDescent="0.3">
      <c r="A54" s="95" t="s">
        <v>1232</v>
      </c>
      <c r="B54" s="91"/>
      <c r="C54" s="91"/>
      <c r="D54" s="90"/>
      <c r="E54" s="90">
        <v>41026</v>
      </c>
      <c r="F54" s="90">
        <v>51305</v>
      </c>
      <c r="G54" s="90">
        <v>50900</v>
      </c>
      <c r="H54" s="90">
        <v>50900</v>
      </c>
      <c r="I54" s="90"/>
    </row>
    <row r="55" spans="1:9" hidden="1" x14ac:dyDescent="0.25">
      <c r="A55" s="104">
        <v>8103</v>
      </c>
      <c r="B55" s="90">
        <f>+B49</f>
        <v>304352</v>
      </c>
      <c r="C55" s="94">
        <v>0.1138</v>
      </c>
      <c r="D55" s="90">
        <f>+C55*B55</f>
        <v>34635.257599999997</v>
      </c>
      <c r="E55" s="90"/>
      <c r="F55" s="90"/>
      <c r="G55" s="90"/>
      <c r="H55" s="90"/>
      <c r="I55" s="90"/>
    </row>
    <row r="56" spans="1:9" hidden="1" x14ac:dyDescent="0.25">
      <c r="A56" s="91" t="s">
        <v>281</v>
      </c>
      <c r="B56" s="90">
        <f>+SUM(D18:D23)</f>
        <v>142928</v>
      </c>
      <c r="C56" s="94">
        <v>0.1138</v>
      </c>
      <c r="D56" s="90">
        <f>+C56*B56</f>
        <v>16265.206399999999</v>
      </c>
      <c r="E56" s="90"/>
      <c r="F56" s="90"/>
      <c r="G56" s="90"/>
      <c r="H56" s="90"/>
      <c r="I56" s="90"/>
    </row>
    <row r="57" spans="1:9" ht="15" hidden="1" x14ac:dyDescent="0.4">
      <c r="A57" s="91" t="s">
        <v>282</v>
      </c>
      <c r="B57" s="90">
        <v>0</v>
      </c>
      <c r="C57" s="94">
        <v>0.1138</v>
      </c>
      <c r="D57" s="93">
        <v>0</v>
      </c>
      <c r="E57" s="90"/>
      <c r="F57" s="90"/>
      <c r="G57" s="90"/>
      <c r="H57" s="90"/>
      <c r="I57" s="90"/>
    </row>
    <row r="58" spans="1:9" hidden="1" x14ac:dyDescent="0.25">
      <c r="A58" s="91" t="s">
        <v>1182</v>
      </c>
      <c r="B58" s="91"/>
      <c r="C58" s="91"/>
      <c r="D58" s="90">
        <f>SUM(D55:D57)</f>
        <v>50900.463999999993</v>
      </c>
      <c r="E58" s="90"/>
      <c r="F58" s="90"/>
      <c r="G58" s="90"/>
      <c r="H58" s="90"/>
      <c r="I58" s="90"/>
    </row>
    <row r="59" spans="1:9" x14ac:dyDescent="0.25">
      <c r="A59" s="91"/>
      <c r="B59" s="91"/>
      <c r="C59" s="91"/>
      <c r="D59" s="90"/>
      <c r="E59" s="90"/>
      <c r="F59" s="90"/>
      <c r="G59" s="90"/>
      <c r="H59" s="90"/>
      <c r="I59" s="90"/>
    </row>
    <row r="60" spans="1:9" ht="13.8" x14ac:dyDescent="0.3">
      <c r="A60" s="95" t="s">
        <v>1033</v>
      </c>
      <c r="B60" s="91"/>
      <c r="C60" s="91"/>
      <c r="D60" s="90"/>
      <c r="E60" s="90">
        <v>106984</v>
      </c>
      <c r="F60" s="90">
        <v>148500</v>
      </c>
      <c r="G60" s="90">
        <v>140000</v>
      </c>
      <c r="H60" s="90">
        <v>140000</v>
      </c>
      <c r="I60" s="90"/>
    </row>
    <row r="61" spans="1:9" x14ac:dyDescent="0.25">
      <c r="A61" s="91" t="s">
        <v>406</v>
      </c>
      <c r="B61" s="90">
        <v>10</v>
      </c>
      <c r="C61" s="90">
        <v>14000</v>
      </c>
      <c r="D61" s="90">
        <f>+C61*B61</f>
        <v>140000</v>
      </c>
      <c r="E61" s="90"/>
      <c r="F61" s="90"/>
      <c r="G61" s="90"/>
      <c r="H61" s="90"/>
      <c r="I61" s="90"/>
    </row>
    <row r="62" spans="1:9" x14ac:dyDescent="0.25">
      <c r="A62" s="91"/>
      <c r="B62" s="91"/>
      <c r="C62" s="91"/>
      <c r="D62" s="90"/>
      <c r="E62" s="90"/>
      <c r="F62" s="90"/>
      <c r="G62" s="90"/>
      <c r="H62" s="90"/>
      <c r="I62" s="90"/>
    </row>
    <row r="63" spans="1:9" ht="13.8" x14ac:dyDescent="0.3">
      <c r="A63" s="95" t="s">
        <v>1034</v>
      </c>
      <c r="B63" s="91"/>
      <c r="C63" s="91"/>
      <c r="D63" s="90"/>
      <c r="E63" s="90">
        <v>7424</v>
      </c>
      <c r="F63" s="90">
        <v>10530</v>
      </c>
      <c r="G63" s="90">
        <v>10800</v>
      </c>
      <c r="H63" s="90">
        <v>10800</v>
      </c>
      <c r="I63" s="90"/>
    </row>
    <row r="64" spans="1:9" x14ac:dyDescent="0.25">
      <c r="A64" s="91" t="s">
        <v>406</v>
      </c>
      <c r="B64" s="90">
        <v>10</v>
      </c>
      <c r="C64" s="90">
        <v>1200</v>
      </c>
      <c r="D64" s="90">
        <f>+C64*B64</f>
        <v>12000</v>
      </c>
      <c r="E64" s="90"/>
      <c r="F64" s="90"/>
      <c r="G64" s="90"/>
      <c r="H64" s="90"/>
      <c r="I64" s="90"/>
    </row>
    <row r="65" spans="1:9" ht="15" x14ac:dyDescent="0.4">
      <c r="A65" s="91" t="s">
        <v>226</v>
      </c>
      <c r="B65" s="90"/>
      <c r="C65" s="90"/>
      <c r="D65" s="93">
        <f>+C64*-0.1*B64</f>
        <v>-1200</v>
      </c>
      <c r="E65" s="90"/>
      <c r="F65" s="90"/>
      <c r="G65" s="90"/>
      <c r="H65" s="90"/>
      <c r="I65" s="90"/>
    </row>
    <row r="66" spans="1:9" x14ac:dyDescent="0.25">
      <c r="A66" s="91" t="s">
        <v>751</v>
      </c>
      <c r="B66" s="90"/>
      <c r="C66" s="90"/>
      <c r="D66" s="90">
        <f>SUM(D64:D65)</f>
        <v>10800</v>
      </c>
      <c r="E66" s="90"/>
      <c r="F66" s="90"/>
      <c r="G66" s="90"/>
      <c r="H66" s="90"/>
      <c r="I66" s="90"/>
    </row>
    <row r="67" spans="1:9" x14ac:dyDescent="0.25">
      <c r="A67" s="91"/>
      <c r="B67" s="91"/>
      <c r="C67" s="91"/>
      <c r="D67" s="90"/>
      <c r="E67" s="90"/>
      <c r="F67" s="90"/>
      <c r="G67" s="90"/>
      <c r="H67" s="90"/>
      <c r="I67" s="90"/>
    </row>
    <row r="68" spans="1:9" ht="13.8" x14ac:dyDescent="0.3">
      <c r="A68" s="95" t="s">
        <v>1396</v>
      </c>
      <c r="B68" s="91"/>
      <c r="C68" s="91"/>
      <c r="D68" s="90"/>
      <c r="E68" s="90">
        <v>819</v>
      </c>
      <c r="F68" s="90">
        <v>1215</v>
      </c>
      <c r="G68" s="90">
        <v>1350</v>
      </c>
      <c r="H68" s="90">
        <v>1350</v>
      </c>
      <c r="I68" s="90"/>
    </row>
    <row r="69" spans="1:9" hidden="1" x14ac:dyDescent="0.25">
      <c r="A69" s="91" t="s">
        <v>402</v>
      </c>
      <c r="B69" s="90">
        <v>1</v>
      </c>
      <c r="C69" s="90">
        <v>135</v>
      </c>
      <c r="D69" s="90">
        <f>+C69*B69</f>
        <v>135</v>
      </c>
      <c r="E69" s="90"/>
      <c r="F69" s="91"/>
      <c r="G69" s="91"/>
      <c r="H69" s="91"/>
      <c r="I69" s="91"/>
    </row>
    <row r="70" spans="1:9" hidden="1" x14ac:dyDescent="0.25">
      <c r="A70" s="91" t="s">
        <v>1397</v>
      </c>
      <c r="B70" s="90">
        <v>5</v>
      </c>
      <c r="C70" s="90">
        <v>135</v>
      </c>
      <c r="D70" s="90">
        <f>+C70*B70</f>
        <v>675</v>
      </c>
      <c r="E70" s="90"/>
      <c r="F70" s="91"/>
      <c r="G70" s="91"/>
      <c r="H70" s="91"/>
      <c r="I70" s="91"/>
    </row>
    <row r="71" spans="1:9" ht="15" hidden="1" x14ac:dyDescent="0.4">
      <c r="A71" s="91" t="s">
        <v>997</v>
      </c>
      <c r="B71" s="90">
        <v>4</v>
      </c>
      <c r="C71" s="90">
        <v>135</v>
      </c>
      <c r="D71" s="93">
        <f>+C71*B71</f>
        <v>540</v>
      </c>
      <c r="E71" s="90"/>
      <c r="F71" s="91"/>
      <c r="G71" s="91"/>
      <c r="H71" s="91"/>
      <c r="I71" s="91"/>
    </row>
    <row r="72" spans="1:9" hidden="1" x14ac:dyDescent="0.25">
      <c r="A72" s="91" t="s">
        <v>1182</v>
      </c>
      <c r="B72" s="91"/>
      <c r="C72" s="91"/>
      <c r="D72" s="90">
        <f>SUM(D69:D71)</f>
        <v>1350</v>
      </c>
      <c r="E72" s="90"/>
      <c r="F72" s="91"/>
      <c r="G72" s="91"/>
      <c r="H72" s="91"/>
      <c r="I72" s="91"/>
    </row>
    <row r="73" spans="1:9" x14ac:dyDescent="0.25">
      <c r="A73" s="91"/>
      <c r="B73" s="91"/>
      <c r="C73" s="91"/>
      <c r="D73" s="90"/>
      <c r="E73" s="90"/>
      <c r="F73" s="91"/>
      <c r="G73" s="91"/>
      <c r="H73" s="91"/>
      <c r="I73" s="91"/>
    </row>
    <row r="74" spans="1:9" ht="13.8" x14ac:dyDescent="0.3">
      <c r="A74" s="95" t="s">
        <v>451</v>
      </c>
      <c r="B74" s="91"/>
      <c r="C74" s="91"/>
      <c r="D74" s="90"/>
      <c r="E74" s="90">
        <v>3167</v>
      </c>
      <c r="F74" s="90">
        <v>4590</v>
      </c>
      <c r="G74" s="90">
        <v>6300</v>
      </c>
      <c r="H74" s="90">
        <v>6300</v>
      </c>
      <c r="I74" s="90"/>
    </row>
    <row r="75" spans="1:9" hidden="1" x14ac:dyDescent="0.25">
      <c r="A75" s="91" t="s">
        <v>776</v>
      </c>
      <c r="B75" s="90">
        <v>10</v>
      </c>
      <c r="C75" s="90">
        <v>630</v>
      </c>
      <c r="D75" s="90">
        <f>+C75*B75</f>
        <v>6300</v>
      </c>
      <c r="E75" s="90"/>
      <c r="F75" s="90"/>
      <c r="G75" s="90"/>
      <c r="H75" s="90"/>
      <c r="I75" s="90"/>
    </row>
    <row r="76" spans="1:9" x14ac:dyDescent="0.25">
      <c r="A76" s="91"/>
      <c r="B76" s="91"/>
      <c r="C76" s="91"/>
      <c r="D76" s="90"/>
      <c r="E76" s="90"/>
      <c r="F76" s="90"/>
      <c r="G76" s="90"/>
      <c r="H76" s="90"/>
      <c r="I76" s="90"/>
    </row>
    <row r="77" spans="1:9" ht="13.8" x14ac:dyDescent="0.3">
      <c r="A77" s="95" t="s">
        <v>190</v>
      </c>
      <c r="B77" s="91"/>
      <c r="C77" s="91"/>
      <c r="D77" s="90"/>
      <c r="E77" s="90">
        <v>937</v>
      </c>
      <c r="F77" s="90">
        <v>1619</v>
      </c>
      <c r="G77" s="90">
        <v>1740</v>
      </c>
      <c r="H77" s="90">
        <v>1705</v>
      </c>
      <c r="I77" s="90"/>
    </row>
    <row r="78" spans="1:9" hidden="1" x14ac:dyDescent="0.25">
      <c r="A78" s="97" t="s">
        <v>1406</v>
      </c>
      <c r="B78" s="90">
        <f>+B49</f>
        <v>304352</v>
      </c>
      <c r="C78" s="94">
        <v>1.6000000000000001E-3</v>
      </c>
      <c r="D78" s="90">
        <f>+C78*B78</f>
        <v>486.96320000000003</v>
      </c>
      <c r="E78" s="90"/>
      <c r="F78" s="90"/>
      <c r="G78" s="90"/>
      <c r="H78" s="90"/>
      <c r="I78" s="90"/>
    </row>
    <row r="79" spans="1:9" hidden="1" x14ac:dyDescent="0.25">
      <c r="A79" s="97" t="s">
        <v>757</v>
      </c>
      <c r="B79" s="90">
        <f>+B50</f>
        <v>267830.52</v>
      </c>
      <c r="C79" s="94">
        <v>1.6000000000000001E-3</v>
      </c>
      <c r="D79" s="90">
        <f>+C79*B79</f>
        <v>428.52883200000002</v>
      </c>
      <c r="E79" s="90"/>
      <c r="F79" s="90"/>
      <c r="G79" s="90"/>
      <c r="H79" s="90"/>
      <c r="I79" s="90"/>
    </row>
    <row r="80" spans="1:9" ht="15" hidden="1" x14ac:dyDescent="0.4">
      <c r="A80" s="97" t="s">
        <v>183</v>
      </c>
      <c r="B80" s="90">
        <f>+D46</f>
        <v>38678.639999999999</v>
      </c>
      <c r="C80" s="94">
        <v>2.0400000000000001E-2</v>
      </c>
      <c r="D80" s="93">
        <f>+C80*B80</f>
        <v>789.04425600000002</v>
      </c>
      <c r="E80" s="90"/>
      <c r="F80" s="90"/>
      <c r="G80" s="90"/>
      <c r="H80" s="90"/>
      <c r="I80" s="90"/>
    </row>
    <row r="81" spans="1:9" hidden="1" x14ac:dyDescent="0.25">
      <c r="A81" s="91" t="s">
        <v>1182</v>
      </c>
      <c r="B81" s="91"/>
      <c r="C81" s="91"/>
      <c r="D81" s="90">
        <f>SUM(D78:D80)</f>
        <v>1704.5362880000002</v>
      </c>
      <c r="E81" s="90"/>
      <c r="F81" s="90"/>
      <c r="G81" s="90"/>
      <c r="H81" s="90"/>
      <c r="I81" s="90"/>
    </row>
    <row r="82" spans="1:9" x14ac:dyDescent="0.25">
      <c r="A82" s="91"/>
      <c r="B82" s="91"/>
      <c r="C82" s="91"/>
      <c r="D82" s="90"/>
      <c r="E82" s="90"/>
      <c r="F82" s="90"/>
      <c r="G82" s="90"/>
      <c r="H82" s="90"/>
      <c r="I82" s="90"/>
    </row>
    <row r="83" spans="1:9" ht="13.8" x14ac:dyDescent="0.3">
      <c r="A83" s="95" t="s">
        <v>191</v>
      </c>
      <c r="B83" s="91"/>
      <c r="C83" s="91"/>
      <c r="D83" s="90"/>
      <c r="E83" s="90">
        <v>533</v>
      </c>
      <c r="F83" s="90">
        <v>693</v>
      </c>
      <c r="G83" s="90">
        <v>743</v>
      </c>
      <c r="H83" s="90">
        <v>475</v>
      </c>
      <c r="I83" s="90"/>
    </row>
    <row r="84" spans="1:9" ht="14.4" hidden="1" customHeight="1" x14ac:dyDescent="0.25">
      <c r="A84" s="97" t="s">
        <v>1406</v>
      </c>
      <c r="B84" s="90">
        <v>4</v>
      </c>
      <c r="C84" s="90">
        <v>26</v>
      </c>
      <c r="D84" s="90">
        <f t="shared" ref="D84:D89" si="2">+C84*B84</f>
        <v>104</v>
      </c>
      <c r="E84" s="90"/>
      <c r="F84" s="90"/>
      <c r="G84" s="90"/>
      <c r="H84" s="90"/>
      <c r="I84" s="90"/>
    </row>
    <row r="85" spans="1:9" hidden="1" x14ac:dyDescent="0.25">
      <c r="A85" s="97" t="s">
        <v>281</v>
      </c>
      <c r="B85" s="90">
        <v>4</v>
      </c>
      <c r="C85" s="90">
        <v>26</v>
      </c>
      <c r="D85" s="90">
        <f t="shared" si="2"/>
        <v>104</v>
      </c>
      <c r="E85" s="90"/>
      <c r="F85" s="90"/>
      <c r="G85" s="90"/>
      <c r="H85" s="90"/>
      <c r="I85" s="90"/>
    </row>
    <row r="86" spans="1:9" hidden="1" x14ac:dyDescent="0.25">
      <c r="A86" s="91" t="s">
        <v>288</v>
      </c>
      <c r="B86" s="90">
        <v>2</v>
      </c>
      <c r="C86" s="90">
        <v>26</v>
      </c>
      <c r="D86" s="90">
        <f t="shared" si="2"/>
        <v>52</v>
      </c>
      <c r="E86" s="90"/>
      <c r="F86" s="90"/>
      <c r="G86" s="90"/>
      <c r="H86" s="90"/>
      <c r="I86" s="90"/>
    </row>
    <row r="87" spans="1:9" hidden="1" x14ac:dyDescent="0.25">
      <c r="A87" s="91" t="s">
        <v>570</v>
      </c>
      <c r="B87" s="90">
        <f>+SUM(D24:D27)+D30+D29+D31+D33+D34+D35+D37+D38</f>
        <v>90781.239999999991</v>
      </c>
      <c r="C87" s="94">
        <v>1.8E-3</v>
      </c>
      <c r="D87" s="90">
        <f t="shared" si="2"/>
        <v>163.40623199999999</v>
      </c>
      <c r="E87" s="90"/>
      <c r="F87" s="90"/>
      <c r="G87" s="90"/>
      <c r="H87" s="90"/>
      <c r="I87" s="90"/>
    </row>
    <row r="88" spans="1:9" hidden="1" x14ac:dyDescent="0.25">
      <c r="A88" s="91" t="s">
        <v>282</v>
      </c>
      <c r="B88" s="90">
        <v>2</v>
      </c>
      <c r="C88" s="90">
        <v>26</v>
      </c>
      <c r="D88" s="90">
        <f t="shared" si="2"/>
        <v>52</v>
      </c>
      <c r="E88" s="90"/>
      <c r="F88" s="90"/>
      <c r="G88" s="90"/>
      <c r="H88" s="90"/>
      <c r="I88" s="90"/>
    </row>
    <row r="89" spans="1:9" ht="15" hidden="1" x14ac:dyDescent="0.4">
      <c r="A89" s="97" t="s">
        <v>259</v>
      </c>
      <c r="B89" s="90">
        <v>0</v>
      </c>
      <c r="C89" s="94">
        <v>1.8E-3</v>
      </c>
      <c r="D89" s="93">
        <f t="shared" si="2"/>
        <v>0</v>
      </c>
      <c r="E89" s="90"/>
      <c r="F89" s="91"/>
      <c r="G89" s="91"/>
      <c r="H89" s="91"/>
      <c r="I89" s="91"/>
    </row>
    <row r="90" spans="1:9" hidden="1" x14ac:dyDescent="0.25">
      <c r="A90" s="91" t="s">
        <v>1182</v>
      </c>
      <c r="B90" s="91"/>
      <c r="C90" s="91"/>
      <c r="D90" s="90">
        <f>SUM(D84:D89)</f>
        <v>475.40623199999999</v>
      </c>
      <c r="E90" s="90"/>
      <c r="F90" s="91"/>
      <c r="G90" s="91"/>
      <c r="H90" s="91"/>
      <c r="I90" s="91"/>
    </row>
    <row r="91" spans="1:9" x14ac:dyDescent="0.25">
      <c r="A91" s="91"/>
      <c r="B91" s="91"/>
      <c r="C91" s="91"/>
      <c r="D91" s="90"/>
      <c r="E91" s="90"/>
      <c r="F91" s="91"/>
      <c r="G91" s="91"/>
      <c r="H91" s="91"/>
      <c r="I91" s="91"/>
    </row>
    <row r="92" spans="1:9" x14ac:dyDescent="0.25">
      <c r="A92" s="91"/>
      <c r="B92" s="91"/>
      <c r="C92" s="91"/>
      <c r="D92" s="90"/>
      <c r="E92" s="90"/>
      <c r="F92" s="91"/>
      <c r="G92" s="91"/>
      <c r="H92" s="91"/>
      <c r="I92" s="91"/>
    </row>
    <row r="93" spans="1:9" hidden="1" x14ac:dyDescent="0.25">
      <c r="A93" s="91" t="s">
        <v>2092</v>
      </c>
      <c r="B93" s="91"/>
      <c r="C93" s="91"/>
      <c r="D93" s="90"/>
      <c r="E93" s="90"/>
      <c r="F93" s="91"/>
      <c r="G93" s="91">
        <v>0</v>
      </c>
      <c r="H93" s="91">
        <v>0</v>
      </c>
    </row>
    <row r="94" spans="1:9" x14ac:dyDescent="0.25">
      <c r="A94" s="91"/>
      <c r="B94" s="91"/>
      <c r="C94" s="91"/>
      <c r="D94" s="90"/>
      <c r="E94" s="90"/>
      <c r="F94" s="91"/>
      <c r="G94" s="91"/>
      <c r="H94" s="91"/>
      <c r="I94" s="91"/>
    </row>
    <row r="95" spans="1:9" ht="13.8" x14ac:dyDescent="0.3">
      <c r="A95" s="95" t="s">
        <v>1755</v>
      </c>
      <c r="B95" s="91"/>
      <c r="C95" s="91"/>
      <c r="D95" s="90"/>
      <c r="E95" s="90">
        <v>201</v>
      </c>
      <c r="F95" s="91">
        <v>1500</v>
      </c>
      <c r="G95" s="91">
        <v>1500</v>
      </c>
      <c r="H95" s="91">
        <v>1500</v>
      </c>
      <c r="I95" s="90"/>
    </row>
    <row r="96" spans="1:9" x14ac:dyDescent="0.25">
      <c r="A96" s="91" t="s">
        <v>178</v>
      </c>
      <c r="B96" s="91"/>
      <c r="C96" s="91"/>
      <c r="D96" s="90">
        <v>1500</v>
      </c>
      <c r="E96" s="90"/>
      <c r="I96" s="90"/>
    </row>
    <row r="97" spans="1:9" x14ac:dyDescent="0.25">
      <c r="A97" s="91"/>
      <c r="B97" s="91"/>
      <c r="C97" s="91"/>
      <c r="D97" s="90"/>
      <c r="E97" s="90"/>
      <c r="F97" s="91"/>
      <c r="G97" s="91"/>
      <c r="H97" s="91"/>
      <c r="I97" s="90"/>
    </row>
    <row r="98" spans="1:9" ht="13.8" x14ac:dyDescent="0.3">
      <c r="A98" s="95" t="s">
        <v>260</v>
      </c>
      <c r="B98" s="91"/>
      <c r="C98" s="91"/>
      <c r="D98" s="90"/>
      <c r="E98" s="90">
        <v>8395</v>
      </c>
      <c r="F98" s="90">
        <v>6800</v>
      </c>
      <c r="G98" s="90">
        <v>8400</v>
      </c>
      <c r="H98" s="90">
        <v>8400</v>
      </c>
      <c r="I98" s="90"/>
    </row>
    <row r="99" spans="1:9" x14ac:dyDescent="0.25">
      <c r="A99" s="96" t="s">
        <v>509</v>
      </c>
      <c r="B99" s="96"/>
      <c r="C99" s="90"/>
      <c r="D99" s="90">
        <v>2600</v>
      </c>
      <c r="E99" s="90"/>
      <c r="F99" s="90"/>
      <c r="G99" s="90"/>
      <c r="H99" s="90"/>
      <c r="I99" s="90"/>
    </row>
    <row r="100" spans="1:9" x14ac:dyDescent="0.25">
      <c r="A100" s="96" t="s">
        <v>510</v>
      </c>
      <c r="B100" s="96"/>
      <c r="C100" s="90"/>
      <c r="D100" s="90">
        <v>2800</v>
      </c>
      <c r="E100" s="90"/>
      <c r="F100" s="90"/>
      <c r="G100" s="90"/>
      <c r="H100" s="90"/>
      <c r="I100" s="90"/>
    </row>
    <row r="101" spans="1:9" ht="15" x14ac:dyDescent="0.4">
      <c r="A101" s="96" t="s">
        <v>230</v>
      </c>
      <c r="B101" s="96"/>
      <c r="C101" s="93"/>
      <c r="D101" s="93">
        <v>3000</v>
      </c>
      <c r="E101" s="90"/>
      <c r="F101" s="90"/>
      <c r="G101" s="90"/>
      <c r="H101" s="90"/>
      <c r="I101" s="90"/>
    </row>
    <row r="102" spans="1:9" x14ac:dyDescent="0.25">
      <c r="A102" s="96" t="s">
        <v>1182</v>
      </c>
      <c r="B102" s="96"/>
      <c r="C102" s="90"/>
      <c r="D102" s="90">
        <f>SUM(D99:D101)</f>
        <v>8400</v>
      </c>
      <c r="E102" s="90"/>
      <c r="F102" s="90"/>
      <c r="G102" s="90"/>
      <c r="H102" s="90"/>
      <c r="I102" s="90"/>
    </row>
    <row r="103" spans="1:9" x14ac:dyDescent="0.25">
      <c r="A103" s="96"/>
      <c r="B103" s="96"/>
      <c r="C103" s="90"/>
      <c r="D103" s="90"/>
      <c r="E103" s="90"/>
      <c r="F103" s="90"/>
      <c r="G103" s="90"/>
      <c r="H103" s="90"/>
      <c r="I103" s="90"/>
    </row>
    <row r="104" spans="1:9" ht="13.8" x14ac:dyDescent="0.3">
      <c r="A104" s="95" t="s">
        <v>22</v>
      </c>
      <c r="B104" s="91"/>
      <c r="C104" s="90" t="s">
        <v>386</v>
      </c>
      <c r="D104" s="90" t="s">
        <v>386</v>
      </c>
      <c r="E104" s="90">
        <v>4009</v>
      </c>
      <c r="F104" s="90">
        <v>4000</v>
      </c>
      <c r="G104" s="90">
        <v>4000</v>
      </c>
      <c r="H104" s="90">
        <v>4000</v>
      </c>
      <c r="I104" s="90"/>
    </row>
    <row r="105" spans="1:9" x14ac:dyDescent="0.25">
      <c r="A105" s="91" t="s">
        <v>963</v>
      </c>
      <c r="B105" s="91"/>
      <c r="C105" s="90"/>
      <c r="D105" s="90">
        <v>4000</v>
      </c>
      <c r="E105" s="90"/>
      <c r="F105" s="90"/>
      <c r="G105" s="90"/>
      <c r="H105" s="90"/>
      <c r="I105" s="90"/>
    </row>
    <row r="106" spans="1:9" x14ac:dyDescent="0.25">
      <c r="A106" s="91" t="s">
        <v>386</v>
      </c>
      <c r="B106" s="91"/>
      <c r="C106" s="90"/>
      <c r="D106" s="90" t="s">
        <v>386</v>
      </c>
      <c r="E106" s="90"/>
      <c r="F106" s="90"/>
      <c r="G106" s="90"/>
      <c r="H106" s="90"/>
      <c r="I106" s="90"/>
    </row>
    <row r="107" spans="1:9" ht="13.8" x14ac:dyDescent="0.3">
      <c r="A107" s="95" t="s">
        <v>231</v>
      </c>
      <c r="B107" s="91"/>
      <c r="C107" s="90"/>
      <c r="D107" s="90"/>
      <c r="E107" s="90">
        <v>793</v>
      </c>
      <c r="F107" s="90">
        <v>875</v>
      </c>
      <c r="G107" s="90">
        <v>875</v>
      </c>
      <c r="H107" s="90">
        <v>875</v>
      </c>
      <c r="I107" s="90"/>
    </row>
    <row r="108" spans="1:9" x14ac:dyDescent="0.25">
      <c r="A108" s="91" t="s">
        <v>2093</v>
      </c>
      <c r="B108" s="91"/>
      <c r="C108" s="90"/>
      <c r="D108" s="90">
        <v>875</v>
      </c>
      <c r="E108" s="90"/>
      <c r="F108" s="90"/>
      <c r="G108" s="90"/>
      <c r="H108" s="90"/>
      <c r="I108" s="90"/>
    </row>
    <row r="109" spans="1:9" x14ac:dyDescent="0.25">
      <c r="A109" s="91"/>
      <c r="B109" s="91"/>
      <c r="C109" s="90"/>
      <c r="E109" s="90"/>
      <c r="F109" s="90"/>
      <c r="G109" s="90"/>
      <c r="H109" s="90"/>
      <c r="I109" s="90"/>
    </row>
    <row r="110" spans="1:9" ht="13.8" x14ac:dyDescent="0.3">
      <c r="A110" s="95" t="s">
        <v>1317</v>
      </c>
      <c r="B110" s="91"/>
      <c r="C110" s="90"/>
      <c r="D110" s="90" t="s">
        <v>386</v>
      </c>
      <c r="E110" s="90">
        <v>14779</v>
      </c>
      <c r="F110" s="90">
        <v>14250</v>
      </c>
      <c r="G110" s="90">
        <v>14310</v>
      </c>
      <c r="H110" s="90">
        <v>14310</v>
      </c>
      <c r="I110" s="90"/>
    </row>
    <row r="111" spans="1:9" x14ac:dyDescent="0.25">
      <c r="A111" s="91" t="s">
        <v>1318</v>
      </c>
      <c r="B111" s="91"/>
      <c r="C111" s="90"/>
      <c r="D111" s="90">
        <v>14310</v>
      </c>
      <c r="E111" s="90"/>
      <c r="F111" s="90"/>
      <c r="G111" s="90"/>
      <c r="H111" s="90"/>
      <c r="I111" s="90"/>
    </row>
    <row r="112" spans="1:9" x14ac:dyDescent="0.25">
      <c r="A112" s="91" t="s">
        <v>386</v>
      </c>
      <c r="B112" s="91"/>
      <c r="C112" s="91"/>
      <c r="D112" s="90" t="s">
        <v>386</v>
      </c>
      <c r="E112" s="90"/>
      <c r="F112" s="90"/>
      <c r="G112" s="90"/>
      <c r="H112" s="90"/>
      <c r="I112" s="90"/>
    </row>
    <row r="113" spans="1:9" ht="13.8" x14ac:dyDescent="0.3">
      <c r="A113" s="95" t="s">
        <v>382</v>
      </c>
      <c r="B113" s="91"/>
      <c r="C113" s="91"/>
      <c r="D113" s="90"/>
      <c r="E113" s="90">
        <v>5213</v>
      </c>
      <c r="F113" s="90">
        <v>6000</v>
      </c>
      <c r="G113" s="90">
        <v>5300</v>
      </c>
      <c r="H113" s="90">
        <v>5300</v>
      </c>
      <c r="I113" s="90"/>
    </row>
    <row r="114" spans="1:9" x14ac:dyDescent="0.25">
      <c r="A114" s="91" t="s">
        <v>1318</v>
      </c>
      <c r="B114" s="91"/>
      <c r="C114" s="91"/>
      <c r="D114" s="90">
        <v>5300</v>
      </c>
      <c r="E114" s="90"/>
      <c r="F114" s="90"/>
      <c r="G114" s="90"/>
      <c r="H114" s="90"/>
      <c r="I114" s="90"/>
    </row>
    <row r="115" spans="1:9" x14ac:dyDescent="0.25">
      <c r="A115" s="91"/>
      <c r="B115" s="91"/>
      <c r="C115" s="91"/>
      <c r="D115" s="90"/>
      <c r="E115" s="90"/>
      <c r="F115" s="90"/>
      <c r="G115" s="90"/>
      <c r="H115" s="90"/>
      <c r="I115" s="90"/>
    </row>
    <row r="116" spans="1:9" ht="13.8" x14ac:dyDescent="0.3">
      <c r="A116" s="95" t="s">
        <v>1120</v>
      </c>
      <c r="B116" s="91"/>
      <c r="C116" s="91"/>
      <c r="D116" s="90"/>
      <c r="E116" s="90">
        <v>1204</v>
      </c>
      <c r="F116" s="90">
        <v>1325</v>
      </c>
      <c r="G116" s="90">
        <v>1219</v>
      </c>
      <c r="H116" s="90">
        <v>1219</v>
      </c>
      <c r="I116" s="90"/>
    </row>
    <row r="117" spans="1:9" x14ac:dyDescent="0.25">
      <c r="A117" s="91" t="s">
        <v>1318</v>
      </c>
      <c r="B117" s="91"/>
      <c r="C117" s="90"/>
      <c r="D117" s="90">
        <v>1219</v>
      </c>
      <c r="E117" s="90"/>
      <c r="F117" s="90"/>
      <c r="G117" s="90"/>
      <c r="H117" s="90"/>
      <c r="I117" s="90"/>
    </row>
    <row r="118" spans="1:9" x14ac:dyDescent="0.25">
      <c r="A118" s="91"/>
      <c r="B118" s="91"/>
      <c r="C118" s="90"/>
      <c r="D118" s="90"/>
      <c r="E118" s="90"/>
      <c r="F118" s="90"/>
      <c r="G118" s="90"/>
      <c r="H118" s="90"/>
      <c r="I118" s="90"/>
    </row>
    <row r="119" spans="1:9" ht="13.8" x14ac:dyDescent="0.3">
      <c r="A119" s="95" t="s">
        <v>1121</v>
      </c>
      <c r="B119" s="91"/>
      <c r="C119" s="90"/>
      <c r="D119" s="90"/>
      <c r="E119" s="90">
        <v>169</v>
      </c>
      <c r="F119" s="90">
        <v>242</v>
      </c>
      <c r="G119" s="90">
        <v>242</v>
      </c>
      <c r="H119" s="90">
        <v>242</v>
      </c>
      <c r="I119" s="90"/>
    </row>
    <row r="120" spans="1:9" x14ac:dyDescent="0.25">
      <c r="A120" s="91" t="s">
        <v>1318</v>
      </c>
      <c r="B120" s="91"/>
      <c r="C120" s="90"/>
      <c r="D120" s="90">
        <v>242</v>
      </c>
      <c r="E120" s="90"/>
      <c r="F120" s="90"/>
      <c r="G120" s="90"/>
      <c r="H120" s="90"/>
      <c r="I120" s="90"/>
    </row>
    <row r="121" spans="1:9" x14ac:dyDescent="0.25">
      <c r="A121" s="91"/>
      <c r="B121" s="91"/>
      <c r="C121" s="90"/>
      <c r="D121" s="90"/>
      <c r="E121" s="90"/>
      <c r="F121" s="90"/>
      <c r="G121" s="90"/>
      <c r="H121" s="90"/>
      <c r="I121" s="90"/>
    </row>
    <row r="122" spans="1:9" ht="13.8" x14ac:dyDescent="0.3">
      <c r="A122" s="95" t="s">
        <v>1772</v>
      </c>
      <c r="B122" s="91"/>
      <c r="C122" s="90"/>
      <c r="D122" s="90"/>
      <c r="E122" s="90">
        <v>6185</v>
      </c>
      <c r="F122" s="90">
        <v>5600</v>
      </c>
      <c r="G122" s="90">
        <v>5600</v>
      </c>
      <c r="H122" s="90">
        <v>5600</v>
      </c>
      <c r="I122" s="90"/>
    </row>
    <row r="123" spans="1:9" x14ac:dyDescent="0.25">
      <c r="A123" s="97" t="s">
        <v>1773</v>
      </c>
      <c r="B123" s="91"/>
      <c r="C123" s="90"/>
      <c r="D123" s="90">
        <v>2975</v>
      </c>
      <c r="E123" s="90"/>
      <c r="F123" s="90"/>
      <c r="G123" s="90"/>
      <c r="H123" s="90"/>
      <c r="I123" s="90"/>
    </row>
    <row r="124" spans="1:9" x14ac:dyDescent="0.25">
      <c r="A124" s="91" t="s">
        <v>1945</v>
      </c>
      <c r="B124" s="91"/>
      <c r="C124" s="90"/>
      <c r="D124" s="90"/>
      <c r="E124" s="90"/>
      <c r="F124" s="90"/>
      <c r="G124" s="90"/>
      <c r="H124" s="90"/>
      <c r="I124" s="90"/>
    </row>
    <row r="125" spans="1:9" x14ac:dyDescent="0.25">
      <c r="A125" s="97" t="s">
        <v>1774</v>
      </c>
      <c r="B125" s="91"/>
      <c r="C125" s="90"/>
      <c r="D125" s="90">
        <v>749</v>
      </c>
      <c r="E125" s="90"/>
      <c r="F125" s="90"/>
      <c r="G125" s="90"/>
      <c r="H125" s="90"/>
      <c r="I125" s="90"/>
    </row>
    <row r="126" spans="1:9" x14ac:dyDescent="0.25">
      <c r="A126" s="91" t="s">
        <v>1020</v>
      </c>
      <c r="B126" s="91"/>
      <c r="C126" s="90"/>
      <c r="D126" s="90">
        <v>736</v>
      </c>
      <c r="E126" s="90"/>
      <c r="F126" s="90"/>
      <c r="G126" s="90"/>
      <c r="H126" s="90"/>
      <c r="I126" s="90"/>
    </row>
    <row r="127" spans="1:9" x14ac:dyDescent="0.25">
      <c r="A127" s="91" t="s">
        <v>1272</v>
      </c>
      <c r="B127" s="91"/>
      <c r="C127" s="90"/>
      <c r="D127" s="90">
        <v>417</v>
      </c>
      <c r="E127" s="90"/>
      <c r="F127" s="90"/>
      <c r="G127" s="90"/>
      <c r="H127" s="90"/>
      <c r="I127" s="90"/>
    </row>
    <row r="128" spans="1:9" ht="15" x14ac:dyDescent="0.4">
      <c r="A128" s="91" t="s">
        <v>1775</v>
      </c>
      <c r="B128" s="91"/>
      <c r="C128" s="93"/>
      <c r="D128" s="93">
        <v>723</v>
      </c>
      <c r="E128" s="90"/>
      <c r="F128" s="90"/>
      <c r="G128" s="90"/>
      <c r="H128" s="90"/>
      <c r="I128" s="90"/>
    </row>
    <row r="129" spans="1:9" x14ac:dyDescent="0.25">
      <c r="A129" s="91" t="s">
        <v>1182</v>
      </c>
      <c r="B129" s="91"/>
      <c r="C129" s="90"/>
      <c r="D129" s="90">
        <f>SUM(D123:D128)</f>
        <v>5600</v>
      </c>
      <c r="E129" s="90"/>
      <c r="F129" s="90"/>
      <c r="G129" s="90"/>
      <c r="H129" s="90"/>
      <c r="I129" s="90"/>
    </row>
    <row r="130" spans="1:9" x14ac:dyDescent="0.25">
      <c r="A130" s="91"/>
      <c r="B130" s="91"/>
      <c r="C130" s="90"/>
      <c r="D130" s="90"/>
      <c r="E130" s="90"/>
      <c r="F130" s="90"/>
      <c r="G130" s="90"/>
      <c r="H130" s="90"/>
      <c r="I130" s="90"/>
    </row>
    <row r="131" spans="1:9" ht="13.8" x14ac:dyDescent="0.3">
      <c r="A131" s="95" t="s">
        <v>1203</v>
      </c>
      <c r="B131" s="91"/>
      <c r="C131" s="90"/>
      <c r="D131" s="90"/>
      <c r="E131" s="90">
        <v>580</v>
      </c>
      <c r="F131" s="90">
        <v>1000</v>
      </c>
      <c r="G131" s="90">
        <v>1000</v>
      </c>
      <c r="H131" s="90">
        <v>1000</v>
      </c>
      <c r="I131" s="90"/>
    </row>
    <row r="132" spans="1:9" x14ac:dyDescent="0.25">
      <c r="A132" s="91" t="s">
        <v>1204</v>
      </c>
      <c r="B132" s="91"/>
      <c r="C132" s="90"/>
      <c r="D132" s="90">
        <v>280</v>
      </c>
      <c r="E132" s="90"/>
      <c r="F132" s="90"/>
      <c r="G132" s="90"/>
      <c r="H132" s="90"/>
      <c r="I132" s="90"/>
    </row>
    <row r="133" spans="1:9" x14ac:dyDescent="0.25">
      <c r="A133" s="91" t="s">
        <v>1205</v>
      </c>
      <c r="B133" s="91"/>
      <c r="C133" s="90"/>
      <c r="D133" s="90">
        <v>210</v>
      </c>
      <c r="E133" s="90"/>
      <c r="F133" s="90"/>
      <c r="G133" s="90"/>
      <c r="H133" s="90"/>
      <c r="I133" s="90"/>
    </row>
    <row r="134" spans="1:9" x14ac:dyDescent="0.25">
      <c r="A134" s="91" t="s">
        <v>1206</v>
      </c>
      <c r="B134" s="91"/>
      <c r="C134" s="90"/>
      <c r="D134" s="90">
        <v>410</v>
      </c>
      <c r="E134" s="90"/>
      <c r="F134" s="90"/>
      <c r="G134" s="90"/>
      <c r="H134" s="90"/>
      <c r="I134" s="90"/>
    </row>
    <row r="135" spans="1:9" ht="15" x14ac:dyDescent="0.4">
      <c r="A135" s="91" t="s">
        <v>949</v>
      </c>
      <c r="B135" s="91"/>
      <c r="C135" s="90"/>
      <c r="D135" s="93">
        <v>100</v>
      </c>
      <c r="E135" s="90"/>
      <c r="F135" s="90"/>
      <c r="G135" s="90"/>
      <c r="H135" s="90"/>
      <c r="I135" s="90"/>
    </row>
    <row r="136" spans="1:9" x14ac:dyDescent="0.25">
      <c r="A136" s="91" t="s">
        <v>1182</v>
      </c>
      <c r="B136" s="91"/>
      <c r="C136" s="90"/>
      <c r="D136" s="90">
        <f>SUM(D132:D135)</f>
        <v>1000</v>
      </c>
      <c r="E136" s="90"/>
      <c r="F136" s="90"/>
      <c r="G136" s="90"/>
      <c r="H136" s="90"/>
      <c r="I136" s="90"/>
    </row>
    <row r="137" spans="1:9" x14ac:dyDescent="0.25">
      <c r="A137" s="91" t="s">
        <v>386</v>
      </c>
      <c r="B137" s="90" t="s">
        <v>386</v>
      </c>
      <c r="C137" s="90"/>
      <c r="D137" s="90" t="s">
        <v>386</v>
      </c>
      <c r="E137" s="90"/>
      <c r="F137" s="90"/>
      <c r="G137" s="90"/>
      <c r="H137" s="90"/>
      <c r="I137" s="90"/>
    </row>
    <row r="138" spans="1:9" ht="13.8" x14ac:dyDescent="0.3">
      <c r="A138" s="98" t="s">
        <v>485</v>
      </c>
      <c r="B138" s="91"/>
      <c r="C138" s="90"/>
      <c r="D138" s="90"/>
      <c r="E138" s="90">
        <v>7417</v>
      </c>
      <c r="F138" s="90">
        <v>10593</v>
      </c>
      <c r="G138" s="90">
        <v>8159</v>
      </c>
      <c r="H138" s="90">
        <v>8159</v>
      </c>
      <c r="I138" s="90"/>
    </row>
    <row r="139" spans="1:9" x14ac:dyDescent="0.25">
      <c r="A139" s="91" t="s">
        <v>1410</v>
      </c>
      <c r="B139" s="91"/>
      <c r="C139" s="90"/>
      <c r="D139" s="90">
        <v>8159</v>
      </c>
      <c r="E139" s="90"/>
      <c r="F139" s="90"/>
      <c r="G139" s="90"/>
      <c r="H139" s="90"/>
      <c r="I139" s="90"/>
    </row>
    <row r="140" spans="1:9" x14ac:dyDescent="0.25">
      <c r="A140" s="91"/>
      <c r="B140" s="91"/>
      <c r="C140" s="90"/>
      <c r="D140" s="90"/>
      <c r="E140" s="90"/>
      <c r="F140" s="90"/>
      <c r="G140" s="90"/>
      <c r="H140" s="90"/>
      <c r="I140" s="90"/>
    </row>
    <row r="141" spans="1:9" ht="13.8" x14ac:dyDescent="0.3">
      <c r="A141" s="95" t="s">
        <v>1133</v>
      </c>
      <c r="B141" s="91"/>
      <c r="C141" s="90"/>
      <c r="D141" s="90"/>
      <c r="E141" s="90">
        <v>4176</v>
      </c>
      <c r="F141" s="90">
        <v>6000</v>
      </c>
      <c r="G141" s="90">
        <v>6000</v>
      </c>
      <c r="H141" s="90">
        <v>6000</v>
      </c>
      <c r="I141" s="90"/>
    </row>
    <row r="142" spans="1:9" x14ac:dyDescent="0.25">
      <c r="A142" s="91" t="s">
        <v>1554</v>
      </c>
      <c r="B142" s="91"/>
      <c r="C142" s="90"/>
      <c r="D142" s="90">
        <v>3150</v>
      </c>
      <c r="E142" s="90"/>
      <c r="F142" s="90"/>
      <c r="G142" s="90"/>
      <c r="H142" s="90"/>
      <c r="I142" s="90"/>
    </row>
    <row r="143" spans="1:9" ht="15" x14ac:dyDescent="0.4">
      <c r="A143" s="91" t="s">
        <v>1555</v>
      </c>
      <c r="B143" s="91"/>
      <c r="C143" s="93"/>
      <c r="D143" s="93">
        <v>2850</v>
      </c>
      <c r="E143" s="90"/>
      <c r="F143" s="90"/>
      <c r="G143" s="90"/>
      <c r="H143" s="90"/>
      <c r="I143" s="90"/>
    </row>
    <row r="144" spans="1:9" x14ac:dyDescent="0.25">
      <c r="A144" s="91" t="s">
        <v>251</v>
      </c>
      <c r="B144" s="91"/>
      <c r="C144" s="90"/>
      <c r="D144" s="90">
        <f>SUM(D142:D143)</f>
        <v>6000</v>
      </c>
      <c r="E144" s="90"/>
      <c r="F144" s="90"/>
      <c r="G144" s="90"/>
      <c r="H144" s="90"/>
      <c r="I144" s="90"/>
    </row>
    <row r="145" spans="1:9" x14ac:dyDescent="0.25">
      <c r="A145" s="91"/>
      <c r="B145" s="91"/>
      <c r="C145" s="90"/>
      <c r="D145" s="90"/>
      <c r="E145" s="90"/>
      <c r="F145" s="90"/>
      <c r="G145" s="90"/>
      <c r="H145" s="90"/>
      <c r="I145" s="90"/>
    </row>
    <row r="146" spans="1:9" ht="13.8" x14ac:dyDescent="0.3">
      <c r="A146" s="95" t="s">
        <v>413</v>
      </c>
      <c r="B146" s="91"/>
      <c r="C146" s="90"/>
      <c r="D146" s="90"/>
      <c r="E146" s="90">
        <f>2061.1+17386</f>
        <v>19447.099999999999</v>
      </c>
      <c r="F146" s="90">
        <v>17797</v>
      </c>
      <c r="G146" s="90">
        <v>20242</v>
      </c>
      <c r="H146" s="90">
        <v>20242</v>
      </c>
      <c r="I146" s="90"/>
    </row>
    <row r="147" spans="1:9" x14ac:dyDescent="0.25">
      <c r="A147" s="91" t="s">
        <v>273</v>
      </c>
      <c r="B147" s="91"/>
      <c r="C147" s="90"/>
      <c r="D147" s="90">
        <v>2500</v>
      </c>
      <c r="E147" s="90"/>
      <c r="F147" s="90"/>
      <c r="G147" s="90"/>
      <c r="H147" s="90"/>
      <c r="I147" s="90"/>
    </row>
    <row r="148" spans="1:9" x14ac:dyDescent="0.25">
      <c r="A148" s="91" t="s">
        <v>414</v>
      </c>
      <c r="B148" s="91"/>
      <c r="C148" s="90"/>
      <c r="D148" s="90">
        <v>1689</v>
      </c>
      <c r="E148" s="90"/>
      <c r="F148" s="90"/>
      <c r="G148" s="90"/>
      <c r="H148" s="90"/>
      <c r="I148" s="90"/>
    </row>
    <row r="149" spans="1:9" x14ac:dyDescent="0.25">
      <c r="A149" s="91" t="s">
        <v>415</v>
      </c>
      <c r="B149" s="91"/>
      <c r="C149" s="90"/>
      <c r="D149" s="90">
        <v>2600</v>
      </c>
      <c r="E149" s="90"/>
      <c r="F149" s="90"/>
      <c r="G149" s="90"/>
      <c r="H149" s="90"/>
      <c r="I149" s="90"/>
    </row>
    <row r="150" spans="1:9" x14ac:dyDescent="0.25">
      <c r="A150" s="91" t="s">
        <v>609</v>
      </c>
      <c r="B150" s="91"/>
      <c r="C150" s="90"/>
      <c r="D150" s="90">
        <v>3400</v>
      </c>
      <c r="E150" s="90"/>
      <c r="F150" s="90"/>
      <c r="G150" s="90"/>
      <c r="H150" s="90"/>
      <c r="I150" s="90"/>
    </row>
    <row r="151" spans="1:9" x14ac:dyDescent="0.25">
      <c r="A151" s="91" t="s">
        <v>733</v>
      </c>
      <c r="B151" s="91"/>
      <c r="C151" s="90"/>
      <c r="D151" s="90">
        <v>2000</v>
      </c>
      <c r="E151" s="90"/>
      <c r="F151" s="90"/>
      <c r="G151" s="90"/>
      <c r="H151" s="90"/>
      <c r="I151" s="90"/>
    </row>
    <row r="152" spans="1:9" x14ac:dyDescent="0.25">
      <c r="A152" s="91" t="s">
        <v>215</v>
      </c>
      <c r="B152" s="91"/>
      <c r="C152" s="90"/>
      <c r="D152" s="90">
        <v>1888</v>
      </c>
      <c r="E152" s="90"/>
      <c r="F152" s="90"/>
      <c r="G152" s="90"/>
      <c r="H152" s="90"/>
      <c r="I152" s="90"/>
    </row>
    <row r="153" spans="1:9" x14ac:dyDescent="0.25">
      <c r="A153" s="91" t="s">
        <v>1198</v>
      </c>
      <c r="B153" s="91"/>
      <c r="C153" s="90"/>
      <c r="D153" s="90">
        <v>1500</v>
      </c>
      <c r="E153" s="90"/>
      <c r="F153" s="90"/>
      <c r="G153" s="90"/>
      <c r="H153" s="90"/>
      <c r="I153" s="90"/>
    </row>
    <row r="154" spans="1:9" x14ac:dyDescent="0.25">
      <c r="A154" s="91" t="s">
        <v>278</v>
      </c>
      <c r="B154" s="91"/>
      <c r="C154" s="90"/>
      <c r="D154" s="90">
        <v>360</v>
      </c>
      <c r="E154" s="90"/>
      <c r="F154" s="90"/>
      <c r="G154" s="90"/>
      <c r="H154" s="90"/>
      <c r="I154" s="90"/>
    </row>
    <row r="155" spans="1:9" x14ac:dyDescent="0.25">
      <c r="A155" s="91" t="s">
        <v>393</v>
      </c>
      <c r="B155" s="91"/>
      <c r="C155" s="90"/>
      <c r="D155" s="90">
        <v>1600</v>
      </c>
      <c r="E155" s="90"/>
      <c r="F155" s="90"/>
      <c r="G155" s="90"/>
      <c r="H155" s="90"/>
      <c r="I155" s="122"/>
    </row>
    <row r="156" spans="1:9" x14ac:dyDescent="0.25">
      <c r="A156" s="91" t="s">
        <v>279</v>
      </c>
      <c r="B156" s="91"/>
      <c r="C156" s="90"/>
      <c r="D156" s="90">
        <v>1200</v>
      </c>
      <c r="E156" s="90"/>
      <c r="F156" s="90"/>
      <c r="G156" s="90"/>
      <c r="H156" s="90"/>
      <c r="I156" s="90"/>
    </row>
    <row r="157" spans="1:9" x14ac:dyDescent="0.25">
      <c r="A157" s="91" t="s">
        <v>330</v>
      </c>
      <c r="B157" s="91"/>
      <c r="C157" s="90"/>
      <c r="D157" s="90">
        <v>250</v>
      </c>
      <c r="E157" s="90"/>
      <c r="F157" s="90"/>
      <c r="G157" s="90"/>
      <c r="H157" s="90"/>
      <c r="I157" s="90"/>
    </row>
    <row r="158" spans="1:9" ht="15" x14ac:dyDescent="0.4">
      <c r="A158" s="91" t="s">
        <v>280</v>
      </c>
      <c r="B158" s="91"/>
      <c r="C158" s="93"/>
      <c r="D158" s="93">
        <v>1255</v>
      </c>
      <c r="E158" s="90"/>
      <c r="F158" s="90"/>
      <c r="G158" s="90"/>
      <c r="H158" s="90"/>
      <c r="I158" s="90"/>
    </row>
    <row r="159" spans="1:9" x14ac:dyDescent="0.25">
      <c r="A159" s="91" t="s">
        <v>1182</v>
      </c>
      <c r="B159" s="91"/>
      <c r="C159" s="90"/>
      <c r="D159" s="90">
        <f>SUM(D147:D158)</f>
        <v>20242</v>
      </c>
      <c r="E159" s="90"/>
      <c r="F159" s="90"/>
      <c r="G159" s="90"/>
      <c r="H159" s="90"/>
      <c r="I159" s="90"/>
    </row>
    <row r="160" spans="1:9" x14ac:dyDescent="0.25">
      <c r="A160" s="91"/>
      <c r="B160" s="91"/>
      <c r="C160" s="90"/>
      <c r="D160" s="90"/>
      <c r="E160" s="90"/>
      <c r="F160" s="90"/>
      <c r="G160" s="90"/>
      <c r="H160" s="90"/>
      <c r="I160" s="90"/>
    </row>
    <row r="161" spans="1:9" ht="13.8" x14ac:dyDescent="0.3">
      <c r="A161" s="95" t="s">
        <v>129</v>
      </c>
      <c r="B161" s="91"/>
      <c r="C161" s="90"/>
      <c r="D161" s="90"/>
      <c r="E161" s="90">
        <v>1803</v>
      </c>
      <c r="F161" s="90">
        <v>450</v>
      </c>
      <c r="G161" s="90">
        <v>450</v>
      </c>
      <c r="H161" s="90">
        <v>450</v>
      </c>
      <c r="I161" s="90"/>
    </row>
    <row r="162" spans="1:9" x14ac:dyDescent="0.25">
      <c r="A162" s="91" t="s">
        <v>970</v>
      </c>
      <c r="B162" s="91"/>
      <c r="C162" s="90"/>
      <c r="D162" s="90">
        <v>400</v>
      </c>
      <c r="E162" s="90"/>
      <c r="F162" s="90"/>
      <c r="G162" s="90"/>
      <c r="H162" s="90"/>
      <c r="I162" s="90"/>
    </row>
    <row r="163" spans="1:9" ht="15" x14ac:dyDescent="0.4">
      <c r="A163" s="91" t="s">
        <v>995</v>
      </c>
      <c r="B163" s="91"/>
      <c r="C163" s="93"/>
      <c r="D163" s="93">
        <v>50</v>
      </c>
      <c r="E163" s="90"/>
      <c r="F163" s="90"/>
      <c r="G163" s="90"/>
      <c r="H163" s="90"/>
      <c r="I163" s="90"/>
    </row>
    <row r="164" spans="1:9" x14ac:dyDescent="0.25">
      <c r="A164" s="91" t="s">
        <v>1182</v>
      </c>
      <c r="B164" s="91"/>
      <c r="C164" s="90"/>
      <c r="D164" s="90">
        <f>SUM(D162:D163)</f>
        <v>450</v>
      </c>
      <c r="E164" s="90"/>
      <c r="F164" s="90"/>
      <c r="G164" s="90"/>
      <c r="H164" s="90"/>
      <c r="I164" s="90"/>
    </row>
    <row r="165" spans="1:9" x14ac:dyDescent="0.25">
      <c r="A165" s="91"/>
      <c r="B165" s="91"/>
      <c r="C165" s="90"/>
      <c r="D165" s="90"/>
      <c r="E165" s="90"/>
      <c r="F165" s="90"/>
      <c r="G165" s="90"/>
      <c r="H165" s="90"/>
      <c r="I165" s="90"/>
    </row>
    <row r="166" spans="1:9" ht="13.8" x14ac:dyDescent="0.3">
      <c r="A166" s="95" t="s">
        <v>403</v>
      </c>
      <c r="B166" s="91"/>
      <c r="C166" s="90"/>
      <c r="D166" s="90"/>
      <c r="E166" s="90">
        <v>1243</v>
      </c>
      <c r="F166" s="90">
        <v>2000</v>
      </c>
      <c r="G166" s="90">
        <v>2000</v>
      </c>
      <c r="H166" s="90">
        <v>2000</v>
      </c>
      <c r="I166" s="90"/>
    </row>
    <row r="167" spans="1:9" x14ac:dyDescent="0.25">
      <c r="A167" s="91" t="s">
        <v>1463</v>
      </c>
      <c r="B167" s="91"/>
      <c r="C167" s="90"/>
      <c r="D167" s="90">
        <v>2000</v>
      </c>
      <c r="E167" s="90"/>
      <c r="F167" s="90"/>
      <c r="G167" s="90"/>
      <c r="H167" s="90"/>
      <c r="I167" s="90"/>
    </row>
    <row r="168" spans="1:9" x14ac:dyDescent="0.25">
      <c r="A168" s="91"/>
      <c r="B168" s="91"/>
      <c r="C168" s="90"/>
      <c r="D168" s="90"/>
      <c r="E168" s="90"/>
      <c r="F168" s="90"/>
      <c r="G168" s="90"/>
      <c r="H168" s="90"/>
      <c r="I168" s="90"/>
    </row>
    <row r="169" spans="1:9" ht="13.8" x14ac:dyDescent="0.3">
      <c r="A169" s="95" t="s">
        <v>718</v>
      </c>
      <c r="B169" s="91"/>
      <c r="C169" s="90"/>
      <c r="D169" s="90"/>
      <c r="E169" s="90">
        <v>48858</v>
      </c>
      <c r="F169" s="90">
        <v>39838</v>
      </c>
      <c r="G169" s="90">
        <v>46130</v>
      </c>
      <c r="H169" s="90">
        <v>46130</v>
      </c>
      <c r="I169" s="90"/>
    </row>
    <row r="170" spans="1:9" x14ac:dyDescent="0.25">
      <c r="A170" s="91" t="s">
        <v>1481</v>
      </c>
      <c r="B170" s="91"/>
      <c r="C170" s="90"/>
      <c r="D170" s="90">
        <v>900</v>
      </c>
      <c r="E170" s="90"/>
      <c r="F170" s="90"/>
      <c r="G170" s="90"/>
      <c r="H170" s="90"/>
      <c r="I170" s="90"/>
    </row>
    <row r="171" spans="1:9" x14ac:dyDescent="0.25">
      <c r="A171" s="91" t="s">
        <v>2094</v>
      </c>
      <c r="B171" s="91"/>
      <c r="C171" s="90"/>
      <c r="D171" s="90">
        <v>480</v>
      </c>
      <c r="E171" s="90"/>
      <c r="F171" s="90"/>
      <c r="G171" s="90"/>
      <c r="H171" s="90"/>
      <c r="I171" s="90"/>
    </row>
    <row r="172" spans="1:9" x14ac:dyDescent="0.25">
      <c r="A172" s="91" t="s">
        <v>2095</v>
      </c>
      <c r="B172" s="91"/>
      <c r="C172" s="90"/>
      <c r="D172" s="90">
        <v>1480</v>
      </c>
      <c r="E172" s="90"/>
      <c r="F172" s="90"/>
      <c r="G172" s="90"/>
      <c r="H172" s="90"/>
      <c r="I172" s="47"/>
    </row>
    <row r="173" spans="1:9" x14ac:dyDescent="0.25">
      <c r="A173" s="91" t="s">
        <v>619</v>
      </c>
      <c r="B173" s="91"/>
      <c r="C173" s="90"/>
      <c r="D173" s="90">
        <f>760+4520</f>
        <v>5280</v>
      </c>
      <c r="E173" s="90"/>
      <c r="F173" s="90"/>
      <c r="G173" s="90"/>
      <c r="H173" s="90"/>
      <c r="I173" s="90"/>
    </row>
    <row r="174" spans="1:9" x14ac:dyDescent="0.25">
      <c r="A174" s="91" t="s">
        <v>2096</v>
      </c>
      <c r="B174" s="91"/>
      <c r="C174" s="90"/>
      <c r="D174" s="90">
        <v>1500</v>
      </c>
      <c r="E174" s="90"/>
      <c r="F174" s="90"/>
      <c r="G174" s="90"/>
      <c r="H174" s="90"/>
      <c r="I174" s="90"/>
    </row>
    <row r="175" spans="1:9" ht="15" x14ac:dyDescent="0.4">
      <c r="A175" s="90" t="s">
        <v>1482</v>
      </c>
      <c r="B175" s="91"/>
      <c r="C175" s="93"/>
      <c r="D175" s="18">
        <v>36490</v>
      </c>
      <c r="E175" s="90"/>
      <c r="F175" s="47"/>
      <c r="G175" s="47"/>
      <c r="H175" s="47"/>
      <c r="I175" s="90"/>
    </row>
    <row r="176" spans="1:9" x14ac:dyDescent="0.25">
      <c r="A176" s="91" t="s">
        <v>1182</v>
      </c>
      <c r="B176" s="91"/>
      <c r="C176" s="90"/>
      <c r="D176" s="90">
        <f>SUM(D170:D175)</f>
        <v>46130</v>
      </c>
      <c r="E176" s="90"/>
      <c r="F176" s="90"/>
      <c r="G176" s="90"/>
      <c r="H176" s="90"/>
      <c r="I176" s="90"/>
    </row>
    <row r="177" spans="1:9" x14ac:dyDescent="0.25">
      <c r="A177" s="91"/>
      <c r="B177" s="91"/>
      <c r="C177" s="90"/>
      <c r="D177" s="90"/>
      <c r="E177" s="90"/>
      <c r="F177" s="90"/>
      <c r="G177" s="90"/>
      <c r="H177" s="90"/>
      <c r="I177" s="90"/>
    </row>
    <row r="178" spans="1:9" ht="13.8" x14ac:dyDescent="0.3">
      <c r="A178" s="95" t="s">
        <v>163</v>
      </c>
      <c r="B178" s="91"/>
      <c r="C178" s="90"/>
      <c r="D178" s="90"/>
      <c r="E178" s="90">
        <v>7181</v>
      </c>
      <c r="F178" s="90">
        <v>4771</v>
      </c>
      <c r="G178" s="90">
        <v>5766</v>
      </c>
      <c r="H178" s="90">
        <v>5766</v>
      </c>
      <c r="I178" s="90"/>
    </row>
    <row r="179" spans="1:9" x14ac:dyDescent="0.25">
      <c r="A179" s="91" t="s">
        <v>164</v>
      </c>
      <c r="B179" s="91"/>
      <c r="C179" s="90"/>
      <c r="D179" s="90">
        <v>150</v>
      </c>
      <c r="E179" s="90"/>
      <c r="F179" s="90"/>
      <c r="G179" s="90"/>
      <c r="H179" s="90"/>
    </row>
    <row r="180" spans="1:9" x14ac:dyDescent="0.25">
      <c r="A180" s="91" t="s">
        <v>2097</v>
      </c>
      <c r="B180" s="91"/>
      <c r="C180" s="90"/>
      <c r="D180" s="90">
        <v>100</v>
      </c>
      <c r="E180" s="90"/>
      <c r="F180" s="90"/>
      <c r="G180" s="90"/>
      <c r="H180" s="90"/>
      <c r="I180" s="90"/>
    </row>
    <row r="181" spans="1:9" x14ac:dyDescent="0.25">
      <c r="A181" s="91" t="s">
        <v>1483</v>
      </c>
      <c r="B181" s="91"/>
      <c r="C181" s="90"/>
      <c r="D181" s="90">
        <v>400</v>
      </c>
      <c r="E181" s="90"/>
      <c r="F181" s="90"/>
      <c r="G181" s="90"/>
      <c r="H181" s="90"/>
      <c r="I181" s="90"/>
    </row>
    <row r="182" spans="1:9" x14ac:dyDescent="0.25">
      <c r="A182" s="90" t="s">
        <v>1756</v>
      </c>
      <c r="B182" s="91"/>
      <c r="C182" s="90"/>
      <c r="D182" s="191">
        <v>995</v>
      </c>
      <c r="E182" s="90"/>
    </row>
    <row r="183" spans="1:9" x14ac:dyDescent="0.25">
      <c r="A183" s="91" t="s">
        <v>1860</v>
      </c>
      <c r="B183" s="91"/>
      <c r="C183" s="90"/>
      <c r="D183" s="90">
        <v>1020</v>
      </c>
      <c r="E183" s="90"/>
      <c r="F183" s="90"/>
      <c r="G183" s="90"/>
      <c r="H183" s="90"/>
      <c r="I183" s="90"/>
    </row>
    <row r="184" spans="1:9" x14ac:dyDescent="0.25">
      <c r="A184" s="91" t="s">
        <v>671</v>
      </c>
      <c r="B184" s="91"/>
      <c r="C184" s="90"/>
      <c r="D184" s="90">
        <v>750</v>
      </c>
      <c r="E184" s="90"/>
      <c r="F184" s="90"/>
      <c r="G184" s="90"/>
      <c r="H184" s="90"/>
      <c r="I184" s="90"/>
    </row>
    <row r="185" spans="1:9" x14ac:dyDescent="0.25">
      <c r="A185" s="90" t="s">
        <v>1861</v>
      </c>
      <c r="B185" s="91"/>
      <c r="C185" s="90"/>
      <c r="D185" s="191">
        <v>700</v>
      </c>
      <c r="E185" s="90"/>
      <c r="I185" s="90"/>
    </row>
    <row r="186" spans="1:9" x14ac:dyDescent="0.25">
      <c r="A186" s="91" t="s">
        <v>428</v>
      </c>
      <c r="B186" s="91"/>
      <c r="C186" s="90"/>
      <c r="D186" s="90">
        <v>1</v>
      </c>
      <c r="E186" s="90"/>
      <c r="F186" s="90"/>
      <c r="G186" s="90"/>
      <c r="H186" s="90"/>
      <c r="I186" s="90"/>
    </row>
    <row r="187" spans="1:9" ht="15" x14ac:dyDescent="0.4">
      <c r="A187" s="91" t="s">
        <v>569</v>
      </c>
      <c r="B187" s="91"/>
      <c r="C187" s="93"/>
      <c r="D187" s="93">
        <v>1650</v>
      </c>
      <c r="E187" s="90"/>
      <c r="F187" s="90"/>
      <c r="G187" s="90"/>
      <c r="H187" s="90"/>
      <c r="I187" s="103"/>
    </row>
    <row r="188" spans="1:9" x14ac:dyDescent="0.25">
      <c r="A188" s="91" t="s">
        <v>1182</v>
      </c>
      <c r="B188" s="91"/>
      <c r="C188" s="90"/>
      <c r="D188" s="90">
        <f>SUM(D179:D187)</f>
        <v>5766</v>
      </c>
      <c r="E188" s="90"/>
      <c r="F188" s="90"/>
      <c r="G188" s="90"/>
      <c r="H188" s="90"/>
      <c r="I188" s="90"/>
    </row>
    <row r="189" spans="1:9" x14ac:dyDescent="0.25">
      <c r="A189" s="91"/>
      <c r="B189" s="91"/>
      <c r="C189" s="90"/>
      <c r="D189" s="90"/>
      <c r="E189" s="90"/>
      <c r="F189" s="90"/>
      <c r="G189" s="90"/>
      <c r="H189" s="90"/>
      <c r="I189" s="90"/>
    </row>
    <row r="190" spans="1:9" ht="13.8" x14ac:dyDescent="0.3">
      <c r="A190" s="95" t="s">
        <v>685</v>
      </c>
      <c r="B190" s="91"/>
      <c r="C190" s="90"/>
      <c r="D190" s="90"/>
      <c r="E190" s="90">
        <v>5345</v>
      </c>
      <c r="F190" s="103">
        <v>5200</v>
      </c>
      <c r="G190" s="103">
        <v>5200</v>
      </c>
      <c r="H190" s="103">
        <v>5200</v>
      </c>
      <c r="I190" s="90"/>
    </row>
    <row r="191" spans="1:9" x14ac:dyDescent="0.25">
      <c r="A191" s="91" t="s">
        <v>713</v>
      </c>
      <c r="B191" s="91"/>
      <c r="C191" s="90"/>
      <c r="D191" s="90">
        <v>1400</v>
      </c>
      <c r="E191" s="90"/>
      <c r="F191" s="90"/>
      <c r="G191" s="90"/>
      <c r="H191" s="90"/>
      <c r="I191" s="90"/>
    </row>
    <row r="192" spans="1:9" x14ac:dyDescent="0.25">
      <c r="A192" s="91" t="s">
        <v>389</v>
      </c>
      <c r="B192" s="91"/>
      <c r="C192" s="90"/>
      <c r="D192" s="90">
        <v>1400</v>
      </c>
      <c r="E192" s="90"/>
      <c r="F192" s="90"/>
      <c r="G192" s="90"/>
      <c r="H192" s="90"/>
      <c r="I192" s="90"/>
    </row>
    <row r="193" spans="1:9" ht="15" x14ac:dyDescent="0.4">
      <c r="A193" s="91" t="s">
        <v>1281</v>
      </c>
      <c r="B193" s="91"/>
      <c r="C193" s="93"/>
      <c r="D193" s="93">
        <v>2400</v>
      </c>
      <c r="E193" s="90"/>
      <c r="F193" s="90"/>
      <c r="G193" s="90"/>
      <c r="H193" s="90"/>
      <c r="I193" s="90"/>
    </row>
    <row r="194" spans="1:9" x14ac:dyDescent="0.25">
      <c r="A194" s="91" t="s">
        <v>1182</v>
      </c>
      <c r="B194" s="91"/>
      <c r="C194" s="90"/>
      <c r="D194" s="90">
        <f>SUM(D191:D193)</f>
        <v>5200</v>
      </c>
      <c r="E194" s="90"/>
      <c r="F194" s="90"/>
      <c r="G194" s="90"/>
      <c r="H194" s="90"/>
      <c r="I194" s="90"/>
    </row>
    <row r="195" spans="1:9" x14ac:dyDescent="0.25">
      <c r="A195" s="91"/>
      <c r="B195" s="91"/>
      <c r="C195" s="90"/>
      <c r="D195" s="90"/>
      <c r="E195" s="90"/>
      <c r="F195" s="90"/>
      <c r="G195" s="90"/>
      <c r="H195" s="90"/>
      <c r="I195" s="90"/>
    </row>
    <row r="196" spans="1:9" ht="13.8" x14ac:dyDescent="0.3">
      <c r="A196" s="95" t="s">
        <v>1282</v>
      </c>
      <c r="B196" s="91"/>
      <c r="C196" s="90"/>
      <c r="D196" s="90"/>
      <c r="E196" s="90">
        <v>1633</v>
      </c>
      <c r="F196" s="90">
        <v>1000</v>
      </c>
      <c r="G196" s="90">
        <v>1000</v>
      </c>
      <c r="H196" s="90">
        <v>1000</v>
      </c>
      <c r="I196" s="90"/>
    </row>
    <row r="197" spans="1:9" x14ac:dyDescent="0.25">
      <c r="A197" s="91" t="s">
        <v>1776</v>
      </c>
      <c r="B197" s="91"/>
      <c r="C197" s="90"/>
      <c r="D197" s="90">
        <v>1000</v>
      </c>
      <c r="E197" s="90"/>
      <c r="F197" s="90"/>
      <c r="G197" s="90"/>
      <c r="H197" s="90"/>
      <c r="I197" s="90"/>
    </row>
    <row r="198" spans="1:9" x14ac:dyDescent="0.25">
      <c r="A198" s="91"/>
      <c r="B198" s="91"/>
      <c r="C198" s="90"/>
      <c r="D198" s="90"/>
      <c r="E198" s="90"/>
      <c r="F198" s="90"/>
      <c r="G198" s="90"/>
      <c r="H198" s="90"/>
      <c r="I198" s="90"/>
    </row>
    <row r="199" spans="1:9" ht="13.8" x14ac:dyDescent="0.3">
      <c r="A199" s="95" t="s">
        <v>555</v>
      </c>
      <c r="B199" s="91"/>
      <c r="C199" s="90"/>
      <c r="D199" s="90"/>
      <c r="E199" s="90">
        <f>6612.51+85623</f>
        <v>92235.51</v>
      </c>
      <c r="F199" s="90">
        <v>102582</v>
      </c>
      <c r="G199" s="90">
        <v>104582</v>
      </c>
      <c r="H199" s="90">
        <v>104582</v>
      </c>
      <c r="I199" s="90"/>
    </row>
    <row r="200" spans="1:9" x14ac:dyDescent="0.25">
      <c r="A200" s="91" t="s">
        <v>1627</v>
      </c>
      <c r="B200" s="91"/>
      <c r="C200" s="90"/>
      <c r="D200" s="90">
        <f>1206+14536</f>
        <v>15742</v>
      </c>
      <c r="E200" s="90"/>
      <c r="F200" s="90"/>
      <c r="G200" s="90"/>
      <c r="H200" s="90"/>
      <c r="I200" s="90"/>
    </row>
    <row r="201" spans="1:9" x14ac:dyDescent="0.25">
      <c r="A201" s="91" t="s">
        <v>1628</v>
      </c>
      <c r="B201" s="91"/>
      <c r="C201" s="90"/>
      <c r="D201" s="90">
        <v>4500</v>
      </c>
      <c r="E201" s="90"/>
      <c r="F201" s="90"/>
      <c r="G201" s="90"/>
      <c r="H201" s="90"/>
      <c r="I201" s="90"/>
    </row>
    <row r="202" spans="1:9" x14ac:dyDescent="0.25">
      <c r="A202" s="91" t="s">
        <v>1862</v>
      </c>
      <c r="B202" s="91"/>
      <c r="C202" s="90"/>
      <c r="D202" s="90">
        <v>2478</v>
      </c>
      <c r="E202" s="90"/>
      <c r="F202" s="90"/>
      <c r="G202" s="90"/>
      <c r="H202" s="90"/>
      <c r="I202" s="90"/>
    </row>
    <row r="203" spans="1:9" x14ac:dyDescent="0.25">
      <c r="A203" s="91" t="s">
        <v>1757</v>
      </c>
      <c r="B203" s="91"/>
      <c r="C203" s="90"/>
      <c r="D203" s="90">
        <v>1000</v>
      </c>
      <c r="E203" s="90"/>
      <c r="F203" s="90"/>
      <c r="G203" s="90"/>
      <c r="H203" s="90"/>
      <c r="I203" s="90"/>
    </row>
    <row r="204" spans="1:9" x14ac:dyDescent="0.25">
      <c r="A204" s="91" t="s">
        <v>253</v>
      </c>
      <c r="B204" s="91"/>
      <c r="C204" s="90"/>
      <c r="D204" s="90">
        <v>2000</v>
      </c>
      <c r="E204" s="90"/>
      <c r="F204" s="90"/>
      <c r="G204" s="90"/>
      <c r="H204" s="90"/>
      <c r="I204" s="90"/>
    </row>
    <row r="205" spans="1:9" x14ac:dyDescent="0.25">
      <c r="A205" s="91" t="s">
        <v>1629</v>
      </c>
      <c r="B205" s="91"/>
      <c r="C205" s="90"/>
      <c r="D205" s="90">
        <v>4000</v>
      </c>
      <c r="E205" s="90"/>
      <c r="F205" s="90"/>
      <c r="G205" s="90"/>
      <c r="H205" s="90"/>
      <c r="I205" s="90"/>
    </row>
    <row r="206" spans="1:9" x14ac:dyDescent="0.25">
      <c r="A206" s="91" t="s">
        <v>1946</v>
      </c>
      <c r="B206" s="91"/>
      <c r="C206" s="90"/>
      <c r="D206" s="90">
        <v>5650</v>
      </c>
      <c r="E206" s="90"/>
      <c r="F206" s="90"/>
      <c r="G206" s="90"/>
      <c r="H206" s="90"/>
      <c r="I206" s="90"/>
    </row>
    <row r="207" spans="1:9" x14ac:dyDescent="0.25">
      <c r="A207" s="91" t="s">
        <v>1630</v>
      </c>
      <c r="B207" s="91"/>
      <c r="C207" s="90"/>
      <c r="D207" s="90">
        <v>1532</v>
      </c>
      <c r="E207" s="90"/>
      <c r="F207" s="90"/>
      <c r="G207" s="90"/>
      <c r="H207" s="90"/>
      <c r="I207" s="90"/>
    </row>
    <row r="208" spans="1:9" x14ac:dyDescent="0.25">
      <c r="A208" s="91" t="s">
        <v>1631</v>
      </c>
      <c r="B208" s="91"/>
      <c r="C208" s="90"/>
      <c r="D208" s="90">
        <v>630</v>
      </c>
      <c r="E208" s="90"/>
      <c r="F208" s="90"/>
      <c r="G208" s="90"/>
      <c r="H208" s="90"/>
      <c r="I208" s="90"/>
    </row>
    <row r="209" spans="1:9" x14ac:dyDescent="0.25">
      <c r="A209" s="91" t="s">
        <v>1632</v>
      </c>
      <c r="B209" s="91"/>
      <c r="C209" s="90"/>
      <c r="D209" s="90">
        <v>370</v>
      </c>
      <c r="E209" s="90"/>
      <c r="F209" s="90"/>
      <c r="G209" s="90"/>
      <c r="H209" s="90"/>
      <c r="I209" s="90"/>
    </row>
    <row r="210" spans="1:9" x14ac:dyDescent="0.25">
      <c r="A210" s="91" t="s">
        <v>1633</v>
      </c>
      <c r="B210" s="91"/>
      <c r="C210" s="90"/>
      <c r="D210" s="90">
        <v>12021</v>
      </c>
      <c r="E210" s="90"/>
      <c r="F210" s="90"/>
      <c r="G210" s="90"/>
      <c r="H210" s="90"/>
      <c r="I210" s="90"/>
    </row>
    <row r="211" spans="1:9" x14ac:dyDescent="0.25">
      <c r="A211" s="91" t="s">
        <v>1863</v>
      </c>
      <c r="B211" s="91"/>
      <c r="C211" s="90"/>
      <c r="D211" s="90">
        <v>2979</v>
      </c>
      <c r="E211" s="90"/>
      <c r="F211" s="90"/>
      <c r="G211" s="90"/>
      <c r="H211" s="90"/>
      <c r="I211" s="90"/>
    </row>
    <row r="212" spans="1:9" x14ac:dyDescent="0.25">
      <c r="A212" s="91" t="s">
        <v>1634</v>
      </c>
      <c r="B212" s="91"/>
      <c r="C212" s="90"/>
      <c r="D212" s="90">
        <v>3200</v>
      </c>
      <c r="E212" s="90"/>
      <c r="F212" s="90"/>
      <c r="G212" s="90"/>
      <c r="H212" s="90"/>
      <c r="I212" s="90"/>
    </row>
    <row r="213" spans="1:9" x14ac:dyDescent="0.25">
      <c r="A213" s="91" t="s">
        <v>1635</v>
      </c>
      <c r="B213" s="91"/>
      <c r="C213" s="90"/>
      <c r="D213" s="90">
        <v>8000</v>
      </c>
      <c r="E213" s="90"/>
      <c r="F213" s="90"/>
      <c r="G213" s="90"/>
      <c r="H213" s="90"/>
      <c r="I213" s="90"/>
    </row>
    <row r="214" spans="1:9" x14ac:dyDescent="0.25">
      <c r="A214" s="91" t="s">
        <v>714</v>
      </c>
      <c r="B214" s="91"/>
      <c r="C214" s="90"/>
      <c r="D214" s="90">
        <v>7580</v>
      </c>
      <c r="E214" s="90"/>
      <c r="F214" s="90"/>
      <c r="G214" s="90"/>
      <c r="H214" s="90"/>
      <c r="I214" s="90"/>
    </row>
    <row r="215" spans="1:9" x14ac:dyDescent="0.25">
      <c r="A215" s="91" t="s">
        <v>1758</v>
      </c>
      <c r="B215" s="91"/>
      <c r="C215" s="90"/>
      <c r="D215" s="90">
        <v>5500</v>
      </c>
      <c r="E215" s="90"/>
      <c r="F215" s="90"/>
      <c r="G215" s="90"/>
      <c r="H215" s="90"/>
      <c r="I215" s="90"/>
    </row>
    <row r="216" spans="1:9" x14ac:dyDescent="0.25">
      <c r="A216" s="91" t="s">
        <v>1636</v>
      </c>
      <c r="B216" s="91"/>
      <c r="C216" s="90"/>
      <c r="D216" s="90">
        <v>5000</v>
      </c>
      <c r="E216" s="90"/>
      <c r="F216" s="90"/>
      <c r="G216" s="90"/>
      <c r="H216" s="90"/>
      <c r="I216" s="90"/>
    </row>
    <row r="217" spans="1:9" x14ac:dyDescent="0.25">
      <c r="A217" s="91" t="s">
        <v>1637</v>
      </c>
      <c r="B217" s="91"/>
      <c r="C217" s="90"/>
      <c r="D217" s="90">
        <v>1000</v>
      </c>
      <c r="E217" s="90"/>
      <c r="F217" s="90"/>
      <c r="G217" s="90"/>
      <c r="H217" s="90"/>
    </row>
    <row r="218" spans="1:9" x14ac:dyDescent="0.25">
      <c r="A218" s="90" t="s">
        <v>2098</v>
      </c>
      <c r="B218" s="91"/>
      <c r="C218" s="90"/>
      <c r="D218" s="90">
        <v>11000</v>
      </c>
      <c r="E218" s="90"/>
      <c r="I218" s="90"/>
    </row>
    <row r="219" spans="1:9" x14ac:dyDescent="0.25">
      <c r="A219" s="91" t="s">
        <v>1638</v>
      </c>
      <c r="B219" s="91"/>
      <c r="C219" s="90"/>
      <c r="D219" s="90">
        <v>2000</v>
      </c>
      <c r="E219" s="90"/>
      <c r="F219" s="90"/>
      <c r="G219" s="90"/>
      <c r="H219" s="90"/>
      <c r="I219" s="90"/>
    </row>
    <row r="220" spans="1:9" x14ac:dyDescent="0.25">
      <c r="A220" s="91" t="s">
        <v>2099</v>
      </c>
      <c r="B220" s="91"/>
      <c r="C220" s="90"/>
      <c r="D220" s="90">
        <v>3000</v>
      </c>
      <c r="E220" s="90"/>
      <c r="F220" s="90"/>
      <c r="G220" s="90"/>
      <c r="H220" s="90"/>
      <c r="I220" s="90"/>
    </row>
    <row r="221" spans="1:9" ht="15" x14ac:dyDescent="0.4">
      <c r="A221" s="91" t="s">
        <v>2100</v>
      </c>
      <c r="B221" s="91"/>
      <c r="C221" s="93"/>
      <c r="D221" s="93">
        <v>5400</v>
      </c>
      <c r="E221" s="90"/>
      <c r="F221" s="90"/>
      <c r="G221" s="90"/>
      <c r="H221" s="90"/>
      <c r="I221" s="90"/>
    </row>
    <row r="222" spans="1:9" x14ac:dyDescent="0.25">
      <c r="A222" s="91" t="s">
        <v>1484</v>
      </c>
      <c r="B222" s="91"/>
      <c r="C222" s="90"/>
      <c r="D222" s="90">
        <f>SUM(D200:D221)</f>
        <v>104582</v>
      </c>
      <c r="E222" s="90"/>
      <c r="F222" s="90"/>
      <c r="G222" s="90"/>
      <c r="H222" s="90"/>
      <c r="I222" s="90"/>
    </row>
    <row r="223" spans="1:9" x14ac:dyDescent="0.25">
      <c r="A223" s="91"/>
      <c r="B223" s="91"/>
      <c r="C223" s="90"/>
      <c r="D223" s="90"/>
      <c r="E223" s="90"/>
      <c r="F223" s="90"/>
      <c r="G223" s="90"/>
      <c r="H223" s="90"/>
      <c r="I223" s="90"/>
    </row>
    <row r="224" spans="1:9" ht="13.8" x14ac:dyDescent="0.3">
      <c r="A224" s="95" t="s">
        <v>254</v>
      </c>
      <c r="B224" s="91"/>
      <c r="C224" s="90"/>
      <c r="D224" s="90"/>
      <c r="E224" s="90"/>
      <c r="F224" s="90"/>
      <c r="G224" s="90"/>
      <c r="H224" s="90"/>
      <c r="I224" s="90"/>
    </row>
    <row r="225" spans="1:9" x14ac:dyDescent="0.25">
      <c r="A225" s="91" t="s">
        <v>132</v>
      </c>
      <c r="B225" s="91"/>
      <c r="C225" s="90"/>
      <c r="D225" s="90">
        <v>0</v>
      </c>
      <c r="E225" s="90"/>
      <c r="F225" s="90"/>
      <c r="G225" s="90"/>
      <c r="H225" s="90"/>
      <c r="I225" s="90"/>
    </row>
    <row r="226" spans="1:9" x14ac:dyDescent="0.25">
      <c r="A226" s="91"/>
      <c r="B226" s="91"/>
      <c r="C226" s="90"/>
      <c r="D226" s="90"/>
      <c r="E226" s="90"/>
      <c r="F226" s="90"/>
      <c r="G226" s="90"/>
      <c r="H226" s="90"/>
      <c r="I226" s="90"/>
    </row>
    <row r="227" spans="1:9" ht="13.8" x14ac:dyDescent="0.3">
      <c r="A227" s="95" t="s">
        <v>256</v>
      </c>
      <c r="B227" s="91"/>
      <c r="C227" s="90"/>
      <c r="D227" s="90"/>
      <c r="E227" s="90">
        <v>31898</v>
      </c>
      <c r="F227" s="90">
        <v>0</v>
      </c>
      <c r="G227" s="90"/>
      <c r="H227" s="90"/>
      <c r="I227" s="90"/>
    </row>
    <row r="228" spans="1:9" x14ac:dyDescent="0.25">
      <c r="A228" s="91" t="s">
        <v>133</v>
      </c>
      <c r="B228" s="91"/>
      <c r="C228" s="90"/>
      <c r="D228" s="90">
        <v>0</v>
      </c>
      <c r="E228" s="90"/>
      <c r="F228" s="90"/>
      <c r="G228" s="90"/>
      <c r="H228" s="90"/>
      <c r="I228" s="90"/>
    </row>
    <row r="229" spans="1:9" x14ac:dyDescent="0.25">
      <c r="A229" s="91"/>
      <c r="B229" s="91"/>
      <c r="C229" s="90"/>
      <c r="D229" s="90"/>
      <c r="E229" s="90"/>
      <c r="F229" s="90"/>
      <c r="G229" s="90"/>
      <c r="H229" s="90"/>
      <c r="I229" s="90"/>
    </row>
    <row r="230" spans="1:9" ht="13.8" x14ac:dyDescent="0.3">
      <c r="A230" s="95" t="s">
        <v>433</v>
      </c>
      <c r="B230" s="91"/>
      <c r="C230" s="90"/>
      <c r="D230" s="90"/>
      <c r="E230" s="90">
        <v>13376</v>
      </c>
      <c r="F230" s="90">
        <v>2710</v>
      </c>
      <c r="G230" s="90">
        <v>2710</v>
      </c>
      <c r="H230" s="90">
        <v>2710</v>
      </c>
      <c r="I230" s="90"/>
    </row>
    <row r="231" spans="1:9" x14ac:dyDescent="0.25">
      <c r="A231" s="91" t="s">
        <v>247</v>
      </c>
      <c r="B231" s="91"/>
      <c r="C231" s="90"/>
      <c r="D231" s="90">
        <v>2000</v>
      </c>
      <c r="E231" s="90"/>
      <c r="F231" s="90"/>
      <c r="G231" s="90"/>
      <c r="H231" s="90"/>
      <c r="I231" s="90"/>
    </row>
    <row r="232" spans="1:9" x14ac:dyDescent="0.25">
      <c r="A232" s="91" t="s">
        <v>807</v>
      </c>
      <c r="B232" s="91"/>
      <c r="C232" s="90"/>
      <c r="D232" s="90">
        <v>410</v>
      </c>
      <c r="E232" s="90"/>
      <c r="F232" s="90"/>
      <c r="G232" s="90"/>
      <c r="H232" s="90"/>
      <c r="I232" s="90"/>
    </row>
    <row r="233" spans="1:9" ht="15" x14ac:dyDescent="0.4">
      <c r="A233" s="91" t="s">
        <v>900</v>
      </c>
      <c r="B233" s="91"/>
      <c r="C233" s="93"/>
      <c r="D233" s="93">
        <v>300</v>
      </c>
      <c r="E233" s="90"/>
      <c r="F233" s="90"/>
      <c r="G233" s="90"/>
      <c r="H233" s="90"/>
      <c r="I233" s="90"/>
    </row>
    <row r="234" spans="1:9" x14ac:dyDescent="0.25">
      <c r="A234" s="91" t="s">
        <v>1182</v>
      </c>
      <c r="B234" s="91"/>
      <c r="C234" s="90"/>
      <c r="D234" s="90">
        <f>SUM(D231:D233)</f>
        <v>2710</v>
      </c>
      <c r="E234" s="90"/>
      <c r="F234" s="90"/>
      <c r="G234" s="90"/>
      <c r="H234" s="90"/>
      <c r="I234" s="90"/>
    </row>
    <row r="235" spans="1:9" x14ac:dyDescent="0.25">
      <c r="A235" s="91"/>
      <c r="B235" s="91"/>
      <c r="C235" s="90"/>
      <c r="D235" s="90"/>
      <c r="E235" s="90"/>
      <c r="F235" s="90"/>
      <c r="G235" s="90"/>
      <c r="H235" s="90"/>
      <c r="I235" s="90"/>
    </row>
    <row r="236" spans="1:9" ht="13.8" x14ac:dyDescent="0.3">
      <c r="A236" s="95" t="s">
        <v>1294</v>
      </c>
      <c r="B236" s="91"/>
      <c r="C236" s="90"/>
      <c r="D236" s="90"/>
      <c r="E236" s="90">
        <v>35000</v>
      </c>
      <c r="F236" s="90">
        <v>35000</v>
      </c>
      <c r="G236" s="90">
        <v>75000</v>
      </c>
      <c r="H236" s="90">
        <v>75000</v>
      </c>
      <c r="I236" s="90"/>
    </row>
    <row r="237" spans="1:9" ht="15" x14ac:dyDescent="0.4">
      <c r="A237" s="91" t="s">
        <v>50</v>
      </c>
      <c r="B237" s="91"/>
      <c r="C237" s="90"/>
      <c r="D237" s="90">
        <v>75000</v>
      </c>
      <c r="E237" s="90"/>
      <c r="F237" s="90"/>
      <c r="G237" s="90"/>
      <c r="H237" s="90"/>
      <c r="I237" s="11"/>
    </row>
    <row r="238" spans="1:9" x14ac:dyDescent="0.25">
      <c r="A238" s="91"/>
      <c r="B238" s="91"/>
      <c r="C238" s="90"/>
      <c r="D238" s="90"/>
      <c r="E238" s="90"/>
      <c r="F238" s="90"/>
      <c r="G238" s="90"/>
      <c r="H238" s="90"/>
      <c r="I238" s="90"/>
    </row>
    <row r="239" spans="1:9" ht="13.8" x14ac:dyDescent="0.3">
      <c r="A239" s="193" t="s">
        <v>1539</v>
      </c>
      <c r="B239" s="2" t="s">
        <v>1715</v>
      </c>
      <c r="C239" s="2" t="s">
        <v>1766</v>
      </c>
      <c r="D239" s="2" t="s">
        <v>1985</v>
      </c>
      <c r="I239" s="90"/>
    </row>
    <row r="240" spans="1:9" x14ac:dyDescent="0.25">
      <c r="A240" s="91" t="s">
        <v>1551</v>
      </c>
      <c r="C240" s="90">
        <v>0</v>
      </c>
      <c r="D240" s="90">
        <v>0</v>
      </c>
      <c r="E240" s="90"/>
      <c r="F240" s="90"/>
      <c r="G240" s="90"/>
      <c r="H240" s="90"/>
      <c r="I240" s="90"/>
    </row>
    <row r="241" spans="1:9" ht="15" x14ac:dyDescent="0.4">
      <c r="A241" s="91" t="s">
        <v>1759</v>
      </c>
      <c r="B241" s="93">
        <v>45000</v>
      </c>
      <c r="C241" s="93">
        <v>0</v>
      </c>
      <c r="D241" s="93">
        <v>0</v>
      </c>
      <c r="E241" s="11">
        <v>0</v>
      </c>
      <c r="F241" s="11">
        <v>0</v>
      </c>
      <c r="G241" s="11">
        <v>0</v>
      </c>
      <c r="H241" s="11">
        <v>0</v>
      </c>
      <c r="I241" s="90"/>
    </row>
    <row r="242" spans="1:9" x14ac:dyDescent="0.25">
      <c r="A242" s="91" t="s">
        <v>1182</v>
      </c>
      <c r="B242" s="90">
        <f>SUM(B240:B241)</f>
        <v>45000</v>
      </c>
      <c r="C242" s="90">
        <f>SUM(C240:C241)</f>
        <v>0</v>
      </c>
      <c r="D242" s="90">
        <f>SUM(D240:D241)</f>
        <v>0</v>
      </c>
      <c r="E242" s="90"/>
      <c r="F242" s="90"/>
      <c r="G242" s="90"/>
      <c r="H242" s="90"/>
      <c r="I242" s="90">
        <f>SUM(I6:I237)</f>
        <v>0</v>
      </c>
    </row>
    <row r="243" spans="1:9" x14ac:dyDescent="0.25">
      <c r="A243" s="91"/>
      <c r="B243" s="91"/>
      <c r="C243" s="90"/>
      <c r="D243" s="90"/>
      <c r="E243" s="90"/>
      <c r="F243" s="90"/>
      <c r="G243" s="90"/>
      <c r="H243" s="90"/>
      <c r="I243" s="90"/>
    </row>
    <row r="244" spans="1:9" ht="15" x14ac:dyDescent="0.4">
      <c r="A244" s="91" t="s">
        <v>909</v>
      </c>
      <c r="B244" s="91"/>
      <c r="C244" s="90"/>
      <c r="D244" s="90"/>
      <c r="E244" s="90">
        <f>SUM(E6:E241)</f>
        <v>1085237.6099999999</v>
      </c>
      <c r="F244" s="90">
        <f>SUM(F6:F241)</f>
        <v>1136588</v>
      </c>
      <c r="G244" s="90">
        <f>SUM(G6:G241)</f>
        <v>1188829</v>
      </c>
      <c r="H244" s="90">
        <f>SUM(H6:H241)</f>
        <v>1188808</v>
      </c>
      <c r="I244" s="93"/>
    </row>
    <row r="245" spans="1:9" x14ac:dyDescent="0.25">
      <c r="A245" s="61" t="s">
        <v>1291</v>
      </c>
      <c r="B245" s="91"/>
      <c r="C245" s="90"/>
      <c r="D245" s="90"/>
      <c r="E245" s="90">
        <v>8674</v>
      </c>
      <c r="F245" s="90">
        <v>3500</v>
      </c>
      <c r="G245" s="90">
        <v>3500</v>
      </c>
      <c r="H245" s="90">
        <v>3500</v>
      </c>
      <c r="I245" s="90"/>
    </row>
    <row r="246" spans="1:9" ht="15" x14ac:dyDescent="0.4">
      <c r="A246" s="91" t="s">
        <v>1707</v>
      </c>
      <c r="B246" s="91"/>
      <c r="C246" s="90"/>
      <c r="D246" s="90"/>
      <c r="E246" s="93"/>
      <c r="F246" s="93"/>
      <c r="G246" s="93"/>
      <c r="H246" s="93"/>
      <c r="I246" s="90"/>
    </row>
    <row r="247" spans="1:9" x14ac:dyDescent="0.25">
      <c r="A247" s="91"/>
      <c r="B247" s="91"/>
      <c r="C247" s="90"/>
      <c r="D247" s="90"/>
      <c r="E247" s="90"/>
      <c r="F247" s="90"/>
      <c r="G247" s="90"/>
      <c r="H247" s="90"/>
      <c r="I247" s="90">
        <f>+I242-I248+I244</f>
        <v>0</v>
      </c>
    </row>
    <row r="248" spans="1:9" x14ac:dyDescent="0.25">
      <c r="A248" s="91"/>
      <c r="B248" s="91"/>
      <c r="C248" s="90"/>
      <c r="D248" s="90"/>
      <c r="E248" s="90"/>
      <c r="F248" s="90"/>
      <c r="G248" s="90"/>
      <c r="H248" s="90"/>
      <c r="I248" s="90">
        <f>SUM(I243:I243)</f>
        <v>0</v>
      </c>
    </row>
    <row r="249" spans="1:9" x14ac:dyDescent="0.25">
      <c r="A249" s="91" t="s">
        <v>1290</v>
      </c>
      <c r="B249" s="91"/>
      <c r="C249" s="90"/>
      <c r="D249" s="90"/>
      <c r="E249" s="90">
        <f>+E244-E250+E246</f>
        <v>1076563.6099999999</v>
      </c>
      <c r="F249" s="90">
        <f>+F244-F250+F246</f>
        <v>1133088</v>
      </c>
      <c r="G249" s="90">
        <f>+G244-G250+G246</f>
        <v>1185329</v>
      </c>
      <c r="H249" s="90">
        <f>+H244-H250+H246</f>
        <v>1185308</v>
      </c>
      <c r="I249" s="91"/>
    </row>
    <row r="250" spans="1:9" x14ac:dyDescent="0.25">
      <c r="A250" s="91" t="s">
        <v>1291</v>
      </c>
      <c r="B250" s="91"/>
      <c r="C250" s="90"/>
      <c r="D250" s="90"/>
      <c r="E250" s="90">
        <f>SUM(E245:E245)</f>
        <v>8674</v>
      </c>
      <c r="F250" s="90">
        <f>SUM(F245:F245)</f>
        <v>3500</v>
      </c>
      <c r="G250" s="90">
        <f>SUM(G245:G245)</f>
        <v>3500</v>
      </c>
      <c r="H250" s="90">
        <f>SUM(H245:H245)</f>
        <v>3500</v>
      </c>
      <c r="I250" s="90">
        <f>SUM(I6:I93)+I244</f>
        <v>0</v>
      </c>
    </row>
    <row r="251" spans="1:9" x14ac:dyDescent="0.25">
      <c r="A251" s="91"/>
      <c r="B251" s="91"/>
      <c r="C251" s="91"/>
      <c r="D251" s="91"/>
      <c r="E251" s="91"/>
      <c r="F251" s="91"/>
      <c r="G251" s="90"/>
      <c r="H251" s="90"/>
      <c r="I251" s="90">
        <f>SUM(I95:I223)</f>
        <v>0</v>
      </c>
    </row>
    <row r="252" spans="1:9" ht="15" x14ac:dyDescent="0.4">
      <c r="A252" s="91" t="s">
        <v>571</v>
      </c>
      <c r="B252" s="91"/>
      <c r="C252" s="91"/>
      <c r="D252" s="91"/>
      <c r="E252" s="90">
        <f>SUM(E6:E96)+E246</f>
        <v>774298</v>
      </c>
      <c r="F252" s="90">
        <f>SUM(F6:F96)+F246</f>
        <v>868555</v>
      </c>
      <c r="G252" s="90">
        <f>SUM(G6:G96)+G246</f>
        <v>870644</v>
      </c>
      <c r="H252" s="90">
        <f>SUM(H6:H96)+H246</f>
        <v>870623</v>
      </c>
      <c r="I252" s="93">
        <f>SUM(I225:I237)</f>
        <v>0</v>
      </c>
    </row>
    <row r="253" spans="1:9" x14ac:dyDescent="0.25">
      <c r="A253" s="91" t="s">
        <v>895</v>
      </c>
      <c r="B253" s="91"/>
      <c r="C253" s="91"/>
      <c r="D253" s="91"/>
      <c r="E253" s="90">
        <f>SUM(E98:E225)</f>
        <v>230665.61</v>
      </c>
      <c r="F253" s="90">
        <f>SUM(F98:F225)</f>
        <v>230323</v>
      </c>
      <c r="G253" s="90">
        <f>SUM(G98:G225)</f>
        <v>240475</v>
      </c>
      <c r="H253" s="90">
        <f>SUM(H98:H225)</f>
        <v>240475</v>
      </c>
      <c r="I253" s="3">
        <f>SUM(I250:I252)</f>
        <v>0</v>
      </c>
    </row>
    <row r="254" spans="1:9" ht="15" x14ac:dyDescent="0.4">
      <c r="A254" s="91" t="s">
        <v>896</v>
      </c>
      <c r="B254" s="91"/>
      <c r="C254" s="91"/>
      <c r="D254" s="91"/>
      <c r="E254" s="93">
        <f>SUM(E227:E241)</f>
        <v>80274</v>
      </c>
      <c r="F254" s="93">
        <f>SUM(F227:F241)</f>
        <v>37710</v>
      </c>
      <c r="G254" s="93">
        <f>SUM(G227:G241)</f>
        <v>77710</v>
      </c>
      <c r="H254" s="93">
        <f>SUM(H227:H241)</f>
        <v>77710</v>
      </c>
      <c r="I254" s="61"/>
    </row>
    <row r="255" spans="1:9" x14ac:dyDescent="0.25">
      <c r="A255" s="61" t="s">
        <v>476</v>
      </c>
      <c r="B255" s="61"/>
      <c r="C255" s="61"/>
      <c r="D255" s="61"/>
      <c r="E255" s="3">
        <f>SUM(E252:E254)</f>
        <v>1085237.6099999999</v>
      </c>
      <c r="F255" s="3">
        <f>SUM(F252:F254)</f>
        <v>1136588</v>
      </c>
      <c r="G255" s="3">
        <f>SUM(G252:G254)</f>
        <v>1188829</v>
      </c>
      <c r="H255" s="3">
        <f>SUM(H252:H254)</f>
        <v>1188808</v>
      </c>
    </row>
    <row r="256" spans="1:9" x14ac:dyDescent="0.25">
      <c r="A256" s="61"/>
      <c r="B256" s="61"/>
      <c r="C256" s="61"/>
      <c r="D256" s="61"/>
    </row>
    <row r="257" spans="1:5" x14ac:dyDescent="0.25">
      <c r="A257" s="61"/>
      <c r="B257" s="61"/>
      <c r="C257" s="61"/>
      <c r="D257" s="61"/>
    </row>
    <row r="258" spans="1:5" x14ac:dyDescent="0.25">
      <c r="A258" s="61"/>
      <c r="B258" s="61"/>
      <c r="C258" s="61"/>
      <c r="D258" s="61"/>
    </row>
    <row r="259" spans="1:5" x14ac:dyDescent="0.25">
      <c r="A259" s="61"/>
      <c r="B259" s="61"/>
      <c r="C259" s="61"/>
      <c r="D259" s="61"/>
    </row>
    <row r="260" spans="1:5" x14ac:dyDescent="0.25">
      <c r="A260" s="61"/>
      <c r="B260" s="61"/>
      <c r="C260" s="61"/>
      <c r="D260" s="61"/>
    </row>
    <row r="261" spans="1:5" x14ac:dyDescent="0.25">
      <c r="A261" s="61"/>
      <c r="B261" s="61"/>
      <c r="C261" s="61"/>
      <c r="D261" s="61"/>
    </row>
    <row r="262" spans="1:5" x14ac:dyDescent="0.25">
      <c r="A262" s="61"/>
      <c r="B262" s="61"/>
      <c r="C262" s="61"/>
      <c r="D262" s="61"/>
    </row>
    <row r="263" spans="1:5" x14ac:dyDescent="0.25">
      <c r="A263" s="61"/>
      <c r="B263" s="61"/>
      <c r="C263" s="61"/>
      <c r="D263" s="61"/>
    </row>
    <row r="264" spans="1:5" x14ac:dyDescent="0.25">
      <c r="A264" s="61"/>
      <c r="B264" s="61"/>
      <c r="C264" s="61"/>
      <c r="D264" s="61"/>
    </row>
    <row r="265" spans="1:5" x14ac:dyDescent="0.25">
      <c r="A265" s="61"/>
      <c r="B265" s="61"/>
      <c r="C265" s="61"/>
      <c r="D265" s="61"/>
    </row>
    <row r="266" spans="1:5" x14ac:dyDescent="0.25">
      <c r="A266" s="61"/>
      <c r="B266" s="61"/>
      <c r="C266" s="61"/>
      <c r="D266" s="61"/>
    </row>
    <row r="267" spans="1:5" x14ac:dyDescent="0.25">
      <c r="A267" s="61"/>
      <c r="B267" s="61"/>
      <c r="C267" s="61"/>
      <c r="D267" s="61"/>
    </row>
    <row r="268" spans="1:5" x14ac:dyDescent="0.25">
      <c r="A268" s="61"/>
      <c r="B268" s="61"/>
      <c r="C268" s="61"/>
      <c r="D268" s="61"/>
      <c r="E268" s="61"/>
    </row>
    <row r="269" spans="1:5" x14ac:dyDescent="0.25">
      <c r="A269" s="61"/>
      <c r="B269" s="61"/>
      <c r="C269" s="61"/>
      <c r="D269" s="61"/>
      <c r="E269" s="61"/>
    </row>
    <row r="270" spans="1:5" x14ac:dyDescent="0.25">
      <c r="A270" s="61"/>
      <c r="B270" s="61"/>
      <c r="C270" s="61"/>
      <c r="D270" s="61"/>
      <c r="E270" s="61"/>
    </row>
    <row r="271" spans="1:5" x14ac:dyDescent="0.25">
      <c r="A271" s="61"/>
      <c r="B271" s="61"/>
      <c r="C271" s="61"/>
      <c r="D271" s="61"/>
      <c r="E271" s="61"/>
    </row>
    <row r="272" spans="1:5" ht="12.6" customHeight="1" x14ac:dyDescent="0.25">
      <c r="A272" s="61"/>
      <c r="B272" s="61"/>
      <c r="C272" s="61"/>
      <c r="D272" s="61"/>
      <c r="E272" s="61"/>
    </row>
  </sheetData>
  <mergeCells count="1">
    <mergeCell ref="A1:I1"/>
  </mergeCells>
  <phoneticPr fontId="0" type="noConversion"/>
  <printOptions gridLines="1"/>
  <pageMargins left="0.75" right="0.16" top="0.51" bottom="0.22" header="0.39" footer="0"/>
  <pageSetup scale="91" fitToHeight="11" orientation="landscape" r:id="rId1"/>
  <headerFooter alignWithMargins="0"/>
  <rowBreaks count="5" manualBreakCount="5">
    <brk id="46" max="7" man="1"/>
    <brk id="112" max="7" man="1"/>
    <brk id="145" max="7" man="1"/>
    <brk id="188" max="7" man="1"/>
    <brk id="229"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93"/>
  <sheetViews>
    <sheetView zoomScaleNormal="100" zoomScaleSheetLayoutView="100" workbookViewId="0">
      <selection sqref="A1:J1"/>
    </sheetView>
  </sheetViews>
  <sheetFormatPr defaultColWidth="8.88671875" defaultRowHeight="13.2" x14ac:dyDescent="0.25"/>
  <cols>
    <col min="1" max="1" width="48.33203125" style="7" bestFit="1" customWidth="1"/>
    <col min="2" max="2" width="9" style="7" bestFit="1" customWidth="1"/>
    <col min="3" max="3" width="10.109375" style="7" customWidth="1"/>
    <col min="4" max="4" width="10.33203125" style="7" customWidth="1"/>
    <col min="5" max="7" width="10.88671875" style="7" customWidth="1"/>
    <col min="8" max="8" width="14" style="7" bestFit="1" customWidth="1"/>
    <col min="9" max="10" width="10.88671875" style="7" customWidth="1"/>
    <col min="11" max="16384" width="8.88671875" style="7"/>
  </cols>
  <sheetData>
    <row r="1" spans="1:10" x14ac:dyDescent="0.25">
      <c r="A1" s="194" t="e">
        <f>#REF!</f>
        <v>#REF!</v>
      </c>
      <c r="B1" s="195"/>
      <c r="C1" s="195"/>
      <c r="D1" s="195"/>
      <c r="E1" s="195"/>
      <c r="F1" s="195"/>
      <c r="G1" s="195"/>
      <c r="H1" s="195"/>
      <c r="I1" s="195"/>
      <c r="J1" s="195"/>
    </row>
    <row r="2" spans="1:10" ht="17.399999999999999" x14ac:dyDescent="0.3">
      <c r="A2" s="153" t="s">
        <v>1959</v>
      </c>
      <c r="B2" s="153"/>
      <c r="C2" s="153"/>
      <c r="D2" s="153"/>
      <c r="E2" s="153"/>
      <c r="F2" s="153"/>
    </row>
    <row r="3" spans="1:10" x14ac:dyDescent="0.25">
      <c r="B3" s="2"/>
      <c r="C3" s="2"/>
      <c r="D3" s="2"/>
      <c r="E3" s="2"/>
      <c r="F3" s="2"/>
    </row>
    <row r="4" spans="1:10" x14ac:dyDescent="0.25">
      <c r="B4" s="2"/>
      <c r="C4" s="2"/>
      <c r="D4" s="2"/>
      <c r="E4" s="167" t="s">
        <v>232</v>
      </c>
      <c r="F4" s="167" t="s">
        <v>233</v>
      </c>
      <c r="G4" s="167" t="s">
        <v>69</v>
      </c>
      <c r="H4" s="167" t="s">
        <v>399</v>
      </c>
      <c r="I4" s="16" t="s">
        <v>303</v>
      </c>
      <c r="J4" s="16" t="s">
        <v>336</v>
      </c>
    </row>
    <row r="5" spans="1:10" ht="15" x14ac:dyDescent="0.4">
      <c r="B5" s="2"/>
      <c r="C5" s="2"/>
      <c r="D5" s="2"/>
      <c r="E5" s="164" t="s">
        <v>1715</v>
      </c>
      <c r="F5" s="164" t="s">
        <v>1766</v>
      </c>
      <c r="G5" s="164" t="s">
        <v>1985</v>
      </c>
      <c r="H5" s="164" t="s">
        <v>1985</v>
      </c>
      <c r="I5" s="164" t="s">
        <v>1985</v>
      </c>
      <c r="J5" s="164" t="s">
        <v>1985</v>
      </c>
    </row>
    <row r="6" spans="1:10" ht="13.8" x14ac:dyDescent="0.3">
      <c r="A6" s="177" t="s">
        <v>767</v>
      </c>
      <c r="B6" s="2"/>
      <c r="C6" s="2"/>
      <c r="D6" s="2"/>
      <c r="E6" s="2">
        <v>61489</v>
      </c>
      <c r="F6" s="2">
        <v>62116</v>
      </c>
      <c r="G6" s="2">
        <v>63971</v>
      </c>
      <c r="H6" s="2">
        <v>63971</v>
      </c>
      <c r="I6" s="2"/>
      <c r="J6" s="2"/>
    </row>
    <row r="7" spans="1:10" x14ac:dyDescent="0.25">
      <c r="A7" s="176" t="s">
        <v>768</v>
      </c>
      <c r="B7" s="2">
        <v>52</v>
      </c>
      <c r="C7" s="2">
        <v>1207</v>
      </c>
      <c r="D7" s="2">
        <f>ROUND(B7*C7,0)</f>
        <v>62764</v>
      </c>
      <c r="E7" s="2"/>
      <c r="F7" s="2"/>
      <c r="G7" s="2"/>
      <c r="H7" s="2"/>
      <c r="I7" s="2"/>
      <c r="J7" s="2"/>
    </row>
    <row r="8" spans="1:10" ht="15" x14ac:dyDescent="0.4">
      <c r="A8" s="176" t="s">
        <v>912</v>
      </c>
      <c r="B8" s="2"/>
      <c r="C8" s="2"/>
      <c r="D8" s="11">
        <f>+C7</f>
        <v>1207</v>
      </c>
      <c r="E8" s="2"/>
      <c r="F8" s="2"/>
      <c r="G8" s="2"/>
      <c r="H8" s="2"/>
      <c r="I8" s="2"/>
      <c r="J8" s="2"/>
    </row>
    <row r="9" spans="1:10" x14ac:dyDescent="0.25">
      <c r="A9" s="176" t="s">
        <v>1182</v>
      </c>
      <c r="B9" s="2"/>
      <c r="C9" s="2"/>
      <c r="D9" s="2">
        <f>SUM(D7:D8)</f>
        <v>63971</v>
      </c>
      <c r="E9" s="2"/>
      <c r="F9" s="2"/>
      <c r="G9" s="2"/>
      <c r="H9" s="2"/>
      <c r="I9" s="2"/>
      <c r="J9" s="2"/>
    </row>
    <row r="10" spans="1:10" x14ac:dyDescent="0.25">
      <c r="A10" s="176"/>
      <c r="B10" s="2"/>
      <c r="C10" s="2"/>
      <c r="D10" s="2"/>
      <c r="E10" s="2"/>
      <c r="F10" s="2"/>
      <c r="G10" s="2"/>
      <c r="H10" s="2"/>
      <c r="I10" s="2"/>
      <c r="J10" s="2"/>
    </row>
    <row r="11" spans="1:10" ht="13.8" x14ac:dyDescent="0.3">
      <c r="A11" s="177" t="s">
        <v>769</v>
      </c>
      <c r="B11" s="2"/>
      <c r="C11" s="2"/>
      <c r="D11" s="2"/>
      <c r="E11" s="2">
        <v>176255</v>
      </c>
      <c r="F11" s="2">
        <v>201745</v>
      </c>
      <c r="G11" s="2">
        <v>208921</v>
      </c>
      <c r="H11" s="2">
        <v>204761</v>
      </c>
      <c r="I11" s="2"/>
      <c r="J11" s="2"/>
    </row>
    <row r="12" spans="1:10" x14ac:dyDescent="0.25">
      <c r="A12" s="176" t="s">
        <v>1911</v>
      </c>
      <c r="B12" s="2">
        <v>52</v>
      </c>
      <c r="C12" s="176">
        <v>1072</v>
      </c>
      <c r="D12" s="2">
        <f>ROUND(B12*C12,0)</f>
        <v>55744</v>
      </c>
      <c r="E12" s="2"/>
      <c r="F12" s="2"/>
      <c r="G12" s="2"/>
      <c r="H12" s="2"/>
      <c r="I12" s="2"/>
      <c r="J12" s="2"/>
    </row>
    <row r="13" spans="1:10" x14ac:dyDescent="0.25">
      <c r="A13" s="176" t="s">
        <v>1911</v>
      </c>
      <c r="B13" s="2">
        <v>52</v>
      </c>
      <c r="C13" s="176">
        <v>991</v>
      </c>
      <c r="D13" s="2">
        <f>ROUND(B13*C13,0)</f>
        <v>51532</v>
      </c>
      <c r="E13" s="2"/>
      <c r="F13" s="2"/>
      <c r="G13" s="2"/>
      <c r="H13" s="2"/>
      <c r="I13" s="2"/>
      <c r="J13" s="2"/>
    </row>
    <row r="14" spans="1:10" x14ac:dyDescent="0.25">
      <c r="A14" s="176" t="s">
        <v>1911</v>
      </c>
      <c r="B14" s="2">
        <v>52</v>
      </c>
      <c r="C14" s="176">
        <v>1031</v>
      </c>
      <c r="D14" s="2">
        <f>ROUND(B14*C14,0)</f>
        <v>53612</v>
      </c>
      <c r="E14" s="2"/>
      <c r="F14" s="2"/>
      <c r="G14" s="2"/>
      <c r="H14" s="2"/>
      <c r="I14" s="2"/>
      <c r="J14" s="2"/>
    </row>
    <row r="15" spans="1:10" x14ac:dyDescent="0.25">
      <c r="A15" s="176" t="s">
        <v>1079</v>
      </c>
      <c r="B15" s="2">
        <v>52</v>
      </c>
      <c r="C15" s="176">
        <v>827</v>
      </c>
      <c r="D15" s="2">
        <f>ROUND(B15*C15,0)</f>
        <v>43004</v>
      </c>
      <c r="E15" s="2"/>
      <c r="F15" s="2"/>
      <c r="G15" s="2"/>
      <c r="H15" s="2"/>
      <c r="I15" s="2"/>
      <c r="J15" s="2"/>
    </row>
    <row r="16" spans="1:10" ht="15" x14ac:dyDescent="0.4">
      <c r="A16" s="176" t="s">
        <v>912</v>
      </c>
      <c r="B16" s="2"/>
      <c r="C16" s="2"/>
      <c r="D16" s="11">
        <v>869</v>
      </c>
      <c r="E16" s="2"/>
      <c r="F16" s="2"/>
      <c r="G16" s="2"/>
      <c r="H16" s="2"/>
      <c r="I16" s="2"/>
      <c r="J16" s="2"/>
    </row>
    <row r="17" spans="1:10" x14ac:dyDescent="0.25">
      <c r="A17" s="176" t="s">
        <v>1182</v>
      </c>
      <c r="B17" s="2"/>
      <c r="C17" s="2"/>
      <c r="D17" s="2">
        <f>SUM(D12:D16)</f>
        <v>204761</v>
      </c>
      <c r="E17" s="2"/>
      <c r="F17" s="2"/>
      <c r="G17" s="2"/>
      <c r="H17" s="2"/>
      <c r="I17" s="2"/>
      <c r="J17" s="2"/>
    </row>
    <row r="18" spans="1:10" x14ac:dyDescent="0.25">
      <c r="A18" s="176"/>
      <c r="B18" s="176"/>
      <c r="C18" s="176"/>
      <c r="D18" s="2"/>
      <c r="E18" s="2"/>
      <c r="F18" s="2"/>
      <c r="G18" s="2"/>
      <c r="H18" s="2"/>
      <c r="I18" s="2"/>
      <c r="J18" s="2"/>
    </row>
    <row r="19" spans="1:10" ht="13.8" x14ac:dyDescent="0.3">
      <c r="A19" s="177" t="s">
        <v>1262</v>
      </c>
      <c r="B19" s="176"/>
      <c r="C19" s="176"/>
      <c r="D19" s="2"/>
      <c r="E19" s="2">
        <v>4447</v>
      </c>
      <c r="F19" s="2">
        <v>3296</v>
      </c>
      <c r="G19" s="2">
        <v>3395</v>
      </c>
      <c r="H19" s="2">
        <v>3395</v>
      </c>
      <c r="I19" s="2"/>
      <c r="J19" s="2"/>
    </row>
    <row r="20" spans="1:10" x14ac:dyDescent="0.25">
      <c r="A20" s="176" t="s">
        <v>768</v>
      </c>
      <c r="B20" s="2">
        <v>75</v>
      </c>
      <c r="C20" s="12">
        <f>+C7/40*1.5</f>
        <v>45.262500000000003</v>
      </c>
      <c r="D20" s="2">
        <f>ROUND(B20*C20,0)</f>
        <v>3395</v>
      </c>
      <c r="E20" s="2"/>
      <c r="F20" s="2"/>
      <c r="G20" s="2"/>
      <c r="H20" s="2"/>
      <c r="I20" s="2"/>
      <c r="J20" s="2"/>
    </row>
    <row r="21" spans="1:10" x14ac:dyDescent="0.25">
      <c r="A21" s="176"/>
      <c r="B21" s="2"/>
      <c r="C21" s="12"/>
      <c r="D21" s="2"/>
      <c r="E21" s="2"/>
      <c r="F21" s="2"/>
      <c r="G21" s="2"/>
      <c r="H21" s="2"/>
      <c r="I21" s="2"/>
      <c r="J21" s="2"/>
    </row>
    <row r="22" spans="1:10" ht="13.8" x14ac:dyDescent="0.3">
      <c r="A22" s="177" t="s">
        <v>130</v>
      </c>
      <c r="B22" s="2"/>
      <c r="C22" s="12"/>
      <c r="D22" s="2"/>
      <c r="E22" s="2"/>
      <c r="F22" s="2"/>
      <c r="G22" s="2"/>
      <c r="H22" s="2"/>
      <c r="I22" s="2"/>
      <c r="J22" s="2"/>
    </row>
    <row r="23" spans="1:10" x14ac:dyDescent="0.25">
      <c r="A23" s="176"/>
      <c r="B23" s="2"/>
      <c r="C23" s="12"/>
      <c r="D23" s="2"/>
      <c r="E23" s="2"/>
      <c r="F23" s="2"/>
      <c r="G23" s="2"/>
      <c r="H23" s="2"/>
      <c r="I23" s="2"/>
      <c r="J23" s="2"/>
    </row>
    <row r="24" spans="1:10" ht="13.8" x14ac:dyDescent="0.3">
      <c r="A24" s="177" t="s">
        <v>1263</v>
      </c>
      <c r="B24" s="176"/>
      <c r="C24" s="176"/>
      <c r="D24" s="2"/>
      <c r="E24" s="2">
        <v>7251</v>
      </c>
      <c r="F24" s="2">
        <v>4527</v>
      </c>
      <c r="G24" s="2">
        <v>4689</v>
      </c>
      <c r="H24" s="2">
        <v>4689</v>
      </c>
      <c r="I24" s="2"/>
      <c r="J24" s="2"/>
    </row>
    <row r="25" spans="1:10" x14ac:dyDescent="0.25">
      <c r="A25" s="176" t="s">
        <v>1264</v>
      </c>
      <c r="B25" s="2">
        <v>125</v>
      </c>
      <c r="C25" s="12">
        <f>SUM(C12:C16)/40*1.5/4</f>
        <v>36.759375000000006</v>
      </c>
      <c r="D25" s="2">
        <f>ROUND(B25*C25,0)</f>
        <v>4595</v>
      </c>
      <c r="E25" s="2"/>
      <c r="F25" s="2"/>
      <c r="G25" s="2"/>
      <c r="H25" s="2"/>
      <c r="I25" s="2"/>
      <c r="J25" s="2"/>
    </row>
    <row r="26" spans="1:10" x14ac:dyDescent="0.25">
      <c r="A26" s="176"/>
      <c r="B26" s="2"/>
      <c r="C26" s="12"/>
      <c r="D26" s="2"/>
      <c r="E26" s="2"/>
      <c r="F26" s="2"/>
      <c r="G26" s="2"/>
      <c r="H26" s="2"/>
      <c r="I26" s="2"/>
      <c r="J26" s="2"/>
    </row>
    <row r="27" spans="1:10" ht="13.8" x14ac:dyDescent="0.3">
      <c r="A27" s="177" t="s">
        <v>1265</v>
      </c>
      <c r="B27" s="176"/>
      <c r="C27" s="176"/>
      <c r="D27" s="2"/>
      <c r="E27" s="2">
        <v>21067</v>
      </c>
      <c r="F27" s="2">
        <v>20783</v>
      </c>
      <c r="G27" s="2">
        <v>21495</v>
      </c>
      <c r="H27" s="2">
        <v>21170</v>
      </c>
      <c r="I27" s="2"/>
      <c r="J27" s="2"/>
    </row>
    <row r="28" spans="1:10" hidden="1" x14ac:dyDescent="0.25">
      <c r="A28" s="13" t="s">
        <v>1406</v>
      </c>
      <c r="B28" s="2">
        <f>+D9</f>
        <v>63971</v>
      </c>
      <c r="C28" s="14">
        <v>7.6499999999999999E-2</v>
      </c>
      <c r="D28" s="2">
        <f>ROUND(B28*C28,0)</f>
        <v>4894</v>
      </c>
      <c r="E28" s="2"/>
      <c r="F28" s="2"/>
      <c r="G28" s="2"/>
      <c r="H28" s="2"/>
      <c r="I28" s="2"/>
      <c r="J28" s="2"/>
    </row>
    <row r="29" spans="1:10" hidden="1" x14ac:dyDescent="0.25">
      <c r="A29" s="13" t="s">
        <v>757</v>
      </c>
      <c r="B29" s="2">
        <f>+D17</f>
        <v>204761</v>
      </c>
      <c r="C29" s="14">
        <v>7.6499999999999999E-2</v>
      </c>
      <c r="D29" s="2">
        <f>ROUND(B29*C29,0)</f>
        <v>15664</v>
      </c>
      <c r="E29" s="2"/>
      <c r="F29" s="2"/>
      <c r="G29" s="2"/>
      <c r="H29" s="2"/>
      <c r="I29" s="2"/>
      <c r="J29" s="2"/>
    </row>
    <row r="30" spans="1:10" hidden="1" x14ac:dyDescent="0.25">
      <c r="A30" s="13" t="s">
        <v>845</v>
      </c>
      <c r="B30" s="2">
        <f>+D20</f>
        <v>3395</v>
      </c>
      <c r="C30" s="14">
        <v>7.6499999999999999E-2</v>
      </c>
      <c r="D30" s="2">
        <f>ROUND(B30*C30,0)</f>
        <v>260</v>
      </c>
      <c r="E30" s="2"/>
      <c r="F30" s="2"/>
      <c r="G30" s="2"/>
      <c r="H30" s="2"/>
      <c r="I30" s="2"/>
      <c r="J30" s="2"/>
    </row>
    <row r="31" spans="1:10" ht="15" hidden="1" x14ac:dyDescent="0.4">
      <c r="A31" s="13" t="s">
        <v>184</v>
      </c>
      <c r="B31" s="2">
        <f>+D25</f>
        <v>4595</v>
      </c>
      <c r="C31" s="14">
        <v>7.6499999999999999E-2</v>
      </c>
      <c r="D31" s="11">
        <f>ROUND(B31*C31,0)</f>
        <v>352</v>
      </c>
      <c r="E31" s="2"/>
      <c r="F31" s="2"/>
      <c r="G31" s="2"/>
      <c r="H31" s="2"/>
      <c r="I31" s="2"/>
      <c r="J31" s="2"/>
    </row>
    <row r="32" spans="1:10" hidden="1" x14ac:dyDescent="0.25">
      <c r="A32" s="176" t="s">
        <v>1182</v>
      </c>
      <c r="B32" s="176"/>
      <c r="C32" s="176"/>
      <c r="D32" s="2">
        <f>SUM(D28:D31)</f>
        <v>21170</v>
      </c>
      <c r="E32" s="2"/>
      <c r="F32" s="2"/>
      <c r="G32" s="2"/>
      <c r="H32" s="2"/>
      <c r="I32" s="2"/>
      <c r="J32" s="2"/>
    </row>
    <row r="33" spans="1:10" x14ac:dyDescent="0.25">
      <c r="A33" s="176"/>
      <c r="B33" s="176"/>
      <c r="C33" s="176"/>
      <c r="D33" s="2"/>
      <c r="E33" s="2"/>
      <c r="F33" s="2"/>
      <c r="G33" s="2"/>
      <c r="H33" s="2"/>
      <c r="I33" s="2"/>
      <c r="J33" s="2"/>
    </row>
    <row r="34" spans="1:10" x14ac:dyDescent="0.25">
      <c r="A34" s="176"/>
      <c r="B34" s="176"/>
      <c r="C34" s="176"/>
      <c r="D34" s="2"/>
      <c r="E34" s="2"/>
      <c r="F34" s="2"/>
      <c r="G34" s="2"/>
      <c r="H34" s="2"/>
      <c r="I34" s="2"/>
      <c r="J34" s="2"/>
    </row>
    <row r="35" spans="1:10" ht="13.8" x14ac:dyDescent="0.3">
      <c r="A35" s="177" t="s">
        <v>1266</v>
      </c>
      <c r="B35" s="176"/>
      <c r="C35" s="176"/>
      <c r="D35" s="2"/>
      <c r="E35" s="2">
        <v>29828</v>
      </c>
      <c r="F35" s="2">
        <v>33009</v>
      </c>
      <c r="G35" s="2">
        <v>31491</v>
      </c>
      <c r="H35" s="2">
        <v>31491</v>
      </c>
      <c r="I35" s="2"/>
      <c r="J35" s="2"/>
    </row>
    <row r="36" spans="1:10" hidden="1" x14ac:dyDescent="0.25">
      <c r="A36" s="13" t="s">
        <v>1406</v>
      </c>
      <c r="B36" s="2">
        <f>+D9</f>
        <v>63971</v>
      </c>
      <c r="C36" s="32">
        <v>0.1138</v>
      </c>
      <c r="D36" s="2">
        <f>ROUND(B36*C36,0)</f>
        <v>7280</v>
      </c>
      <c r="E36" s="2"/>
      <c r="F36" s="2"/>
      <c r="G36" s="2"/>
      <c r="H36" s="2"/>
      <c r="I36" s="2"/>
      <c r="J36" s="2"/>
    </row>
    <row r="37" spans="1:10" hidden="1" x14ac:dyDescent="0.25">
      <c r="A37" s="13" t="s">
        <v>757</v>
      </c>
      <c r="B37" s="2">
        <f>+D17</f>
        <v>204761</v>
      </c>
      <c r="C37" s="32">
        <v>0.1138</v>
      </c>
      <c r="D37" s="2">
        <f>ROUND(B37*C37,0)</f>
        <v>23302</v>
      </c>
      <c r="E37" s="2"/>
      <c r="F37" s="2"/>
      <c r="G37" s="2"/>
      <c r="H37" s="2"/>
      <c r="I37" s="2"/>
      <c r="J37" s="2"/>
    </row>
    <row r="38" spans="1:10" hidden="1" x14ac:dyDescent="0.25">
      <c r="A38" s="13" t="s">
        <v>845</v>
      </c>
      <c r="B38" s="2">
        <f>+D20</f>
        <v>3395</v>
      </c>
      <c r="C38" s="32">
        <v>0.1138</v>
      </c>
      <c r="D38" s="2">
        <f>ROUND(B38*C38,0)</f>
        <v>386</v>
      </c>
      <c r="E38" s="2"/>
      <c r="F38" s="2"/>
      <c r="G38" s="2"/>
      <c r="H38" s="2"/>
      <c r="I38" s="2"/>
      <c r="J38" s="2"/>
    </row>
    <row r="39" spans="1:10" ht="15" hidden="1" x14ac:dyDescent="0.4">
      <c r="A39" s="13" t="s">
        <v>184</v>
      </c>
      <c r="B39" s="2">
        <f>+B31</f>
        <v>4595</v>
      </c>
      <c r="C39" s="32">
        <v>0.1138</v>
      </c>
      <c r="D39" s="11">
        <f>ROUND(B39*C39,0)</f>
        <v>523</v>
      </c>
      <c r="E39" s="2"/>
      <c r="F39" s="2"/>
      <c r="G39" s="2"/>
      <c r="H39" s="2"/>
      <c r="I39" s="2"/>
      <c r="J39" s="2"/>
    </row>
    <row r="40" spans="1:10" hidden="1" x14ac:dyDescent="0.25">
      <c r="A40" s="176" t="s">
        <v>1182</v>
      </c>
      <c r="B40" s="2"/>
      <c r="C40" s="14"/>
      <c r="D40" s="2">
        <f>SUM(D36:D39)</f>
        <v>31491</v>
      </c>
      <c r="E40" s="2"/>
      <c r="F40" s="2"/>
      <c r="G40" s="2"/>
      <c r="H40" s="2"/>
      <c r="I40" s="2"/>
      <c r="J40" s="2"/>
    </row>
    <row r="41" spans="1:10" x14ac:dyDescent="0.25">
      <c r="A41" s="176"/>
      <c r="B41" s="176"/>
      <c r="C41" s="176"/>
      <c r="D41" s="2"/>
      <c r="E41" s="2"/>
      <c r="F41" s="2"/>
      <c r="G41" s="2"/>
      <c r="H41" s="2"/>
      <c r="I41" s="2"/>
      <c r="J41" s="2"/>
    </row>
    <row r="42" spans="1:10" ht="13.8" x14ac:dyDescent="0.3">
      <c r="A42" s="177" t="s">
        <v>850</v>
      </c>
      <c r="B42" s="176"/>
      <c r="C42" s="176"/>
      <c r="D42" s="2"/>
      <c r="E42" s="2">
        <v>65898</v>
      </c>
      <c r="F42" s="2">
        <v>86250</v>
      </c>
      <c r="G42" s="2">
        <v>91500</v>
      </c>
      <c r="H42" s="2">
        <v>91500</v>
      </c>
      <c r="I42" s="2"/>
      <c r="J42" s="2"/>
    </row>
    <row r="43" spans="1:10" x14ac:dyDescent="0.25">
      <c r="A43" s="176" t="s">
        <v>406</v>
      </c>
      <c r="B43" s="2">
        <v>4</v>
      </c>
      <c r="C43" s="2">
        <v>18300</v>
      </c>
      <c r="D43" s="2">
        <f>ROUND(B43*C43,0)</f>
        <v>73200</v>
      </c>
      <c r="E43" s="2"/>
      <c r="F43" s="2"/>
      <c r="G43" s="2"/>
      <c r="H43" s="2"/>
      <c r="I43" s="2"/>
      <c r="J43" s="2"/>
    </row>
    <row r="44" spans="1:10" ht="15" x14ac:dyDescent="0.4">
      <c r="A44" s="176" t="s">
        <v>338</v>
      </c>
      <c r="B44" s="2">
        <v>1</v>
      </c>
      <c r="C44" s="2">
        <v>18300</v>
      </c>
      <c r="D44" s="11">
        <f>ROUND(B44*C44,0)</f>
        <v>18300</v>
      </c>
      <c r="E44" s="2"/>
      <c r="F44" s="2"/>
      <c r="G44" s="2"/>
      <c r="H44" s="2"/>
      <c r="I44" s="2"/>
      <c r="J44" s="2"/>
    </row>
    <row r="45" spans="1:10" x14ac:dyDescent="0.25">
      <c r="A45" s="176" t="s">
        <v>751</v>
      </c>
      <c r="B45" s="2"/>
      <c r="C45" s="2"/>
      <c r="D45" s="2">
        <f>SUM(D43:D44)</f>
        <v>91500</v>
      </c>
      <c r="E45" s="2"/>
      <c r="F45" s="2"/>
      <c r="G45" s="2"/>
      <c r="H45" s="2"/>
      <c r="I45" s="2"/>
      <c r="J45" s="2"/>
    </row>
    <row r="46" spans="1:10" x14ac:dyDescent="0.25">
      <c r="A46" s="176"/>
      <c r="B46" s="176"/>
      <c r="C46" s="176"/>
      <c r="D46" s="2"/>
      <c r="E46" s="2"/>
      <c r="F46" s="2"/>
      <c r="G46" s="2"/>
      <c r="H46" s="2"/>
      <c r="I46" s="2"/>
      <c r="J46" s="2"/>
    </row>
    <row r="47" spans="1:10" ht="13.8" x14ac:dyDescent="0.3">
      <c r="A47" s="177" t="s">
        <v>851</v>
      </c>
      <c r="B47" s="176"/>
      <c r="C47" s="176"/>
      <c r="D47" s="2"/>
      <c r="E47" s="2">
        <v>4748</v>
      </c>
      <c r="F47" s="2">
        <v>5850</v>
      </c>
      <c r="G47" s="2">
        <v>5850</v>
      </c>
      <c r="H47" s="2">
        <v>5850</v>
      </c>
      <c r="I47" s="2"/>
      <c r="J47" s="2"/>
    </row>
    <row r="48" spans="1:10" x14ac:dyDescent="0.25">
      <c r="A48" s="176" t="s">
        <v>406</v>
      </c>
      <c r="B48" s="2">
        <v>5</v>
      </c>
      <c r="C48" s="2">
        <v>1300</v>
      </c>
      <c r="D48" s="2">
        <f>ROUND(B48*C48,0)</f>
        <v>6500</v>
      </c>
      <c r="E48" s="2"/>
      <c r="F48" s="2"/>
      <c r="G48" s="2"/>
      <c r="H48" s="2"/>
      <c r="I48" s="2"/>
      <c r="J48" s="2"/>
    </row>
    <row r="49" spans="1:10" ht="15" x14ac:dyDescent="0.4">
      <c r="A49" s="176" t="s">
        <v>1713</v>
      </c>
      <c r="B49" s="2"/>
      <c r="C49" s="2"/>
      <c r="D49" s="11">
        <f>+D48*-0.1</f>
        <v>-650</v>
      </c>
      <c r="E49" s="2"/>
      <c r="F49" s="2"/>
      <c r="G49" s="2"/>
      <c r="H49" s="2"/>
      <c r="I49" s="2"/>
      <c r="J49" s="2"/>
    </row>
    <row r="50" spans="1:10" x14ac:dyDescent="0.25">
      <c r="A50" s="25"/>
      <c r="B50" s="26"/>
      <c r="C50" s="26"/>
      <c r="D50" s="26">
        <f>SUM(D48:D49)</f>
        <v>5850</v>
      </c>
      <c r="E50" s="2"/>
      <c r="F50" s="2"/>
      <c r="G50" s="2"/>
      <c r="H50" s="2"/>
      <c r="I50" s="2"/>
      <c r="J50" s="2"/>
    </row>
    <row r="51" spans="1:10" x14ac:dyDescent="0.25">
      <c r="A51" s="176"/>
      <c r="B51" s="176"/>
      <c r="C51" s="176"/>
      <c r="D51" s="2"/>
      <c r="E51" s="2"/>
      <c r="F51" s="2"/>
      <c r="G51" s="2"/>
      <c r="H51" s="2"/>
      <c r="I51" s="2"/>
      <c r="J51" s="2"/>
    </row>
    <row r="52" spans="1:10" ht="13.8" x14ac:dyDescent="0.3">
      <c r="A52" s="177" t="s">
        <v>852</v>
      </c>
      <c r="B52" s="176"/>
      <c r="C52" s="176"/>
      <c r="D52" s="2"/>
      <c r="E52" s="2">
        <v>217</v>
      </c>
      <c r="F52" s="2">
        <v>275</v>
      </c>
      <c r="G52" s="2">
        <v>275</v>
      </c>
      <c r="H52" s="2">
        <v>275</v>
      </c>
      <c r="I52" s="2"/>
      <c r="J52" s="2"/>
    </row>
    <row r="53" spans="1:10" hidden="1" x14ac:dyDescent="0.25">
      <c r="A53" s="176" t="s">
        <v>339</v>
      </c>
      <c r="B53" s="2">
        <v>1</v>
      </c>
      <c r="C53" s="2">
        <v>135</v>
      </c>
      <c r="D53" s="2">
        <f>ROUND(B53*C53,0)</f>
        <v>135</v>
      </c>
      <c r="E53" s="2"/>
      <c r="F53" s="2"/>
      <c r="G53" s="2"/>
      <c r="H53" s="2"/>
      <c r="I53" s="2"/>
      <c r="J53" s="2"/>
    </row>
    <row r="54" spans="1:10" ht="15" hidden="1" x14ac:dyDescent="0.4">
      <c r="A54" s="176" t="s">
        <v>997</v>
      </c>
      <c r="B54" s="2">
        <v>4</v>
      </c>
      <c r="C54" s="2">
        <v>35</v>
      </c>
      <c r="D54" s="11">
        <f>ROUND(B54*C54,0)</f>
        <v>140</v>
      </c>
      <c r="E54" s="2"/>
      <c r="F54" s="2"/>
      <c r="G54" s="2"/>
      <c r="H54" s="2"/>
      <c r="I54" s="2"/>
      <c r="J54" s="2"/>
    </row>
    <row r="55" spans="1:10" hidden="1" x14ac:dyDescent="0.25">
      <c r="A55" s="176" t="s">
        <v>1182</v>
      </c>
      <c r="B55" s="176"/>
      <c r="C55" s="176"/>
      <c r="D55" s="2">
        <f>SUM(D53:D54)</f>
        <v>275</v>
      </c>
      <c r="E55" s="2"/>
      <c r="F55" s="2"/>
      <c r="G55" s="2"/>
      <c r="H55" s="2"/>
      <c r="I55" s="2"/>
      <c r="J55" s="2"/>
    </row>
    <row r="56" spans="1:10" x14ac:dyDescent="0.25">
      <c r="A56" s="176"/>
      <c r="B56" s="176"/>
      <c r="C56" s="176"/>
      <c r="D56" s="2"/>
      <c r="E56" s="2"/>
      <c r="F56" s="2"/>
      <c r="G56" s="2"/>
      <c r="H56" s="2"/>
      <c r="I56" s="2"/>
      <c r="J56" s="2"/>
    </row>
    <row r="57" spans="1:10" ht="13.8" x14ac:dyDescent="0.3">
      <c r="A57" s="177" t="s">
        <v>1403</v>
      </c>
      <c r="B57" s="176"/>
      <c r="C57" s="176"/>
      <c r="D57" s="2"/>
      <c r="E57" s="2">
        <v>1524</v>
      </c>
      <c r="F57" s="2">
        <v>2050</v>
      </c>
      <c r="G57" s="2">
        <v>3150</v>
      </c>
      <c r="H57" s="2">
        <v>3150</v>
      </c>
      <c r="I57" s="2"/>
      <c r="J57" s="2"/>
    </row>
    <row r="58" spans="1:10" hidden="1" x14ac:dyDescent="0.25">
      <c r="A58" s="176" t="s">
        <v>776</v>
      </c>
      <c r="B58" s="2">
        <v>5</v>
      </c>
      <c r="C58" s="2">
        <v>630</v>
      </c>
      <c r="D58" s="2">
        <f>ROUND(B58*C58,0)</f>
        <v>3150</v>
      </c>
      <c r="E58" s="2"/>
      <c r="F58" s="2"/>
      <c r="G58" s="2"/>
      <c r="H58" s="2"/>
      <c r="I58" s="2"/>
      <c r="J58" s="2"/>
    </row>
    <row r="59" spans="1:10" x14ac:dyDescent="0.25">
      <c r="A59" s="176"/>
      <c r="B59" s="176"/>
      <c r="C59" s="176"/>
      <c r="D59" s="2"/>
      <c r="E59" s="2"/>
      <c r="F59" s="2"/>
      <c r="G59" s="2"/>
      <c r="H59" s="2"/>
      <c r="I59" s="2"/>
      <c r="J59" s="2"/>
    </row>
    <row r="60" spans="1:10" ht="13.8" x14ac:dyDescent="0.3">
      <c r="A60" s="177" t="s">
        <v>1404</v>
      </c>
      <c r="B60" s="176"/>
      <c r="C60" s="176"/>
      <c r="D60" s="2"/>
      <c r="E60" s="2">
        <v>5014</v>
      </c>
      <c r="F60" s="2">
        <v>5866</v>
      </c>
      <c r="G60" s="2">
        <v>6595</v>
      </c>
      <c r="H60" s="2">
        <v>6420</v>
      </c>
      <c r="I60" s="2"/>
      <c r="J60" s="2"/>
    </row>
    <row r="61" spans="1:10" hidden="1" x14ac:dyDescent="0.25">
      <c r="A61" s="13" t="s">
        <v>1406</v>
      </c>
      <c r="B61" s="2">
        <f>+D9</f>
        <v>63971</v>
      </c>
      <c r="C61" s="14">
        <v>2.3199999999999998E-2</v>
      </c>
      <c r="D61" s="2">
        <f>ROUND(B61*C61,0)</f>
        <v>1484</v>
      </c>
      <c r="E61" s="2"/>
      <c r="F61" s="2"/>
      <c r="G61" s="2"/>
      <c r="H61" s="2"/>
      <c r="I61" s="2"/>
      <c r="J61" s="2"/>
    </row>
    <row r="62" spans="1:10" hidden="1" x14ac:dyDescent="0.25">
      <c r="A62" s="13" t="s">
        <v>757</v>
      </c>
      <c r="B62" s="2">
        <f>+D17</f>
        <v>204761</v>
      </c>
      <c r="C62" s="14">
        <v>2.3199999999999998E-2</v>
      </c>
      <c r="D62" s="2">
        <f>ROUND(B62*C62,0)</f>
        <v>4750</v>
      </c>
      <c r="E62" s="2"/>
      <c r="F62" s="2"/>
      <c r="G62" s="2"/>
      <c r="H62" s="2"/>
      <c r="I62" s="2"/>
      <c r="J62" s="2"/>
    </row>
    <row r="63" spans="1:10" hidden="1" x14ac:dyDescent="0.25">
      <c r="A63" s="13" t="s">
        <v>1997</v>
      </c>
      <c r="B63" s="2">
        <f>ROUND(D20,0)</f>
        <v>3395</v>
      </c>
      <c r="C63" s="14">
        <v>2.3199999999999998E-2</v>
      </c>
      <c r="D63" s="2">
        <f>ROUND(B63*C63,0)</f>
        <v>79</v>
      </c>
      <c r="E63" s="2"/>
      <c r="F63" s="2"/>
      <c r="G63" s="2"/>
      <c r="H63" s="2"/>
      <c r="I63" s="2"/>
      <c r="J63" s="2"/>
    </row>
    <row r="64" spans="1:10" ht="15" hidden="1" x14ac:dyDescent="0.4">
      <c r="A64" s="13" t="s">
        <v>1998</v>
      </c>
      <c r="B64" s="2">
        <f>ROUND(D25,0)</f>
        <v>4595</v>
      </c>
      <c r="C64" s="14">
        <v>2.3199999999999998E-2</v>
      </c>
      <c r="D64" s="11">
        <f>ROUND(B64*C64,0)</f>
        <v>107</v>
      </c>
      <c r="E64" s="2"/>
      <c r="F64" s="2"/>
      <c r="G64" s="2"/>
      <c r="H64" s="2"/>
      <c r="I64" s="2"/>
      <c r="J64" s="2"/>
    </row>
    <row r="65" spans="1:10" hidden="1" x14ac:dyDescent="0.25">
      <c r="A65" s="176" t="s">
        <v>1182</v>
      </c>
      <c r="B65" s="176"/>
      <c r="C65" s="176"/>
      <c r="D65" s="2">
        <f>SUM(D61:D64)</f>
        <v>6420</v>
      </c>
      <c r="E65" s="2"/>
      <c r="F65" s="2"/>
      <c r="G65" s="2"/>
      <c r="H65" s="2"/>
      <c r="I65" s="2"/>
      <c r="J65" s="2"/>
    </row>
    <row r="66" spans="1:10" x14ac:dyDescent="0.25">
      <c r="A66" s="176"/>
      <c r="B66" s="176"/>
      <c r="C66" s="176"/>
      <c r="D66" s="2"/>
      <c r="E66" s="2"/>
      <c r="F66" s="2"/>
      <c r="G66" s="2"/>
      <c r="H66" s="2"/>
      <c r="I66" s="2"/>
      <c r="J66" s="2"/>
    </row>
    <row r="67" spans="1:10" ht="13.8" x14ac:dyDescent="0.3">
      <c r="A67" s="177" t="s">
        <v>465</v>
      </c>
      <c r="B67" s="176"/>
      <c r="C67" s="176"/>
      <c r="D67" s="2"/>
      <c r="E67" s="2">
        <v>140</v>
      </c>
      <c r="F67" s="2">
        <v>240</v>
      </c>
      <c r="G67" s="2">
        <v>175</v>
      </c>
      <c r="H67" s="2">
        <v>130</v>
      </c>
      <c r="I67" s="2"/>
      <c r="J67" s="2"/>
    </row>
    <row r="68" spans="1:10" hidden="1" x14ac:dyDescent="0.25">
      <c r="A68" s="13" t="s">
        <v>1406</v>
      </c>
      <c r="B68" s="2">
        <v>1</v>
      </c>
      <c r="C68" s="2">
        <v>26</v>
      </c>
      <c r="D68" s="2">
        <f>ROUND(B68*C68,0)</f>
        <v>26</v>
      </c>
      <c r="E68" s="2"/>
      <c r="F68" s="2"/>
      <c r="G68" s="2"/>
      <c r="H68" s="2"/>
      <c r="I68" s="2"/>
      <c r="J68" s="2"/>
    </row>
    <row r="69" spans="1:10" ht="15" hidden="1" x14ac:dyDescent="0.4">
      <c r="A69" s="13" t="s">
        <v>757</v>
      </c>
      <c r="B69" s="2">
        <v>4</v>
      </c>
      <c r="C69" s="2">
        <v>26</v>
      </c>
      <c r="D69" s="11">
        <f>ROUND(B69*C69,0)</f>
        <v>104</v>
      </c>
      <c r="E69" s="2"/>
      <c r="F69" s="2"/>
      <c r="G69" s="2"/>
      <c r="H69" s="2"/>
      <c r="I69" s="2"/>
      <c r="J69" s="2"/>
    </row>
    <row r="70" spans="1:10" hidden="1" x14ac:dyDescent="0.25">
      <c r="A70" s="176" t="s">
        <v>1182</v>
      </c>
      <c r="B70" s="176"/>
      <c r="C70" s="176"/>
      <c r="D70" s="2">
        <f>SUM(D68:D69)</f>
        <v>130</v>
      </c>
      <c r="E70" s="2"/>
      <c r="F70" s="2"/>
      <c r="G70" s="2"/>
      <c r="H70" s="2"/>
      <c r="I70" s="2"/>
      <c r="J70" s="2"/>
    </row>
    <row r="71" spans="1:10" x14ac:dyDescent="0.25">
      <c r="A71" s="176"/>
      <c r="B71" s="176"/>
      <c r="C71" s="176"/>
      <c r="D71" s="2"/>
      <c r="E71" s="2"/>
      <c r="F71" s="2"/>
      <c r="G71" s="2"/>
      <c r="H71" s="2"/>
      <c r="I71" s="2"/>
      <c r="J71" s="2"/>
    </row>
    <row r="72" spans="1:10" ht="13.8" x14ac:dyDescent="0.3">
      <c r="A72" s="177" t="s">
        <v>236</v>
      </c>
      <c r="B72" s="176"/>
      <c r="C72" s="2"/>
      <c r="D72" s="2"/>
      <c r="E72" s="2"/>
      <c r="F72" s="2">
        <v>0</v>
      </c>
      <c r="G72" s="2">
        <v>0</v>
      </c>
      <c r="H72" s="2">
        <v>0</v>
      </c>
      <c r="I72" s="2"/>
      <c r="J72" s="2"/>
    </row>
    <row r="73" spans="1:10" x14ac:dyDescent="0.25">
      <c r="A73" s="176" t="s">
        <v>1644</v>
      </c>
      <c r="B73" s="176"/>
      <c r="C73" s="2"/>
      <c r="D73" s="2">
        <v>0</v>
      </c>
      <c r="E73" s="2"/>
      <c r="F73" s="2"/>
      <c r="G73" s="2"/>
      <c r="H73" s="2"/>
      <c r="I73" s="2"/>
      <c r="J73" s="2"/>
    </row>
    <row r="74" spans="1:10" x14ac:dyDescent="0.25">
      <c r="A74" s="176"/>
      <c r="B74" s="176"/>
      <c r="C74" s="2"/>
      <c r="D74" s="2"/>
      <c r="E74" s="2"/>
      <c r="F74" s="2"/>
      <c r="G74" s="2"/>
      <c r="H74" s="2"/>
      <c r="I74" s="2"/>
      <c r="J74" s="2"/>
    </row>
    <row r="75" spans="1:10" ht="13.8" x14ac:dyDescent="0.3">
      <c r="A75" s="177" t="s">
        <v>237</v>
      </c>
      <c r="B75" s="176"/>
      <c r="C75" s="2"/>
      <c r="D75" s="2"/>
      <c r="E75" s="2">
        <v>1853</v>
      </c>
      <c r="F75" s="2">
        <v>2200</v>
      </c>
      <c r="G75" s="2">
        <v>2200</v>
      </c>
      <c r="H75" s="2">
        <v>2200</v>
      </c>
      <c r="I75" s="2"/>
      <c r="J75" s="2"/>
    </row>
    <row r="76" spans="1:10" ht="26.4" x14ac:dyDescent="0.25">
      <c r="A76" s="33" t="s">
        <v>1370</v>
      </c>
      <c r="B76" s="6"/>
      <c r="C76" s="2"/>
      <c r="D76" s="2">
        <v>2200</v>
      </c>
      <c r="E76" s="2"/>
      <c r="F76" s="2"/>
      <c r="G76" s="2"/>
      <c r="H76" s="2"/>
      <c r="I76" s="2"/>
      <c r="J76" s="2"/>
    </row>
    <row r="77" spans="1:10" x14ac:dyDescent="0.25">
      <c r="A77" s="6"/>
      <c r="B77" s="6"/>
      <c r="C77" s="2"/>
      <c r="D77" s="2"/>
      <c r="E77" s="2"/>
      <c r="F77" s="2"/>
      <c r="G77" s="2"/>
      <c r="H77" s="2"/>
      <c r="I77" s="2"/>
      <c r="J77" s="2"/>
    </row>
    <row r="78" spans="1:10" ht="13.8" x14ac:dyDescent="0.3">
      <c r="A78" s="177" t="s">
        <v>218</v>
      </c>
      <c r="B78" s="176"/>
      <c r="C78" s="176"/>
      <c r="D78" s="2" t="s">
        <v>386</v>
      </c>
      <c r="E78" s="2">
        <v>2389</v>
      </c>
      <c r="F78" s="2">
        <v>2730</v>
      </c>
      <c r="G78" s="2">
        <v>2730</v>
      </c>
      <c r="H78" s="2">
        <v>2730</v>
      </c>
      <c r="I78" s="2"/>
      <c r="J78" s="2"/>
    </row>
    <row r="79" spans="1:10" x14ac:dyDescent="0.25">
      <c r="A79" s="176" t="s">
        <v>1007</v>
      </c>
      <c r="B79" s="2">
        <v>1</v>
      </c>
      <c r="C79" s="2">
        <v>300</v>
      </c>
      <c r="D79" s="2">
        <f>ROUND(B79*C79,0)</f>
        <v>300</v>
      </c>
      <c r="E79" s="2"/>
      <c r="F79" s="2"/>
      <c r="G79" s="2"/>
      <c r="H79" s="2"/>
      <c r="I79" s="2"/>
      <c r="J79" s="2"/>
    </row>
    <row r="80" spans="1:10" x14ac:dyDescent="0.25">
      <c r="A80" s="176" t="s">
        <v>878</v>
      </c>
      <c r="B80" s="2">
        <v>4</v>
      </c>
      <c r="C80" s="2">
        <v>300</v>
      </c>
      <c r="D80" s="2">
        <f>ROUND(B80*C80,0)</f>
        <v>1200</v>
      </c>
      <c r="E80" s="2"/>
      <c r="F80" s="2"/>
      <c r="G80" s="2"/>
      <c r="H80" s="2"/>
      <c r="I80" s="2"/>
      <c r="J80" s="2"/>
    </row>
    <row r="81" spans="1:10" x14ac:dyDescent="0.25">
      <c r="A81" s="176" t="s">
        <v>1113</v>
      </c>
      <c r="B81" s="2">
        <v>1</v>
      </c>
      <c r="C81" s="2">
        <v>130</v>
      </c>
      <c r="D81" s="2">
        <f>ROUND(B81*C81,0)</f>
        <v>130</v>
      </c>
      <c r="E81" s="2"/>
      <c r="F81" s="2"/>
      <c r="G81" s="2"/>
      <c r="H81" s="2"/>
      <c r="I81" s="2"/>
      <c r="J81" s="2"/>
    </row>
    <row r="82" spans="1:10" x14ac:dyDescent="0.25">
      <c r="A82" s="176" t="s">
        <v>1114</v>
      </c>
      <c r="B82" s="2">
        <v>4</v>
      </c>
      <c r="C82" s="2">
        <v>200</v>
      </c>
      <c r="D82" s="2">
        <f>ROUND(B82*C82,0)</f>
        <v>800</v>
      </c>
      <c r="E82" s="2"/>
      <c r="F82" s="2"/>
      <c r="G82" s="2"/>
      <c r="H82" s="2"/>
      <c r="I82" s="2"/>
      <c r="J82" s="2"/>
    </row>
    <row r="83" spans="1:10" ht="15" x14ac:dyDescent="0.4">
      <c r="A83" s="6" t="s">
        <v>840</v>
      </c>
      <c r="B83" s="2">
        <v>5</v>
      </c>
      <c r="C83" s="2">
        <v>60</v>
      </c>
      <c r="D83" s="11">
        <v>300</v>
      </c>
      <c r="E83" s="2"/>
      <c r="F83" s="2"/>
      <c r="G83" s="2"/>
      <c r="H83" s="2"/>
      <c r="I83" s="2"/>
      <c r="J83" s="2"/>
    </row>
    <row r="84" spans="1:10" x14ac:dyDescent="0.25">
      <c r="A84" s="176" t="s">
        <v>1182</v>
      </c>
      <c r="B84" s="176"/>
      <c r="C84" s="176"/>
      <c r="D84" s="2">
        <f>SUM(D79:D83)</f>
        <v>2730</v>
      </c>
      <c r="E84" s="2"/>
      <c r="F84" s="2"/>
      <c r="G84" s="2"/>
      <c r="H84" s="2"/>
      <c r="I84" s="2"/>
      <c r="J84" s="2"/>
    </row>
    <row r="85" spans="1:10" x14ac:dyDescent="0.25">
      <c r="A85" s="176"/>
      <c r="B85" s="176"/>
      <c r="C85" s="176"/>
      <c r="D85" s="2"/>
      <c r="E85" s="176"/>
      <c r="F85" s="2"/>
      <c r="G85" s="2"/>
      <c r="H85" s="2"/>
      <c r="I85" s="2"/>
      <c r="J85" s="2"/>
    </row>
    <row r="86" spans="1:10" ht="13.8" x14ac:dyDescent="0.3">
      <c r="A86" s="177" t="s">
        <v>146</v>
      </c>
      <c r="B86" s="176"/>
      <c r="C86" s="176"/>
      <c r="D86" s="2">
        <v>90</v>
      </c>
      <c r="E86" s="176">
        <v>33</v>
      </c>
      <c r="F86" s="2">
        <v>125</v>
      </c>
      <c r="G86" s="2">
        <v>90</v>
      </c>
      <c r="H86" s="2">
        <v>90</v>
      </c>
      <c r="I86" s="2"/>
      <c r="J86" s="2"/>
    </row>
    <row r="87" spans="1:10" x14ac:dyDescent="0.25">
      <c r="A87" s="176"/>
      <c r="B87" s="176"/>
      <c r="C87" s="176"/>
      <c r="D87" s="2"/>
      <c r="E87" s="176"/>
      <c r="F87" s="2"/>
      <c r="G87" s="2"/>
      <c r="H87" s="2"/>
      <c r="I87" s="2"/>
      <c r="J87" s="2"/>
    </row>
    <row r="88" spans="1:10" ht="13.8" x14ac:dyDescent="0.3">
      <c r="A88" s="177" t="s">
        <v>841</v>
      </c>
      <c r="B88" s="176"/>
      <c r="C88" s="176"/>
      <c r="D88" s="2"/>
      <c r="E88" s="2">
        <v>1567</v>
      </c>
      <c r="F88" s="2">
        <v>1565</v>
      </c>
      <c r="G88" s="2">
        <v>1984</v>
      </c>
      <c r="H88" s="2">
        <v>1984</v>
      </c>
      <c r="I88" s="2"/>
      <c r="J88" s="2"/>
    </row>
    <row r="89" spans="1:10" x14ac:dyDescent="0.25">
      <c r="A89" s="176" t="s">
        <v>1177</v>
      </c>
      <c r="B89" s="2">
        <v>750</v>
      </c>
      <c r="C89" s="12">
        <v>2.5</v>
      </c>
      <c r="D89" s="2">
        <f>ROUND(B89*C89,0)</f>
        <v>1875</v>
      </c>
      <c r="E89" s="2"/>
      <c r="F89" s="2"/>
      <c r="G89" s="2"/>
      <c r="H89" s="2"/>
      <c r="I89" s="2"/>
      <c r="J89" s="2"/>
    </row>
    <row r="90" spans="1:10" ht="15" x14ac:dyDescent="0.4">
      <c r="A90" s="176" t="s">
        <v>441</v>
      </c>
      <c r="B90" s="2">
        <v>39</v>
      </c>
      <c r="C90" s="12">
        <v>2.8</v>
      </c>
      <c r="D90" s="11">
        <f>ROUND(B90*C90,0)</f>
        <v>109</v>
      </c>
      <c r="E90" s="2"/>
      <c r="F90" s="2"/>
      <c r="G90" s="2"/>
      <c r="H90" s="2"/>
      <c r="I90" s="2"/>
      <c r="J90" s="2"/>
    </row>
    <row r="91" spans="1:10" x14ac:dyDescent="0.25">
      <c r="A91" s="176" t="s">
        <v>1182</v>
      </c>
      <c r="B91" s="2"/>
      <c r="C91" s="14"/>
      <c r="D91" s="2">
        <f>SUM(D89:D90)</f>
        <v>1984</v>
      </c>
      <c r="E91" s="2"/>
      <c r="F91" s="2"/>
      <c r="G91" s="2"/>
      <c r="H91" s="2"/>
      <c r="I91" s="2"/>
      <c r="J91" s="2"/>
    </row>
    <row r="92" spans="1:10" x14ac:dyDescent="0.25">
      <c r="A92" s="176"/>
      <c r="B92" s="2"/>
      <c r="C92" s="14"/>
      <c r="D92" s="2"/>
      <c r="E92" s="2"/>
      <c r="F92" s="2"/>
      <c r="G92" s="2"/>
      <c r="H92" s="2"/>
      <c r="I92" s="2"/>
      <c r="J92" s="2"/>
    </row>
    <row r="93" spans="1:10" ht="13.8" x14ac:dyDescent="0.3">
      <c r="A93" s="177" t="s">
        <v>1178</v>
      </c>
      <c r="B93" s="2"/>
      <c r="C93" s="14"/>
      <c r="D93" s="2"/>
      <c r="E93" s="2">
        <v>480</v>
      </c>
      <c r="F93" s="2">
        <v>480</v>
      </c>
      <c r="G93" s="2">
        <v>480</v>
      </c>
      <c r="H93" s="2">
        <v>480</v>
      </c>
      <c r="I93" s="2"/>
      <c r="J93" s="2"/>
    </row>
    <row r="94" spans="1:10" x14ac:dyDescent="0.25">
      <c r="A94" s="176" t="s">
        <v>295</v>
      </c>
      <c r="B94" s="2"/>
      <c r="C94" s="2"/>
      <c r="D94" s="2">
        <v>480</v>
      </c>
      <c r="E94" s="2"/>
      <c r="F94" s="2"/>
      <c r="G94" s="2"/>
      <c r="H94" s="2"/>
      <c r="I94" s="2"/>
      <c r="J94" s="2"/>
    </row>
    <row r="95" spans="1:10" x14ac:dyDescent="0.25">
      <c r="A95" s="176"/>
      <c r="B95" s="2"/>
      <c r="C95" s="2"/>
      <c r="D95" s="2"/>
      <c r="E95" s="2"/>
      <c r="F95" s="2"/>
      <c r="G95" s="2"/>
      <c r="H95" s="2"/>
      <c r="I95" s="2"/>
      <c r="J95" s="2"/>
    </row>
    <row r="96" spans="1:10" x14ac:dyDescent="0.25">
      <c r="A96" s="176"/>
      <c r="B96" s="176"/>
      <c r="C96" s="2"/>
      <c r="D96" s="2"/>
      <c r="E96" s="2"/>
      <c r="F96" s="176"/>
      <c r="G96" s="176"/>
      <c r="H96" s="178"/>
      <c r="I96" s="160"/>
      <c r="J96" s="161"/>
    </row>
    <row r="97" spans="1:10" ht="13.8" x14ac:dyDescent="0.3">
      <c r="A97" s="17" t="s">
        <v>803</v>
      </c>
      <c r="B97" s="176"/>
      <c r="C97" s="2"/>
      <c r="D97" s="2"/>
      <c r="E97" s="2">
        <v>2130</v>
      </c>
      <c r="F97" s="2">
        <v>3247</v>
      </c>
      <c r="G97" s="2">
        <v>2340</v>
      </c>
      <c r="H97" s="2">
        <v>2340</v>
      </c>
      <c r="I97" s="2"/>
      <c r="J97" s="2"/>
    </row>
    <row r="98" spans="1:10" x14ac:dyDescent="0.25">
      <c r="A98" s="176" t="s">
        <v>1640</v>
      </c>
      <c r="B98" s="176"/>
      <c r="C98" s="2"/>
      <c r="D98" s="2">
        <v>2340</v>
      </c>
      <c r="E98" s="2"/>
      <c r="F98" s="2"/>
      <c r="G98" s="2"/>
      <c r="H98" s="2"/>
      <c r="I98" s="2"/>
      <c r="J98" s="2"/>
    </row>
    <row r="99" spans="1:10" x14ac:dyDescent="0.25">
      <c r="A99" s="176"/>
      <c r="B99" s="176"/>
      <c r="C99" s="2"/>
      <c r="D99" s="2"/>
      <c r="E99" s="2"/>
      <c r="F99" s="2"/>
      <c r="G99" s="2"/>
      <c r="H99" s="2"/>
      <c r="I99" s="2"/>
      <c r="J99" s="2"/>
    </row>
    <row r="100" spans="1:10" ht="13.8" x14ac:dyDescent="0.3">
      <c r="A100" s="177" t="s">
        <v>804</v>
      </c>
      <c r="B100" s="176"/>
      <c r="C100" s="2"/>
      <c r="D100" s="2"/>
      <c r="E100" s="2">
        <v>187</v>
      </c>
      <c r="F100" s="2">
        <v>700</v>
      </c>
      <c r="G100" s="2">
        <v>500</v>
      </c>
      <c r="H100" s="2">
        <v>500</v>
      </c>
      <c r="I100" s="2"/>
      <c r="J100" s="2"/>
    </row>
    <row r="101" spans="1:10" x14ac:dyDescent="0.25">
      <c r="A101" s="176" t="s">
        <v>585</v>
      </c>
      <c r="B101" s="176"/>
      <c r="C101" s="2"/>
      <c r="D101" s="2">
        <v>500</v>
      </c>
      <c r="E101" s="2"/>
      <c r="F101" s="2"/>
      <c r="G101" s="2"/>
      <c r="H101" s="2"/>
      <c r="I101" s="2"/>
      <c r="J101" s="2"/>
    </row>
    <row r="102" spans="1:10" x14ac:dyDescent="0.25">
      <c r="A102" s="176"/>
      <c r="B102" s="176"/>
      <c r="C102" s="2"/>
      <c r="D102" s="2"/>
      <c r="E102" s="2"/>
      <c r="F102" s="2"/>
      <c r="G102" s="2"/>
      <c r="H102" s="2"/>
      <c r="I102" s="2"/>
      <c r="J102" s="2"/>
    </row>
    <row r="103" spans="1:10" ht="13.8" x14ac:dyDescent="0.3">
      <c r="A103" s="177" t="s">
        <v>1035</v>
      </c>
      <c r="B103" s="176"/>
      <c r="C103" s="2"/>
      <c r="D103" s="2"/>
      <c r="E103" s="2">
        <v>5826</v>
      </c>
      <c r="F103" s="2">
        <v>4500</v>
      </c>
      <c r="G103" s="2">
        <v>4500</v>
      </c>
      <c r="H103" s="2">
        <v>4500</v>
      </c>
      <c r="I103" s="2"/>
      <c r="J103" s="2"/>
    </row>
    <row r="104" spans="1:10" x14ac:dyDescent="0.25">
      <c r="A104" s="176" t="s">
        <v>1645</v>
      </c>
      <c r="B104" s="176"/>
      <c r="C104" s="2"/>
      <c r="D104" s="2">
        <v>4500</v>
      </c>
      <c r="E104" s="2"/>
      <c r="F104" s="2"/>
      <c r="G104" s="2"/>
      <c r="H104" s="2"/>
      <c r="I104" s="2"/>
      <c r="J104" s="2"/>
    </row>
    <row r="105" spans="1:10" x14ac:dyDescent="0.25">
      <c r="A105" s="176" t="s">
        <v>1371</v>
      </c>
      <c r="B105" s="2"/>
      <c r="C105" s="18"/>
      <c r="D105" s="18"/>
      <c r="E105" s="2"/>
      <c r="F105" s="2"/>
      <c r="G105" s="2"/>
      <c r="H105" s="2"/>
      <c r="I105" s="2"/>
      <c r="J105" s="2"/>
    </row>
    <row r="106" spans="1:10" x14ac:dyDescent="0.25">
      <c r="A106" s="176"/>
      <c r="B106" s="176"/>
      <c r="C106" s="2"/>
      <c r="D106" s="2"/>
      <c r="E106" s="2"/>
      <c r="F106" s="2"/>
      <c r="G106" s="2"/>
      <c r="H106" s="2"/>
      <c r="I106" s="2"/>
      <c r="J106" s="2"/>
    </row>
    <row r="107" spans="1:10" ht="13.8" x14ac:dyDescent="0.3">
      <c r="A107" s="177" t="s">
        <v>1036</v>
      </c>
      <c r="B107" s="176"/>
      <c r="C107" s="2"/>
      <c r="D107" s="176"/>
      <c r="E107" s="2">
        <f>208+12</f>
        <v>220</v>
      </c>
      <c r="F107" s="2">
        <v>250</v>
      </c>
      <c r="G107" s="2">
        <v>250</v>
      </c>
      <c r="H107" s="2">
        <v>250</v>
      </c>
      <c r="I107" s="2"/>
      <c r="J107" s="2"/>
    </row>
    <row r="108" spans="1:10" x14ac:dyDescent="0.25">
      <c r="A108" s="176" t="s">
        <v>1745</v>
      </c>
      <c r="B108" s="176"/>
      <c r="C108" s="2"/>
      <c r="D108" s="2">
        <v>250</v>
      </c>
      <c r="E108" s="2"/>
      <c r="F108" s="2"/>
      <c r="G108" s="2"/>
      <c r="H108" s="2"/>
      <c r="I108" s="2"/>
      <c r="J108" s="2"/>
    </row>
    <row r="109" spans="1:10" x14ac:dyDescent="0.25">
      <c r="A109" s="176"/>
      <c r="B109" s="176"/>
      <c r="C109" s="2"/>
      <c r="D109" s="2"/>
      <c r="E109" s="2"/>
      <c r="F109" s="2"/>
      <c r="G109" s="2"/>
      <c r="H109" s="2"/>
      <c r="I109" s="2"/>
      <c r="J109" s="2"/>
    </row>
    <row r="110" spans="1:10" ht="13.8" x14ac:dyDescent="0.3">
      <c r="A110" s="177" t="s">
        <v>1500</v>
      </c>
      <c r="B110" s="176"/>
      <c r="C110" s="2"/>
      <c r="D110" s="176"/>
      <c r="E110" s="2">
        <v>2043</v>
      </c>
      <c r="F110" s="2">
        <v>11928</v>
      </c>
      <c r="G110" s="2">
        <v>4628</v>
      </c>
      <c r="H110" s="2">
        <v>4628</v>
      </c>
      <c r="I110" s="2"/>
      <c r="J110" s="2"/>
    </row>
    <row r="111" spans="1:10" x14ac:dyDescent="0.25">
      <c r="A111" s="176" t="s">
        <v>1892</v>
      </c>
      <c r="B111" s="176"/>
      <c r="C111" s="2"/>
      <c r="D111" s="2">
        <v>2628</v>
      </c>
      <c r="E111" s="2"/>
      <c r="F111" s="2"/>
      <c r="G111" s="2"/>
      <c r="H111" s="2"/>
      <c r="I111" s="2"/>
      <c r="J111" s="2"/>
    </row>
    <row r="112" spans="1:10" x14ac:dyDescent="0.25">
      <c r="A112" s="176" t="s">
        <v>2104</v>
      </c>
      <c r="B112" s="176"/>
      <c r="C112" s="2"/>
      <c r="D112" s="2">
        <v>2000</v>
      </c>
      <c r="E112" s="2"/>
      <c r="F112" s="2"/>
      <c r="G112" s="2"/>
      <c r="H112" s="2"/>
      <c r="I112" s="2"/>
      <c r="J112" s="2"/>
    </row>
    <row r="113" spans="1:10" ht="15" x14ac:dyDescent="0.4">
      <c r="A113" s="176" t="s">
        <v>1893</v>
      </c>
      <c r="B113" s="176"/>
      <c r="C113" s="2"/>
      <c r="D113" s="11">
        <v>0</v>
      </c>
      <c r="E113" s="2"/>
      <c r="F113" s="2"/>
      <c r="G113" s="2"/>
      <c r="H113" s="2"/>
      <c r="I113" s="2"/>
      <c r="J113" s="2"/>
    </row>
    <row r="114" spans="1:10" x14ac:dyDescent="0.25">
      <c r="A114" s="176"/>
      <c r="B114" s="176"/>
      <c r="C114" s="2"/>
      <c r="D114" s="2">
        <f>SUM(D111:D113)</f>
        <v>4628</v>
      </c>
      <c r="E114" s="2"/>
      <c r="F114" s="2"/>
      <c r="G114" s="2"/>
      <c r="H114" s="2"/>
      <c r="I114" s="2"/>
      <c r="J114" s="2"/>
    </row>
    <row r="115" spans="1:10" x14ac:dyDescent="0.25">
      <c r="A115" s="176"/>
      <c r="B115" s="176"/>
      <c r="C115" s="2"/>
      <c r="D115" s="2"/>
      <c r="E115" s="2"/>
      <c r="F115" s="2"/>
      <c r="G115" s="2"/>
      <c r="H115" s="2"/>
      <c r="I115" s="2"/>
      <c r="J115" s="2"/>
    </row>
    <row r="116" spans="1:10" ht="13.8" x14ac:dyDescent="0.3">
      <c r="A116" s="177" t="s">
        <v>1536</v>
      </c>
      <c r="B116" s="176"/>
      <c r="C116" s="2"/>
      <c r="D116" s="2"/>
      <c r="E116" s="2">
        <v>780</v>
      </c>
      <c r="F116" s="2">
        <v>1500</v>
      </c>
      <c r="G116" s="2">
        <v>1500</v>
      </c>
      <c r="H116" s="2">
        <v>1500</v>
      </c>
      <c r="I116" s="2"/>
      <c r="J116" s="2"/>
    </row>
    <row r="117" spans="1:10" x14ac:dyDescent="0.25">
      <c r="A117" s="176" t="s">
        <v>1746</v>
      </c>
      <c r="B117" s="176"/>
      <c r="C117" s="2"/>
      <c r="D117" s="2">
        <v>1500</v>
      </c>
      <c r="E117" s="2"/>
      <c r="F117" s="2"/>
      <c r="G117" s="2"/>
      <c r="H117" s="2"/>
      <c r="I117" s="2"/>
      <c r="J117" s="2"/>
    </row>
    <row r="118" spans="1:10" x14ac:dyDescent="0.25">
      <c r="A118" s="176"/>
      <c r="B118" s="176"/>
      <c r="C118" s="2"/>
      <c r="D118" s="2"/>
      <c r="E118" s="2"/>
      <c r="F118" s="2"/>
      <c r="G118" s="2"/>
      <c r="H118" s="2"/>
      <c r="I118" s="2"/>
      <c r="J118" s="2"/>
    </row>
    <row r="119" spans="1:10" ht="13.8" x14ac:dyDescent="0.3">
      <c r="A119" s="177" t="s">
        <v>646</v>
      </c>
      <c r="B119" s="176"/>
      <c r="C119" s="2"/>
      <c r="D119" s="2"/>
      <c r="E119" s="2">
        <v>479</v>
      </c>
      <c r="F119" s="2">
        <v>200</v>
      </c>
      <c r="G119" s="2">
        <v>200</v>
      </c>
      <c r="H119" s="2">
        <v>200</v>
      </c>
      <c r="I119" s="2"/>
      <c r="J119" s="2"/>
    </row>
    <row r="120" spans="1:10" x14ac:dyDescent="0.25">
      <c r="A120" s="176" t="s">
        <v>1408</v>
      </c>
      <c r="B120" s="176"/>
      <c r="C120" s="2"/>
      <c r="D120" s="2">
        <v>200</v>
      </c>
      <c r="E120" s="2"/>
      <c r="F120" s="2"/>
      <c r="G120" s="2"/>
      <c r="H120" s="2"/>
      <c r="I120" s="2"/>
      <c r="J120" s="2"/>
    </row>
    <row r="121" spans="1:10" x14ac:dyDescent="0.25">
      <c r="A121" s="176"/>
      <c r="B121" s="176"/>
      <c r="C121" s="2"/>
      <c r="D121" s="2"/>
      <c r="E121" s="2"/>
      <c r="F121" s="2"/>
      <c r="G121" s="2"/>
      <c r="H121" s="2"/>
      <c r="I121" s="2"/>
      <c r="J121" s="2"/>
    </row>
    <row r="122" spans="1:10" ht="15" x14ac:dyDescent="0.4">
      <c r="A122" s="177" t="s">
        <v>420</v>
      </c>
      <c r="B122" s="176"/>
      <c r="C122" s="2"/>
      <c r="D122" s="2"/>
      <c r="E122" s="11">
        <v>6294</v>
      </c>
      <c r="F122" s="11">
        <v>0</v>
      </c>
      <c r="G122" s="11">
        <v>0</v>
      </c>
      <c r="H122" s="11">
        <v>0</v>
      </c>
      <c r="I122" s="2"/>
      <c r="J122" s="2"/>
    </row>
    <row r="123" spans="1:10" x14ac:dyDescent="0.25">
      <c r="A123" s="23"/>
      <c r="B123" s="176"/>
      <c r="C123" s="2"/>
      <c r="D123" s="2">
        <v>0</v>
      </c>
      <c r="E123" s="2"/>
      <c r="F123" s="2"/>
      <c r="G123" s="2"/>
      <c r="H123" s="2"/>
      <c r="I123" s="160"/>
      <c r="J123" s="161"/>
    </row>
    <row r="124" spans="1:10" ht="15" x14ac:dyDescent="0.4">
      <c r="A124" s="176"/>
      <c r="B124" s="176"/>
      <c r="C124" s="2"/>
      <c r="D124" s="2"/>
      <c r="E124" s="2"/>
      <c r="F124" s="2"/>
      <c r="G124" s="2"/>
      <c r="H124" s="2"/>
      <c r="I124" s="11"/>
      <c r="J124" s="11"/>
    </row>
    <row r="125" spans="1:10" x14ac:dyDescent="0.25">
      <c r="A125" s="176" t="s">
        <v>1267</v>
      </c>
      <c r="B125" s="176"/>
      <c r="C125" s="2"/>
      <c r="D125" s="69"/>
      <c r="E125" s="2">
        <f>SUM(E6:E124)</f>
        <v>402159</v>
      </c>
      <c r="F125" s="2">
        <f>SUM(F6:F124)</f>
        <v>455432</v>
      </c>
      <c r="G125" s="2">
        <f>SUM(G6:G124)</f>
        <v>462909</v>
      </c>
      <c r="H125" s="2">
        <f>SUM(H6:H124)</f>
        <v>458204</v>
      </c>
      <c r="I125" s="2"/>
      <c r="J125" s="2"/>
    </row>
    <row r="126" spans="1:10" x14ac:dyDescent="0.25">
      <c r="A126" s="176"/>
      <c r="B126" s="176"/>
      <c r="C126" s="176"/>
      <c r="D126" s="176"/>
      <c r="E126" s="176"/>
      <c r="F126" s="176"/>
      <c r="G126" s="176"/>
      <c r="H126" s="178"/>
      <c r="I126" s="2"/>
      <c r="J126" s="2"/>
    </row>
    <row r="127" spans="1:10" x14ac:dyDescent="0.25">
      <c r="A127" s="176"/>
      <c r="B127" s="176"/>
      <c r="C127" s="176"/>
      <c r="D127" s="176"/>
      <c r="E127" s="176"/>
      <c r="F127" s="176"/>
      <c r="G127" s="176"/>
      <c r="H127" s="178"/>
      <c r="I127" s="2">
        <f>SUM(I6:I126)</f>
        <v>0</v>
      </c>
      <c r="J127" s="2">
        <f>SUM(J6:J126)</f>
        <v>0</v>
      </c>
    </row>
    <row r="128" spans="1:10" x14ac:dyDescent="0.25">
      <c r="A128" s="176" t="s">
        <v>571</v>
      </c>
      <c r="B128" s="176"/>
      <c r="C128" s="69"/>
      <c r="D128" s="69"/>
      <c r="E128" s="2">
        <f>SUM(E6:E71)</f>
        <v>377878</v>
      </c>
      <c r="F128" s="2">
        <f>SUM(F6:F71)</f>
        <v>426007</v>
      </c>
      <c r="G128" s="2">
        <f>SUM(G6:G71)</f>
        <v>441507</v>
      </c>
      <c r="H128" s="2">
        <f>SUM(H6:H71)</f>
        <v>436802</v>
      </c>
      <c r="I128" s="160"/>
      <c r="J128" s="161"/>
    </row>
    <row r="129" spans="1:10" x14ac:dyDescent="0.25">
      <c r="A129" s="176" t="s">
        <v>895</v>
      </c>
      <c r="B129" s="176"/>
      <c r="C129" s="57"/>
      <c r="D129" s="69"/>
      <c r="E129" s="2">
        <f>SUM(E72:E119)</f>
        <v>17987</v>
      </c>
      <c r="F129" s="2">
        <f>SUM(F72:F119)</f>
        <v>29425</v>
      </c>
      <c r="G129" s="2">
        <f>SUM(G72:G119)</f>
        <v>21402</v>
      </c>
      <c r="H129" s="2">
        <f>SUM(H72:H119)</f>
        <v>21402</v>
      </c>
      <c r="I129" s="160"/>
      <c r="J129" s="161"/>
    </row>
    <row r="130" spans="1:10" ht="15" x14ac:dyDescent="0.4">
      <c r="A130" s="176" t="s">
        <v>896</v>
      </c>
      <c r="B130" s="176"/>
      <c r="C130" s="176"/>
      <c r="D130" s="176"/>
      <c r="E130" s="11">
        <f>SUM(E122)</f>
        <v>6294</v>
      </c>
      <c r="F130" s="11">
        <f>SUM(F122)</f>
        <v>0</v>
      </c>
      <c r="G130" s="11">
        <f>SUM(G122)</f>
        <v>0</v>
      </c>
      <c r="H130" s="11">
        <f>SUM(H122)</f>
        <v>0</v>
      </c>
      <c r="I130" s="2">
        <f>SUM(I6:I71)</f>
        <v>0</v>
      </c>
      <c r="J130" s="2">
        <f>SUM(J6:J71)</f>
        <v>0</v>
      </c>
    </row>
    <row r="131" spans="1:10" x14ac:dyDescent="0.25">
      <c r="A131" s="176" t="s">
        <v>1182</v>
      </c>
      <c r="B131" s="176"/>
      <c r="C131" s="176"/>
      <c r="D131" s="176"/>
      <c r="E131" s="2">
        <f>SUM(E128:E130)</f>
        <v>402159</v>
      </c>
      <c r="F131" s="2">
        <f>SUM(F128:F130)</f>
        <v>455432</v>
      </c>
      <c r="G131" s="2">
        <f>SUM(G128:G130)</f>
        <v>462909</v>
      </c>
      <c r="H131" s="2">
        <f>SUM(H128:H130)</f>
        <v>458204</v>
      </c>
      <c r="I131" s="2">
        <f>SUM(I72:I120)</f>
        <v>0</v>
      </c>
      <c r="J131" s="2">
        <f>SUM(J72:J120)</f>
        <v>0</v>
      </c>
    </row>
    <row r="132" spans="1:10" x14ac:dyDescent="0.25">
      <c r="H132" s="178"/>
      <c r="I132" s="160"/>
      <c r="J132" s="161"/>
    </row>
    <row r="133" spans="1:10" x14ac:dyDescent="0.25">
      <c r="H133" s="178"/>
      <c r="I133" s="160"/>
      <c r="J133" s="161"/>
    </row>
    <row r="134" spans="1:10" x14ac:dyDescent="0.25">
      <c r="H134" s="178"/>
      <c r="I134" s="160"/>
      <c r="J134" s="161"/>
    </row>
    <row r="135" spans="1:10" x14ac:dyDescent="0.25">
      <c r="H135" s="178"/>
      <c r="I135" s="160"/>
      <c r="J135" s="161"/>
    </row>
    <row r="136" spans="1:10" x14ac:dyDescent="0.25">
      <c r="H136" s="178"/>
      <c r="I136" s="160"/>
      <c r="J136" s="161"/>
    </row>
    <row r="137" spans="1:10" x14ac:dyDescent="0.25">
      <c r="H137" s="178"/>
      <c r="I137" s="160"/>
      <c r="J137" s="161"/>
    </row>
    <row r="138" spans="1:10" x14ac:dyDescent="0.25">
      <c r="H138" s="178"/>
      <c r="I138" s="160"/>
      <c r="J138" s="161"/>
    </row>
    <row r="139" spans="1:10" x14ac:dyDescent="0.25">
      <c r="H139" s="178"/>
      <c r="I139" s="160"/>
      <c r="J139" s="161"/>
    </row>
    <row r="140" spans="1:10" x14ac:dyDescent="0.25">
      <c r="H140" s="178"/>
      <c r="I140" s="160"/>
      <c r="J140" s="161"/>
    </row>
    <row r="141" spans="1:10" x14ac:dyDescent="0.25">
      <c r="H141" s="178"/>
      <c r="I141" s="160"/>
      <c r="J141" s="161"/>
    </row>
    <row r="142" spans="1:10" x14ac:dyDescent="0.25">
      <c r="H142" s="178"/>
      <c r="I142" s="160"/>
      <c r="J142" s="161"/>
    </row>
    <row r="143" spans="1:10" x14ac:dyDescent="0.25">
      <c r="H143" s="178"/>
      <c r="I143" s="160"/>
      <c r="J143" s="161"/>
    </row>
    <row r="144" spans="1:10" x14ac:dyDescent="0.25">
      <c r="H144" s="178"/>
      <c r="I144" s="160"/>
      <c r="J144" s="161"/>
    </row>
    <row r="145" spans="8:10" x14ac:dyDescent="0.25">
      <c r="H145" s="178"/>
      <c r="I145" s="160"/>
      <c r="J145" s="161"/>
    </row>
    <row r="146" spans="8:10" x14ac:dyDescent="0.25">
      <c r="H146" s="178"/>
      <c r="I146" s="160"/>
      <c r="J146" s="161"/>
    </row>
    <row r="147" spans="8:10" x14ac:dyDescent="0.25">
      <c r="H147" s="178"/>
      <c r="I147" s="160"/>
      <c r="J147" s="161"/>
    </row>
    <row r="148" spans="8:10" x14ac:dyDescent="0.25">
      <c r="H148" s="178"/>
      <c r="I148" s="160"/>
      <c r="J148" s="161"/>
    </row>
    <row r="149" spans="8:10" x14ac:dyDescent="0.25">
      <c r="H149" s="178"/>
      <c r="I149" s="160"/>
      <c r="J149" s="161"/>
    </row>
    <row r="150" spans="8:10" x14ac:dyDescent="0.25">
      <c r="H150" s="178"/>
      <c r="I150" s="160"/>
      <c r="J150" s="161"/>
    </row>
    <row r="151" spans="8:10" x14ac:dyDescent="0.25">
      <c r="H151" s="178"/>
      <c r="I151" s="160"/>
      <c r="J151" s="161"/>
    </row>
    <row r="152" spans="8:10" x14ac:dyDescent="0.25">
      <c r="H152" s="178"/>
      <c r="I152" s="160"/>
      <c r="J152" s="161"/>
    </row>
    <row r="153" spans="8:10" x14ac:dyDescent="0.25">
      <c r="H153" s="178"/>
      <c r="I153" s="160"/>
      <c r="J153" s="161"/>
    </row>
    <row r="154" spans="8:10" x14ac:dyDescent="0.25">
      <c r="H154" s="178"/>
      <c r="I154" s="160"/>
      <c r="J154" s="161"/>
    </row>
    <row r="155" spans="8:10" x14ac:dyDescent="0.25">
      <c r="H155" s="178"/>
      <c r="I155" s="160"/>
      <c r="J155" s="161"/>
    </row>
    <row r="156" spans="8:10" x14ac:dyDescent="0.25">
      <c r="H156" s="178"/>
      <c r="I156" s="160"/>
      <c r="J156" s="161"/>
    </row>
    <row r="157" spans="8:10" x14ac:dyDescent="0.25">
      <c r="H157" s="178"/>
      <c r="I157" s="160"/>
      <c r="J157" s="161"/>
    </row>
    <row r="158" spans="8:10" x14ac:dyDescent="0.25">
      <c r="H158" s="178"/>
      <c r="I158" s="160"/>
      <c r="J158" s="161"/>
    </row>
    <row r="159" spans="8:10" x14ac:dyDescent="0.25">
      <c r="H159" s="178"/>
      <c r="I159" s="160"/>
      <c r="J159" s="161"/>
    </row>
    <row r="160" spans="8:10" x14ac:dyDescent="0.25">
      <c r="H160" s="178"/>
      <c r="I160" s="160"/>
    </row>
    <row r="161" spans="8:9" x14ac:dyDescent="0.25">
      <c r="H161" s="178"/>
      <c r="I161" s="160"/>
    </row>
    <row r="162" spans="8:9" x14ac:dyDescent="0.25">
      <c r="H162" s="178"/>
      <c r="I162" s="160"/>
    </row>
    <row r="163" spans="8:9" x14ac:dyDescent="0.25">
      <c r="H163" s="178"/>
      <c r="I163" s="160"/>
    </row>
    <row r="164" spans="8:9" x14ac:dyDescent="0.25">
      <c r="H164" s="178"/>
      <c r="I164" s="160"/>
    </row>
    <row r="165" spans="8:9" x14ac:dyDescent="0.25">
      <c r="H165" s="178"/>
      <c r="I165" s="160"/>
    </row>
    <row r="166" spans="8:9" x14ac:dyDescent="0.25">
      <c r="H166" s="178"/>
    </row>
    <row r="167" spans="8:9" x14ac:dyDescent="0.25">
      <c r="H167" s="178"/>
    </row>
    <row r="168" spans="8:9" x14ac:dyDescent="0.25">
      <c r="H168" s="178"/>
    </row>
    <row r="169" spans="8:9" x14ac:dyDescent="0.25">
      <c r="H169" s="178"/>
    </row>
    <row r="170" spans="8:9" x14ac:dyDescent="0.25">
      <c r="H170" s="178"/>
    </row>
    <row r="171" spans="8:9" x14ac:dyDescent="0.25">
      <c r="H171" s="178"/>
    </row>
    <row r="172" spans="8:9" x14ac:dyDescent="0.25">
      <c r="H172" s="178"/>
    </row>
    <row r="173" spans="8:9" x14ac:dyDescent="0.25">
      <c r="H173" s="178"/>
    </row>
    <row r="174" spans="8:9" x14ac:dyDescent="0.25">
      <c r="H174" s="178"/>
    </row>
    <row r="175" spans="8:9" x14ac:dyDescent="0.25">
      <c r="H175" s="178"/>
    </row>
    <row r="176" spans="8:9" x14ac:dyDescent="0.25">
      <c r="H176" s="178"/>
    </row>
    <row r="177" spans="8:8" x14ac:dyDescent="0.25">
      <c r="H177" s="178"/>
    </row>
    <row r="178" spans="8:8" x14ac:dyDescent="0.25">
      <c r="H178" s="178"/>
    </row>
    <row r="179" spans="8:8" x14ac:dyDescent="0.25">
      <c r="H179" s="178"/>
    </row>
    <row r="180" spans="8:8" x14ac:dyDescent="0.25">
      <c r="H180" s="178"/>
    </row>
    <row r="181" spans="8:8" x14ac:dyDescent="0.25">
      <c r="H181" s="178"/>
    </row>
    <row r="182" spans="8:8" x14ac:dyDescent="0.25">
      <c r="H182" s="178"/>
    </row>
    <row r="183" spans="8:8" x14ac:dyDescent="0.25">
      <c r="H183" s="178"/>
    </row>
    <row r="184" spans="8:8" x14ac:dyDescent="0.25">
      <c r="H184" s="178"/>
    </row>
    <row r="185" spans="8:8" x14ac:dyDescent="0.25">
      <c r="H185" s="178"/>
    </row>
    <row r="186" spans="8:8" x14ac:dyDescent="0.25">
      <c r="H186" s="178"/>
    </row>
    <row r="187" spans="8:8" x14ac:dyDescent="0.25">
      <c r="H187" s="178"/>
    </row>
    <row r="188" spans="8:8" x14ac:dyDescent="0.25">
      <c r="H188" s="178"/>
    </row>
    <row r="189" spans="8:8" x14ac:dyDescent="0.25">
      <c r="H189" s="178"/>
    </row>
    <row r="190" spans="8:8" x14ac:dyDescent="0.25">
      <c r="H190" s="178"/>
    </row>
    <row r="191" spans="8:8" x14ac:dyDescent="0.25">
      <c r="H191" s="178"/>
    </row>
    <row r="192" spans="8:8" x14ac:dyDescent="0.25">
      <c r="H192" s="178"/>
    </row>
    <row r="193" spans="8:8" x14ac:dyDescent="0.25">
      <c r="H193" s="178"/>
    </row>
  </sheetData>
  <mergeCells count="1">
    <mergeCell ref="A1:J1"/>
  </mergeCells>
  <phoneticPr fontId="0" type="noConversion"/>
  <printOptions gridLines="1"/>
  <pageMargins left="0.75" right="0.16" top="0.51" bottom="0.22" header="0.5" footer="0.5"/>
  <pageSetup scale="95" fitToHeight="5" orientation="landscape" r:id="rId1"/>
  <headerFooter alignWithMargins="0"/>
  <rowBreaks count="1" manualBreakCount="1">
    <brk id="108" max="7" man="1"/>
  </rowBreaks>
  <colBreaks count="1" manualBreakCount="1">
    <brk id="8" max="131"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193"/>
  <sheetViews>
    <sheetView zoomScaleNormal="100" zoomScaleSheetLayoutView="100" workbookViewId="0">
      <selection sqref="A1:J1"/>
    </sheetView>
  </sheetViews>
  <sheetFormatPr defaultColWidth="8.88671875" defaultRowHeight="13.2" x14ac:dyDescent="0.25"/>
  <cols>
    <col min="1" max="1" width="52.88671875" style="7" customWidth="1"/>
    <col min="2" max="2" width="9.5546875" style="7" customWidth="1"/>
    <col min="3" max="3" width="8.5546875" style="7" bestFit="1" customWidth="1"/>
    <col min="4" max="4" width="9.44140625" style="7" bestFit="1" customWidth="1"/>
    <col min="5" max="7" width="10.88671875" style="7" customWidth="1"/>
    <col min="8" max="8" width="14" style="7" bestFit="1" customWidth="1"/>
    <col min="9" max="10" width="10.88671875" style="7" customWidth="1"/>
    <col min="11" max="16384" width="8.88671875" style="7"/>
  </cols>
  <sheetData>
    <row r="1" spans="1:10" x14ac:dyDescent="0.25">
      <c r="A1" s="194" t="e">
        <f>#REF!</f>
        <v>#REF!</v>
      </c>
      <c r="B1" s="195"/>
      <c r="C1" s="195"/>
      <c r="D1" s="195"/>
      <c r="E1" s="195"/>
      <c r="F1" s="195"/>
      <c r="G1" s="195"/>
      <c r="H1" s="195"/>
      <c r="I1" s="195"/>
      <c r="J1" s="195"/>
    </row>
    <row r="2" spans="1:10" ht="17.399999999999999" x14ac:dyDescent="0.3">
      <c r="A2" s="153" t="s">
        <v>1960</v>
      </c>
      <c r="B2" s="153"/>
      <c r="C2" s="153"/>
      <c r="D2" s="153"/>
      <c r="E2" s="153"/>
      <c r="F2" s="153"/>
    </row>
    <row r="3" spans="1:10" x14ac:dyDescent="0.25">
      <c r="B3" s="2"/>
      <c r="C3" s="2"/>
      <c r="D3" s="2"/>
      <c r="E3" s="2"/>
      <c r="F3" s="2"/>
    </row>
    <row r="4" spans="1:10" x14ac:dyDescent="0.25">
      <c r="B4" s="2"/>
      <c r="C4" s="2"/>
      <c r="D4" s="2"/>
      <c r="E4" s="167" t="s">
        <v>232</v>
      </c>
      <c r="F4" s="167" t="s">
        <v>233</v>
      </c>
      <c r="G4" s="167" t="s">
        <v>69</v>
      </c>
      <c r="H4" s="167" t="s">
        <v>399</v>
      </c>
      <c r="I4" s="16" t="s">
        <v>303</v>
      </c>
      <c r="J4" s="16" t="s">
        <v>336</v>
      </c>
    </row>
    <row r="5" spans="1:10" ht="15" x14ac:dyDescent="0.4">
      <c r="B5" s="2"/>
      <c r="C5" s="2"/>
      <c r="D5" s="2"/>
      <c r="E5" s="164" t="s">
        <v>1715</v>
      </c>
      <c r="F5" s="164" t="s">
        <v>1766</v>
      </c>
      <c r="G5" s="164" t="s">
        <v>1985</v>
      </c>
      <c r="H5" s="164" t="s">
        <v>1985</v>
      </c>
      <c r="I5" s="164" t="s">
        <v>1985</v>
      </c>
      <c r="J5" s="164" t="s">
        <v>1985</v>
      </c>
    </row>
    <row r="6" spans="1:10" ht="13.8" x14ac:dyDescent="0.3">
      <c r="A6" s="177" t="s">
        <v>1046</v>
      </c>
      <c r="B6" s="2"/>
      <c r="C6" s="2"/>
      <c r="D6" s="2"/>
      <c r="E6" s="2">
        <f>643+42906</f>
        <v>43549</v>
      </c>
      <c r="F6" s="2">
        <v>43884</v>
      </c>
      <c r="G6" s="2">
        <v>78221</v>
      </c>
      <c r="H6" s="2">
        <v>78221</v>
      </c>
      <c r="I6" s="2"/>
      <c r="J6" s="2"/>
    </row>
    <row r="7" spans="1:10" x14ac:dyDescent="0.25">
      <c r="A7" s="23" t="s">
        <v>1296</v>
      </c>
      <c r="B7" s="2">
        <v>52</v>
      </c>
      <c r="C7" s="2">
        <v>828</v>
      </c>
      <c r="D7" s="2">
        <f>ROUND(B7*C7,0)</f>
        <v>43056</v>
      </c>
      <c r="E7" s="2"/>
      <c r="F7" s="2"/>
      <c r="G7" s="2"/>
      <c r="H7" s="2"/>
      <c r="I7" s="2"/>
      <c r="J7" s="2"/>
    </row>
    <row r="8" spans="1:10" x14ac:dyDescent="0.25">
      <c r="A8" s="23" t="s">
        <v>1296</v>
      </c>
      <c r="B8" s="2">
        <v>52</v>
      </c>
      <c r="C8" s="2">
        <v>660</v>
      </c>
      <c r="D8" s="2">
        <f>ROUND(B8*C8,0)</f>
        <v>34320</v>
      </c>
      <c r="E8" s="2"/>
      <c r="F8" s="2"/>
      <c r="G8" s="2"/>
      <c r="H8" s="2"/>
      <c r="I8" s="2"/>
      <c r="J8" s="2"/>
    </row>
    <row r="9" spans="1:10" ht="15" x14ac:dyDescent="0.4">
      <c r="A9" s="176" t="s">
        <v>912</v>
      </c>
      <c r="B9" s="2" t="s">
        <v>386</v>
      </c>
      <c r="C9" s="2" t="s">
        <v>386</v>
      </c>
      <c r="D9" s="11">
        <v>845</v>
      </c>
      <c r="E9" s="2"/>
      <c r="F9" s="2"/>
      <c r="G9" s="2"/>
      <c r="H9" s="2"/>
      <c r="I9" s="2"/>
      <c r="J9" s="2"/>
    </row>
    <row r="10" spans="1:10" x14ac:dyDescent="0.25">
      <c r="A10" s="176" t="s">
        <v>1182</v>
      </c>
      <c r="B10" s="2"/>
      <c r="C10" s="2"/>
      <c r="D10" s="2">
        <f>SUM(D7:D9)</f>
        <v>78221</v>
      </c>
      <c r="E10" s="2"/>
      <c r="F10" s="2"/>
      <c r="G10" s="2"/>
      <c r="H10" s="2"/>
      <c r="I10" s="2"/>
      <c r="J10" s="2"/>
    </row>
    <row r="11" spans="1:10" x14ac:dyDescent="0.25">
      <c r="A11" s="176"/>
      <c r="B11" s="12"/>
      <c r="C11" s="176"/>
      <c r="D11" s="2"/>
      <c r="E11" s="2"/>
      <c r="F11" s="2"/>
      <c r="G11" s="2"/>
      <c r="H11" s="2"/>
      <c r="I11" s="2"/>
      <c r="J11" s="2"/>
    </row>
    <row r="12" spans="1:10" ht="13.8" x14ac:dyDescent="0.3">
      <c r="A12" s="177" t="s">
        <v>869</v>
      </c>
      <c r="B12" s="176"/>
      <c r="C12" s="176"/>
      <c r="D12" s="176"/>
      <c r="E12" s="2">
        <v>38141</v>
      </c>
      <c r="F12" s="2">
        <v>38038</v>
      </c>
      <c r="G12" s="2">
        <v>38038</v>
      </c>
      <c r="H12" s="2">
        <v>38038</v>
      </c>
      <c r="I12" s="2"/>
      <c r="J12" s="2"/>
    </row>
    <row r="13" spans="1:10" x14ac:dyDescent="0.25">
      <c r="A13" s="23" t="s">
        <v>1886</v>
      </c>
      <c r="B13" s="111">
        <v>1300</v>
      </c>
      <c r="C13" s="12">
        <v>14.63</v>
      </c>
      <c r="D13" s="2">
        <f>ROUND(B13*C13,0)</f>
        <v>19019</v>
      </c>
      <c r="E13" s="2"/>
      <c r="F13" s="2"/>
      <c r="G13" s="2"/>
      <c r="H13" s="2"/>
      <c r="I13" s="2"/>
      <c r="J13" s="2"/>
    </row>
    <row r="14" spans="1:10" ht="15" x14ac:dyDescent="0.4">
      <c r="A14" s="23" t="s">
        <v>1501</v>
      </c>
      <c r="B14" s="111">
        <v>1300</v>
      </c>
      <c r="C14" s="12">
        <v>14.63</v>
      </c>
      <c r="D14" s="11">
        <f>ROUND(B14*C14,0)</f>
        <v>19019</v>
      </c>
      <c r="E14" s="2"/>
      <c r="F14" s="2"/>
      <c r="G14" s="2"/>
      <c r="H14" s="2"/>
      <c r="I14" s="2"/>
      <c r="J14" s="2"/>
    </row>
    <row r="15" spans="1:10" ht="13.8" x14ac:dyDescent="0.3">
      <c r="A15" s="177"/>
      <c r="B15" s="176"/>
      <c r="C15" s="176"/>
      <c r="D15" s="2">
        <f>SUM(D13:D14)</f>
        <v>38038</v>
      </c>
      <c r="E15" s="2"/>
      <c r="F15" s="2"/>
      <c r="G15" s="2"/>
      <c r="H15" s="2"/>
      <c r="I15" s="2"/>
      <c r="J15" s="2"/>
    </row>
    <row r="16" spans="1:10" ht="13.95" customHeight="1" x14ac:dyDescent="0.3">
      <c r="A16" s="177" t="s">
        <v>870</v>
      </c>
      <c r="B16" s="176"/>
      <c r="C16" s="176"/>
      <c r="D16" s="2"/>
      <c r="E16" s="2">
        <v>3791</v>
      </c>
      <c r="F16" s="2">
        <v>4968</v>
      </c>
      <c r="G16" s="2">
        <v>4464</v>
      </c>
      <c r="H16" s="2">
        <v>4464</v>
      </c>
      <c r="I16" s="2"/>
      <c r="J16" s="2"/>
    </row>
    <row r="17" spans="1:10" x14ac:dyDescent="0.25">
      <c r="A17" s="176" t="s">
        <v>1296</v>
      </c>
      <c r="B17" s="2">
        <v>160</v>
      </c>
      <c r="C17" s="12">
        <f>+(C7+C8)/40*1.5/2</f>
        <v>27.900000000000002</v>
      </c>
      <c r="D17" s="2">
        <f>ROUND(B17*C17,0)</f>
        <v>4464</v>
      </c>
      <c r="E17" s="2"/>
      <c r="F17" s="2"/>
      <c r="G17" s="2"/>
      <c r="H17" s="2"/>
      <c r="I17" s="2"/>
      <c r="J17" s="2"/>
    </row>
    <row r="18" spans="1:10" x14ac:dyDescent="0.25">
      <c r="A18" s="176"/>
      <c r="B18" s="2"/>
      <c r="C18" s="12"/>
      <c r="D18" s="2"/>
      <c r="E18" s="2"/>
      <c r="F18" s="2"/>
      <c r="G18" s="2"/>
      <c r="H18" s="2"/>
      <c r="I18" s="2"/>
      <c r="J18" s="2"/>
    </row>
    <row r="19" spans="1:10" ht="13.8" x14ac:dyDescent="0.3">
      <c r="A19" s="177" t="s">
        <v>874</v>
      </c>
      <c r="B19" s="176"/>
      <c r="C19" s="176"/>
      <c r="D19" s="2"/>
      <c r="E19" s="2">
        <v>6571</v>
      </c>
      <c r="F19" s="2">
        <v>6647</v>
      </c>
      <c r="G19" s="2">
        <v>9235</v>
      </c>
      <c r="H19" s="2">
        <v>9235</v>
      </c>
      <c r="I19" s="2"/>
      <c r="J19" s="2"/>
    </row>
    <row r="20" spans="1:10" hidden="1" x14ac:dyDescent="0.25">
      <c r="A20" s="13" t="s">
        <v>757</v>
      </c>
      <c r="B20" s="2">
        <f>+D10</f>
        <v>78221</v>
      </c>
      <c r="C20" s="14">
        <v>7.6499999999999999E-2</v>
      </c>
      <c r="D20" s="2">
        <f>ROUND(B20*C20,0)</f>
        <v>5984</v>
      </c>
      <c r="E20" s="2"/>
      <c r="F20" s="2"/>
      <c r="G20" s="2"/>
      <c r="H20" s="2"/>
      <c r="I20" s="2"/>
      <c r="J20" s="2"/>
    </row>
    <row r="21" spans="1:10" hidden="1" x14ac:dyDescent="0.25">
      <c r="A21" s="13" t="s">
        <v>183</v>
      </c>
      <c r="B21" s="2">
        <f>+D15</f>
        <v>38038</v>
      </c>
      <c r="C21" s="14">
        <v>7.6499999999999999E-2</v>
      </c>
      <c r="D21" s="2">
        <f>ROUND(B21*C21,0)</f>
        <v>2910</v>
      </c>
      <c r="E21" s="2"/>
      <c r="F21" s="2"/>
      <c r="G21" s="2"/>
      <c r="H21" s="2"/>
      <c r="I21" s="2"/>
      <c r="J21" s="2"/>
    </row>
    <row r="22" spans="1:10" ht="15" hidden="1" x14ac:dyDescent="0.4">
      <c r="A22" s="13" t="s">
        <v>184</v>
      </c>
      <c r="B22" s="2">
        <f>+D17</f>
        <v>4464</v>
      </c>
      <c r="C22" s="14">
        <v>7.6499999999999999E-2</v>
      </c>
      <c r="D22" s="11">
        <f>ROUND(B22*C22,0)</f>
        <v>341</v>
      </c>
      <c r="E22" s="2"/>
      <c r="F22" s="2"/>
      <c r="G22" s="2"/>
      <c r="H22" s="2"/>
      <c r="I22" s="2"/>
      <c r="J22" s="2"/>
    </row>
    <row r="23" spans="1:10" hidden="1" x14ac:dyDescent="0.25">
      <c r="A23" s="176" t="s">
        <v>1182</v>
      </c>
      <c r="B23" s="176"/>
      <c r="C23" s="176"/>
      <c r="D23" s="2">
        <f>SUM(D20:D22)</f>
        <v>9235</v>
      </c>
      <c r="E23" s="2"/>
      <c r="F23" s="2"/>
      <c r="G23" s="2"/>
      <c r="H23" s="2"/>
      <c r="I23" s="2"/>
      <c r="J23" s="2"/>
    </row>
    <row r="24" spans="1:10" x14ac:dyDescent="0.25">
      <c r="A24" s="176"/>
      <c r="B24" s="176"/>
      <c r="C24" s="176"/>
      <c r="D24" s="2"/>
      <c r="E24" s="2"/>
      <c r="F24" s="2"/>
      <c r="G24" s="2"/>
      <c r="H24" s="2"/>
      <c r="I24" s="2"/>
      <c r="J24" s="2"/>
    </row>
    <row r="25" spans="1:10" ht="13.8" x14ac:dyDescent="0.3">
      <c r="A25" s="177" t="s">
        <v>875</v>
      </c>
      <c r="B25" s="176"/>
      <c r="C25" s="176"/>
      <c r="D25" s="2"/>
      <c r="E25" s="2">
        <v>0</v>
      </c>
      <c r="F25" s="2">
        <v>5936</v>
      </c>
      <c r="G25" s="2">
        <v>9410</v>
      </c>
      <c r="H25" s="2">
        <v>9410</v>
      </c>
      <c r="I25" s="2"/>
      <c r="J25" s="2"/>
    </row>
    <row r="26" spans="1:10" hidden="1" x14ac:dyDescent="0.25">
      <c r="A26" s="13" t="s">
        <v>757</v>
      </c>
      <c r="B26" s="2">
        <f>+D10</f>
        <v>78221</v>
      </c>
      <c r="C26" s="14">
        <v>0.1138</v>
      </c>
      <c r="D26" s="2">
        <f>ROUND(B26*C26,0)</f>
        <v>8902</v>
      </c>
      <c r="E26" s="2"/>
      <c r="F26" s="2"/>
      <c r="G26" s="2"/>
      <c r="H26" s="2"/>
      <c r="I26" s="2"/>
      <c r="J26" s="2"/>
    </row>
    <row r="27" spans="1:10" ht="15" hidden="1" x14ac:dyDescent="0.4">
      <c r="A27" s="13" t="s">
        <v>184</v>
      </c>
      <c r="B27" s="2">
        <f>+D17</f>
        <v>4464</v>
      </c>
      <c r="C27" s="14">
        <v>0.1138</v>
      </c>
      <c r="D27" s="11">
        <f>ROUND(B27*C27,0)</f>
        <v>508</v>
      </c>
      <c r="E27" s="2"/>
      <c r="F27" s="2"/>
      <c r="G27" s="2"/>
      <c r="H27" s="2"/>
      <c r="I27" s="2"/>
      <c r="J27" s="2"/>
    </row>
    <row r="28" spans="1:10" hidden="1" x14ac:dyDescent="0.25">
      <c r="A28" s="176" t="s">
        <v>1182</v>
      </c>
      <c r="B28" s="176"/>
      <c r="C28" s="176"/>
      <c r="D28" s="2">
        <f>SUM(D26:D27)</f>
        <v>9410</v>
      </c>
      <c r="E28" s="2"/>
      <c r="F28" s="2"/>
      <c r="G28" s="2"/>
      <c r="H28" s="2"/>
      <c r="I28" s="2"/>
      <c r="J28" s="2"/>
    </row>
    <row r="29" spans="1:10" x14ac:dyDescent="0.25">
      <c r="A29" s="176"/>
      <c r="B29" s="176"/>
      <c r="C29" s="176"/>
      <c r="D29" s="2"/>
      <c r="E29" s="2"/>
      <c r="F29" s="2"/>
      <c r="G29" s="2"/>
      <c r="H29" s="2"/>
      <c r="I29" s="2"/>
      <c r="J29" s="2"/>
    </row>
    <row r="30" spans="1:10" ht="13.8" x14ac:dyDescent="0.3">
      <c r="A30" s="177" t="s">
        <v>876</v>
      </c>
      <c r="B30" s="176"/>
      <c r="C30" s="176"/>
      <c r="D30" s="2"/>
      <c r="E30" s="2">
        <v>16187</v>
      </c>
      <c r="F30" s="2">
        <v>17250</v>
      </c>
      <c r="G30" s="2">
        <v>36600</v>
      </c>
      <c r="H30" s="2">
        <v>36600</v>
      </c>
      <c r="I30" s="2"/>
      <c r="J30" s="2"/>
    </row>
    <row r="31" spans="1:10" x14ac:dyDescent="0.25">
      <c r="A31" s="176" t="s">
        <v>406</v>
      </c>
      <c r="B31" s="2">
        <v>2</v>
      </c>
      <c r="C31" s="2">
        <v>18300</v>
      </c>
      <c r="D31" s="2">
        <f>ROUND(B31*C31,0)</f>
        <v>36600</v>
      </c>
      <c r="E31" s="2"/>
      <c r="F31" s="2"/>
      <c r="G31" s="2"/>
      <c r="H31" s="2"/>
      <c r="I31" s="2"/>
      <c r="J31" s="2"/>
    </row>
    <row r="32" spans="1:10" x14ac:dyDescent="0.25">
      <c r="A32" s="176"/>
      <c r="B32" s="176"/>
      <c r="C32" s="176"/>
      <c r="D32" s="2"/>
      <c r="E32" s="2"/>
      <c r="F32" s="2"/>
      <c r="G32" s="189"/>
      <c r="H32" s="178"/>
      <c r="I32" s="2"/>
      <c r="J32" s="2"/>
    </row>
    <row r="33" spans="1:10" ht="13.8" x14ac:dyDescent="0.3">
      <c r="A33" s="177" t="s">
        <v>1195</v>
      </c>
      <c r="B33" s="176"/>
      <c r="C33" s="176"/>
      <c r="D33" s="2"/>
      <c r="E33" s="2">
        <v>1187</v>
      </c>
      <c r="F33" s="2">
        <v>1170</v>
      </c>
      <c r="G33" s="2">
        <v>2340</v>
      </c>
      <c r="H33" s="2">
        <v>2340</v>
      </c>
      <c r="I33" s="2"/>
      <c r="J33" s="2"/>
    </row>
    <row r="34" spans="1:10" x14ac:dyDescent="0.25">
      <c r="A34" s="176" t="s">
        <v>406</v>
      </c>
      <c r="B34" s="2">
        <v>2</v>
      </c>
      <c r="C34" s="2">
        <v>1300</v>
      </c>
      <c r="D34" s="2">
        <f>ROUND(B34*C34,0)</f>
        <v>2600</v>
      </c>
      <c r="E34" s="2"/>
      <c r="F34" s="2"/>
      <c r="G34" s="2"/>
      <c r="H34" s="2"/>
      <c r="I34" s="2"/>
      <c r="J34" s="2"/>
    </row>
    <row r="35" spans="1:10" ht="15" x14ac:dyDescent="0.4">
      <c r="A35" s="176" t="s">
        <v>226</v>
      </c>
      <c r="B35" s="176"/>
      <c r="C35" s="176"/>
      <c r="D35" s="11">
        <f>+C34*-0.1*B34</f>
        <v>-260</v>
      </c>
      <c r="E35" s="2"/>
      <c r="F35" s="2"/>
      <c r="G35" s="2"/>
      <c r="H35" s="2"/>
      <c r="I35" s="2"/>
      <c r="J35" s="2"/>
    </row>
    <row r="36" spans="1:10" x14ac:dyDescent="0.25">
      <c r="A36" s="176" t="s">
        <v>1182</v>
      </c>
      <c r="B36" s="176"/>
      <c r="C36" s="176"/>
      <c r="D36" s="2">
        <f>SUM(D34:D35)</f>
        <v>2340</v>
      </c>
      <c r="E36" s="2"/>
      <c r="F36" s="2"/>
      <c r="G36" s="2"/>
      <c r="H36" s="2"/>
      <c r="I36" s="2"/>
      <c r="J36" s="2"/>
    </row>
    <row r="37" spans="1:10" ht="15" x14ac:dyDescent="0.4">
      <c r="A37" s="176"/>
      <c r="B37" s="176"/>
      <c r="C37" s="176"/>
      <c r="D37" s="11"/>
      <c r="E37" s="2"/>
      <c r="F37" s="2"/>
      <c r="G37" s="2"/>
      <c r="H37" s="2"/>
      <c r="I37" s="2"/>
      <c r="J37" s="2"/>
    </row>
    <row r="38" spans="1:10" ht="13.8" x14ac:dyDescent="0.3">
      <c r="A38" s="177" t="s">
        <v>991</v>
      </c>
      <c r="B38" s="176"/>
      <c r="C38" s="176"/>
      <c r="D38" s="2"/>
      <c r="E38" s="2">
        <v>97</v>
      </c>
      <c r="F38" s="2">
        <v>135</v>
      </c>
      <c r="G38" s="2">
        <v>270</v>
      </c>
      <c r="H38" s="2">
        <v>270</v>
      </c>
      <c r="I38" s="2"/>
      <c r="J38" s="2"/>
    </row>
    <row r="39" spans="1:10" hidden="1" x14ac:dyDescent="0.25">
      <c r="A39" s="176" t="s">
        <v>406</v>
      </c>
      <c r="B39" s="2">
        <v>2</v>
      </c>
      <c r="C39" s="2">
        <v>135</v>
      </c>
      <c r="D39" s="2">
        <f>ROUND(B39*C39,0)</f>
        <v>270</v>
      </c>
      <c r="E39" s="2"/>
      <c r="F39" s="2"/>
      <c r="G39" s="2"/>
      <c r="H39" s="2"/>
      <c r="I39" s="2"/>
      <c r="J39" s="2"/>
    </row>
    <row r="40" spans="1:10" x14ac:dyDescent="0.25">
      <c r="A40" s="176"/>
      <c r="B40" s="176"/>
      <c r="C40" s="176"/>
      <c r="D40" s="2"/>
      <c r="E40" s="2"/>
      <c r="F40" s="2"/>
      <c r="G40" s="2"/>
      <c r="H40" s="2"/>
      <c r="I40" s="2"/>
      <c r="J40" s="2"/>
    </row>
    <row r="41" spans="1:10" ht="13.8" x14ac:dyDescent="0.3">
      <c r="A41" s="177" t="s">
        <v>1212</v>
      </c>
      <c r="B41" s="176"/>
      <c r="C41" s="176"/>
      <c r="D41" s="2"/>
      <c r="E41" s="2">
        <v>348</v>
      </c>
      <c r="F41" s="2">
        <v>410</v>
      </c>
      <c r="G41" s="2">
        <v>1260</v>
      </c>
      <c r="H41" s="2">
        <v>1260</v>
      </c>
      <c r="I41" s="2"/>
      <c r="J41" s="2"/>
    </row>
    <row r="42" spans="1:10" hidden="1" x14ac:dyDescent="0.25">
      <c r="A42" s="176" t="s">
        <v>406</v>
      </c>
      <c r="B42" s="2">
        <v>2</v>
      </c>
      <c r="C42" s="2">
        <v>630</v>
      </c>
      <c r="D42" s="2">
        <f>ROUND(B42*C42,0)</f>
        <v>1260</v>
      </c>
      <c r="E42" s="2"/>
      <c r="F42" s="2"/>
      <c r="G42" s="2"/>
      <c r="H42" s="2"/>
      <c r="I42" s="2"/>
      <c r="J42" s="2"/>
    </row>
    <row r="43" spans="1:10" x14ac:dyDescent="0.25">
      <c r="A43" s="176"/>
      <c r="B43" s="176"/>
      <c r="C43" s="176"/>
      <c r="D43" s="2"/>
      <c r="E43" s="2"/>
      <c r="F43" s="2"/>
      <c r="G43" s="2"/>
      <c r="H43" s="2"/>
      <c r="I43" s="2"/>
      <c r="J43" s="2"/>
    </row>
    <row r="44" spans="1:10" ht="13.8" x14ac:dyDescent="0.3">
      <c r="A44" s="177" t="s">
        <v>1213</v>
      </c>
      <c r="B44" s="176"/>
      <c r="C44" s="176"/>
      <c r="D44" s="2"/>
      <c r="E44" s="2">
        <v>1647</v>
      </c>
      <c r="F44" s="2">
        <v>2021</v>
      </c>
      <c r="G44" s="2">
        <v>2982</v>
      </c>
      <c r="H44" s="2">
        <v>2982</v>
      </c>
      <c r="I44" s="2"/>
      <c r="J44" s="2"/>
    </row>
    <row r="45" spans="1:10" hidden="1" x14ac:dyDescent="0.25">
      <c r="A45" s="13" t="s">
        <v>757</v>
      </c>
      <c r="B45" s="2">
        <f>+D10</f>
        <v>78221</v>
      </c>
      <c r="C45" s="14">
        <v>2.47E-2</v>
      </c>
      <c r="D45" s="2">
        <f>ROUND(B45*C45,0)</f>
        <v>1932</v>
      </c>
      <c r="E45" s="2"/>
      <c r="F45" s="2"/>
      <c r="G45" s="2"/>
      <c r="H45" s="2"/>
      <c r="I45" s="2"/>
      <c r="J45" s="2"/>
    </row>
    <row r="46" spans="1:10" hidden="1" x14ac:dyDescent="0.25">
      <c r="A46" s="13" t="s">
        <v>183</v>
      </c>
      <c r="B46" s="2">
        <f>+B21</f>
        <v>38038</v>
      </c>
      <c r="C46" s="14">
        <v>2.47E-2</v>
      </c>
      <c r="D46" s="2">
        <f>ROUND(B46*C46,0)</f>
        <v>940</v>
      </c>
      <c r="E46" s="2"/>
      <c r="F46" s="2"/>
      <c r="G46" s="2"/>
      <c r="H46" s="2"/>
      <c r="I46" s="2"/>
      <c r="J46" s="2"/>
    </row>
    <row r="47" spans="1:10" ht="15" hidden="1" x14ac:dyDescent="0.4">
      <c r="A47" s="13" t="s">
        <v>1998</v>
      </c>
      <c r="B47" s="2">
        <f>ROUND(D17,0)</f>
        <v>4464</v>
      </c>
      <c r="C47" s="14">
        <v>2.47E-2</v>
      </c>
      <c r="D47" s="11">
        <f>ROUND(B47*C47,0)</f>
        <v>110</v>
      </c>
      <c r="E47" s="2"/>
      <c r="F47" s="2"/>
      <c r="G47" s="2"/>
      <c r="H47" s="2"/>
      <c r="I47" s="2"/>
      <c r="J47" s="2"/>
    </row>
    <row r="48" spans="1:10" hidden="1" x14ac:dyDescent="0.25">
      <c r="A48" s="176" t="s">
        <v>1182</v>
      </c>
      <c r="B48" s="176"/>
      <c r="C48" s="176"/>
      <c r="D48" s="2">
        <f>SUM(D45:D47)</f>
        <v>2982</v>
      </c>
      <c r="E48" s="2"/>
      <c r="F48" s="2"/>
      <c r="G48" s="2"/>
      <c r="H48" s="2"/>
      <c r="I48" s="2"/>
      <c r="J48" s="2"/>
    </row>
    <row r="49" spans="1:10" x14ac:dyDescent="0.25">
      <c r="A49" s="176"/>
      <c r="B49" s="176"/>
      <c r="C49" s="176"/>
      <c r="D49" s="2"/>
      <c r="E49" s="2"/>
      <c r="F49" s="2"/>
      <c r="G49" s="2"/>
      <c r="H49" s="2"/>
      <c r="I49" s="2"/>
      <c r="J49" s="2"/>
    </row>
    <row r="50" spans="1:10" ht="13.8" x14ac:dyDescent="0.3">
      <c r="A50" s="177" t="s">
        <v>1461</v>
      </c>
      <c r="B50" s="176"/>
      <c r="C50" s="176"/>
      <c r="D50" s="2"/>
      <c r="E50" s="2">
        <v>81</v>
      </c>
      <c r="F50" s="2">
        <v>105</v>
      </c>
      <c r="G50" s="2">
        <v>104</v>
      </c>
      <c r="H50" s="2">
        <v>104</v>
      </c>
      <c r="I50" s="2"/>
      <c r="J50" s="2"/>
    </row>
    <row r="51" spans="1:10" hidden="1" x14ac:dyDescent="0.25">
      <c r="A51" s="13" t="s">
        <v>757</v>
      </c>
      <c r="B51" s="2">
        <v>2</v>
      </c>
      <c r="C51" s="2">
        <v>26</v>
      </c>
      <c r="D51" s="2">
        <f>ROUND(B51*C51,0)</f>
        <v>52</v>
      </c>
      <c r="E51" s="2"/>
      <c r="F51" s="2"/>
      <c r="G51" s="2"/>
      <c r="H51" s="2"/>
      <c r="I51" s="2"/>
      <c r="J51" s="2"/>
    </row>
    <row r="52" spans="1:10" ht="15" hidden="1" x14ac:dyDescent="0.4">
      <c r="A52" s="34" t="s">
        <v>2174</v>
      </c>
      <c r="B52" s="2">
        <v>2</v>
      </c>
      <c r="C52" s="2">
        <v>26</v>
      </c>
      <c r="D52" s="11">
        <f>ROUND(B52*C52,0)</f>
        <v>52</v>
      </c>
      <c r="E52" s="2"/>
      <c r="F52" s="2"/>
      <c r="G52" s="2"/>
      <c r="H52" s="2"/>
      <c r="I52" s="2"/>
      <c r="J52" s="2"/>
    </row>
    <row r="53" spans="1:10" hidden="1" x14ac:dyDescent="0.25">
      <c r="A53" s="13"/>
      <c r="B53" s="2"/>
      <c r="C53" s="2"/>
      <c r="D53" s="2">
        <f>SUM(D51:D52)</f>
        <v>104</v>
      </c>
      <c r="E53" s="2"/>
      <c r="F53" s="2"/>
      <c r="G53" s="2"/>
      <c r="H53" s="2"/>
      <c r="I53" s="2"/>
      <c r="J53" s="2"/>
    </row>
    <row r="54" spans="1:10" x14ac:dyDescent="0.25">
      <c r="A54" s="176"/>
      <c r="B54" s="176"/>
      <c r="C54" s="176"/>
      <c r="D54" s="2"/>
      <c r="E54" s="2"/>
      <c r="F54" s="2"/>
      <c r="G54" s="176"/>
      <c r="H54" s="178"/>
      <c r="I54" s="2"/>
      <c r="J54" s="2"/>
    </row>
    <row r="55" spans="1:10" ht="13.8" x14ac:dyDescent="0.3">
      <c r="A55" s="177" t="s">
        <v>23</v>
      </c>
      <c r="B55" s="176"/>
      <c r="C55" s="176"/>
      <c r="D55" s="2" t="s">
        <v>386</v>
      </c>
      <c r="E55" s="2">
        <v>600</v>
      </c>
      <c r="F55" s="2">
        <v>600</v>
      </c>
      <c r="G55" s="2">
        <v>900</v>
      </c>
      <c r="H55" s="2">
        <v>900</v>
      </c>
      <c r="I55" s="2"/>
      <c r="J55" s="2"/>
    </row>
    <row r="56" spans="1:10" x14ac:dyDescent="0.25">
      <c r="A56" s="176" t="s">
        <v>637</v>
      </c>
      <c r="B56" s="2">
        <v>2</v>
      </c>
      <c r="C56" s="2">
        <v>300</v>
      </c>
      <c r="D56" s="2">
        <f>ROUND(B56*C56,0)</f>
        <v>600</v>
      </c>
      <c r="E56" s="2"/>
      <c r="F56" s="2"/>
      <c r="G56" s="2"/>
      <c r="H56" s="2"/>
      <c r="I56" s="2"/>
      <c r="J56" s="2"/>
    </row>
    <row r="57" spans="1:10" ht="15" x14ac:dyDescent="0.4">
      <c r="A57" s="176" t="s">
        <v>1009</v>
      </c>
      <c r="B57" s="2">
        <v>4</v>
      </c>
      <c r="C57" s="2">
        <v>100</v>
      </c>
      <c r="D57" s="11">
        <v>300</v>
      </c>
      <c r="E57" s="2"/>
      <c r="F57" s="2"/>
      <c r="G57" s="2"/>
      <c r="H57" s="2"/>
      <c r="I57" s="2"/>
      <c r="J57" s="2"/>
    </row>
    <row r="58" spans="1:10" x14ac:dyDescent="0.25">
      <c r="A58" s="176"/>
      <c r="B58" s="2"/>
      <c r="C58" s="2"/>
      <c r="D58" s="2">
        <f>SUM(D56:D57)</f>
        <v>900</v>
      </c>
      <c r="E58" s="2"/>
      <c r="F58" s="2"/>
      <c r="G58" s="2"/>
      <c r="H58" s="2"/>
      <c r="I58" s="2"/>
      <c r="J58" s="2"/>
    </row>
    <row r="59" spans="1:10" x14ac:dyDescent="0.25">
      <c r="A59" s="176"/>
      <c r="B59" s="176"/>
      <c r="C59" s="2"/>
      <c r="D59" s="2"/>
      <c r="E59" s="2"/>
      <c r="F59" s="2"/>
      <c r="G59" s="2"/>
      <c r="H59" s="2"/>
      <c r="I59" s="2"/>
      <c r="J59" s="2"/>
    </row>
    <row r="60" spans="1:10" ht="13.8" x14ac:dyDescent="0.3">
      <c r="A60" s="177" t="s">
        <v>968</v>
      </c>
      <c r="B60" s="176"/>
      <c r="C60" s="2"/>
      <c r="D60" s="2"/>
      <c r="E60" s="2">
        <v>29745</v>
      </c>
      <c r="F60" s="2">
        <v>33355</v>
      </c>
      <c r="G60" s="2">
        <v>32275</v>
      </c>
      <c r="H60" s="2">
        <v>32275</v>
      </c>
      <c r="I60" s="2"/>
      <c r="J60" s="2"/>
    </row>
    <row r="61" spans="1:10" x14ac:dyDescent="0.25">
      <c r="A61" s="176" t="s">
        <v>1639</v>
      </c>
      <c r="B61" s="176"/>
      <c r="C61" s="2"/>
      <c r="D61" s="2">
        <v>31000</v>
      </c>
      <c r="E61" s="2"/>
      <c r="F61" s="2"/>
      <c r="G61" s="2"/>
      <c r="H61" s="2"/>
      <c r="I61" s="2"/>
      <c r="J61" s="2"/>
    </row>
    <row r="62" spans="1:10" x14ac:dyDescent="0.25">
      <c r="A62" s="176" t="s">
        <v>821</v>
      </c>
      <c r="B62" s="176"/>
      <c r="C62" s="2"/>
      <c r="D62" s="2">
        <v>650</v>
      </c>
      <c r="E62" s="2"/>
      <c r="F62" s="2"/>
      <c r="G62" s="2"/>
      <c r="H62" s="2"/>
      <c r="I62" s="2"/>
      <c r="J62" s="2"/>
    </row>
    <row r="63" spans="1:10" ht="15" x14ac:dyDescent="0.4">
      <c r="A63" s="176" t="s">
        <v>1561</v>
      </c>
      <c r="B63" s="176"/>
      <c r="C63" s="11"/>
      <c r="D63" s="11">
        <v>625</v>
      </c>
      <c r="E63" s="2"/>
      <c r="F63" s="2"/>
      <c r="G63" s="2"/>
      <c r="H63" s="2"/>
      <c r="I63" s="2"/>
      <c r="J63" s="2"/>
    </row>
    <row r="64" spans="1:10" x14ac:dyDescent="0.25">
      <c r="A64" s="176" t="s">
        <v>1182</v>
      </c>
      <c r="B64" s="176"/>
      <c r="C64" s="2"/>
      <c r="D64" s="2">
        <f>SUM(D61:D63)</f>
        <v>32275</v>
      </c>
      <c r="E64" s="2"/>
      <c r="F64" s="2"/>
      <c r="G64" s="2"/>
      <c r="H64" s="2"/>
      <c r="I64" s="2"/>
      <c r="J64" s="2"/>
    </row>
    <row r="65" spans="1:10" x14ac:dyDescent="0.25">
      <c r="A65" s="176"/>
      <c r="B65" s="176"/>
      <c r="C65" s="2"/>
      <c r="D65" s="2"/>
      <c r="E65" s="2"/>
      <c r="F65" s="2"/>
      <c r="G65" s="2"/>
      <c r="H65" s="2"/>
      <c r="I65" s="2"/>
      <c r="J65" s="2"/>
    </row>
    <row r="66" spans="1:10" ht="13.8" x14ac:dyDescent="0.3">
      <c r="A66" s="177" t="s">
        <v>375</v>
      </c>
      <c r="B66" s="176"/>
      <c r="C66" s="2"/>
      <c r="D66" s="2"/>
      <c r="E66" s="2">
        <v>8263</v>
      </c>
      <c r="F66" s="2">
        <v>9400</v>
      </c>
      <c r="G66" s="2">
        <v>8300</v>
      </c>
      <c r="H66" s="2">
        <v>8300</v>
      </c>
      <c r="I66" s="2"/>
      <c r="J66" s="2"/>
    </row>
    <row r="67" spans="1:10" x14ac:dyDescent="0.25">
      <c r="A67" s="176" t="s">
        <v>1227</v>
      </c>
      <c r="B67" s="176"/>
      <c r="C67" s="2"/>
      <c r="D67" s="2">
        <v>7000</v>
      </c>
      <c r="E67" s="2"/>
      <c r="F67" s="2"/>
      <c r="G67" s="2"/>
      <c r="H67" s="2"/>
      <c r="I67" s="2"/>
      <c r="J67" s="2"/>
    </row>
    <row r="68" spans="1:10" ht="15" x14ac:dyDescent="0.4">
      <c r="A68" s="99" t="s">
        <v>880</v>
      </c>
      <c r="B68" s="176"/>
      <c r="C68" s="2"/>
      <c r="D68" s="11">
        <v>1300</v>
      </c>
      <c r="E68" s="2"/>
      <c r="F68" s="2"/>
      <c r="G68" s="2"/>
      <c r="H68" s="2"/>
      <c r="I68" s="2"/>
      <c r="J68" s="2"/>
    </row>
    <row r="69" spans="1:10" x14ac:dyDescent="0.25">
      <c r="A69" s="176" t="s">
        <v>1182</v>
      </c>
      <c r="B69" s="176"/>
      <c r="C69" s="2"/>
      <c r="D69" s="2">
        <f>SUM(D67:D68)</f>
        <v>8300</v>
      </c>
      <c r="E69" s="2"/>
      <c r="F69" s="2"/>
      <c r="G69" s="2"/>
      <c r="H69" s="2"/>
      <c r="I69" s="2"/>
      <c r="J69" s="2"/>
    </row>
    <row r="70" spans="1:10" x14ac:dyDescent="0.25">
      <c r="A70" s="176"/>
      <c r="B70" s="176"/>
      <c r="C70" s="176"/>
      <c r="D70" s="2"/>
      <c r="E70" s="2"/>
      <c r="F70" s="2"/>
      <c r="G70" s="2"/>
      <c r="H70" s="2"/>
      <c r="I70" s="2"/>
      <c r="J70" s="2"/>
    </row>
    <row r="71" spans="1:10" ht="13.8" x14ac:dyDescent="0.3">
      <c r="A71" s="177" t="s">
        <v>822</v>
      </c>
      <c r="B71" s="176"/>
      <c r="C71" s="176"/>
      <c r="D71" s="2"/>
      <c r="E71" s="2">
        <v>2928</v>
      </c>
      <c r="F71" s="2">
        <v>4250</v>
      </c>
      <c r="G71" s="2">
        <v>3700</v>
      </c>
      <c r="H71" s="2">
        <v>3700</v>
      </c>
      <c r="I71" s="2"/>
      <c r="J71" s="2"/>
    </row>
    <row r="72" spans="1:10" x14ac:dyDescent="0.25">
      <c r="A72" s="176" t="s">
        <v>1639</v>
      </c>
      <c r="B72" s="176"/>
      <c r="C72" s="2"/>
      <c r="D72" s="2">
        <v>3700</v>
      </c>
      <c r="E72" s="2"/>
      <c r="F72" s="2"/>
      <c r="G72" s="2"/>
      <c r="H72" s="2"/>
      <c r="I72" s="2"/>
      <c r="J72" s="2"/>
    </row>
    <row r="73" spans="1:10" x14ac:dyDescent="0.25">
      <c r="A73" s="176"/>
      <c r="B73" s="176"/>
      <c r="C73" s="2"/>
      <c r="D73" s="2"/>
      <c r="E73" s="2"/>
      <c r="F73" s="2"/>
      <c r="G73" s="2"/>
      <c r="H73" s="2"/>
      <c r="I73" s="2"/>
      <c r="J73" s="2"/>
    </row>
    <row r="74" spans="1:10" ht="13.8" x14ac:dyDescent="0.3">
      <c r="A74" s="177" t="s">
        <v>823</v>
      </c>
      <c r="B74" s="176"/>
      <c r="C74" s="2"/>
      <c r="D74" s="2"/>
      <c r="E74" s="2">
        <v>339</v>
      </c>
      <c r="F74" s="2">
        <v>484</v>
      </c>
      <c r="G74" s="2">
        <v>484</v>
      </c>
      <c r="H74" s="2">
        <v>484</v>
      </c>
      <c r="I74" s="2"/>
      <c r="J74" s="2"/>
    </row>
    <row r="75" spans="1:10" x14ac:dyDescent="0.25">
      <c r="A75" s="176" t="s">
        <v>1639</v>
      </c>
      <c r="B75" s="176"/>
      <c r="C75" s="2"/>
      <c r="D75" s="2">
        <v>484</v>
      </c>
      <c r="E75" s="2"/>
      <c r="F75" s="2"/>
      <c r="G75" s="2"/>
      <c r="H75" s="2"/>
      <c r="I75" s="2"/>
      <c r="J75" s="2"/>
    </row>
    <row r="76" spans="1:10" x14ac:dyDescent="0.25">
      <c r="A76" s="176"/>
      <c r="B76" s="176"/>
      <c r="C76" s="176"/>
      <c r="D76" s="2"/>
      <c r="E76" s="2"/>
      <c r="F76" s="2"/>
      <c r="G76" s="2"/>
      <c r="H76" s="2"/>
      <c r="I76" s="2"/>
      <c r="J76" s="2"/>
    </row>
    <row r="77" spans="1:10" ht="13.8" x14ac:dyDescent="0.3">
      <c r="A77" s="177" t="s">
        <v>824</v>
      </c>
      <c r="B77" s="176"/>
      <c r="C77" s="176"/>
      <c r="D77" s="2"/>
      <c r="E77" s="2">
        <v>926</v>
      </c>
      <c r="F77" s="2">
        <v>1688</v>
      </c>
      <c r="G77" s="2">
        <v>1475</v>
      </c>
      <c r="H77" s="2">
        <v>1475</v>
      </c>
      <c r="I77" s="2"/>
      <c r="J77" s="2"/>
    </row>
    <row r="78" spans="1:10" x14ac:dyDescent="0.25">
      <c r="A78" s="176" t="s">
        <v>1219</v>
      </c>
      <c r="B78" s="2">
        <v>590</v>
      </c>
      <c r="C78" s="12">
        <v>2.5</v>
      </c>
      <c r="D78" s="2">
        <f>ROUND(B78*C78,0)</f>
        <v>1475</v>
      </c>
      <c r="E78" s="2"/>
      <c r="F78" s="2"/>
      <c r="G78" s="2"/>
      <c r="H78" s="2"/>
      <c r="I78" s="2"/>
      <c r="J78" s="2"/>
    </row>
    <row r="79" spans="1:10" x14ac:dyDescent="0.25">
      <c r="A79" s="176"/>
      <c r="B79" s="176"/>
      <c r="C79" s="176"/>
      <c r="D79" s="2"/>
      <c r="E79" s="2"/>
      <c r="F79" s="2"/>
      <c r="G79" s="2"/>
      <c r="H79" s="2"/>
      <c r="I79" s="2"/>
      <c r="J79" s="2"/>
    </row>
    <row r="80" spans="1:10" ht="13.8" x14ac:dyDescent="0.3">
      <c r="A80" s="177" t="s">
        <v>825</v>
      </c>
      <c r="B80" s="176"/>
      <c r="C80" s="176"/>
      <c r="D80" s="2"/>
      <c r="E80" s="2">
        <v>915</v>
      </c>
      <c r="F80" s="2">
        <v>1380</v>
      </c>
      <c r="G80" s="2">
        <v>1380</v>
      </c>
      <c r="H80" s="2">
        <v>1380</v>
      </c>
      <c r="I80" s="2"/>
      <c r="J80" s="2"/>
    </row>
    <row r="81" spans="1:10" x14ac:dyDescent="0.25">
      <c r="A81" s="176" t="s">
        <v>85</v>
      </c>
      <c r="B81" s="2" t="s">
        <v>386</v>
      </c>
      <c r="C81" s="2"/>
      <c r="D81" s="2">
        <v>300</v>
      </c>
      <c r="E81" s="2"/>
      <c r="F81" s="2"/>
      <c r="G81" s="2"/>
      <c r="H81" s="2"/>
      <c r="I81" s="2"/>
      <c r="J81" s="2"/>
    </row>
    <row r="82" spans="1:10" ht="15" x14ac:dyDescent="0.4">
      <c r="A82" s="176" t="s">
        <v>109</v>
      </c>
      <c r="B82" s="2"/>
      <c r="C82" s="2"/>
      <c r="D82" s="11">
        <v>1080</v>
      </c>
      <c r="E82" s="2"/>
      <c r="F82" s="2"/>
      <c r="G82" s="2"/>
      <c r="H82" s="2"/>
      <c r="I82" s="2"/>
      <c r="J82" s="2"/>
    </row>
    <row r="83" spans="1:10" x14ac:dyDescent="0.25">
      <c r="A83" s="176" t="s">
        <v>1182</v>
      </c>
      <c r="B83" s="2"/>
      <c r="C83" s="2"/>
      <c r="D83" s="2">
        <f>SUM(D81:D82)</f>
        <v>1380</v>
      </c>
      <c r="E83" s="2"/>
      <c r="F83" s="2"/>
      <c r="G83" s="2"/>
      <c r="H83" s="2"/>
      <c r="I83" s="2"/>
      <c r="J83" s="2"/>
    </row>
    <row r="84" spans="1:10" x14ac:dyDescent="0.25">
      <c r="A84" s="176"/>
      <c r="B84" s="176"/>
      <c r="C84" s="2"/>
      <c r="D84" s="2"/>
      <c r="E84" s="2"/>
      <c r="F84" s="2"/>
      <c r="G84" s="2"/>
      <c r="H84" s="2"/>
      <c r="I84" s="2"/>
      <c r="J84" s="2"/>
    </row>
    <row r="85" spans="1:10" ht="13.8" x14ac:dyDescent="0.3">
      <c r="A85" s="17" t="s">
        <v>826</v>
      </c>
      <c r="B85" s="176"/>
      <c r="C85" s="2"/>
      <c r="D85" s="2"/>
      <c r="E85" s="2">
        <v>4219</v>
      </c>
      <c r="F85" s="2">
        <v>4284</v>
      </c>
      <c r="G85" s="2">
        <v>4640</v>
      </c>
      <c r="H85" s="2">
        <v>4640</v>
      </c>
      <c r="I85" s="2"/>
      <c r="J85" s="2"/>
    </row>
    <row r="86" spans="1:10" x14ac:dyDescent="0.25">
      <c r="A86" s="176" t="s">
        <v>1640</v>
      </c>
      <c r="B86" s="176"/>
      <c r="C86" s="2"/>
      <c r="D86" s="2">
        <v>4640</v>
      </c>
      <c r="E86" s="2"/>
      <c r="F86" s="2"/>
      <c r="G86" s="2"/>
      <c r="H86" s="2"/>
      <c r="I86" s="2"/>
      <c r="J86" s="2"/>
    </row>
    <row r="87" spans="1:10" x14ac:dyDescent="0.25">
      <c r="A87" s="176"/>
      <c r="B87" s="176"/>
      <c r="C87" s="2"/>
      <c r="D87" s="2"/>
      <c r="E87" s="2"/>
      <c r="F87" s="2"/>
      <c r="G87" s="2"/>
      <c r="H87" s="2"/>
      <c r="I87" s="2"/>
      <c r="J87" s="2"/>
    </row>
    <row r="88" spans="1:10" x14ac:dyDescent="0.25">
      <c r="A88" s="176"/>
      <c r="B88" s="176"/>
      <c r="C88" s="2"/>
      <c r="D88" s="2"/>
      <c r="E88" s="2"/>
      <c r="F88" s="2"/>
      <c r="G88" s="2"/>
      <c r="H88" s="2"/>
      <c r="I88" s="2"/>
      <c r="J88" s="2"/>
    </row>
    <row r="89" spans="1:10" ht="13.8" x14ac:dyDescent="0.3">
      <c r="A89" s="177" t="s">
        <v>827</v>
      </c>
      <c r="B89" s="176"/>
      <c r="C89" s="2"/>
      <c r="D89" s="2"/>
      <c r="E89" s="2">
        <v>51618</v>
      </c>
      <c r="F89" s="2">
        <v>41423</v>
      </c>
      <c r="G89" s="2">
        <v>37748</v>
      </c>
      <c r="H89" s="2">
        <v>37748</v>
      </c>
      <c r="I89" s="2"/>
      <c r="J89" s="2"/>
    </row>
    <row r="90" spans="1:10" x14ac:dyDescent="0.25">
      <c r="A90" s="176" t="s">
        <v>1641</v>
      </c>
      <c r="B90" s="176"/>
      <c r="C90" s="2"/>
      <c r="D90" s="2">
        <v>4000</v>
      </c>
      <c r="E90" s="2"/>
      <c r="F90" s="2"/>
      <c r="G90" s="2"/>
      <c r="H90" s="2"/>
      <c r="I90" s="2"/>
      <c r="J90" s="2"/>
    </row>
    <row r="91" spans="1:10" x14ac:dyDescent="0.25">
      <c r="A91" s="176" t="s">
        <v>115</v>
      </c>
      <c r="B91" s="176"/>
      <c r="C91" s="2"/>
      <c r="D91" s="2">
        <v>2448</v>
      </c>
      <c r="E91" s="2"/>
      <c r="F91" s="2"/>
      <c r="G91" s="2"/>
      <c r="H91" s="2"/>
      <c r="I91" s="2"/>
      <c r="J91" s="2"/>
    </row>
    <row r="92" spans="1:10" x14ac:dyDescent="0.25">
      <c r="A92" s="176" t="s">
        <v>1248</v>
      </c>
      <c r="B92" s="176"/>
      <c r="C92" s="2"/>
      <c r="D92" s="2">
        <v>2000</v>
      </c>
      <c r="E92" s="2"/>
      <c r="F92" s="2"/>
      <c r="G92" s="2"/>
      <c r="H92" s="2"/>
      <c r="I92" s="2"/>
      <c r="J92" s="2"/>
    </row>
    <row r="93" spans="1:10" x14ac:dyDescent="0.25">
      <c r="A93" s="176" t="s">
        <v>1249</v>
      </c>
      <c r="B93" s="176"/>
      <c r="C93" s="2"/>
      <c r="D93" s="2">
        <v>500</v>
      </c>
      <c r="E93" s="2"/>
      <c r="F93" s="2"/>
      <c r="G93" s="2"/>
      <c r="H93" s="2"/>
      <c r="I93" s="2"/>
      <c r="J93" s="2"/>
    </row>
    <row r="94" spans="1:10" x14ac:dyDescent="0.25">
      <c r="A94" s="176" t="s">
        <v>2105</v>
      </c>
      <c r="B94" s="176"/>
      <c r="C94" s="2"/>
      <c r="D94" s="2">
        <v>3000</v>
      </c>
      <c r="E94" s="2"/>
      <c r="F94" s="2"/>
      <c r="G94" s="2"/>
      <c r="H94" s="2"/>
      <c r="I94" s="2"/>
      <c r="J94" s="2"/>
    </row>
    <row r="95" spans="1:10" x14ac:dyDescent="0.25">
      <c r="A95" s="176" t="s">
        <v>1887</v>
      </c>
      <c r="B95" s="176"/>
      <c r="C95" s="2"/>
      <c r="D95" s="2">
        <v>1500</v>
      </c>
      <c r="E95" s="2"/>
      <c r="F95" s="2"/>
      <c r="G95" s="2"/>
      <c r="H95" s="2"/>
      <c r="I95" s="2"/>
      <c r="J95" s="2"/>
    </row>
    <row r="96" spans="1:10" x14ac:dyDescent="0.25">
      <c r="A96" s="176" t="s">
        <v>1250</v>
      </c>
      <c r="B96" s="176"/>
      <c r="C96" s="2"/>
      <c r="D96" s="2">
        <v>1100</v>
      </c>
      <c r="E96" s="2"/>
      <c r="F96" s="2"/>
      <c r="G96" s="2"/>
      <c r="H96" s="2"/>
      <c r="I96" s="2"/>
      <c r="J96" s="2"/>
    </row>
    <row r="97" spans="1:10" x14ac:dyDescent="0.25">
      <c r="A97" s="176" t="s">
        <v>926</v>
      </c>
      <c r="B97" s="176"/>
      <c r="C97" s="2"/>
      <c r="D97" s="2">
        <v>775</v>
      </c>
      <c r="E97" s="2"/>
      <c r="F97" s="2"/>
      <c r="G97" s="2"/>
      <c r="H97" s="2"/>
      <c r="I97" s="2"/>
      <c r="J97" s="2"/>
    </row>
    <row r="98" spans="1:10" x14ac:dyDescent="0.25">
      <c r="A98" s="6" t="s">
        <v>963</v>
      </c>
      <c r="B98" s="6"/>
      <c r="C98" s="2"/>
      <c r="D98" s="2">
        <v>17000</v>
      </c>
      <c r="E98" s="2"/>
      <c r="F98" s="2"/>
      <c r="G98" s="2"/>
      <c r="H98" s="2"/>
      <c r="I98" s="2"/>
      <c r="J98" s="2"/>
    </row>
    <row r="99" spans="1:10" x14ac:dyDescent="0.25">
      <c r="A99" s="6" t="s">
        <v>1931</v>
      </c>
      <c r="B99" s="6"/>
      <c r="C99" s="2"/>
      <c r="D99" s="2">
        <v>795</v>
      </c>
      <c r="E99" s="2"/>
      <c r="F99" s="2"/>
      <c r="G99" s="2"/>
      <c r="H99" s="2"/>
      <c r="I99" s="2"/>
      <c r="J99" s="2"/>
    </row>
    <row r="100" spans="1:10" x14ac:dyDescent="0.25">
      <c r="A100" s="6" t="s">
        <v>988</v>
      </c>
      <c r="B100" s="6"/>
      <c r="C100" s="2"/>
      <c r="D100" s="2">
        <v>1300</v>
      </c>
      <c r="E100" s="2"/>
      <c r="F100" s="2"/>
      <c r="G100" s="2"/>
      <c r="H100" s="2"/>
      <c r="I100" s="2"/>
      <c r="J100" s="2"/>
    </row>
    <row r="101" spans="1:10" x14ac:dyDescent="0.25">
      <c r="A101" s="6" t="s">
        <v>1118</v>
      </c>
      <c r="B101" s="6"/>
      <c r="C101" s="2"/>
      <c r="D101" s="2">
        <v>200</v>
      </c>
      <c r="E101" s="2"/>
      <c r="F101" s="2"/>
      <c r="G101" s="2"/>
      <c r="H101" s="2"/>
      <c r="I101" s="2"/>
      <c r="J101" s="2"/>
    </row>
    <row r="102" spans="1:10" x14ac:dyDescent="0.25">
      <c r="A102" s="6" t="s">
        <v>1642</v>
      </c>
      <c r="B102" s="6"/>
      <c r="C102" s="2"/>
      <c r="D102" s="2">
        <v>250</v>
      </c>
      <c r="E102" s="2"/>
      <c r="F102" s="2"/>
      <c r="G102" s="2"/>
      <c r="H102" s="2"/>
      <c r="I102" s="2"/>
      <c r="J102" s="2"/>
    </row>
    <row r="103" spans="1:10" x14ac:dyDescent="0.25">
      <c r="A103" s="6" t="s">
        <v>1762</v>
      </c>
      <c r="B103" s="6"/>
      <c r="C103" s="2"/>
      <c r="D103" s="2">
        <v>880</v>
      </c>
      <c r="E103" s="2"/>
      <c r="F103" s="2"/>
      <c r="G103" s="2"/>
      <c r="H103" s="2"/>
      <c r="I103" s="2"/>
      <c r="J103" s="2"/>
    </row>
    <row r="104" spans="1:10" ht="15" x14ac:dyDescent="0.4">
      <c r="A104" s="176" t="s">
        <v>1223</v>
      </c>
      <c r="B104" s="176"/>
      <c r="C104" s="11"/>
      <c r="D104" s="11">
        <v>2000</v>
      </c>
      <c r="E104" s="2"/>
      <c r="F104" s="2"/>
      <c r="G104" s="2"/>
      <c r="H104" s="2"/>
      <c r="I104" s="2"/>
      <c r="J104" s="2"/>
    </row>
    <row r="105" spans="1:10" x14ac:dyDescent="0.25">
      <c r="A105" s="176" t="s">
        <v>1182</v>
      </c>
      <c r="B105" s="176"/>
      <c r="C105" s="2"/>
      <c r="D105" s="2">
        <f>SUM(D90:D104)</f>
        <v>37748</v>
      </c>
      <c r="E105" s="2"/>
      <c r="F105" s="2"/>
      <c r="G105" s="176"/>
      <c r="H105" s="178"/>
      <c r="I105" s="2"/>
      <c r="J105" s="2"/>
    </row>
    <row r="106" spans="1:10" x14ac:dyDescent="0.25">
      <c r="A106" s="176"/>
      <c r="B106" s="176"/>
      <c r="C106" s="2"/>
      <c r="D106" s="2"/>
      <c r="E106" s="2"/>
      <c r="F106" s="2"/>
      <c r="G106" s="2"/>
      <c r="H106" s="2"/>
      <c r="I106" s="2"/>
      <c r="J106" s="2"/>
    </row>
    <row r="107" spans="1:10" ht="13.8" x14ac:dyDescent="0.3">
      <c r="A107" s="177" t="s">
        <v>934</v>
      </c>
      <c r="B107" s="176"/>
      <c r="C107" s="2"/>
      <c r="D107" s="2"/>
      <c r="E107" s="2">
        <v>5868</v>
      </c>
      <c r="F107" s="2">
        <v>5250</v>
      </c>
      <c r="G107" s="2">
        <v>5250</v>
      </c>
      <c r="H107" s="2">
        <v>5250</v>
      </c>
      <c r="I107" s="2"/>
      <c r="J107" s="2"/>
    </row>
    <row r="108" spans="1:10" x14ac:dyDescent="0.25">
      <c r="A108" s="176" t="s">
        <v>935</v>
      </c>
      <c r="B108" s="176"/>
      <c r="C108" s="2"/>
      <c r="D108" s="2">
        <v>750</v>
      </c>
      <c r="E108" s="2"/>
      <c r="F108" s="2"/>
      <c r="G108" s="2"/>
      <c r="H108" s="2"/>
      <c r="I108" s="2"/>
      <c r="J108" s="2"/>
    </row>
    <row r="109" spans="1:10" x14ac:dyDescent="0.25">
      <c r="A109" s="176" t="s">
        <v>947</v>
      </c>
      <c r="B109" s="176"/>
      <c r="C109" s="2"/>
      <c r="D109" s="2">
        <v>750</v>
      </c>
      <c r="E109" s="2"/>
      <c r="F109" s="2"/>
      <c r="G109" s="2"/>
      <c r="H109" s="2"/>
      <c r="I109" s="2"/>
      <c r="J109" s="2"/>
    </row>
    <row r="110" spans="1:10" ht="15" x14ac:dyDescent="0.4">
      <c r="A110" s="176" t="s">
        <v>1747</v>
      </c>
      <c r="B110" s="176"/>
      <c r="C110" s="11"/>
      <c r="D110" s="2">
        <v>3000</v>
      </c>
      <c r="E110" s="2"/>
      <c r="F110" s="2"/>
      <c r="G110" s="2"/>
      <c r="H110" s="2"/>
      <c r="I110" s="2"/>
      <c r="J110" s="2"/>
    </row>
    <row r="111" spans="1:10" ht="15" x14ac:dyDescent="0.4">
      <c r="A111" s="176" t="s">
        <v>1502</v>
      </c>
      <c r="B111" s="176"/>
      <c r="C111" s="11"/>
      <c r="D111" s="11">
        <v>750</v>
      </c>
      <c r="E111" s="2"/>
      <c r="F111" s="2"/>
      <c r="G111" s="2"/>
      <c r="H111" s="2"/>
      <c r="I111" s="2"/>
      <c r="J111" s="2"/>
    </row>
    <row r="112" spans="1:10" x14ac:dyDescent="0.25">
      <c r="A112" s="176" t="s">
        <v>1182</v>
      </c>
      <c r="B112" s="176"/>
      <c r="C112" s="2"/>
      <c r="D112" s="2">
        <f>SUM(D108:D111)</f>
        <v>5250</v>
      </c>
      <c r="E112" s="2"/>
      <c r="F112" s="2"/>
      <c r="G112" s="2"/>
      <c r="H112" s="2"/>
      <c r="I112" s="2"/>
      <c r="J112" s="2"/>
    </row>
    <row r="113" spans="1:10" x14ac:dyDescent="0.25">
      <c r="A113" s="176"/>
      <c r="B113" s="176"/>
      <c r="C113" s="2"/>
      <c r="D113" s="2"/>
      <c r="E113" s="2"/>
      <c r="F113" s="2"/>
      <c r="G113" s="2"/>
      <c r="H113" s="2"/>
      <c r="I113" s="2"/>
      <c r="J113" s="2"/>
    </row>
    <row r="114" spans="1:10" ht="13.8" x14ac:dyDescent="0.3">
      <c r="A114" s="177" t="s">
        <v>1420</v>
      </c>
      <c r="B114" s="176"/>
      <c r="C114" s="2"/>
      <c r="D114" s="2"/>
      <c r="E114" s="2">
        <v>412</v>
      </c>
      <c r="F114" s="2">
        <v>750</v>
      </c>
      <c r="G114" s="2">
        <v>750</v>
      </c>
      <c r="H114" s="2">
        <v>750</v>
      </c>
      <c r="I114" s="2"/>
      <c r="J114" s="2"/>
    </row>
    <row r="115" spans="1:10" x14ac:dyDescent="0.25">
      <c r="A115" s="23" t="s">
        <v>1643</v>
      </c>
      <c r="B115" s="176"/>
      <c r="C115" s="2"/>
      <c r="D115" s="2">
        <v>750</v>
      </c>
      <c r="E115" s="2"/>
      <c r="F115" s="2"/>
      <c r="G115" s="2"/>
      <c r="H115" s="2"/>
      <c r="I115" s="2"/>
      <c r="J115" s="2"/>
    </row>
    <row r="116" spans="1:10" x14ac:dyDescent="0.25">
      <c r="A116" s="176"/>
      <c r="B116" s="176"/>
      <c r="C116" s="2"/>
      <c r="D116" s="2"/>
      <c r="E116" s="2"/>
      <c r="F116" s="2"/>
      <c r="G116" s="2"/>
      <c r="H116" s="2"/>
      <c r="I116" s="2"/>
      <c r="J116" s="2"/>
    </row>
    <row r="117" spans="1:10" ht="13.8" x14ac:dyDescent="0.3">
      <c r="A117" s="177" t="s">
        <v>1028</v>
      </c>
      <c r="B117" s="176"/>
      <c r="C117" s="2"/>
      <c r="D117" s="2"/>
      <c r="E117" s="2">
        <v>0</v>
      </c>
      <c r="F117" s="2">
        <v>1500</v>
      </c>
      <c r="G117" s="2">
        <v>1800</v>
      </c>
      <c r="H117" s="2">
        <v>1800</v>
      </c>
      <c r="I117" s="2"/>
      <c r="J117" s="2"/>
    </row>
    <row r="118" spans="1:10" x14ac:dyDescent="0.25">
      <c r="A118" s="176" t="s">
        <v>1888</v>
      </c>
      <c r="B118" s="176"/>
      <c r="C118" s="2"/>
      <c r="D118" s="2">
        <v>1800</v>
      </c>
      <c r="E118" s="2"/>
      <c r="F118" s="2"/>
      <c r="G118" s="2"/>
      <c r="H118" s="2"/>
      <c r="I118" s="2"/>
      <c r="J118" s="2"/>
    </row>
    <row r="119" spans="1:10" x14ac:dyDescent="0.25">
      <c r="A119" s="176"/>
      <c r="B119" s="176"/>
      <c r="C119" s="2"/>
      <c r="D119" s="2"/>
      <c r="E119" s="2"/>
      <c r="F119" s="2"/>
      <c r="G119" s="2"/>
      <c r="H119" s="2"/>
      <c r="I119" s="2"/>
      <c r="J119" s="2"/>
    </row>
    <row r="120" spans="1:10" x14ac:dyDescent="0.25">
      <c r="A120" s="176"/>
      <c r="B120" s="176"/>
      <c r="C120" s="2"/>
      <c r="D120" s="2"/>
      <c r="E120" s="2"/>
      <c r="F120" s="2"/>
      <c r="G120" s="2"/>
      <c r="H120" s="2"/>
      <c r="I120" s="2"/>
      <c r="J120" s="2"/>
    </row>
    <row r="121" spans="1:10" ht="13.8" x14ac:dyDescent="0.3">
      <c r="A121" s="177" t="s">
        <v>1794</v>
      </c>
      <c r="B121" s="176"/>
      <c r="C121" s="2"/>
      <c r="D121" s="2"/>
      <c r="E121" s="2">
        <v>0</v>
      </c>
      <c r="F121" s="2">
        <v>15000</v>
      </c>
      <c r="G121" s="2">
        <v>17000</v>
      </c>
      <c r="H121" s="2">
        <v>17000</v>
      </c>
      <c r="I121" s="2"/>
      <c r="J121" s="2"/>
    </row>
    <row r="122" spans="1:10" x14ac:dyDescent="0.25">
      <c r="A122" s="176" t="s">
        <v>2106</v>
      </c>
      <c r="B122" s="176"/>
      <c r="C122" s="2"/>
      <c r="D122" s="2">
        <v>17000</v>
      </c>
      <c r="E122" s="2"/>
      <c r="F122" s="2"/>
      <c r="G122" s="2"/>
      <c r="H122" s="2"/>
      <c r="I122" s="2"/>
      <c r="J122" s="2"/>
    </row>
    <row r="123" spans="1:10" ht="13.8" x14ac:dyDescent="0.3">
      <c r="A123" s="177"/>
      <c r="B123" s="176"/>
      <c r="C123" s="2"/>
      <c r="D123" s="2"/>
      <c r="E123" s="2"/>
      <c r="F123" s="2"/>
      <c r="G123" s="2"/>
      <c r="H123" s="2"/>
      <c r="I123" s="2"/>
      <c r="J123" s="2"/>
    </row>
    <row r="124" spans="1:10" x14ac:dyDescent="0.25">
      <c r="A124" s="176"/>
      <c r="B124" s="176"/>
      <c r="C124" s="2"/>
      <c r="D124" s="2"/>
      <c r="E124" s="2"/>
      <c r="F124" s="2"/>
      <c r="G124" s="2"/>
      <c r="H124" s="2"/>
      <c r="I124" s="2"/>
      <c r="J124" s="2"/>
    </row>
    <row r="125" spans="1:10" ht="13.8" x14ac:dyDescent="0.3">
      <c r="A125" s="177" t="s">
        <v>516</v>
      </c>
      <c r="B125" s="176"/>
      <c r="C125" s="8"/>
      <c r="D125" s="8"/>
      <c r="E125" s="2">
        <v>4950</v>
      </c>
      <c r="F125" s="2">
        <v>19200</v>
      </c>
      <c r="G125" s="2">
        <v>240200</v>
      </c>
      <c r="H125" s="2">
        <v>160000</v>
      </c>
      <c r="I125" s="2"/>
      <c r="J125" s="2"/>
    </row>
    <row r="126" spans="1:10" x14ac:dyDescent="0.25">
      <c r="A126" s="176" t="s">
        <v>1889</v>
      </c>
      <c r="B126" s="176"/>
      <c r="C126" s="8"/>
      <c r="D126" s="2">
        <v>0</v>
      </c>
      <c r="E126" s="2"/>
      <c r="F126" s="2"/>
      <c r="G126" s="176"/>
      <c r="H126" s="178"/>
      <c r="I126" s="2"/>
      <c r="J126" s="2"/>
    </row>
    <row r="127" spans="1:10" x14ac:dyDescent="0.25">
      <c r="A127" s="176" t="s">
        <v>2158</v>
      </c>
      <c r="B127" s="176"/>
      <c r="C127" s="8"/>
      <c r="D127" s="2">
        <v>150000</v>
      </c>
      <c r="E127" s="2"/>
      <c r="F127" s="2"/>
      <c r="G127" s="176"/>
      <c r="H127" s="178"/>
      <c r="I127" s="2"/>
      <c r="J127" s="2"/>
    </row>
    <row r="128" spans="1:10" ht="15" x14ac:dyDescent="0.4">
      <c r="A128" s="176" t="s">
        <v>1932</v>
      </c>
      <c r="B128" s="176"/>
      <c r="C128" s="9"/>
      <c r="D128" s="18">
        <v>10000</v>
      </c>
      <c r="E128" s="2"/>
      <c r="F128" s="2"/>
      <c r="G128" s="176"/>
      <c r="H128" s="178"/>
      <c r="I128" s="2"/>
      <c r="J128" s="2"/>
    </row>
    <row r="129" spans="1:10" x14ac:dyDescent="0.25">
      <c r="A129" s="176" t="s">
        <v>1182</v>
      </c>
      <c r="B129" s="176"/>
      <c r="C129" s="2"/>
      <c r="D129" s="2">
        <f>SUM(D126:D128)</f>
        <v>160000</v>
      </c>
      <c r="E129" s="2"/>
      <c r="F129" s="2"/>
      <c r="G129" s="176"/>
      <c r="H129" s="178"/>
      <c r="I129" s="2"/>
      <c r="J129" s="2"/>
    </row>
    <row r="130" spans="1:10" x14ac:dyDescent="0.25">
      <c r="A130" s="176"/>
      <c r="B130" s="176"/>
      <c r="C130" s="2"/>
      <c r="D130" s="2"/>
      <c r="E130" s="2"/>
      <c r="F130" s="2"/>
      <c r="G130" s="176"/>
      <c r="H130" s="178"/>
      <c r="I130" s="2"/>
      <c r="J130" s="2"/>
    </row>
    <row r="131" spans="1:10" ht="15" x14ac:dyDescent="0.4">
      <c r="A131" s="177" t="s">
        <v>1891</v>
      </c>
      <c r="B131" s="176"/>
      <c r="C131" s="8"/>
      <c r="D131" s="8"/>
      <c r="E131" s="11">
        <v>0</v>
      </c>
      <c r="F131" s="11">
        <v>0</v>
      </c>
      <c r="G131" s="11">
        <v>25000</v>
      </c>
      <c r="H131" s="11">
        <v>0</v>
      </c>
      <c r="I131" s="2"/>
      <c r="J131" s="2"/>
    </row>
    <row r="132" spans="1:10" ht="15" x14ac:dyDescent="0.4">
      <c r="A132" s="176" t="s">
        <v>2107</v>
      </c>
      <c r="B132" s="176"/>
      <c r="C132" s="9"/>
      <c r="D132" s="18">
        <v>0</v>
      </c>
      <c r="E132" s="2"/>
      <c r="F132" s="176"/>
      <c r="G132" s="176"/>
      <c r="H132" s="178"/>
      <c r="I132" s="2"/>
      <c r="J132" s="2"/>
    </row>
    <row r="133" spans="1:10" x14ac:dyDescent="0.25">
      <c r="A133" s="176" t="s">
        <v>1182</v>
      </c>
      <c r="B133" s="176"/>
      <c r="C133" s="2"/>
      <c r="D133" s="2">
        <f>SUM(D132:D132)</f>
        <v>0</v>
      </c>
      <c r="E133" s="2"/>
      <c r="F133" s="176"/>
      <c r="G133" s="176"/>
      <c r="H133" s="178"/>
      <c r="I133" s="2"/>
      <c r="J133" s="2"/>
    </row>
    <row r="134" spans="1:10" ht="15" x14ac:dyDescent="0.4">
      <c r="A134" s="176"/>
      <c r="B134" s="176"/>
      <c r="C134" s="2"/>
      <c r="D134" s="2"/>
      <c r="E134" s="2"/>
      <c r="F134" s="2"/>
      <c r="G134" s="2"/>
      <c r="H134" s="2"/>
      <c r="I134" s="11"/>
      <c r="J134" s="11"/>
    </row>
    <row r="135" spans="1:10" x14ac:dyDescent="0.25">
      <c r="A135" s="176" t="s">
        <v>1267</v>
      </c>
      <c r="B135" s="176"/>
      <c r="C135" s="2"/>
      <c r="D135" s="2"/>
      <c r="E135" s="2">
        <f>SUM(E6:E134)</f>
        <v>222382</v>
      </c>
      <c r="F135" s="2">
        <f>SUM(F6:F134)</f>
        <v>259128</v>
      </c>
      <c r="G135" s="2">
        <f>SUM(G6:G134)</f>
        <v>563826</v>
      </c>
      <c r="H135" s="2">
        <f>SUM(H6:H134)</f>
        <v>458626</v>
      </c>
      <c r="I135" s="160"/>
      <c r="J135" s="161"/>
    </row>
    <row r="136" spans="1:10" x14ac:dyDescent="0.25">
      <c r="A136" s="176"/>
      <c r="B136" s="176"/>
      <c r="C136" s="176"/>
      <c r="D136" s="176"/>
      <c r="E136" s="176"/>
      <c r="F136" s="176"/>
      <c r="G136" s="176"/>
      <c r="H136" s="178"/>
      <c r="I136" s="160"/>
      <c r="J136" s="161"/>
    </row>
    <row r="137" spans="1:10" x14ac:dyDescent="0.25">
      <c r="A137" s="176" t="s">
        <v>571</v>
      </c>
      <c r="B137" s="176"/>
      <c r="C137" s="176"/>
      <c r="D137" s="176"/>
      <c r="E137" s="2">
        <f>SUM(E6:E54)</f>
        <v>111599</v>
      </c>
      <c r="F137" s="2">
        <f>SUM(F6:F54)</f>
        <v>120564</v>
      </c>
      <c r="G137" s="2">
        <f>SUM(G6:G54)</f>
        <v>182924</v>
      </c>
      <c r="H137" s="2">
        <f>SUM(H6:H54)</f>
        <v>182924</v>
      </c>
      <c r="I137" s="160"/>
      <c r="J137" s="161"/>
    </row>
    <row r="138" spans="1:10" x14ac:dyDescent="0.25">
      <c r="A138" s="176" t="s">
        <v>895</v>
      </c>
      <c r="B138" s="176"/>
      <c r="C138" s="176"/>
      <c r="D138" s="176"/>
      <c r="E138" s="2">
        <f>SUM(E55:E124)</f>
        <v>105833</v>
      </c>
      <c r="F138" s="2">
        <f>SUM(F55:F124)</f>
        <v>119364</v>
      </c>
      <c r="G138" s="2">
        <f>SUM(G55:G124)</f>
        <v>115702</v>
      </c>
      <c r="H138" s="2">
        <f>SUM(H55:H124)</f>
        <v>115702</v>
      </c>
      <c r="I138" s="2">
        <f>SUM(I6:I137)</f>
        <v>0</v>
      </c>
      <c r="J138" s="2">
        <f>SUM(J6:J137)</f>
        <v>0</v>
      </c>
    </row>
    <row r="139" spans="1:10" ht="15" x14ac:dyDescent="0.4">
      <c r="A139" s="176" t="s">
        <v>896</v>
      </c>
      <c r="B139" s="176"/>
      <c r="C139" s="176"/>
      <c r="D139" s="176"/>
      <c r="E139" s="11">
        <f>SUM(E125:E134)</f>
        <v>4950</v>
      </c>
      <c r="F139" s="11">
        <f>SUM(F125:F134)</f>
        <v>19200</v>
      </c>
      <c r="G139" s="11">
        <f>SUM(G125:G134)</f>
        <v>265200</v>
      </c>
      <c r="H139" s="11">
        <f>SUM(H125:H134)</f>
        <v>160000</v>
      </c>
      <c r="I139" s="160"/>
      <c r="J139" s="161"/>
    </row>
    <row r="140" spans="1:10" x14ac:dyDescent="0.25">
      <c r="A140" s="176" t="s">
        <v>1182</v>
      </c>
      <c r="B140" s="176"/>
      <c r="C140" s="176"/>
      <c r="D140" s="176"/>
      <c r="E140" s="2">
        <f>SUM(E137:E139)</f>
        <v>222382</v>
      </c>
      <c r="F140" s="2">
        <f>SUM(F137:F139)</f>
        <v>259128</v>
      </c>
      <c r="G140" s="2">
        <f>SUM(G137:G139)</f>
        <v>563826</v>
      </c>
      <c r="H140" s="2">
        <f>SUM(H137:H139)</f>
        <v>458626</v>
      </c>
      <c r="I140" s="2">
        <f>SUM(I6:I54)</f>
        <v>0</v>
      </c>
      <c r="J140" s="2">
        <f>SUM(J6:J54)</f>
        <v>0</v>
      </c>
    </row>
    <row r="141" spans="1:10" x14ac:dyDescent="0.25">
      <c r="H141" s="178"/>
      <c r="I141" s="160"/>
      <c r="J141" s="161"/>
    </row>
    <row r="142" spans="1:10" x14ac:dyDescent="0.25">
      <c r="H142" s="178"/>
      <c r="I142" s="160"/>
      <c r="J142" s="161"/>
    </row>
    <row r="143" spans="1:10" x14ac:dyDescent="0.25">
      <c r="H143" s="178"/>
      <c r="I143" s="160"/>
      <c r="J143" s="161"/>
    </row>
    <row r="144" spans="1:10" x14ac:dyDescent="0.25">
      <c r="H144" s="178"/>
      <c r="I144" s="160"/>
      <c r="J144" s="161"/>
    </row>
    <row r="145" spans="8:10" x14ac:dyDescent="0.25">
      <c r="H145" s="178"/>
      <c r="I145" s="160"/>
      <c r="J145" s="161"/>
    </row>
    <row r="146" spans="8:10" x14ac:dyDescent="0.25">
      <c r="H146" s="178"/>
      <c r="I146" s="160"/>
      <c r="J146" s="161"/>
    </row>
    <row r="147" spans="8:10" x14ac:dyDescent="0.25">
      <c r="H147" s="178"/>
      <c r="I147" s="160"/>
      <c r="J147" s="161"/>
    </row>
    <row r="148" spans="8:10" x14ac:dyDescent="0.25">
      <c r="H148" s="178"/>
      <c r="I148" s="160"/>
      <c r="J148" s="161"/>
    </row>
    <row r="149" spans="8:10" x14ac:dyDescent="0.25">
      <c r="H149" s="178"/>
      <c r="I149" s="160"/>
    </row>
    <row r="150" spans="8:10" x14ac:dyDescent="0.25">
      <c r="H150" s="178"/>
      <c r="I150" s="160"/>
    </row>
    <row r="151" spans="8:10" x14ac:dyDescent="0.25">
      <c r="H151" s="178"/>
      <c r="I151" s="160"/>
    </row>
    <row r="152" spans="8:10" x14ac:dyDescent="0.25">
      <c r="H152" s="178"/>
      <c r="I152" s="160"/>
    </row>
    <row r="153" spans="8:10" x14ac:dyDescent="0.25">
      <c r="H153" s="178"/>
      <c r="I153" s="160"/>
    </row>
    <row r="154" spans="8:10" x14ac:dyDescent="0.25">
      <c r="H154" s="178"/>
    </row>
    <row r="155" spans="8:10" x14ac:dyDescent="0.25">
      <c r="H155" s="178"/>
    </row>
    <row r="156" spans="8:10" x14ac:dyDescent="0.25">
      <c r="H156" s="178"/>
    </row>
    <row r="157" spans="8:10" x14ac:dyDescent="0.25">
      <c r="H157" s="178"/>
    </row>
    <row r="158" spans="8:10" x14ac:dyDescent="0.25">
      <c r="H158" s="178"/>
    </row>
    <row r="159" spans="8:10" x14ac:dyDescent="0.25">
      <c r="H159" s="178"/>
    </row>
    <row r="160" spans="8:10" x14ac:dyDescent="0.25">
      <c r="H160" s="178"/>
    </row>
    <row r="161" spans="8:8" x14ac:dyDescent="0.25">
      <c r="H161" s="178"/>
    </row>
    <row r="162" spans="8:8" x14ac:dyDescent="0.25">
      <c r="H162" s="178"/>
    </row>
    <row r="163" spans="8:8" x14ac:dyDescent="0.25">
      <c r="H163" s="178"/>
    </row>
    <row r="164" spans="8:8" x14ac:dyDescent="0.25">
      <c r="H164" s="178"/>
    </row>
    <row r="165" spans="8:8" x14ac:dyDescent="0.25">
      <c r="H165" s="178"/>
    </row>
    <row r="166" spans="8:8" x14ac:dyDescent="0.25">
      <c r="H166" s="178"/>
    </row>
    <row r="167" spans="8:8" x14ac:dyDescent="0.25">
      <c r="H167" s="178"/>
    </row>
    <row r="168" spans="8:8" x14ac:dyDescent="0.25">
      <c r="H168" s="178"/>
    </row>
    <row r="169" spans="8:8" x14ac:dyDescent="0.25">
      <c r="H169" s="178"/>
    </row>
    <row r="170" spans="8:8" x14ac:dyDescent="0.25">
      <c r="H170" s="178"/>
    </row>
    <row r="171" spans="8:8" x14ac:dyDescent="0.25">
      <c r="H171" s="178"/>
    </row>
    <row r="172" spans="8:8" x14ac:dyDescent="0.25">
      <c r="H172" s="178"/>
    </row>
    <row r="173" spans="8:8" x14ac:dyDescent="0.25">
      <c r="H173" s="178"/>
    </row>
    <row r="174" spans="8:8" x14ac:dyDescent="0.25">
      <c r="H174" s="178"/>
    </row>
    <row r="175" spans="8:8" x14ac:dyDescent="0.25">
      <c r="H175" s="178"/>
    </row>
    <row r="176" spans="8:8" x14ac:dyDescent="0.25">
      <c r="H176" s="178"/>
    </row>
    <row r="177" spans="8:8" x14ac:dyDescent="0.25">
      <c r="H177" s="178"/>
    </row>
    <row r="178" spans="8:8" x14ac:dyDescent="0.25">
      <c r="H178" s="178"/>
    </row>
    <row r="179" spans="8:8" x14ac:dyDescent="0.25">
      <c r="H179" s="178"/>
    </row>
    <row r="180" spans="8:8" x14ac:dyDescent="0.25">
      <c r="H180" s="178"/>
    </row>
    <row r="181" spans="8:8" x14ac:dyDescent="0.25">
      <c r="H181" s="178"/>
    </row>
    <row r="182" spans="8:8" x14ac:dyDescent="0.25">
      <c r="H182" s="178"/>
    </row>
    <row r="183" spans="8:8" x14ac:dyDescent="0.25">
      <c r="H183" s="178"/>
    </row>
    <row r="184" spans="8:8" x14ac:dyDescent="0.25">
      <c r="H184" s="178"/>
    </row>
    <row r="185" spans="8:8" x14ac:dyDescent="0.25">
      <c r="H185" s="178"/>
    </row>
    <row r="186" spans="8:8" x14ac:dyDescent="0.25">
      <c r="H186" s="178"/>
    </row>
    <row r="187" spans="8:8" x14ac:dyDescent="0.25">
      <c r="H187" s="178"/>
    </row>
    <row r="188" spans="8:8" x14ac:dyDescent="0.25">
      <c r="H188" s="178"/>
    </row>
    <row r="189" spans="8:8" x14ac:dyDescent="0.25">
      <c r="H189" s="178"/>
    </row>
    <row r="190" spans="8:8" x14ac:dyDescent="0.25">
      <c r="H190" s="178"/>
    </row>
    <row r="191" spans="8:8" x14ac:dyDescent="0.25">
      <c r="H191" s="178"/>
    </row>
    <row r="192" spans="8:8" x14ac:dyDescent="0.25">
      <c r="H192" s="178"/>
    </row>
    <row r="193" spans="8:8" x14ac:dyDescent="0.25">
      <c r="H193" s="178"/>
    </row>
  </sheetData>
  <mergeCells count="1">
    <mergeCell ref="A1:J1"/>
  </mergeCells>
  <phoneticPr fontId="0" type="noConversion"/>
  <printOptions gridLines="1"/>
  <pageMargins left="0.75" right="0.16" top="0.51" bottom="0.22" header="0.5" footer="0"/>
  <pageSetup scale="84" fitToHeight="5" orientation="landscape" r:id="rId1"/>
  <headerFooter alignWithMargins="0"/>
  <rowBreaks count="2" manualBreakCount="2">
    <brk id="59" max="7" man="1"/>
    <brk id="106" max="7"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K207"/>
  <sheetViews>
    <sheetView view="pageBreakPreview" topLeftCell="A123" zoomScaleNormal="100" zoomScaleSheetLayoutView="100" workbookViewId="0">
      <selection activeCell="A128" sqref="A128"/>
    </sheetView>
  </sheetViews>
  <sheetFormatPr defaultColWidth="8.88671875" defaultRowHeight="13.2" x14ac:dyDescent="0.25"/>
  <cols>
    <col min="1" max="1" width="57.6640625" style="191" bestFit="1" customWidth="1"/>
    <col min="2" max="2" width="8.88671875" style="191" customWidth="1"/>
    <col min="3" max="3" width="10.109375" style="191" customWidth="1"/>
    <col min="4" max="4" width="12" style="191" customWidth="1"/>
    <col min="5" max="6" width="10.88671875" style="191" customWidth="1"/>
    <col min="7" max="7" width="10.88671875" style="2" customWidth="1"/>
    <col min="8" max="8" width="14" style="191" bestFit="1" customWidth="1"/>
    <col min="9" max="10" width="10.88671875" style="191" customWidth="1"/>
    <col min="11" max="11" width="9.33203125" style="191" bestFit="1" customWidth="1"/>
    <col min="12" max="16384" width="8.88671875" style="191"/>
  </cols>
  <sheetData>
    <row r="1" spans="1:245" s="191" customFormat="1" x14ac:dyDescent="0.25">
      <c r="A1" s="194" t="e">
        <f>#REF!</f>
        <v>#REF!</v>
      </c>
      <c r="B1" s="195"/>
      <c r="C1" s="195"/>
      <c r="D1" s="195"/>
      <c r="E1" s="195"/>
      <c r="F1" s="195"/>
      <c r="G1" s="195"/>
      <c r="H1" s="195"/>
      <c r="I1" s="195"/>
      <c r="J1" s="195"/>
    </row>
    <row r="2" spans="1:245" s="191" customFormat="1" ht="17.399999999999999" x14ac:dyDescent="0.3">
      <c r="A2" s="153" t="s">
        <v>1961</v>
      </c>
      <c r="B2" s="153"/>
      <c r="C2" s="153"/>
      <c r="D2" s="153"/>
      <c r="E2" s="153"/>
      <c r="F2" s="153"/>
      <c r="G2" s="2"/>
      <c r="I2" s="21"/>
      <c r="J2" s="21"/>
    </row>
    <row r="3" spans="1:245" s="191" customFormat="1" x14ac:dyDescent="0.25">
      <c r="B3" s="2"/>
      <c r="C3" s="2"/>
      <c r="D3" s="2"/>
      <c r="E3" s="2"/>
      <c r="F3" s="2"/>
      <c r="G3" s="2"/>
      <c r="I3" s="21"/>
      <c r="J3" s="21"/>
    </row>
    <row r="4" spans="1:245" s="191" customFormat="1" x14ac:dyDescent="0.25">
      <c r="B4" s="2"/>
      <c r="C4" s="2"/>
      <c r="D4" s="2"/>
      <c r="E4" s="16" t="s">
        <v>232</v>
      </c>
      <c r="F4" s="16" t="s">
        <v>233</v>
      </c>
      <c r="G4" s="16" t="s">
        <v>69</v>
      </c>
      <c r="H4" s="16" t="s">
        <v>399</v>
      </c>
      <c r="I4" s="16" t="s">
        <v>303</v>
      </c>
      <c r="J4" s="16" t="s">
        <v>336</v>
      </c>
    </row>
    <row r="5" spans="1:245" s="191" customFormat="1" ht="15" x14ac:dyDescent="0.4">
      <c r="B5" s="2"/>
      <c r="C5" s="2"/>
      <c r="D5" s="2"/>
      <c r="E5" s="192" t="s">
        <v>1715</v>
      </c>
      <c r="F5" s="192" t="s">
        <v>1766</v>
      </c>
      <c r="G5" s="192" t="s">
        <v>1985</v>
      </c>
      <c r="H5" s="192" t="s">
        <v>1985</v>
      </c>
      <c r="I5" s="192" t="s">
        <v>1985</v>
      </c>
      <c r="J5" s="192" t="s">
        <v>1985</v>
      </c>
    </row>
    <row r="6" spans="1:245" s="191" customFormat="1" ht="13.8" x14ac:dyDescent="0.3">
      <c r="A6" s="193" t="s">
        <v>1309</v>
      </c>
      <c r="B6" s="2"/>
      <c r="C6" s="2"/>
      <c r="D6" s="2"/>
      <c r="E6" s="2">
        <v>39432</v>
      </c>
      <c r="F6" s="47">
        <v>39468</v>
      </c>
      <c r="G6" s="47">
        <v>39468</v>
      </c>
      <c r="H6" s="47">
        <v>39468</v>
      </c>
      <c r="I6" s="47"/>
      <c r="J6" s="47"/>
      <c r="IK6" s="47"/>
    </row>
    <row r="7" spans="1:245" s="191" customFormat="1" x14ac:dyDescent="0.25">
      <c r="A7" s="191" t="s">
        <v>142</v>
      </c>
      <c r="B7" s="2">
        <v>52</v>
      </c>
      <c r="C7" s="2">
        <v>759</v>
      </c>
      <c r="D7" s="2">
        <f>ROUND(B7*C7,0)</f>
        <v>39468</v>
      </c>
      <c r="E7" s="2"/>
      <c r="F7" s="47"/>
      <c r="G7" s="47"/>
      <c r="H7" s="47"/>
      <c r="I7" s="47"/>
      <c r="J7" s="47"/>
      <c r="K7" s="12"/>
      <c r="IK7" s="47"/>
    </row>
    <row r="8" spans="1:245" s="191" customFormat="1" ht="15" x14ac:dyDescent="0.4">
      <c r="A8" s="191" t="s">
        <v>912</v>
      </c>
      <c r="B8" s="2" t="s">
        <v>386</v>
      </c>
      <c r="C8" s="2" t="s">
        <v>386</v>
      </c>
      <c r="D8" s="11">
        <v>0</v>
      </c>
      <c r="E8" s="2"/>
      <c r="F8" s="67"/>
      <c r="G8" s="67"/>
      <c r="H8" s="67"/>
      <c r="I8" s="67"/>
      <c r="J8" s="67"/>
      <c r="K8" s="12"/>
      <c r="IK8" s="67"/>
    </row>
    <row r="9" spans="1:245" s="191" customFormat="1" x14ac:dyDescent="0.25">
      <c r="A9" s="191" t="s">
        <v>1182</v>
      </c>
      <c r="B9" s="2"/>
      <c r="C9" s="2"/>
      <c r="D9" s="2">
        <f>SUM(D7:D8)</f>
        <v>39468</v>
      </c>
      <c r="E9" s="2"/>
      <c r="F9" s="47"/>
      <c r="G9" s="47"/>
      <c r="H9" s="47"/>
      <c r="I9" s="47"/>
      <c r="J9" s="47"/>
      <c r="K9" s="12"/>
      <c r="IK9" s="47"/>
    </row>
    <row r="10" spans="1:245" s="191" customFormat="1" x14ac:dyDescent="0.25">
      <c r="B10" s="2"/>
      <c r="C10" s="2"/>
      <c r="D10" s="2"/>
      <c r="E10" s="2"/>
      <c r="F10" s="47"/>
      <c r="G10" s="47"/>
      <c r="H10" s="47"/>
      <c r="I10" s="47"/>
      <c r="J10" s="47"/>
      <c r="K10" s="12"/>
      <c r="IK10" s="47"/>
    </row>
    <row r="11" spans="1:245" s="191" customFormat="1" ht="13.8" x14ac:dyDescent="0.3">
      <c r="A11" s="193" t="s">
        <v>377</v>
      </c>
      <c r="B11" s="2"/>
      <c r="C11" s="2"/>
      <c r="D11" s="2"/>
      <c r="E11" s="2">
        <v>160157</v>
      </c>
      <c r="F11" s="47">
        <v>162525</v>
      </c>
      <c r="G11" s="47">
        <v>161849</v>
      </c>
      <c r="H11" s="47">
        <v>161849</v>
      </c>
      <c r="I11" s="47"/>
      <c r="J11" s="47"/>
      <c r="K11" s="12"/>
      <c r="IK11" s="47"/>
    </row>
    <row r="12" spans="1:245" s="191" customFormat="1" x14ac:dyDescent="0.25">
      <c r="A12" s="191" t="s">
        <v>378</v>
      </c>
      <c r="B12" s="2">
        <v>52</v>
      </c>
      <c r="C12" s="2">
        <v>1845</v>
      </c>
      <c r="D12" s="2">
        <f>ROUND(B12*C12,0)</f>
        <v>95940</v>
      </c>
      <c r="E12" s="2"/>
      <c r="F12" s="47"/>
      <c r="G12" s="47"/>
      <c r="H12" s="47"/>
      <c r="I12" s="47"/>
      <c r="J12" s="47"/>
      <c r="K12" s="12"/>
      <c r="IK12" s="47"/>
    </row>
    <row r="13" spans="1:245" s="191" customFormat="1" x14ac:dyDescent="0.25">
      <c r="A13" s="191" t="s">
        <v>379</v>
      </c>
      <c r="B13" s="2">
        <v>52</v>
      </c>
      <c r="C13" s="2">
        <v>1232</v>
      </c>
      <c r="D13" s="2">
        <f>ROUND(B13*C13,0)</f>
        <v>64064</v>
      </c>
      <c r="E13" s="2"/>
      <c r="F13" s="47"/>
      <c r="G13" s="47"/>
      <c r="H13" s="47"/>
      <c r="I13" s="47"/>
      <c r="J13" s="47"/>
      <c r="K13" s="12"/>
      <c r="IK13" s="47"/>
    </row>
    <row r="14" spans="1:245" s="191" customFormat="1" ht="15" x14ac:dyDescent="0.4">
      <c r="A14" s="191" t="s">
        <v>912</v>
      </c>
      <c r="B14" s="2"/>
      <c r="C14" s="2"/>
      <c r="D14" s="11">
        <v>1845</v>
      </c>
      <c r="E14" s="2"/>
      <c r="F14" s="47"/>
      <c r="G14" s="47"/>
      <c r="H14" s="47"/>
      <c r="I14" s="47"/>
      <c r="J14" s="47"/>
      <c r="K14" s="12"/>
      <c r="IK14" s="47"/>
    </row>
    <row r="15" spans="1:245" s="191" customFormat="1" x14ac:dyDescent="0.25">
      <c r="A15" s="191" t="s">
        <v>1182</v>
      </c>
      <c r="B15" s="2"/>
      <c r="C15" s="2"/>
      <c r="D15" s="2">
        <f>SUM(D12:D14)</f>
        <v>161849</v>
      </c>
      <c r="E15" s="2"/>
      <c r="F15" s="47"/>
      <c r="G15" s="47"/>
      <c r="H15" s="47"/>
      <c r="I15" s="47"/>
      <c r="J15" s="47"/>
      <c r="K15" s="12"/>
      <c r="IK15" s="47"/>
    </row>
    <row r="16" spans="1:245" s="191" customFormat="1" x14ac:dyDescent="0.25">
      <c r="B16" s="2"/>
      <c r="C16" s="2"/>
      <c r="D16" s="2"/>
      <c r="E16" s="2"/>
      <c r="F16" s="47"/>
      <c r="G16" s="47"/>
      <c r="H16" s="47"/>
      <c r="I16" s="47"/>
      <c r="J16" s="47"/>
      <c r="K16" s="12"/>
      <c r="IK16" s="47"/>
    </row>
    <row r="17" spans="1:245" s="191" customFormat="1" ht="13.8" x14ac:dyDescent="0.3">
      <c r="A17" s="193" t="s">
        <v>489</v>
      </c>
      <c r="B17" s="2"/>
      <c r="C17" s="2"/>
      <c r="D17" s="2"/>
      <c r="E17" s="2">
        <v>54505</v>
      </c>
      <c r="F17" s="47">
        <v>54548</v>
      </c>
      <c r="G17" s="47">
        <v>54600</v>
      </c>
      <c r="H17" s="47">
        <v>54600</v>
      </c>
      <c r="I17" s="47"/>
      <c r="J17" s="47"/>
      <c r="K17" s="12"/>
      <c r="IK17" s="47"/>
    </row>
    <row r="18" spans="1:245" s="191" customFormat="1" x14ac:dyDescent="0.25">
      <c r="A18" s="191" t="s">
        <v>301</v>
      </c>
      <c r="B18" s="2">
        <v>52</v>
      </c>
      <c r="C18" s="2">
        <v>1050</v>
      </c>
      <c r="D18" s="2">
        <f>ROUND(B18*C18,0)</f>
        <v>54600</v>
      </c>
      <c r="E18" s="2"/>
      <c r="F18" s="47"/>
      <c r="G18" s="47"/>
      <c r="H18" s="47"/>
      <c r="I18" s="47"/>
      <c r="J18" s="47"/>
      <c r="K18" s="12"/>
      <c r="IK18" s="47"/>
    </row>
    <row r="19" spans="1:245" s="191" customFormat="1" x14ac:dyDescent="0.25">
      <c r="D19" s="2"/>
      <c r="E19" s="2"/>
      <c r="F19" s="47"/>
      <c r="G19" s="47"/>
      <c r="H19" s="47"/>
      <c r="I19" s="47"/>
      <c r="J19" s="47"/>
      <c r="K19" s="12"/>
      <c r="IK19" s="47"/>
    </row>
    <row r="20" spans="1:245" s="191" customFormat="1" ht="13.8" x14ac:dyDescent="0.3">
      <c r="A20" s="193" t="s">
        <v>602</v>
      </c>
      <c r="D20" s="2"/>
      <c r="E20" s="2">
        <v>22127</v>
      </c>
      <c r="F20" s="47">
        <v>25292</v>
      </c>
      <c r="G20" s="47">
        <v>25306</v>
      </c>
      <c r="H20" s="47">
        <v>25306</v>
      </c>
      <c r="I20" s="47"/>
      <c r="J20" s="47"/>
      <c r="K20" s="12"/>
      <c r="IK20" s="47"/>
    </row>
    <row r="21" spans="1:245" s="191" customFormat="1" x14ac:dyDescent="0.25">
      <c r="A21" s="191" t="s">
        <v>779</v>
      </c>
      <c r="B21" s="2">
        <v>200</v>
      </c>
      <c r="C21" s="12">
        <v>17.02</v>
      </c>
      <c r="D21" s="2">
        <f>ROUND(B21*C21,0)</f>
        <v>3404</v>
      </c>
      <c r="E21" s="2"/>
      <c r="F21" s="47"/>
      <c r="G21" s="47"/>
      <c r="H21" s="47"/>
      <c r="I21" s="47"/>
      <c r="J21" s="47"/>
      <c r="K21" s="12"/>
      <c r="IK21" s="47"/>
    </row>
    <row r="22" spans="1:245" s="191" customFormat="1" ht="15" x14ac:dyDescent="0.4">
      <c r="A22" s="191" t="s">
        <v>122</v>
      </c>
      <c r="B22" s="2">
        <v>1248</v>
      </c>
      <c r="C22" s="12">
        <v>17.55</v>
      </c>
      <c r="D22" s="11">
        <f>ROUND(B22*C22,0)</f>
        <v>21902</v>
      </c>
      <c r="E22" s="2"/>
      <c r="F22" s="47"/>
      <c r="G22" s="47"/>
      <c r="H22" s="47"/>
      <c r="I22" s="47"/>
      <c r="J22" s="47"/>
      <c r="K22" s="12"/>
      <c r="IK22" s="47"/>
    </row>
    <row r="23" spans="1:245" s="191" customFormat="1" x14ac:dyDescent="0.25">
      <c r="B23" s="2"/>
      <c r="C23" s="12"/>
      <c r="D23" s="2">
        <f>SUM(D21:D22)</f>
        <v>25306</v>
      </c>
      <c r="E23" s="2"/>
      <c r="F23" s="47"/>
      <c r="G23" s="47"/>
      <c r="H23" s="47"/>
      <c r="I23" s="47"/>
      <c r="J23" s="47"/>
      <c r="IK23" s="47"/>
    </row>
    <row r="24" spans="1:245" s="191" customFormat="1" x14ac:dyDescent="0.25">
      <c r="G24" s="47"/>
      <c r="H24" s="47"/>
      <c r="I24" s="47"/>
      <c r="J24" s="47"/>
      <c r="IK24" s="47"/>
    </row>
    <row r="25" spans="1:245" s="191" customFormat="1" ht="13.8" x14ac:dyDescent="0.3">
      <c r="A25" s="193" t="s">
        <v>1988</v>
      </c>
      <c r="B25" s="2"/>
      <c r="C25" s="12"/>
      <c r="D25" s="2"/>
      <c r="E25" s="2">
        <v>160</v>
      </c>
      <c r="F25" s="2">
        <v>0</v>
      </c>
      <c r="G25" s="47">
        <v>0</v>
      </c>
      <c r="H25" s="47">
        <v>0</v>
      </c>
      <c r="I25" s="47"/>
      <c r="J25" s="47"/>
      <c r="IK25" s="47"/>
    </row>
    <row r="26" spans="1:245" s="191" customFormat="1" x14ac:dyDescent="0.25">
      <c r="D26" s="2"/>
      <c r="E26" s="2"/>
      <c r="F26" s="47"/>
      <c r="G26" s="47"/>
      <c r="H26" s="47"/>
      <c r="I26" s="47"/>
      <c r="J26" s="47"/>
      <c r="IK26" s="47"/>
    </row>
    <row r="27" spans="1:245" s="191" customFormat="1" ht="13.8" x14ac:dyDescent="0.3">
      <c r="A27" s="193" t="s">
        <v>202</v>
      </c>
      <c r="B27" s="75"/>
      <c r="D27" s="2"/>
      <c r="E27" s="2">
        <v>21428</v>
      </c>
      <c r="F27" s="47">
        <v>21560</v>
      </c>
      <c r="G27" s="47">
        <v>21513</v>
      </c>
      <c r="H27" s="47">
        <v>21513</v>
      </c>
      <c r="I27" s="47"/>
      <c r="J27" s="47"/>
      <c r="IK27" s="47"/>
    </row>
    <row r="28" spans="1:245" s="191" customFormat="1" hidden="1" x14ac:dyDescent="0.25">
      <c r="A28" s="13" t="s">
        <v>1183</v>
      </c>
      <c r="B28" s="2">
        <f>+D9</f>
        <v>39468</v>
      </c>
      <c r="C28" s="14">
        <v>7.6499999999999999E-2</v>
      </c>
      <c r="D28" s="2">
        <f>ROUND(B28*C28,0)</f>
        <v>3019</v>
      </c>
      <c r="E28" s="2"/>
      <c r="F28" s="47"/>
      <c r="G28" s="47"/>
      <c r="H28" s="47"/>
      <c r="I28" s="47"/>
      <c r="J28" s="47"/>
      <c r="IK28" s="47"/>
    </row>
    <row r="29" spans="1:245" s="191" customFormat="1" hidden="1" x14ac:dyDescent="0.25">
      <c r="A29" s="13" t="s">
        <v>1184</v>
      </c>
      <c r="B29" s="2">
        <f>+D15</f>
        <v>161849</v>
      </c>
      <c r="C29" s="14">
        <v>7.6499999999999999E-2</v>
      </c>
      <c r="D29" s="2">
        <f>ROUND(B29*C29,0)</f>
        <v>12381</v>
      </c>
      <c r="E29" s="2"/>
      <c r="F29" s="47"/>
      <c r="G29" s="47"/>
      <c r="H29" s="47"/>
      <c r="I29" s="47"/>
      <c r="J29" s="47"/>
      <c r="IK29" s="47"/>
    </row>
    <row r="30" spans="1:245" s="191" customFormat="1" hidden="1" x14ac:dyDescent="0.25">
      <c r="A30" s="13" t="s">
        <v>1185</v>
      </c>
      <c r="B30" s="2">
        <f>+D18</f>
        <v>54600</v>
      </c>
      <c r="C30" s="14">
        <v>7.6499999999999999E-2</v>
      </c>
      <c r="D30" s="2">
        <f>ROUND(B30*C30,0)</f>
        <v>4177</v>
      </c>
      <c r="E30" s="2"/>
      <c r="F30" s="47"/>
      <c r="G30" s="47"/>
      <c r="H30" s="47"/>
      <c r="I30" s="47"/>
      <c r="J30" s="47"/>
      <c r="IK30" s="47"/>
    </row>
    <row r="31" spans="1:245" s="191" customFormat="1" ht="15" hidden="1" x14ac:dyDescent="0.4">
      <c r="A31" s="13" t="s">
        <v>1186</v>
      </c>
      <c r="B31" s="2">
        <f>+D23</f>
        <v>25306</v>
      </c>
      <c r="C31" s="14">
        <v>7.6499999999999999E-2</v>
      </c>
      <c r="D31" s="11">
        <f>ROUND(B31*C31,0)</f>
        <v>1936</v>
      </c>
      <c r="E31" s="2"/>
      <c r="F31" s="47"/>
      <c r="G31" s="47"/>
      <c r="H31" s="47"/>
      <c r="I31" s="47"/>
      <c r="J31" s="47"/>
      <c r="IK31" s="47"/>
    </row>
    <row r="32" spans="1:245" s="191" customFormat="1" hidden="1" x14ac:dyDescent="0.25">
      <c r="A32" s="191" t="s">
        <v>1182</v>
      </c>
      <c r="B32" s="2" t="s">
        <v>386</v>
      </c>
      <c r="D32" s="2">
        <f>SUM(D28:D31)</f>
        <v>21513</v>
      </c>
      <c r="E32" s="2"/>
      <c r="F32" s="47"/>
      <c r="G32" s="47"/>
      <c r="H32" s="47"/>
      <c r="I32" s="47"/>
      <c r="J32" s="47"/>
      <c r="IK32" s="47"/>
    </row>
    <row r="33" spans="1:245" s="191" customFormat="1" x14ac:dyDescent="0.25">
      <c r="D33" s="2"/>
      <c r="E33" s="2"/>
      <c r="F33" s="47"/>
      <c r="G33" s="47"/>
      <c r="H33" s="47"/>
      <c r="I33" s="47"/>
      <c r="J33" s="47"/>
      <c r="IK33" s="47"/>
    </row>
    <row r="34" spans="1:245" s="191" customFormat="1" ht="13.8" x14ac:dyDescent="0.3">
      <c r="A34" s="15" t="s">
        <v>203</v>
      </c>
      <c r="D34" s="2"/>
      <c r="E34" s="2">
        <v>28411</v>
      </c>
      <c r="F34" s="47">
        <v>31170</v>
      </c>
      <c r="G34" s="47">
        <v>29122</v>
      </c>
      <c r="H34" s="47">
        <v>29122</v>
      </c>
      <c r="I34" s="47"/>
      <c r="J34" s="47"/>
      <c r="IK34" s="47"/>
    </row>
    <row r="35" spans="1:245" s="191" customFormat="1" hidden="1" x14ac:dyDescent="0.25">
      <c r="A35" s="13" t="s">
        <v>1183</v>
      </c>
      <c r="B35" s="2">
        <f>+D9</f>
        <v>39468</v>
      </c>
      <c r="C35" s="14">
        <v>0.1138</v>
      </c>
      <c r="D35" s="2">
        <f>ROUND(B35*C35,0)</f>
        <v>4491</v>
      </c>
      <c r="E35" s="2"/>
      <c r="F35" s="47"/>
      <c r="G35" s="47"/>
      <c r="H35" s="47"/>
      <c r="I35" s="47"/>
      <c r="J35" s="47"/>
      <c r="IK35" s="47"/>
    </row>
    <row r="36" spans="1:245" s="191" customFormat="1" hidden="1" x14ac:dyDescent="0.25">
      <c r="A36" s="13" t="s">
        <v>1184</v>
      </c>
      <c r="B36" s="2">
        <f>+D15</f>
        <v>161849</v>
      </c>
      <c r="C36" s="14">
        <v>0.1138</v>
      </c>
      <c r="D36" s="2">
        <f>ROUND(B36*C36,0)</f>
        <v>18418</v>
      </c>
      <c r="E36" s="2"/>
      <c r="F36" s="47"/>
      <c r="G36" s="47"/>
      <c r="H36" s="47"/>
      <c r="I36" s="47"/>
      <c r="J36" s="47"/>
      <c r="IK36" s="47"/>
    </row>
    <row r="37" spans="1:245" s="191" customFormat="1" ht="15" hidden="1" x14ac:dyDescent="0.4">
      <c r="A37" s="13" t="s">
        <v>1185</v>
      </c>
      <c r="B37" s="2">
        <f>+D18</f>
        <v>54600</v>
      </c>
      <c r="C37" s="14">
        <v>0.1138</v>
      </c>
      <c r="D37" s="11">
        <f>ROUND(B37*C37,0)</f>
        <v>6213</v>
      </c>
      <c r="E37" s="2"/>
      <c r="F37" s="47"/>
      <c r="G37" s="47"/>
      <c r="H37" s="47"/>
      <c r="I37" s="47"/>
      <c r="J37" s="47"/>
      <c r="IK37" s="47"/>
    </row>
    <row r="38" spans="1:245" s="191" customFormat="1" hidden="1" x14ac:dyDescent="0.25">
      <c r="A38" s="191" t="s">
        <v>1182</v>
      </c>
      <c r="D38" s="2">
        <f>SUM(D35:D37)</f>
        <v>29122</v>
      </c>
      <c r="E38" s="2"/>
      <c r="F38" s="47"/>
      <c r="G38" s="47"/>
      <c r="H38" s="47"/>
      <c r="I38" s="47"/>
      <c r="J38" s="47"/>
      <c r="IK38" s="47"/>
    </row>
    <row r="39" spans="1:245" s="191" customFormat="1" x14ac:dyDescent="0.25">
      <c r="D39" s="2"/>
      <c r="E39" s="2"/>
      <c r="F39" s="47"/>
      <c r="G39" s="47"/>
      <c r="H39" s="47"/>
      <c r="I39" s="47"/>
      <c r="J39" s="47"/>
      <c r="IK39" s="47"/>
    </row>
    <row r="40" spans="1:245" s="191" customFormat="1" ht="13.8" x14ac:dyDescent="0.3">
      <c r="A40" s="193" t="s">
        <v>501</v>
      </c>
      <c r="D40" s="2"/>
      <c r="E40" s="2">
        <v>64747</v>
      </c>
      <c r="F40" s="47">
        <v>69000</v>
      </c>
      <c r="G40" s="47">
        <v>73200</v>
      </c>
      <c r="H40" s="47">
        <v>73200</v>
      </c>
      <c r="I40" s="47"/>
      <c r="J40" s="47"/>
      <c r="IK40" s="47"/>
    </row>
    <row r="41" spans="1:245" s="191" customFormat="1" x14ac:dyDescent="0.25">
      <c r="A41" s="191" t="s">
        <v>224</v>
      </c>
      <c r="B41" s="2">
        <v>4</v>
      </c>
      <c r="C41" s="2">
        <v>18300</v>
      </c>
      <c r="D41" s="2">
        <f>ROUND(B41*C41,0)</f>
        <v>73200</v>
      </c>
      <c r="E41" s="2"/>
      <c r="F41" s="47"/>
      <c r="G41" s="47"/>
      <c r="H41" s="47"/>
      <c r="I41" s="47"/>
      <c r="J41" s="47"/>
      <c r="IK41" s="47"/>
    </row>
    <row r="42" spans="1:245" s="191" customFormat="1" x14ac:dyDescent="0.25">
      <c r="D42" s="2"/>
      <c r="E42" s="2"/>
      <c r="F42" s="47"/>
      <c r="G42" s="47"/>
      <c r="H42" s="47"/>
      <c r="I42" s="47"/>
      <c r="J42" s="47"/>
      <c r="IK42" s="47"/>
    </row>
    <row r="43" spans="1:245" s="191" customFormat="1" ht="13.8" x14ac:dyDescent="0.3">
      <c r="A43" s="193" t="s">
        <v>502</v>
      </c>
      <c r="D43" s="2"/>
      <c r="E43" s="2">
        <v>4747</v>
      </c>
      <c r="F43" s="47">
        <v>4680</v>
      </c>
      <c r="G43" s="47">
        <v>4680</v>
      </c>
      <c r="H43" s="47">
        <v>4680</v>
      </c>
      <c r="I43" s="47"/>
      <c r="J43" s="47"/>
      <c r="IK43" s="47"/>
    </row>
    <row r="44" spans="1:245" s="191" customFormat="1" x14ac:dyDescent="0.25">
      <c r="A44" s="191" t="s">
        <v>406</v>
      </c>
      <c r="B44" s="2">
        <v>4</v>
      </c>
      <c r="C44" s="2">
        <v>1300</v>
      </c>
      <c r="D44" s="2">
        <f>ROUND(B44*C44,0)</f>
        <v>5200</v>
      </c>
      <c r="E44" s="2"/>
      <c r="F44" s="47"/>
      <c r="G44" s="47"/>
      <c r="H44" s="47"/>
      <c r="I44" s="47"/>
      <c r="J44" s="47"/>
      <c r="IK44" s="47"/>
    </row>
    <row r="45" spans="1:245" s="191" customFormat="1" ht="15" x14ac:dyDescent="0.4">
      <c r="A45" s="191" t="s">
        <v>226</v>
      </c>
      <c r="B45" s="2"/>
      <c r="C45" s="2"/>
      <c r="D45" s="11">
        <f>-C44*B44*0.1</f>
        <v>-520</v>
      </c>
      <c r="E45" s="2"/>
      <c r="F45" s="47"/>
      <c r="G45" s="47"/>
      <c r="H45" s="47"/>
      <c r="I45" s="47"/>
      <c r="J45" s="47"/>
      <c r="IK45" s="47"/>
    </row>
    <row r="46" spans="1:245" s="191" customFormat="1" x14ac:dyDescent="0.25">
      <c r="A46" s="191" t="s">
        <v>751</v>
      </c>
      <c r="B46" s="2"/>
      <c r="C46" s="2"/>
      <c r="D46" s="2">
        <f>SUM(D44:D45)</f>
        <v>4680</v>
      </c>
      <c r="E46" s="2"/>
      <c r="F46" s="47"/>
      <c r="G46" s="47"/>
      <c r="H46" s="47"/>
      <c r="I46" s="47"/>
      <c r="J46" s="47"/>
      <c r="IK46" s="47"/>
    </row>
    <row r="47" spans="1:245" s="191" customFormat="1" x14ac:dyDescent="0.25">
      <c r="D47" s="2"/>
      <c r="E47" s="2"/>
      <c r="F47" s="47"/>
      <c r="G47" s="47"/>
      <c r="H47" s="47"/>
      <c r="I47" s="47"/>
      <c r="J47" s="47"/>
      <c r="IK47" s="47"/>
    </row>
    <row r="48" spans="1:245" s="191" customFormat="1" ht="13.8" x14ac:dyDescent="0.3">
      <c r="A48" s="193" t="s">
        <v>459</v>
      </c>
      <c r="D48" s="2"/>
      <c r="E48" s="2">
        <v>559</v>
      </c>
      <c r="F48" s="47">
        <v>540</v>
      </c>
      <c r="G48" s="47">
        <v>540</v>
      </c>
      <c r="H48" s="47">
        <v>540</v>
      </c>
      <c r="I48" s="47"/>
      <c r="J48" s="47"/>
      <c r="IK48" s="47"/>
    </row>
    <row r="49" spans="1:245" s="191" customFormat="1" hidden="1" x14ac:dyDescent="0.25">
      <c r="A49" s="191" t="s">
        <v>406</v>
      </c>
      <c r="B49" s="2">
        <v>4</v>
      </c>
      <c r="C49" s="2">
        <v>135</v>
      </c>
      <c r="D49" s="2">
        <f>ROUND(B49*C49,0)</f>
        <v>540</v>
      </c>
      <c r="E49" s="2"/>
      <c r="F49" s="47"/>
      <c r="G49" s="47"/>
      <c r="H49" s="47"/>
      <c r="I49" s="47"/>
      <c r="J49" s="47"/>
      <c r="IK49" s="47"/>
    </row>
    <row r="50" spans="1:245" s="191" customFormat="1" x14ac:dyDescent="0.25">
      <c r="D50" s="2"/>
      <c r="E50" s="2"/>
      <c r="F50" s="47"/>
      <c r="G50" s="47"/>
      <c r="H50" s="47"/>
      <c r="I50" s="47"/>
      <c r="J50" s="47"/>
      <c r="IK50" s="47"/>
    </row>
    <row r="51" spans="1:245" s="191" customFormat="1" ht="13.8" x14ac:dyDescent="0.3">
      <c r="A51" s="193" t="s">
        <v>460</v>
      </c>
      <c r="D51" s="2"/>
      <c r="E51" s="2">
        <v>1604</v>
      </c>
      <c r="F51" s="47">
        <v>1640</v>
      </c>
      <c r="G51" s="47">
        <v>1640</v>
      </c>
      <c r="H51" s="47">
        <v>1640</v>
      </c>
      <c r="I51" s="47"/>
      <c r="J51" s="47"/>
      <c r="IK51" s="47"/>
    </row>
    <row r="52" spans="1:245" s="191" customFormat="1" hidden="1" x14ac:dyDescent="0.25">
      <c r="A52" s="191" t="s">
        <v>406</v>
      </c>
      <c r="B52" s="2">
        <v>4</v>
      </c>
      <c r="C52" s="2">
        <v>410</v>
      </c>
      <c r="D52" s="2">
        <f>ROUND(B52*C52,0)</f>
        <v>1640</v>
      </c>
      <c r="E52" s="2"/>
      <c r="F52" s="47"/>
      <c r="G52" s="47"/>
      <c r="H52" s="47"/>
      <c r="I52" s="47"/>
      <c r="J52" s="47"/>
      <c r="IK52" s="47"/>
    </row>
    <row r="53" spans="1:245" s="191" customFormat="1" x14ac:dyDescent="0.25">
      <c r="D53" s="2"/>
      <c r="E53" s="2"/>
      <c r="F53" s="47"/>
      <c r="G53" s="47"/>
      <c r="H53" s="47"/>
      <c r="I53" s="47"/>
      <c r="J53" s="47"/>
      <c r="IK53" s="47"/>
    </row>
    <row r="54" spans="1:245" s="191" customFormat="1" ht="13.8" x14ac:dyDescent="0.3">
      <c r="A54" s="193" t="s">
        <v>461</v>
      </c>
      <c r="D54" s="2"/>
      <c r="E54" s="2">
        <v>6286</v>
      </c>
      <c r="F54" s="47">
        <v>5440</v>
      </c>
      <c r="G54" s="47">
        <v>5839</v>
      </c>
      <c r="H54" s="47">
        <v>5839</v>
      </c>
      <c r="I54" s="47"/>
      <c r="J54" s="47"/>
      <c r="IK54" s="47"/>
    </row>
    <row r="55" spans="1:245" s="191" customFormat="1" hidden="1" x14ac:dyDescent="0.25">
      <c r="A55" s="13" t="s">
        <v>1183</v>
      </c>
      <c r="B55" s="2">
        <f>+D9</f>
        <v>39468</v>
      </c>
      <c r="C55" s="14">
        <v>1.6000000000000001E-3</v>
      </c>
      <c r="D55" s="2">
        <f>ROUND(B55*C55,0)</f>
        <v>63</v>
      </c>
      <c r="E55" s="2"/>
      <c r="F55" s="47"/>
      <c r="G55" s="47"/>
      <c r="H55" s="47"/>
      <c r="I55" s="47"/>
      <c r="J55" s="47"/>
      <c r="IK55" s="47"/>
    </row>
    <row r="56" spans="1:245" s="191" customFormat="1" hidden="1" x14ac:dyDescent="0.25">
      <c r="A56" s="23" t="s">
        <v>1187</v>
      </c>
      <c r="B56" s="2">
        <f>+D15-D13</f>
        <v>97785</v>
      </c>
      <c r="C56" s="14">
        <v>3.49E-2</v>
      </c>
      <c r="D56" s="2">
        <f>ROUND(B56*C56,0)</f>
        <v>3413</v>
      </c>
      <c r="E56" s="2"/>
      <c r="F56" s="47"/>
      <c r="G56" s="47"/>
      <c r="H56" s="47"/>
      <c r="I56" s="47"/>
      <c r="J56" s="47"/>
      <c r="IK56" s="47"/>
    </row>
    <row r="57" spans="1:245" s="191" customFormat="1" hidden="1" x14ac:dyDescent="0.25">
      <c r="A57" s="191" t="s">
        <v>879</v>
      </c>
      <c r="B57" s="2">
        <f>+D13</f>
        <v>64064</v>
      </c>
      <c r="C57" s="14">
        <v>3.49E-2</v>
      </c>
      <c r="D57" s="2">
        <f>ROUND(B57*C57,0)</f>
        <v>2236</v>
      </c>
      <c r="E57" s="2"/>
      <c r="F57" s="47"/>
      <c r="G57" s="47"/>
      <c r="H57" s="47"/>
      <c r="I57" s="47"/>
      <c r="J57" s="47"/>
      <c r="IK57" s="47"/>
    </row>
    <row r="58" spans="1:245" s="191" customFormat="1" hidden="1" x14ac:dyDescent="0.25">
      <c r="A58" s="13" t="s">
        <v>289</v>
      </c>
      <c r="B58" s="2">
        <f>+D18</f>
        <v>54600</v>
      </c>
      <c r="C58" s="14">
        <v>1.6000000000000001E-3</v>
      </c>
      <c r="D58" s="2">
        <f>ROUND(B58*C58,0)</f>
        <v>87</v>
      </c>
      <c r="E58" s="2"/>
      <c r="F58" s="47"/>
      <c r="G58" s="47"/>
      <c r="H58" s="47"/>
      <c r="I58" s="47"/>
      <c r="J58" s="47"/>
      <c r="IK58" s="47"/>
    </row>
    <row r="59" spans="1:245" s="191" customFormat="1" ht="15" hidden="1" x14ac:dyDescent="0.4">
      <c r="A59" s="13" t="s">
        <v>1189</v>
      </c>
      <c r="B59" s="2">
        <f>+D23</f>
        <v>25306</v>
      </c>
      <c r="C59" s="14">
        <v>1.6000000000000001E-3</v>
      </c>
      <c r="D59" s="11">
        <f>ROUND(B59*C59,0)</f>
        <v>40</v>
      </c>
      <c r="E59" s="2"/>
      <c r="F59" s="47"/>
      <c r="G59" s="47"/>
      <c r="H59" s="47"/>
      <c r="I59" s="47"/>
      <c r="J59" s="47"/>
      <c r="IK59" s="47"/>
    </row>
    <row r="60" spans="1:245" s="191" customFormat="1" hidden="1" x14ac:dyDescent="0.25">
      <c r="A60" s="191" t="s">
        <v>1182</v>
      </c>
      <c r="D60" s="2">
        <f>SUM(D55:D59)</f>
        <v>5839</v>
      </c>
      <c r="E60" s="2"/>
      <c r="F60" s="47"/>
      <c r="G60" s="47"/>
      <c r="H60" s="47"/>
      <c r="I60" s="47"/>
      <c r="J60" s="47"/>
      <c r="IK60" s="47"/>
    </row>
    <row r="61" spans="1:245" s="191" customFormat="1" x14ac:dyDescent="0.25">
      <c r="D61" s="2"/>
      <c r="E61" s="2"/>
      <c r="F61" s="47"/>
      <c r="G61" s="47"/>
      <c r="H61" s="47"/>
      <c r="I61" s="47"/>
      <c r="J61" s="47"/>
      <c r="IK61" s="47"/>
    </row>
    <row r="62" spans="1:245" s="191" customFormat="1" ht="13.8" x14ac:dyDescent="0.3">
      <c r="A62" s="193" t="s">
        <v>463</v>
      </c>
      <c r="D62" s="2"/>
      <c r="E62" s="2">
        <v>161</v>
      </c>
      <c r="F62" s="47">
        <v>183</v>
      </c>
      <c r="G62" s="47">
        <v>136</v>
      </c>
      <c r="H62" s="47">
        <v>136</v>
      </c>
      <c r="I62" s="47"/>
      <c r="J62" s="47"/>
      <c r="IK62" s="47"/>
    </row>
    <row r="63" spans="1:245" s="191" customFormat="1" hidden="1" x14ac:dyDescent="0.25">
      <c r="A63" s="13" t="s">
        <v>1183</v>
      </c>
      <c r="B63" s="2">
        <v>1</v>
      </c>
      <c r="C63" s="2">
        <v>26</v>
      </c>
      <c r="D63" s="2">
        <f>ROUND(B63*C63,0)</f>
        <v>26</v>
      </c>
      <c r="E63" s="2"/>
      <c r="F63" s="47"/>
      <c r="G63" s="47"/>
      <c r="H63" s="47"/>
      <c r="I63" s="47"/>
      <c r="J63" s="47"/>
      <c r="IK63" s="47"/>
    </row>
    <row r="64" spans="1:245" s="191" customFormat="1" hidden="1" x14ac:dyDescent="0.25">
      <c r="A64" s="13" t="s">
        <v>1184</v>
      </c>
      <c r="B64" s="2">
        <v>2</v>
      </c>
      <c r="C64" s="2">
        <v>26</v>
      </c>
      <c r="D64" s="2">
        <f>ROUND(B64*C64,0)</f>
        <v>52</v>
      </c>
      <c r="E64" s="2"/>
      <c r="F64" s="47"/>
      <c r="G64" s="47"/>
      <c r="H64" s="47"/>
      <c r="I64" s="47"/>
      <c r="J64" s="47"/>
      <c r="IK64" s="47"/>
    </row>
    <row r="65" spans="1:245" s="191" customFormat="1" hidden="1" x14ac:dyDescent="0.25">
      <c r="A65" s="13" t="s">
        <v>1185</v>
      </c>
      <c r="B65" s="2">
        <v>1</v>
      </c>
      <c r="C65" s="2">
        <v>26</v>
      </c>
      <c r="D65" s="2">
        <f>ROUND(B65*C65,0)</f>
        <v>26</v>
      </c>
      <c r="E65" s="2"/>
      <c r="F65" s="47"/>
      <c r="G65" s="47"/>
      <c r="H65" s="47"/>
      <c r="I65" s="47"/>
      <c r="J65" s="47"/>
      <c r="IK65" s="47"/>
    </row>
    <row r="66" spans="1:245" s="191" customFormat="1" hidden="1" x14ac:dyDescent="0.25">
      <c r="A66" s="13" t="s">
        <v>2173</v>
      </c>
      <c r="B66" s="2">
        <f>+D21</f>
        <v>3404</v>
      </c>
      <c r="C66" s="14">
        <v>1.8E-3</v>
      </c>
      <c r="D66" s="2">
        <f>ROUND(B66*C66,0)</f>
        <v>6</v>
      </c>
      <c r="E66" s="2"/>
      <c r="F66" s="47"/>
      <c r="G66" s="47"/>
      <c r="H66" s="47"/>
      <c r="I66" s="47"/>
      <c r="J66" s="47"/>
      <c r="IK66" s="47"/>
    </row>
    <row r="67" spans="1:245" s="191" customFormat="1" hidden="1" x14ac:dyDescent="0.25">
      <c r="A67" s="13" t="s">
        <v>2175</v>
      </c>
      <c r="B67" s="2">
        <v>1</v>
      </c>
      <c r="C67" s="2">
        <v>26</v>
      </c>
      <c r="D67" s="18">
        <f>ROUND(B67*C67,0)</f>
        <v>26</v>
      </c>
      <c r="E67" s="2"/>
      <c r="F67" s="47"/>
      <c r="G67" s="47"/>
      <c r="H67" s="47"/>
      <c r="I67" s="47"/>
      <c r="J67" s="47"/>
      <c r="IK67" s="47"/>
    </row>
    <row r="68" spans="1:245" s="191" customFormat="1" hidden="1" x14ac:dyDescent="0.25">
      <c r="A68" s="191" t="s">
        <v>1182</v>
      </c>
      <c r="B68" s="2" t="s">
        <v>386</v>
      </c>
      <c r="C68" s="14" t="s">
        <v>386</v>
      </c>
      <c r="D68" s="2">
        <f>SUM(D63:D67)</f>
        <v>136</v>
      </c>
      <c r="E68" s="2"/>
      <c r="F68" s="47"/>
      <c r="G68" s="47"/>
      <c r="H68" s="47"/>
      <c r="I68" s="47"/>
      <c r="J68" s="47"/>
      <c r="IK68" s="47"/>
    </row>
    <row r="69" spans="1:245" s="191" customFormat="1" x14ac:dyDescent="0.25">
      <c r="D69" s="2"/>
      <c r="E69" s="2"/>
      <c r="F69" s="47"/>
      <c r="G69" s="47"/>
      <c r="H69" s="47"/>
      <c r="I69" s="47"/>
      <c r="J69" s="47"/>
      <c r="IK69" s="47"/>
    </row>
    <row r="70" spans="1:245" s="191" customFormat="1" ht="13.8" x14ac:dyDescent="0.3">
      <c r="A70" s="193" t="s">
        <v>464</v>
      </c>
      <c r="D70" s="2"/>
      <c r="E70" s="2">
        <v>1361</v>
      </c>
      <c r="F70" s="47">
        <v>3500</v>
      </c>
      <c r="G70" s="47">
        <v>3500</v>
      </c>
      <c r="H70" s="47">
        <v>3500</v>
      </c>
      <c r="I70" s="47"/>
      <c r="J70" s="47"/>
      <c r="IK70" s="47"/>
    </row>
    <row r="71" spans="1:245" s="191" customFormat="1" x14ac:dyDescent="0.25">
      <c r="A71" s="191" t="s">
        <v>1556</v>
      </c>
      <c r="D71" s="2">
        <v>3500</v>
      </c>
      <c r="E71" s="2"/>
      <c r="F71" s="47"/>
      <c r="G71" s="47"/>
      <c r="H71" s="47"/>
      <c r="I71" s="47"/>
      <c r="J71" s="47"/>
      <c r="IK71" s="47"/>
    </row>
    <row r="72" spans="1:245" s="191" customFormat="1" x14ac:dyDescent="0.25">
      <c r="A72" s="191" t="s">
        <v>386</v>
      </c>
      <c r="D72" s="2" t="s">
        <v>386</v>
      </c>
      <c r="E72" s="2"/>
      <c r="F72" s="47"/>
      <c r="G72" s="47"/>
      <c r="H72" s="47"/>
      <c r="I72" s="47"/>
      <c r="J72" s="47"/>
      <c r="IK72" s="47"/>
    </row>
    <row r="73" spans="1:245" s="191" customFormat="1" ht="13.8" x14ac:dyDescent="0.3">
      <c r="A73" s="193" t="s">
        <v>454</v>
      </c>
      <c r="D73" s="2"/>
      <c r="E73" s="2">
        <v>0</v>
      </c>
      <c r="F73" s="47">
        <v>100</v>
      </c>
      <c r="G73" s="47">
        <v>100</v>
      </c>
      <c r="H73" s="47">
        <v>100</v>
      </c>
      <c r="I73" s="47"/>
      <c r="J73" s="47"/>
      <c r="IK73" s="47"/>
    </row>
    <row r="74" spans="1:245" s="191" customFormat="1" x14ac:dyDescent="0.25">
      <c r="A74" s="191" t="s">
        <v>455</v>
      </c>
      <c r="B74" s="2"/>
      <c r="D74" s="2">
        <v>100</v>
      </c>
      <c r="E74" s="2"/>
      <c r="F74" s="47"/>
      <c r="G74" s="47"/>
      <c r="H74" s="47"/>
      <c r="I74" s="47"/>
      <c r="J74" s="47"/>
      <c r="IK74" s="47"/>
    </row>
    <row r="75" spans="1:245" s="191" customFormat="1" x14ac:dyDescent="0.25">
      <c r="D75" s="2"/>
      <c r="E75" s="2"/>
      <c r="F75" s="47"/>
      <c r="G75" s="47"/>
      <c r="H75" s="47"/>
      <c r="I75" s="47"/>
      <c r="J75" s="47"/>
      <c r="IK75" s="47"/>
    </row>
    <row r="76" spans="1:245" s="191" customFormat="1" ht="13.8" x14ac:dyDescent="0.3">
      <c r="A76" s="193" t="s">
        <v>838</v>
      </c>
      <c r="D76" s="2"/>
      <c r="E76" s="2">
        <v>191</v>
      </c>
      <c r="F76" s="47">
        <v>200</v>
      </c>
      <c r="G76" s="47">
        <v>200</v>
      </c>
      <c r="H76" s="47">
        <v>200</v>
      </c>
      <c r="I76" s="47"/>
      <c r="J76" s="47"/>
      <c r="IK76" s="47"/>
    </row>
    <row r="77" spans="1:245" s="191" customFormat="1" x14ac:dyDescent="0.25">
      <c r="A77" s="191" t="s">
        <v>780</v>
      </c>
      <c r="D77" s="2">
        <v>200</v>
      </c>
      <c r="E77" s="2"/>
      <c r="F77" s="47"/>
      <c r="G77" s="47"/>
      <c r="H77" s="47"/>
      <c r="I77" s="47"/>
      <c r="J77" s="47"/>
      <c r="IK77" s="47"/>
    </row>
    <row r="78" spans="1:245" s="191" customFormat="1" x14ac:dyDescent="0.25">
      <c r="D78" s="2"/>
      <c r="E78" s="2"/>
      <c r="F78" s="47"/>
      <c r="G78" s="47"/>
      <c r="H78" s="47"/>
      <c r="I78" s="47"/>
      <c r="J78" s="47"/>
      <c r="IK78" s="47"/>
    </row>
    <row r="79" spans="1:245" s="191" customFormat="1" ht="13.8" x14ac:dyDescent="0.3">
      <c r="A79" s="193" t="s">
        <v>839</v>
      </c>
      <c r="D79" s="2"/>
      <c r="E79" s="2">
        <v>5083</v>
      </c>
      <c r="F79" s="47">
        <v>6850</v>
      </c>
      <c r="G79" s="47">
        <v>6550</v>
      </c>
      <c r="H79" s="47">
        <v>6550</v>
      </c>
      <c r="I79" s="47"/>
      <c r="J79" s="47"/>
      <c r="IK79" s="47"/>
    </row>
    <row r="80" spans="1:245" s="191" customFormat="1" x14ac:dyDescent="0.25">
      <c r="A80" s="191" t="s">
        <v>310</v>
      </c>
      <c r="B80" s="2" t="s">
        <v>386</v>
      </c>
      <c r="D80" s="2">
        <v>0</v>
      </c>
      <c r="E80" s="2"/>
      <c r="F80" s="47"/>
      <c r="G80" s="47"/>
      <c r="H80" s="47"/>
      <c r="I80" s="47"/>
      <c r="J80" s="47"/>
      <c r="IK80" s="47"/>
    </row>
    <row r="81" spans="1:245" s="191" customFormat="1" ht="15" x14ac:dyDescent="0.4">
      <c r="A81" s="191" t="s">
        <v>313</v>
      </c>
      <c r="B81" s="2"/>
      <c r="D81" s="11">
        <v>6550</v>
      </c>
      <c r="E81" s="2"/>
      <c r="F81" s="2"/>
      <c r="G81" s="2"/>
      <c r="H81" s="2"/>
      <c r="I81" s="2"/>
      <c r="J81" s="2"/>
      <c r="IK81" s="2"/>
    </row>
    <row r="82" spans="1:245" s="191" customFormat="1" x14ac:dyDescent="0.25">
      <c r="A82" s="191" t="s">
        <v>1182</v>
      </c>
      <c r="B82" s="2"/>
      <c r="D82" s="2">
        <f>SUM(D80:D81)</f>
        <v>6550</v>
      </c>
      <c r="E82" s="2"/>
      <c r="F82" s="47"/>
      <c r="G82" s="47"/>
      <c r="H82" s="47"/>
      <c r="I82" s="47"/>
      <c r="J82" s="47"/>
      <c r="IK82" s="47"/>
    </row>
    <row r="83" spans="1:245" s="191" customFormat="1" x14ac:dyDescent="0.25">
      <c r="E83" s="2"/>
      <c r="F83" s="47"/>
      <c r="G83" s="47"/>
      <c r="H83" s="47"/>
      <c r="I83" s="47"/>
      <c r="J83" s="47"/>
      <c r="IK83" s="47"/>
    </row>
    <row r="84" spans="1:245" s="191" customFormat="1" ht="13.8" x14ac:dyDescent="0.3">
      <c r="A84" s="193" t="s">
        <v>45</v>
      </c>
      <c r="E84" s="2">
        <v>59</v>
      </c>
      <c r="F84" s="47">
        <v>125</v>
      </c>
      <c r="G84" s="47">
        <v>125</v>
      </c>
      <c r="H84" s="47">
        <v>125</v>
      </c>
      <c r="I84" s="47"/>
      <c r="J84" s="47"/>
      <c r="IK84" s="47"/>
    </row>
    <row r="85" spans="1:245" s="191" customFormat="1" x14ac:dyDescent="0.25">
      <c r="A85" s="191" t="s">
        <v>1219</v>
      </c>
      <c r="B85" s="2">
        <v>50</v>
      </c>
      <c r="C85" s="12">
        <v>2.5</v>
      </c>
      <c r="D85" s="2">
        <f>+C85*B85</f>
        <v>125</v>
      </c>
      <c r="E85" s="2"/>
      <c r="F85" s="47"/>
      <c r="G85" s="47"/>
      <c r="H85" s="47"/>
      <c r="I85" s="47"/>
      <c r="J85" s="47"/>
      <c r="IK85" s="47"/>
    </row>
    <row r="86" spans="1:245" s="191" customFormat="1" x14ac:dyDescent="0.25">
      <c r="B86" s="2"/>
      <c r="D86" s="14"/>
      <c r="E86" s="2"/>
      <c r="F86" s="47"/>
      <c r="G86" s="47"/>
      <c r="H86" s="47"/>
      <c r="I86" s="47"/>
      <c r="J86" s="47"/>
      <c r="IK86" s="47"/>
    </row>
    <row r="87" spans="1:245" s="191" customFormat="1" ht="13.8" x14ac:dyDescent="0.3">
      <c r="A87" s="193" t="s">
        <v>212</v>
      </c>
      <c r="B87" s="2"/>
      <c r="D87" s="14"/>
      <c r="E87" s="2">
        <v>3317</v>
      </c>
      <c r="F87" s="47">
        <v>3520</v>
      </c>
      <c r="G87" s="47">
        <v>3370</v>
      </c>
      <c r="H87" s="47">
        <v>3370</v>
      </c>
      <c r="I87" s="47"/>
      <c r="J87" s="47"/>
      <c r="IK87" s="47"/>
    </row>
    <row r="88" spans="1:245" s="191" customFormat="1" x14ac:dyDescent="0.25">
      <c r="A88" s="191" t="s">
        <v>897</v>
      </c>
      <c r="B88" s="2"/>
      <c r="D88" s="2">
        <v>2350</v>
      </c>
      <c r="E88" s="2"/>
      <c r="F88" s="47"/>
      <c r="G88" s="47"/>
      <c r="H88" s="47"/>
      <c r="I88" s="47"/>
      <c r="J88" s="47"/>
      <c r="IK88" s="47"/>
    </row>
    <row r="89" spans="1:245" s="191" customFormat="1" ht="15" x14ac:dyDescent="0.4">
      <c r="A89" s="191" t="s">
        <v>213</v>
      </c>
      <c r="B89" s="2"/>
      <c r="D89" s="11">
        <f>85*12</f>
        <v>1020</v>
      </c>
      <c r="E89" s="2"/>
      <c r="F89" s="47"/>
      <c r="G89" s="47"/>
      <c r="H89" s="47"/>
      <c r="I89" s="47"/>
      <c r="J89" s="47"/>
      <c r="IK89" s="47"/>
    </row>
    <row r="90" spans="1:245" s="191" customFormat="1" x14ac:dyDescent="0.25">
      <c r="A90" s="191" t="s">
        <v>1182</v>
      </c>
      <c r="B90" s="2"/>
      <c r="D90" s="2">
        <f>SUM(D88:D89)</f>
        <v>3370</v>
      </c>
      <c r="E90" s="2"/>
      <c r="F90" s="47"/>
      <c r="G90" s="47"/>
      <c r="H90" s="47"/>
      <c r="I90" s="47"/>
      <c r="J90" s="47"/>
      <c r="IK90" s="47"/>
    </row>
    <row r="91" spans="1:245" s="191" customFormat="1" x14ac:dyDescent="0.25">
      <c r="D91" s="2"/>
      <c r="E91" s="2"/>
      <c r="F91" s="47"/>
      <c r="G91" s="47"/>
      <c r="H91" s="47"/>
      <c r="I91" s="47"/>
      <c r="J91" s="47"/>
      <c r="IK91" s="47"/>
    </row>
    <row r="92" spans="1:245" s="191" customFormat="1" ht="13.8" x14ac:dyDescent="0.3">
      <c r="A92" s="193" t="s">
        <v>626</v>
      </c>
      <c r="D92" s="2"/>
      <c r="E92" s="2">
        <v>22946</v>
      </c>
      <c r="F92" s="47">
        <v>22800</v>
      </c>
      <c r="G92" s="47">
        <v>24000</v>
      </c>
      <c r="H92" s="47">
        <v>24000</v>
      </c>
      <c r="I92" s="47"/>
      <c r="J92" s="47"/>
      <c r="IK92" s="47"/>
    </row>
    <row r="93" spans="1:245" s="191" customFormat="1" x14ac:dyDescent="0.25">
      <c r="A93" s="191" t="s">
        <v>148</v>
      </c>
      <c r="B93" s="2" t="s">
        <v>386</v>
      </c>
      <c r="D93" s="2">
        <v>22000</v>
      </c>
      <c r="E93" s="2"/>
      <c r="F93" s="2"/>
      <c r="G93" s="2"/>
      <c r="H93" s="2"/>
      <c r="I93" s="2"/>
      <c r="J93" s="2"/>
      <c r="IK93" s="2"/>
    </row>
    <row r="94" spans="1:245" s="191" customFormat="1" x14ac:dyDescent="0.25">
      <c r="A94" s="191" t="s">
        <v>2054</v>
      </c>
      <c r="D94" s="2">
        <v>1500</v>
      </c>
      <c r="E94" s="2"/>
      <c r="F94" s="2"/>
      <c r="G94" s="2"/>
      <c r="H94" s="2"/>
      <c r="I94" s="2"/>
      <c r="J94" s="2"/>
      <c r="IK94" s="2"/>
    </row>
    <row r="95" spans="1:245" s="191" customFormat="1" ht="15" x14ac:dyDescent="0.4">
      <c r="A95" s="191" t="s">
        <v>816</v>
      </c>
      <c r="D95" s="11">
        <v>500</v>
      </c>
      <c r="E95" s="2"/>
      <c r="F95" s="47"/>
      <c r="G95" s="47"/>
      <c r="H95" s="47"/>
      <c r="I95" s="47"/>
      <c r="J95" s="47"/>
      <c r="IK95" s="47"/>
    </row>
    <row r="96" spans="1:245" s="191" customFormat="1" x14ac:dyDescent="0.25">
      <c r="A96" s="191" t="s">
        <v>1182</v>
      </c>
      <c r="D96" s="2">
        <f>SUM(D93:D95)</f>
        <v>24000</v>
      </c>
      <c r="E96" s="2"/>
      <c r="F96" s="47"/>
      <c r="G96" s="47"/>
      <c r="H96" s="47"/>
      <c r="I96" s="47"/>
      <c r="J96" s="47"/>
      <c r="IK96" s="47"/>
    </row>
    <row r="97" spans="1:245" s="191" customFormat="1" x14ac:dyDescent="0.25">
      <c r="D97" s="2"/>
      <c r="E97" s="2"/>
      <c r="F97" s="47"/>
      <c r="G97" s="47"/>
      <c r="H97" s="47"/>
      <c r="I97" s="47"/>
      <c r="J97" s="47"/>
      <c r="IK97" s="47"/>
    </row>
    <row r="98" spans="1:245" s="191" customFormat="1" ht="13.8" x14ac:dyDescent="0.3">
      <c r="A98" s="17" t="s">
        <v>817</v>
      </c>
      <c r="D98" s="2"/>
      <c r="E98" s="2">
        <v>2851</v>
      </c>
      <c r="F98" s="47">
        <v>3913</v>
      </c>
      <c r="G98" s="47">
        <v>3135</v>
      </c>
      <c r="H98" s="47">
        <v>3135</v>
      </c>
      <c r="I98" s="47"/>
      <c r="J98" s="47"/>
      <c r="IK98" s="47"/>
    </row>
    <row r="99" spans="1:245" s="191" customFormat="1" x14ac:dyDescent="0.25">
      <c r="A99" s="191" t="s">
        <v>818</v>
      </c>
      <c r="D99" s="2">
        <v>3135</v>
      </c>
      <c r="E99" s="2"/>
      <c r="F99" s="47"/>
      <c r="G99" s="47"/>
      <c r="H99" s="47"/>
      <c r="I99" s="47"/>
      <c r="J99" s="47"/>
      <c r="IK99" s="47"/>
    </row>
    <row r="100" spans="1:245" s="191" customFormat="1" x14ac:dyDescent="0.25">
      <c r="D100" s="2"/>
      <c r="E100" s="2"/>
      <c r="F100" s="47"/>
      <c r="G100" s="47"/>
      <c r="H100" s="47"/>
      <c r="I100" s="47"/>
      <c r="J100" s="47"/>
      <c r="IK100" s="47"/>
    </row>
    <row r="101" spans="1:245" s="191" customFormat="1" ht="13.8" x14ac:dyDescent="0.3">
      <c r="A101" s="193" t="s">
        <v>819</v>
      </c>
      <c r="D101" s="2"/>
      <c r="E101" s="2">
        <v>445</v>
      </c>
      <c r="F101" s="47">
        <v>1500</v>
      </c>
      <c r="G101" s="47">
        <v>1500</v>
      </c>
      <c r="H101" s="47">
        <v>1500</v>
      </c>
      <c r="I101" s="47"/>
      <c r="J101" s="47"/>
      <c r="IK101" s="47"/>
    </row>
    <row r="102" spans="1:245" s="191" customFormat="1" x14ac:dyDescent="0.25">
      <c r="A102" s="191" t="s">
        <v>503</v>
      </c>
      <c r="D102" s="2">
        <v>1500</v>
      </c>
      <c r="E102" s="2"/>
      <c r="F102" s="47"/>
      <c r="G102" s="47"/>
      <c r="H102" s="47"/>
      <c r="I102" s="47"/>
      <c r="J102" s="47"/>
      <c r="IK102" s="47"/>
    </row>
    <row r="103" spans="1:245" s="191" customFormat="1" x14ac:dyDescent="0.25">
      <c r="A103" s="191" t="s">
        <v>386</v>
      </c>
      <c r="D103" s="2" t="s">
        <v>386</v>
      </c>
      <c r="E103" s="2"/>
      <c r="F103" s="47"/>
      <c r="G103" s="47"/>
      <c r="H103" s="47"/>
      <c r="I103" s="47"/>
      <c r="J103" s="47"/>
      <c r="IK103" s="47"/>
    </row>
    <row r="104" spans="1:245" s="191" customFormat="1" ht="13.8" x14ac:dyDescent="0.3">
      <c r="A104" s="193" t="s">
        <v>174</v>
      </c>
      <c r="D104" s="2"/>
      <c r="E104" s="2">
        <v>212</v>
      </c>
      <c r="F104" s="47">
        <v>150</v>
      </c>
      <c r="G104" s="47">
        <v>190</v>
      </c>
      <c r="H104" s="47">
        <v>190</v>
      </c>
      <c r="I104" s="47"/>
      <c r="J104" s="47"/>
      <c r="IK104" s="47"/>
    </row>
    <row r="105" spans="1:245" s="191" customFormat="1" x14ac:dyDescent="0.25">
      <c r="A105" s="191" t="s">
        <v>175</v>
      </c>
      <c r="D105" s="2">
        <v>190</v>
      </c>
      <c r="E105" s="2"/>
      <c r="F105" s="47"/>
      <c r="G105" s="47"/>
      <c r="H105" s="47"/>
      <c r="I105" s="47"/>
      <c r="J105" s="47"/>
      <c r="IK105" s="47"/>
    </row>
    <row r="106" spans="1:245" s="191" customFormat="1" x14ac:dyDescent="0.25">
      <c r="D106" s="2"/>
      <c r="E106" s="2"/>
      <c r="F106" s="47"/>
      <c r="G106" s="47"/>
      <c r="H106" s="47"/>
      <c r="I106" s="47"/>
      <c r="J106" s="47"/>
      <c r="IK106" s="47"/>
    </row>
    <row r="107" spans="1:245" s="191" customFormat="1" ht="13.8" x14ac:dyDescent="0.3">
      <c r="A107" s="193" t="s">
        <v>1220</v>
      </c>
      <c r="D107" s="2"/>
      <c r="E107" s="2">
        <v>3723</v>
      </c>
      <c r="F107" s="47">
        <v>7500</v>
      </c>
      <c r="G107" s="47">
        <v>2000</v>
      </c>
      <c r="H107" s="47">
        <v>2000</v>
      </c>
      <c r="I107" s="47"/>
      <c r="J107" s="47"/>
      <c r="IK107" s="47"/>
    </row>
    <row r="108" spans="1:245" s="191" customFormat="1" x14ac:dyDescent="0.25">
      <c r="A108" s="191" t="s">
        <v>759</v>
      </c>
      <c r="D108" s="2">
        <v>2000</v>
      </c>
      <c r="E108" s="2"/>
      <c r="F108" s="47"/>
      <c r="G108" s="47"/>
      <c r="H108" s="47"/>
      <c r="I108" s="47"/>
      <c r="J108" s="47"/>
      <c r="IK108" s="47"/>
    </row>
    <row r="109" spans="1:245" s="191" customFormat="1" x14ac:dyDescent="0.25">
      <c r="E109" s="2"/>
      <c r="F109" s="47"/>
      <c r="G109" s="47"/>
      <c r="H109" s="47"/>
      <c r="I109" s="47"/>
      <c r="J109" s="47"/>
      <c r="IK109" s="47"/>
    </row>
    <row r="110" spans="1:245" s="191" customFormat="1" ht="13.8" x14ac:dyDescent="0.3">
      <c r="A110" s="193" t="s">
        <v>225</v>
      </c>
      <c r="B110" s="30" t="s">
        <v>386</v>
      </c>
      <c r="D110" s="37"/>
      <c r="E110" s="2">
        <v>0</v>
      </c>
      <c r="F110" s="47">
        <v>3000</v>
      </c>
      <c r="G110" s="47">
        <v>2500</v>
      </c>
      <c r="H110" s="47">
        <v>2500</v>
      </c>
      <c r="I110" s="47"/>
      <c r="J110" s="47"/>
      <c r="IK110" s="47"/>
    </row>
    <row r="111" spans="1:245" s="191" customFormat="1" x14ac:dyDescent="0.25">
      <c r="A111" s="191" t="s">
        <v>1530</v>
      </c>
      <c r="B111" s="2" t="s">
        <v>386</v>
      </c>
      <c r="D111" s="2">
        <v>2500</v>
      </c>
      <c r="E111" s="2"/>
      <c r="F111" s="2"/>
      <c r="G111" s="2"/>
      <c r="H111" s="2"/>
      <c r="I111" s="2"/>
      <c r="J111" s="2"/>
      <c r="IK111" s="2"/>
    </row>
    <row r="112" spans="1:245" s="191" customFormat="1" x14ac:dyDescent="0.25">
      <c r="B112" s="2"/>
      <c r="D112" s="2"/>
      <c r="E112" s="2"/>
      <c r="F112" s="2"/>
      <c r="G112" s="2"/>
      <c r="H112" s="2"/>
      <c r="I112" s="2"/>
      <c r="J112" s="2"/>
      <c r="IK112" s="2"/>
    </row>
    <row r="113" spans="1:245" s="191" customFormat="1" ht="13.8" x14ac:dyDescent="0.3">
      <c r="A113" s="193" t="s">
        <v>712</v>
      </c>
      <c r="E113" s="2">
        <v>685</v>
      </c>
      <c r="F113" s="47">
        <v>2500</v>
      </c>
      <c r="G113" s="47">
        <v>2500</v>
      </c>
      <c r="H113" s="47">
        <v>2500</v>
      </c>
      <c r="I113" s="47"/>
      <c r="J113" s="47"/>
      <c r="IK113" s="47"/>
    </row>
    <row r="114" spans="1:245" s="191" customFormat="1" x14ac:dyDescent="0.25">
      <c r="A114" s="191" t="s">
        <v>44</v>
      </c>
      <c r="D114" s="2">
        <v>500</v>
      </c>
      <c r="E114" s="2"/>
      <c r="F114" s="47"/>
      <c r="G114" s="47"/>
      <c r="H114" s="47"/>
      <c r="I114" s="47"/>
      <c r="J114" s="47"/>
      <c r="IK114" s="47"/>
    </row>
    <row r="115" spans="1:245" s="191" customFormat="1" x14ac:dyDescent="0.25">
      <c r="A115" s="191" t="s">
        <v>2055</v>
      </c>
      <c r="D115" s="2">
        <v>600</v>
      </c>
      <c r="E115" s="2"/>
      <c r="F115" s="47"/>
      <c r="G115" s="47"/>
      <c r="H115" s="47"/>
      <c r="I115" s="47"/>
      <c r="J115" s="47"/>
      <c r="IK115" s="47"/>
    </row>
    <row r="116" spans="1:245" s="191" customFormat="1" x14ac:dyDescent="0.25">
      <c r="A116" s="191" t="s">
        <v>2056</v>
      </c>
      <c r="D116" s="2">
        <v>1200</v>
      </c>
      <c r="E116" s="2"/>
      <c r="F116" s="47"/>
      <c r="G116" s="47"/>
      <c r="H116" s="47"/>
      <c r="I116" s="47"/>
      <c r="J116" s="47"/>
      <c r="IK116" s="47"/>
    </row>
    <row r="117" spans="1:245" s="191" customFormat="1" ht="15" x14ac:dyDescent="0.4">
      <c r="A117" s="191" t="s">
        <v>1242</v>
      </c>
      <c r="D117" s="11">
        <v>200</v>
      </c>
      <c r="E117" s="2"/>
      <c r="F117" s="47"/>
      <c r="G117" s="47"/>
      <c r="H117" s="47"/>
      <c r="I117" s="47"/>
      <c r="J117" s="47"/>
      <c r="IK117" s="47"/>
    </row>
    <row r="118" spans="1:245" s="191" customFormat="1" x14ac:dyDescent="0.25">
      <c r="A118" s="191" t="s">
        <v>1182</v>
      </c>
      <c r="D118" s="2">
        <f>SUM(D114:D117)</f>
        <v>2500</v>
      </c>
      <c r="E118" s="2"/>
      <c r="F118" s="47"/>
      <c r="G118" s="47"/>
      <c r="H118" s="47"/>
      <c r="I118" s="47"/>
      <c r="J118" s="47"/>
      <c r="IK118" s="47"/>
    </row>
    <row r="119" spans="1:245" s="191" customFormat="1" x14ac:dyDescent="0.25">
      <c r="D119" s="2"/>
      <c r="E119" s="2"/>
      <c r="F119" s="47"/>
      <c r="G119" s="47"/>
      <c r="H119" s="47"/>
      <c r="I119" s="47"/>
      <c r="J119" s="47"/>
      <c r="IK119" s="47"/>
    </row>
    <row r="120" spans="1:245" s="191" customFormat="1" ht="13.8" x14ac:dyDescent="0.3">
      <c r="A120" s="193" t="s">
        <v>15</v>
      </c>
      <c r="D120" s="37"/>
      <c r="E120" s="2">
        <v>1420</v>
      </c>
      <c r="F120" s="47">
        <v>1500</v>
      </c>
      <c r="G120" s="47">
        <v>1500</v>
      </c>
      <c r="H120" s="47">
        <v>1500</v>
      </c>
      <c r="I120" s="47"/>
      <c r="J120" s="47"/>
      <c r="IK120" s="47"/>
    </row>
    <row r="121" spans="1:245" s="191" customFormat="1" x14ac:dyDescent="0.25">
      <c r="A121" s="191" t="s">
        <v>16</v>
      </c>
      <c r="D121" s="2">
        <v>1000</v>
      </c>
      <c r="E121" s="2"/>
      <c r="F121" s="47"/>
      <c r="G121" s="47"/>
      <c r="H121" s="47"/>
      <c r="I121" s="47"/>
      <c r="J121" s="47"/>
      <c r="IK121" s="47"/>
    </row>
    <row r="122" spans="1:245" s="191" customFormat="1" ht="15" x14ac:dyDescent="0.4">
      <c r="A122" s="191" t="s">
        <v>730</v>
      </c>
      <c r="D122" s="11">
        <v>500</v>
      </c>
      <c r="E122" s="2"/>
      <c r="F122" s="47"/>
      <c r="G122" s="47"/>
      <c r="H122" s="47"/>
      <c r="I122" s="47"/>
      <c r="J122" s="47"/>
      <c r="IK122" s="47"/>
    </row>
    <row r="123" spans="1:245" s="191" customFormat="1" x14ac:dyDescent="0.25">
      <c r="A123" s="191" t="s">
        <v>1182</v>
      </c>
      <c r="D123" s="2">
        <f>SUM(D121:D122)</f>
        <v>1500</v>
      </c>
      <c r="E123" s="2"/>
      <c r="F123" s="47"/>
      <c r="G123" s="47"/>
      <c r="H123" s="47"/>
      <c r="I123" s="47"/>
      <c r="J123" s="47"/>
      <c r="IK123" s="47"/>
    </row>
    <row r="124" spans="1:245" s="191" customFormat="1" x14ac:dyDescent="0.25">
      <c r="D124" s="2"/>
      <c r="E124" s="2"/>
      <c r="F124" s="47"/>
      <c r="G124" s="47"/>
      <c r="H124" s="47"/>
      <c r="I124" s="47"/>
      <c r="J124" s="47"/>
      <c r="IK124" s="47"/>
    </row>
    <row r="125" spans="1:245" s="191" customFormat="1" ht="13.8" x14ac:dyDescent="0.3">
      <c r="A125" s="193" t="s">
        <v>1279</v>
      </c>
      <c r="D125" s="2"/>
      <c r="E125" s="8">
        <v>0</v>
      </c>
      <c r="F125" s="47">
        <v>5000</v>
      </c>
      <c r="G125" s="47">
        <v>2500</v>
      </c>
      <c r="H125" s="47">
        <v>2500</v>
      </c>
      <c r="I125" s="47"/>
      <c r="J125" s="47"/>
      <c r="IK125" s="47"/>
    </row>
    <row r="126" spans="1:245" s="191" customFormat="1" x14ac:dyDescent="0.25">
      <c r="A126" s="191" t="s">
        <v>1566</v>
      </c>
      <c r="D126" s="8">
        <v>2500</v>
      </c>
      <c r="E126" s="2"/>
      <c r="F126" s="47"/>
      <c r="G126" s="47"/>
      <c r="H126" s="47"/>
      <c r="I126" s="47"/>
      <c r="J126" s="47"/>
      <c r="IK126" s="47"/>
    </row>
    <row r="127" spans="1:245" s="191" customFormat="1" x14ac:dyDescent="0.25">
      <c r="E127" s="2"/>
      <c r="F127" s="47"/>
      <c r="G127" s="47"/>
      <c r="H127" s="47"/>
      <c r="I127" s="47"/>
      <c r="J127" s="47"/>
      <c r="IK127" s="47"/>
    </row>
    <row r="128" spans="1:245" s="191" customFormat="1" ht="13.8" x14ac:dyDescent="0.3">
      <c r="A128" s="193" t="s">
        <v>627</v>
      </c>
      <c r="D128" s="37"/>
      <c r="E128" s="2">
        <v>4231</v>
      </c>
      <c r="F128" s="47">
        <v>4231</v>
      </c>
      <c r="G128" s="47">
        <v>5131</v>
      </c>
      <c r="H128" s="47">
        <v>5131</v>
      </c>
      <c r="I128" s="47"/>
      <c r="J128" s="47"/>
      <c r="IK128" s="47"/>
    </row>
    <row r="129" spans="1:245" s="191" customFormat="1" x14ac:dyDescent="0.25">
      <c r="A129" s="191" t="s">
        <v>628</v>
      </c>
      <c r="E129" s="2"/>
      <c r="F129" s="47"/>
      <c r="G129" s="47"/>
      <c r="H129" s="47"/>
      <c r="I129" s="47"/>
      <c r="J129" s="47"/>
      <c r="IK129" s="47"/>
    </row>
    <row r="130" spans="1:245" s="191" customFormat="1" x14ac:dyDescent="0.25">
      <c r="A130" s="191" t="s">
        <v>2057</v>
      </c>
      <c r="D130" s="2">
        <v>900</v>
      </c>
      <c r="E130" s="2"/>
      <c r="F130" s="2"/>
      <c r="G130" s="2"/>
      <c r="H130" s="2"/>
      <c r="I130" s="2"/>
      <c r="J130" s="2"/>
      <c r="IK130" s="2"/>
    </row>
    <row r="131" spans="1:245" s="191" customFormat="1" x14ac:dyDescent="0.25">
      <c r="A131" s="191" t="s">
        <v>2058</v>
      </c>
      <c r="D131" s="2">
        <v>963</v>
      </c>
      <c r="E131" s="2"/>
      <c r="F131" s="2"/>
      <c r="G131" s="2"/>
      <c r="H131" s="2"/>
      <c r="I131" s="2"/>
      <c r="J131" s="2"/>
      <c r="IK131" s="2"/>
    </row>
    <row r="132" spans="1:245" s="191" customFormat="1" x14ac:dyDescent="0.25">
      <c r="A132" s="191" t="s">
        <v>35</v>
      </c>
      <c r="D132" s="2">
        <v>250</v>
      </c>
      <c r="E132" s="2"/>
      <c r="F132" s="2"/>
      <c r="G132" s="2"/>
      <c r="H132" s="2"/>
      <c r="I132" s="2"/>
      <c r="J132" s="2"/>
      <c r="IK132" s="2"/>
    </row>
    <row r="133" spans="1:245" s="191" customFormat="1" x14ac:dyDescent="0.25">
      <c r="A133" s="191" t="s">
        <v>518</v>
      </c>
      <c r="D133" s="2">
        <v>200</v>
      </c>
      <c r="E133" s="2"/>
      <c r="F133" s="47"/>
      <c r="G133" s="47"/>
      <c r="H133" s="47"/>
      <c r="I133" s="47"/>
      <c r="J133" s="47"/>
      <c r="IK133" s="47"/>
    </row>
    <row r="134" spans="1:245" s="191" customFormat="1" x14ac:dyDescent="0.25">
      <c r="A134" s="191" t="s">
        <v>1531</v>
      </c>
      <c r="D134" s="2">
        <v>400</v>
      </c>
      <c r="E134" s="2"/>
      <c r="F134" s="47"/>
      <c r="G134" s="47"/>
      <c r="H134" s="47"/>
      <c r="I134" s="47"/>
      <c r="J134" s="47"/>
      <c r="IK134" s="47"/>
    </row>
    <row r="135" spans="1:245" s="191" customFormat="1" x14ac:dyDescent="0.25">
      <c r="A135" s="191" t="s">
        <v>1055</v>
      </c>
      <c r="D135" s="2">
        <v>380</v>
      </c>
      <c r="E135" s="2"/>
      <c r="F135" s="47"/>
      <c r="G135" s="47"/>
      <c r="H135" s="47"/>
      <c r="I135" s="47"/>
      <c r="J135" s="47"/>
      <c r="IK135" s="47"/>
    </row>
    <row r="136" spans="1:245" s="191" customFormat="1" x14ac:dyDescent="0.25">
      <c r="A136" s="191" t="s">
        <v>1532</v>
      </c>
      <c r="D136" s="2">
        <v>150</v>
      </c>
      <c r="E136" s="2"/>
      <c r="F136" s="47"/>
      <c r="G136" s="47"/>
      <c r="H136" s="47"/>
      <c r="I136" s="47"/>
      <c r="J136" s="47"/>
      <c r="IK136" s="47"/>
    </row>
    <row r="137" spans="1:245" s="191" customFormat="1" x14ac:dyDescent="0.25">
      <c r="A137" s="191" t="s">
        <v>390</v>
      </c>
      <c r="D137" s="2">
        <v>200</v>
      </c>
      <c r="E137" s="2"/>
      <c r="F137" s="47"/>
      <c r="G137" s="47"/>
      <c r="H137" s="47"/>
      <c r="I137" s="47"/>
      <c r="J137" s="47"/>
      <c r="IK137" s="47"/>
    </row>
    <row r="138" spans="1:245" s="191" customFormat="1" ht="15" x14ac:dyDescent="0.4">
      <c r="A138" s="191" t="s">
        <v>391</v>
      </c>
      <c r="D138" s="11">
        <v>1688</v>
      </c>
      <c r="E138" s="2"/>
      <c r="F138" s="47"/>
      <c r="G138" s="47"/>
      <c r="H138" s="47"/>
      <c r="I138" s="47"/>
      <c r="J138" s="47"/>
      <c r="IK138" s="47"/>
    </row>
    <row r="139" spans="1:245" s="191" customFormat="1" x14ac:dyDescent="0.25">
      <c r="A139" s="191" t="s">
        <v>392</v>
      </c>
      <c r="D139" s="2">
        <f>SUM(D130:D138)</f>
        <v>5131</v>
      </c>
      <c r="E139" s="2"/>
      <c r="F139" s="47"/>
      <c r="G139" s="47"/>
      <c r="H139" s="47"/>
      <c r="I139" s="47"/>
      <c r="J139" s="47"/>
      <c r="IK139" s="47"/>
    </row>
    <row r="140" spans="1:245" s="191" customFormat="1" x14ac:dyDescent="0.25">
      <c r="D140" s="2"/>
      <c r="E140" s="2"/>
      <c r="F140" s="47"/>
      <c r="G140" s="47"/>
      <c r="H140" s="47"/>
      <c r="I140" s="47"/>
      <c r="J140" s="47"/>
      <c r="IK140" s="47"/>
    </row>
    <row r="141" spans="1:245" s="191" customFormat="1" ht="13.8" x14ac:dyDescent="0.3">
      <c r="A141" s="193" t="s">
        <v>471</v>
      </c>
      <c r="E141" s="2">
        <v>1477</v>
      </c>
      <c r="F141" s="47">
        <v>1750</v>
      </c>
      <c r="G141" s="47">
        <v>1750</v>
      </c>
      <c r="H141" s="47">
        <v>1750</v>
      </c>
      <c r="I141" s="47"/>
      <c r="J141" s="47"/>
      <c r="IK141" s="47"/>
    </row>
    <row r="142" spans="1:245" s="191" customFormat="1" x14ac:dyDescent="0.25">
      <c r="A142" s="191" t="s">
        <v>217</v>
      </c>
      <c r="D142" s="2">
        <v>1750</v>
      </c>
      <c r="E142" s="2"/>
      <c r="F142" s="47"/>
      <c r="G142" s="47"/>
      <c r="H142" s="47"/>
      <c r="I142" s="47"/>
      <c r="J142" s="47"/>
      <c r="IK142" s="47"/>
    </row>
    <row r="143" spans="1:245" s="191" customFormat="1" x14ac:dyDescent="0.25">
      <c r="D143" s="2"/>
      <c r="E143" s="2"/>
      <c r="F143" s="47"/>
      <c r="G143" s="47"/>
      <c r="H143" s="47"/>
      <c r="I143" s="47"/>
      <c r="J143" s="47"/>
      <c r="IK143" s="47"/>
    </row>
    <row r="144" spans="1:245" s="191" customFormat="1" ht="13.8" x14ac:dyDescent="0.3">
      <c r="A144" s="193" t="s">
        <v>131</v>
      </c>
      <c r="D144" s="2"/>
      <c r="E144" s="2"/>
      <c r="F144" s="47"/>
      <c r="G144" s="47"/>
      <c r="H144" s="47"/>
      <c r="I144" s="47"/>
      <c r="J144" s="47"/>
      <c r="IK144" s="47"/>
    </row>
    <row r="145" spans="1:245" s="191" customFormat="1" ht="15" x14ac:dyDescent="0.4">
      <c r="E145" s="2"/>
      <c r="F145" s="11"/>
      <c r="G145" s="11"/>
      <c r="H145" s="11"/>
      <c r="I145" s="11"/>
      <c r="J145" s="11"/>
      <c r="IK145" s="11"/>
    </row>
    <row r="146" spans="1:245" s="191" customFormat="1" ht="15" x14ac:dyDescent="0.4">
      <c r="A146" s="193" t="s">
        <v>396</v>
      </c>
      <c r="E146" s="2"/>
      <c r="F146" s="11"/>
      <c r="G146" s="11"/>
      <c r="H146" s="11"/>
      <c r="I146" s="11"/>
      <c r="J146" s="11"/>
      <c r="IK146" s="11"/>
    </row>
    <row r="147" spans="1:245" s="191" customFormat="1" x14ac:dyDescent="0.25">
      <c r="E147" s="2"/>
      <c r="F147" s="2"/>
      <c r="G147" s="2"/>
      <c r="H147" s="2"/>
      <c r="I147" s="2"/>
      <c r="J147" s="2"/>
      <c r="IK147" s="2"/>
    </row>
    <row r="148" spans="1:245" s="191" customFormat="1" ht="13.8" x14ac:dyDescent="0.3">
      <c r="A148" s="193" t="s">
        <v>2159</v>
      </c>
      <c r="E148" s="2">
        <v>0</v>
      </c>
      <c r="F148" s="2">
        <v>0</v>
      </c>
      <c r="G148" s="2">
        <v>20000</v>
      </c>
      <c r="H148" s="2">
        <v>20000</v>
      </c>
      <c r="I148" s="2"/>
      <c r="J148" s="2"/>
      <c r="IK148" s="2"/>
    </row>
    <row r="149" spans="1:245" s="191" customFormat="1" x14ac:dyDescent="0.25">
      <c r="A149" s="23" t="s">
        <v>2160</v>
      </c>
      <c r="D149" s="191">
        <v>20000</v>
      </c>
      <c r="E149" s="2"/>
      <c r="F149" s="2"/>
      <c r="G149" s="2"/>
      <c r="H149" s="2"/>
      <c r="I149" s="2"/>
      <c r="J149" s="2"/>
      <c r="IK149" s="2"/>
    </row>
    <row r="150" spans="1:245" s="191" customFormat="1" x14ac:dyDescent="0.25">
      <c r="E150" s="2"/>
      <c r="F150" s="2"/>
      <c r="G150" s="2"/>
      <c r="H150" s="2"/>
      <c r="I150" s="2"/>
      <c r="J150" s="2"/>
      <c r="IK150" s="2"/>
    </row>
    <row r="151" spans="1:245" s="191" customFormat="1" ht="13.8" x14ac:dyDescent="0.3">
      <c r="A151" s="193" t="s">
        <v>265</v>
      </c>
      <c r="D151" s="37"/>
      <c r="E151" s="2">
        <v>0</v>
      </c>
      <c r="F151" s="2">
        <v>1150</v>
      </c>
      <c r="G151" s="2"/>
      <c r="H151" s="2"/>
      <c r="I151" s="2"/>
      <c r="J151" s="2"/>
      <c r="IK151" s="2"/>
    </row>
    <row r="152" spans="1:245" s="191" customFormat="1" ht="15" x14ac:dyDescent="0.4">
      <c r="A152" s="191" t="s">
        <v>1890</v>
      </c>
      <c r="D152" s="2">
        <v>0</v>
      </c>
      <c r="E152" s="11"/>
      <c r="F152" s="2"/>
      <c r="G152" s="2"/>
      <c r="H152" s="2"/>
      <c r="I152" s="2"/>
      <c r="J152" s="2"/>
      <c r="IK152" s="2"/>
    </row>
    <row r="153" spans="1:245" s="191" customFormat="1" ht="15" x14ac:dyDescent="0.4">
      <c r="D153" s="2"/>
      <c r="E153" s="11"/>
      <c r="F153" s="2"/>
      <c r="G153" s="2"/>
      <c r="H153" s="2"/>
      <c r="I153" s="2"/>
      <c r="J153" s="2"/>
      <c r="IK153" s="2"/>
    </row>
    <row r="154" spans="1:245" s="191" customFormat="1" ht="13.8" x14ac:dyDescent="0.3">
      <c r="A154" s="193" t="s">
        <v>1552</v>
      </c>
      <c r="D154" s="18"/>
      <c r="E154" s="2">
        <v>65000</v>
      </c>
      <c r="F154" s="2">
        <v>20000</v>
      </c>
      <c r="G154" s="2">
        <v>20000</v>
      </c>
      <c r="H154" s="2">
        <v>20000</v>
      </c>
      <c r="I154" s="2"/>
      <c r="J154" s="2"/>
      <c r="IK154" s="2"/>
    </row>
    <row r="155" spans="1:245" s="191" customFormat="1" ht="15" x14ac:dyDescent="0.4">
      <c r="D155" s="2"/>
      <c r="E155" s="11"/>
      <c r="F155" s="2"/>
      <c r="G155" s="2"/>
      <c r="H155" s="2"/>
      <c r="I155" s="2"/>
      <c r="J155" s="2"/>
      <c r="IK155" s="2"/>
    </row>
    <row r="156" spans="1:245" s="191" customFormat="1" ht="15" x14ac:dyDescent="0.4">
      <c r="A156" s="193" t="s">
        <v>1722</v>
      </c>
      <c r="D156" s="18"/>
      <c r="E156" s="11">
        <v>0</v>
      </c>
      <c r="F156" s="11">
        <v>0</v>
      </c>
      <c r="G156" s="11">
        <v>0</v>
      </c>
      <c r="H156" s="11">
        <v>0</v>
      </c>
      <c r="I156" s="11"/>
      <c r="J156" s="11"/>
      <c r="IK156" s="11"/>
    </row>
    <row r="157" spans="1:245" s="191" customFormat="1" ht="15" x14ac:dyDescent="0.4">
      <c r="D157" s="2"/>
      <c r="E157" s="11"/>
      <c r="F157" s="2"/>
      <c r="G157" s="2"/>
      <c r="H157" s="2"/>
      <c r="I157" s="2"/>
      <c r="J157" s="2"/>
      <c r="IK157" s="2"/>
    </row>
    <row r="158" spans="1:245" s="191" customFormat="1" ht="15" x14ac:dyDescent="0.4">
      <c r="D158" s="2"/>
      <c r="E158" s="11"/>
      <c r="F158" s="2"/>
      <c r="G158" s="2"/>
      <c r="H158" s="2"/>
      <c r="I158" s="2"/>
      <c r="J158" s="2"/>
      <c r="IK158" s="2"/>
    </row>
    <row r="159" spans="1:245" s="191" customFormat="1" ht="13.8" x14ac:dyDescent="0.3">
      <c r="A159" s="59" t="s">
        <v>386</v>
      </c>
      <c r="D159" s="2"/>
      <c r="E159" s="2"/>
      <c r="F159" s="2"/>
      <c r="G159" s="2"/>
      <c r="H159" s="2"/>
      <c r="I159" s="2"/>
      <c r="J159" s="2"/>
      <c r="IK159" s="2"/>
    </row>
    <row r="160" spans="1:245" s="191" customFormat="1" x14ac:dyDescent="0.25">
      <c r="A160" s="20" t="s">
        <v>1267</v>
      </c>
      <c r="D160" s="2"/>
      <c r="E160" s="2">
        <f t="shared" ref="E160:J160" si="0">SUM(E6:E156)</f>
        <v>517325</v>
      </c>
      <c r="F160" s="2">
        <f t="shared" si="0"/>
        <v>505335</v>
      </c>
      <c r="G160" s="2">
        <f t="shared" si="0"/>
        <v>518444</v>
      </c>
      <c r="H160" s="2">
        <f>SUM(H6:H156)</f>
        <v>518444</v>
      </c>
      <c r="I160" s="2">
        <f t="shared" si="0"/>
        <v>0</v>
      </c>
      <c r="J160" s="2">
        <f t="shared" si="0"/>
        <v>0</v>
      </c>
      <c r="IK160" s="2"/>
    </row>
    <row r="161" spans="1:245" s="191" customFormat="1" x14ac:dyDescent="0.25">
      <c r="A161" s="20"/>
      <c r="D161" s="2"/>
      <c r="E161" s="2"/>
      <c r="F161" s="2"/>
      <c r="G161" s="2"/>
      <c r="H161" s="2"/>
      <c r="I161" s="2"/>
      <c r="J161" s="2"/>
      <c r="IK161" s="2"/>
    </row>
    <row r="162" spans="1:245" s="191" customFormat="1" x14ac:dyDescent="0.25">
      <c r="A162" s="20"/>
      <c r="D162" s="2"/>
      <c r="E162" s="2"/>
      <c r="F162" s="2"/>
      <c r="G162" s="2"/>
      <c r="H162" s="2"/>
      <c r="I162" s="2"/>
      <c r="J162" s="2"/>
      <c r="IK162" s="2"/>
    </row>
    <row r="163" spans="1:245" s="191" customFormat="1" x14ac:dyDescent="0.25">
      <c r="A163" s="20"/>
      <c r="D163" s="2"/>
      <c r="E163" s="2"/>
      <c r="F163" s="2"/>
      <c r="G163" s="2"/>
      <c r="H163" s="2"/>
      <c r="I163" s="2"/>
      <c r="J163" s="2"/>
      <c r="IK163" s="2"/>
    </row>
    <row r="164" spans="1:245" s="191" customFormat="1" x14ac:dyDescent="0.25">
      <c r="A164" s="191" t="s">
        <v>571</v>
      </c>
      <c r="E164" s="2">
        <f t="shared" ref="E164:J164" si="1">SUM(E6:E68)</f>
        <v>404324</v>
      </c>
      <c r="F164" s="2">
        <f t="shared" si="1"/>
        <v>416046</v>
      </c>
      <c r="G164" s="2">
        <f>SUM(G6:G68)</f>
        <v>417893</v>
      </c>
      <c r="H164" s="2">
        <f>SUM(H6:H68)</f>
        <v>417893</v>
      </c>
      <c r="I164" s="2">
        <f>SUM(I6:I68)</f>
        <v>0</v>
      </c>
      <c r="J164" s="2">
        <f t="shared" si="1"/>
        <v>0</v>
      </c>
      <c r="IK164" s="2"/>
    </row>
    <row r="165" spans="1:245" s="191" customFormat="1" x14ac:dyDescent="0.25">
      <c r="A165" s="191" t="s">
        <v>895</v>
      </c>
      <c r="E165" s="2">
        <f t="shared" ref="E165:J165" si="2">SUM(E70:E145)</f>
        <v>48001</v>
      </c>
      <c r="F165" s="2">
        <f t="shared" si="2"/>
        <v>68139</v>
      </c>
      <c r="G165" s="2">
        <f>SUM(G70:G145)</f>
        <v>60551</v>
      </c>
      <c r="H165" s="2">
        <f>SUM(H70:H145)</f>
        <v>60551</v>
      </c>
      <c r="I165" s="2">
        <f>SUM(I70:I145)</f>
        <v>0</v>
      </c>
      <c r="J165" s="2">
        <f t="shared" si="2"/>
        <v>0</v>
      </c>
      <c r="IK165" s="2"/>
    </row>
    <row r="166" spans="1:245" s="191" customFormat="1" ht="15" x14ac:dyDescent="0.4">
      <c r="A166" s="191" t="s">
        <v>896</v>
      </c>
      <c r="E166" s="11">
        <f>SUM(E148:E156)</f>
        <v>65000</v>
      </c>
      <c r="F166" s="11">
        <f>SUM(F148:F156)</f>
        <v>21150</v>
      </c>
      <c r="G166" s="11">
        <f>SUM(G148:G156)</f>
        <v>40000</v>
      </c>
      <c r="H166" s="11">
        <f>SUM(H148:H156)</f>
        <v>40000</v>
      </c>
      <c r="I166" s="11">
        <f>SUM(I151:I156)</f>
        <v>0</v>
      </c>
      <c r="J166" s="11">
        <f>SUM(J151:J156)</f>
        <v>0</v>
      </c>
      <c r="IK166" s="11"/>
    </row>
    <row r="167" spans="1:245" s="191" customFormat="1" x14ac:dyDescent="0.25">
      <c r="E167" s="2">
        <f t="shared" ref="E167:J167" si="3">SUM(E164:E166)</f>
        <v>517325</v>
      </c>
      <c r="F167" s="2">
        <f t="shared" si="3"/>
        <v>505335</v>
      </c>
      <c r="G167" s="2">
        <f>SUM(G164:G166)</f>
        <v>518444</v>
      </c>
      <c r="H167" s="2">
        <f>SUM(H164:H166)</f>
        <v>518444</v>
      </c>
      <c r="I167" s="2">
        <f>SUM(I164:I166)</f>
        <v>0</v>
      </c>
      <c r="J167" s="2">
        <f t="shared" si="3"/>
        <v>0</v>
      </c>
      <c r="IK167" s="2"/>
    </row>
    <row r="168" spans="1:245" s="191" customFormat="1" x14ac:dyDescent="0.25">
      <c r="E168" s="2"/>
      <c r="F168" s="2"/>
      <c r="G168" s="2"/>
      <c r="H168" s="2"/>
      <c r="I168" s="2"/>
      <c r="J168" s="2"/>
      <c r="IK168" s="2"/>
    </row>
    <row r="169" spans="1:245" s="191" customFormat="1" x14ac:dyDescent="0.25">
      <c r="E169" s="2"/>
      <c r="F169" s="2"/>
      <c r="G169" s="2"/>
      <c r="H169" s="2"/>
      <c r="I169" s="2"/>
      <c r="J169" s="2"/>
      <c r="IK169" s="2"/>
    </row>
    <row r="170" spans="1:245" s="191" customFormat="1" x14ac:dyDescent="0.25">
      <c r="E170" s="2"/>
      <c r="F170" s="2"/>
      <c r="G170" s="2"/>
      <c r="H170" s="2"/>
      <c r="I170" s="2"/>
      <c r="J170" s="2"/>
      <c r="IK170" s="2"/>
    </row>
    <row r="171" spans="1:245" s="191" customFormat="1" x14ac:dyDescent="0.25">
      <c r="E171" s="2"/>
      <c r="F171" s="2"/>
      <c r="G171" s="2"/>
      <c r="H171" s="2"/>
      <c r="I171" s="2"/>
      <c r="J171" s="2"/>
      <c r="IK171" s="2"/>
    </row>
    <row r="172" spans="1:245" s="191" customFormat="1" x14ac:dyDescent="0.25">
      <c r="E172" s="2"/>
      <c r="F172" s="2"/>
      <c r="G172" s="2"/>
      <c r="H172" s="2"/>
      <c r="I172" s="2"/>
      <c r="J172" s="2"/>
      <c r="IK172" s="2"/>
    </row>
    <row r="173" spans="1:245" s="191" customFormat="1" x14ac:dyDescent="0.25">
      <c r="E173" s="2"/>
      <c r="F173" s="2"/>
      <c r="G173" s="2"/>
      <c r="H173" s="2"/>
      <c r="I173" s="2"/>
      <c r="J173" s="2"/>
      <c r="IK173" s="2"/>
    </row>
    <row r="174" spans="1:245" s="191" customFormat="1" x14ac:dyDescent="0.25">
      <c r="E174" s="2"/>
      <c r="F174" s="2"/>
      <c r="G174" s="2"/>
      <c r="H174" s="2"/>
      <c r="I174" s="2"/>
      <c r="J174" s="2"/>
      <c r="IK174" s="2"/>
    </row>
    <row r="175" spans="1:245" s="191" customFormat="1" x14ac:dyDescent="0.25">
      <c r="E175" s="2"/>
      <c r="F175" s="2"/>
      <c r="G175" s="2"/>
      <c r="H175" s="2"/>
      <c r="I175" s="2"/>
      <c r="J175" s="2"/>
      <c r="IK175" s="2"/>
    </row>
    <row r="176" spans="1:245" s="191" customFormat="1" x14ac:dyDescent="0.25">
      <c r="E176" s="2"/>
      <c r="F176" s="2"/>
      <c r="G176" s="2"/>
      <c r="H176" s="2"/>
      <c r="I176" s="2"/>
      <c r="J176" s="2"/>
      <c r="IK176" s="2"/>
    </row>
    <row r="177" spans="5:245" s="191" customFormat="1" x14ac:dyDescent="0.25">
      <c r="E177" s="2"/>
      <c r="F177" s="2"/>
      <c r="G177" s="2"/>
      <c r="H177" s="2"/>
      <c r="I177" s="2"/>
      <c r="J177" s="2"/>
      <c r="IK177" s="2"/>
    </row>
    <row r="178" spans="5:245" s="191" customFormat="1" x14ac:dyDescent="0.25">
      <c r="IK178" s="2"/>
    </row>
    <row r="179" spans="5:245" s="191" customFormat="1" x14ac:dyDescent="0.25">
      <c r="IK179" s="2"/>
    </row>
    <row r="180" spans="5:245" s="191" customFormat="1" x14ac:dyDescent="0.25">
      <c r="IK180" s="2"/>
    </row>
    <row r="181" spans="5:245" s="191" customFormat="1" x14ac:dyDescent="0.25">
      <c r="IK181" s="2"/>
    </row>
    <row r="182" spans="5:245" s="191" customFormat="1" x14ac:dyDescent="0.25">
      <c r="IK182" s="2"/>
    </row>
    <row r="183" spans="5:245" s="191" customFormat="1" x14ac:dyDescent="0.25">
      <c r="IK183" s="2"/>
    </row>
    <row r="184" spans="5:245" s="191" customFormat="1" x14ac:dyDescent="0.25">
      <c r="IK184" s="2"/>
    </row>
    <row r="185" spans="5:245" s="191" customFormat="1" x14ac:dyDescent="0.25">
      <c r="IK185" s="2"/>
    </row>
    <row r="186" spans="5:245" s="191" customFormat="1" x14ac:dyDescent="0.25">
      <c r="IK186" s="2"/>
    </row>
    <row r="187" spans="5:245" s="191" customFormat="1" x14ac:dyDescent="0.25">
      <c r="IK187" s="2"/>
    </row>
    <row r="188" spans="5:245" s="191" customFormat="1" x14ac:dyDescent="0.25"/>
    <row r="189" spans="5:245" s="191" customFormat="1" x14ac:dyDescent="0.25"/>
    <row r="190" spans="5:245" s="191" customFormat="1" x14ac:dyDescent="0.25"/>
    <row r="191" spans="5:245" s="191" customFormat="1" x14ac:dyDescent="0.25"/>
    <row r="192" spans="5:245" s="191" customFormat="1" x14ac:dyDescent="0.25"/>
    <row r="193" s="191" customFormat="1" x14ac:dyDescent="0.25"/>
    <row r="194" s="191" customFormat="1" x14ac:dyDescent="0.25"/>
    <row r="195" s="191" customFormat="1" x14ac:dyDescent="0.25"/>
    <row r="196" s="191" customFormat="1" x14ac:dyDescent="0.25"/>
    <row r="197" s="191" customFormat="1" x14ac:dyDescent="0.25"/>
    <row r="198" s="191" customFormat="1" x14ac:dyDescent="0.25"/>
    <row r="199" s="191" customFormat="1" x14ac:dyDescent="0.25"/>
    <row r="200" s="191" customFormat="1" x14ac:dyDescent="0.25"/>
    <row r="201" s="191" customFormat="1" x14ac:dyDescent="0.25"/>
    <row r="202" s="191" customFormat="1" x14ac:dyDescent="0.25"/>
    <row r="203" s="191" customFormat="1" x14ac:dyDescent="0.25"/>
    <row r="204" s="191" customFormat="1" x14ac:dyDescent="0.25"/>
    <row r="205" s="191" customFormat="1" x14ac:dyDescent="0.25"/>
    <row r="206" s="191" customFormat="1" x14ac:dyDescent="0.25"/>
    <row r="207" s="191" customFormat="1" x14ac:dyDescent="0.25"/>
  </sheetData>
  <mergeCells count="1">
    <mergeCell ref="A1:J1"/>
  </mergeCells>
  <phoneticPr fontId="0" type="noConversion"/>
  <printOptions gridLines="1"/>
  <pageMargins left="0.75" right="0.16" top="0.51" bottom="0.22" header="0.5" footer="0"/>
  <pageSetup scale="95" fitToHeight="4" orientation="landscape" r:id="rId1"/>
  <headerFooter alignWithMargins="0"/>
  <rowBreaks count="1" manualBreakCount="1">
    <brk id="68" max="7"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69"/>
  <sheetViews>
    <sheetView zoomScaleNormal="100" zoomScaleSheetLayoutView="100" workbookViewId="0">
      <selection activeCell="I20" sqref="I20"/>
    </sheetView>
  </sheetViews>
  <sheetFormatPr defaultColWidth="8.88671875" defaultRowHeight="13.2" x14ac:dyDescent="0.25"/>
  <cols>
    <col min="1" max="1" width="50.6640625" style="7" customWidth="1"/>
    <col min="2" max="2" width="9.88671875" style="7" customWidth="1"/>
    <col min="3" max="3" width="10.33203125" style="7" customWidth="1"/>
    <col min="4" max="4" width="10.5546875" style="7" customWidth="1"/>
    <col min="5" max="7" width="10.88671875" style="7" customWidth="1"/>
    <col min="8" max="8" width="14" style="7" bestFit="1" customWidth="1"/>
    <col min="9" max="10" width="10.88671875" style="7" customWidth="1"/>
    <col min="11" max="16384" width="8.88671875" style="7"/>
  </cols>
  <sheetData>
    <row r="1" spans="1:10" x14ac:dyDescent="0.25">
      <c r="A1" s="194" t="e">
        <f>#REF!</f>
        <v>#REF!</v>
      </c>
      <c r="B1" s="195"/>
      <c r="C1" s="195"/>
      <c r="D1" s="195"/>
      <c r="E1" s="195"/>
      <c r="F1" s="195"/>
      <c r="G1" s="195"/>
      <c r="H1" s="195"/>
      <c r="I1" s="195"/>
      <c r="J1" s="195"/>
    </row>
    <row r="2" spans="1:10" ht="17.399999999999999" x14ac:dyDescent="0.3">
      <c r="A2" s="153" t="s">
        <v>1962</v>
      </c>
      <c r="B2" s="153"/>
      <c r="C2" s="153"/>
      <c r="D2" s="153"/>
      <c r="E2" s="153"/>
      <c r="F2" s="153"/>
    </row>
    <row r="3" spans="1:10" x14ac:dyDescent="0.25">
      <c r="B3" s="2"/>
      <c r="C3" s="2"/>
      <c r="D3" s="2"/>
      <c r="E3" s="2"/>
      <c r="F3" s="2"/>
    </row>
    <row r="4" spans="1:10" x14ac:dyDescent="0.25">
      <c r="B4" s="2"/>
      <c r="C4" s="2"/>
      <c r="D4" s="2"/>
      <c r="E4" s="167" t="s">
        <v>232</v>
      </c>
      <c r="F4" s="167" t="s">
        <v>233</v>
      </c>
      <c r="G4" s="167" t="s">
        <v>69</v>
      </c>
      <c r="H4" s="167" t="s">
        <v>399</v>
      </c>
      <c r="I4" s="16" t="s">
        <v>303</v>
      </c>
      <c r="J4" s="16" t="s">
        <v>336</v>
      </c>
    </row>
    <row r="5" spans="1:10" ht="15" x14ac:dyDescent="0.4">
      <c r="B5" s="2"/>
      <c r="C5" s="2"/>
      <c r="D5" s="2"/>
      <c r="E5" s="164" t="s">
        <v>1715</v>
      </c>
      <c r="F5" s="164" t="s">
        <v>1766</v>
      </c>
      <c r="G5" s="164" t="s">
        <v>1985</v>
      </c>
      <c r="H5" s="164" t="s">
        <v>1985</v>
      </c>
      <c r="I5" s="164" t="s">
        <v>1985</v>
      </c>
      <c r="J5" s="164" t="s">
        <v>1985</v>
      </c>
    </row>
    <row r="6" spans="1:10" ht="13.8" x14ac:dyDescent="0.3">
      <c r="A6" s="10" t="s">
        <v>983</v>
      </c>
      <c r="B6" s="2"/>
      <c r="C6" s="2"/>
      <c r="D6" s="2"/>
      <c r="E6" s="2">
        <v>75471</v>
      </c>
      <c r="F6" s="2">
        <v>75631</v>
      </c>
      <c r="G6" s="2">
        <v>75631</v>
      </c>
      <c r="H6" s="2">
        <v>75631</v>
      </c>
      <c r="I6" s="2"/>
      <c r="J6" s="2"/>
    </row>
    <row r="7" spans="1:10" x14ac:dyDescent="0.25">
      <c r="A7" s="7" t="s">
        <v>984</v>
      </c>
      <c r="B7" s="2">
        <v>52</v>
      </c>
      <c r="C7" s="2">
        <v>1427</v>
      </c>
      <c r="D7" s="2">
        <f>ROUND(B7*C7,0)</f>
        <v>74204</v>
      </c>
      <c r="E7" s="2"/>
      <c r="F7" s="2"/>
      <c r="G7" s="2"/>
      <c r="H7" s="2"/>
      <c r="I7" s="2"/>
      <c r="J7" s="2"/>
    </row>
    <row r="8" spans="1:10" ht="15" x14ac:dyDescent="0.4">
      <c r="A8" s="7" t="s">
        <v>912</v>
      </c>
      <c r="B8" s="2" t="s">
        <v>386</v>
      </c>
      <c r="C8" s="2" t="s">
        <v>386</v>
      </c>
      <c r="D8" s="11">
        <f>+C7</f>
        <v>1427</v>
      </c>
      <c r="E8" s="2"/>
      <c r="F8" s="2"/>
      <c r="G8" s="2"/>
      <c r="H8" s="2"/>
      <c r="I8" s="2"/>
      <c r="J8" s="2"/>
    </row>
    <row r="9" spans="1:10" x14ac:dyDescent="0.25">
      <c r="A9" s="7" t="s">
        <v>1182</v>
      </c>
      <c r="B9" s="2"/>
      <c r="C9" s="2"/>
      <c r="D9" s="2">
        <f>SUM(D7:D8)</f>
        <v>75631</v>
      </c>
      <c r="E9" s="2"/>
      <c r="F9" s="2"/>
      <c r="G9" s="2"/>
      <c r="H9" s="2"/>
      <c r="I9" s="2"/>
      <c r="J9" s="2"/>
    </row>
    <row r="10" spans="1:10" x14ac:dyDescent="0.25">
      <c r="B10" s="2"/>
      <c r="C10" s="2"/>
      <c r="D10" s="2"/>
      <c r="E10" s="2"/>
      <c r="F10" s="2"/>
      <c r="G10" s="2"/>
      <c r="H10" s="2"/>
      <c r="I10" s="2"/>
      <c r="J10" s="2"/>
    </row>
    <row r="11" spans="1:10" ht="13.8" x14ac:dyDescent="0.3">
      <c r="A11" s="10" t="s">
        <v>734</v>
      </c>
      <c r="B11" s="2"/>
      <c r="C11" s="2"/>
      <c r="D11" s="2"/>
      <c r="E11" s="2">
        <v>107151</v>
      </c>
      <c r="F11" s="2">
        <v>114320</v>
      </c>
      <c r="G11" s="2">
        <v>146196</v>
      </c>
      <c r="H11" s="2">
        <v>146196</v>
      </c>
      <c r="I11" s="2"/>
      <c r="J11" s="2"/>
    </row>
    <row r="12" spans="1:10" x14ac:dyDescent="0.25">
      <c r="A12" s="7" t="s">
        <v>1032</v>
      </c>
      <c r="B12" s="2">
        <v>52</v>
      </c>
      <c r="C12" s="2">
        <v>752</v>
      </c>
      <c r="D12" s="2">
        <f>ROUND(B12*C12,0)</f>
        <v>39104</v>
      </c>
      <c r="E12" s="2"/>
      <c r="F12" s="2"/>
      <c r="G12" s="2"/>
      <c r="H12" s="2"/>
      <c r="I12" s="2"/>
      <c r="J12" s="2"/>
    </row>
    <row r="13" spans="1:10" x14ac:dyDescent="0.25">
      <c r="A13" s="7" t="s">
        <v>1032</v>
      </c>
      <c r="B13" s="2">
        <v>52</v>
      </c>
      <c r="C13" s="2">
        <v>761</v>
      </c>
      <c r="D13" s="2">
        <f>ROUND(B13*C13,0)</f>
        <v>39572</v>
      </c>
      <c r="E13" s="2"/>
      <c r="F13" s="2"/>
      <c r="G13" s="2"/>
      <c r="H13" s="2"/>
      <c r="I13" s="2"/>
      <c r="J13" s="2"/>
    </row>
    <row r="14" spans="1:10" x14ac:dyDescent="0.25">
      <c r="A14" s="7" t="s">
        <v>1032</v>
      </c>
      <c r="B14" s="2">
        <v>52</v>
      </c>
      <c r="C14" s="2">
        <v>642</v>
      </c>
      <c r="D14" s="2">
        <f>ROUND(B14*C14,0)</f>
        <v>33384</v>
      </c>
      <c r="E14" s="2"/>
      <c r="F14" s="2"/>
      <c r="G14" s="2"/>
      <c r="H14" s="2"/>
      <c r="I14" s="2"/>
      <c r="J14" s="2"/>
    </row>
    <row r="15" spans="1:10" s="189" customFormat="1" x14ac:dyDescent="0.25">
      <c r="A15" s="189" t="s">
        <v>1032</v>
      </c>
      <c r="B15" s="2">
        <v>52</v>
      </c>
      <c r="C15" s="2">
        <v>642</v>
      </c>
      <c r="D15" s="2">
        <f>ROUND(B15*C15,0)</f>
        <v>33384</v>
      </c>
      <c r="E15" s="2"/>
      <c r="F15" s="2"/>
      <c r="G15" s="2"/>
      <c r="H15" s="2"/>
      <c r="I15" s="2"/>
      <c r="J15" s="2"/>
    </row>
    <row r="16" spans="1:10" ht="15" x14ac:dyDescent="0.4">
      <c r="A16" s="7" t="s">
        <v>912</v>
      </c>
      <c r="B16" s="2" t="s">
        <v>386</v>
      </c>
      <c r="C16" s="2" t="s">
        <v>386</v>
      </c>
      <c r="D16" s="11">
        <v>752</v>
      </c>
      <c r="E16" s="2"/>
      <c r="F16" s="2"/>
      <c r="G16" s="2"/>
      <c r="H16" s="2"/>
      <c r="I16" s="2"/>
      <c r="J16" s="2"/>
    </row>
    <row r="17" spans="1:10" x14ac:dyDescent="0.25">
      <c r="A17" s="7" t="s">
        <v>1182</v>
      </c>
      <c r="B17" s="2"/>
      <c r="C17" s="2"/>
      <c r="D17" s="2">
        <f>SUM(D12:D16)</f>
        <v>146196</v>
      </c>
      <c r="E17" s="2"/>
      <c r="F17" s="2"/>
      <c r="G17" s="2"/>
      <c r="H17" s="2"/>
      <c r="I17" s="2"/>
      <c r="J17" s="2"/>
    </row>
    <row r="18" spans="1:10" x14ac:dyDescent="0.25">
      <c r="B18" s="2"/>
      <c r="C18" s="2"/>
      <c r="D18" s="2"/>
      <c r="E18" s="2"/>
      <c r="F18" s="2"/>
      <c r="G18" s="2"/>
      <c r="H18" s="2"/>
      <c r="I18" s="2"/>
      <c r="J18" s="2"/>
    </row>
    <row r="19" spans="1:10" ht="13.8" x14ac:dyDescent="0.3">
      <c r="A19" s="10" t="s">
        <v>532</v>
      </c>
      <c r="B19" s="2"/>
      <c r="C19" s="2"/>
      <c r="D19" s="2"/>
      <c r="E19" s="2">
        <v>58441</v>
      </c>
      <c r="F19" s="2">
        <v>58618</v>
      </c>
      <c r="G19" s="2">
        <v>58640</v>
      </c>
      <c r="H19" s="2">
        <v>58640</v>
      </c>
      <c r="I19" s="2"/>
      <c r="J19" s="2"/>
    </row>
    <row r="20" spans="1:10" x14ac:dyDescent="0.25">
      <c r="A20" s="7" t="s">
        <v>227</v>
      </c>
      <c r="B20" s="2">
        <v>52</v>
      </c>
      <c r="C20" s="2">
        <v>1106</v>
      </c>
      <c r="D20" s="2">
        <f>ROUND(B20*C20,0)</f>
        <v>57512</v>
      </c>
      <c r="E20" s="2"/>
      <c r="F20" s="2"/>
      <c r="G20" s="2"/>
      <c r="H20" s="2"/>
      <c r="I20" s="2"/>
      <c r="J20" s="2"/>
    </row>
    <row r="21" spans="1:10" ht="15" x14ac:dyDescent="0.4">
      <c r="A21" s="7" t="s">
        <v>912</v>
      </c>
      <c r="B21" s="2"/>
      <c r="C21" s="2"/>
      <c r="D21" s="11">
        <v>1128</v>
      </c>
      <c r="E21" s="2"/>
      <c r="F21" s="2"/>
      <c r="G21" s="2"/>
      <c r="H21" s="2"/>
      <c r="I21" s="2"/>
      <c r="J21" s="2"/>
    </row>
    <row r="22" spans="1:10" x14ac:dyDescent="0.25">
      <c r="A22" s="7" t="s">
        <v>1182</v>
      </c>
      <c r="B22" s="2"/>
      <c r="C22" s="2"/>
      <c r="D22" s="2">
        <f>SUM(D20:D21)</f>
        <v>58640</v>
      </c>
      <c r="E22" s="2"/>
      <c r="F22" s="2"/>
      <c r="G22" s="2"/>
      <c r="H22" s="2"/>
      <c r="I22" s="2"/>
      <c r="J22" s="2"/>
    </row>
    <row r="23" spans="1:10" x14ac:dyDescent="0.25">
      <c r="D23" s="2"/>
      <c r="E23" s="2"/>
      <c r="F23" s="2"/>
      <c r="G23" s="2"/>
      <c r="H23" s="2"/>
      <c r="I23" s="2"/>
      <c r="J23" s="2"/>
    </row>
    <row r="24" spans="1:10" ht="13.8" x14ac:dyDescent="0.3">
      <c r="A24" s="10" t="s">
        <v>950</v>
      </c>
      <c r="D24" s="2"/>
      <c r="E24" s="2">
        <v>35737</v>
      </c>
      <c r="F24" s="2">
        <v>40549</v>
      </c>
      <c r="G24" s="2">
        <v>20720</v>
      </c>
      <c r="H24" s="2">
        <v>20720</v>
      </c>
      <c r="I24" s="2"/>
      <c r="J24" s="2"/>
    </row>
    <row r="25" spans="1:10" x14ac:dyDescent="0.25">
      <c r="A25" s="7" t="s">
        <v>1032</v>
      </c>
      <c r="B25" s="2">
        <v>1040</v>
      </c>
      <c r="C25" s="12">
        <v>19.010000000000002</v>
      </c>
      <c r="D25" s="2">
        <f>ROUND(B25*C25,0)</f>
        <v>19770</v>
      </c>
      <c r="E25" s="2"/>
      <c r="F25" s="2"/>
      <c r="G25" s="2"/>
      <c r="H25" s="2"/>
      <c r="I25" s="2"/>
      <c r="J25" s="2"/>
    </row>
    <row r="26" spans="1:10" x14ac:dyDescent="0.25">
      <c r="A26" s="7" t="s">
        <v>1032</v>
      </c>
      <c r="B26" s="2">
        <v>0</v>
      </c>
      <c r="C26" s="12">
        <v>14.75</v>
      </c>
      <c r="D26" s="2">
        <f>+B26*C26</f>
        <v>0</v>
      </c>
      <c r="E26" s="2"/>
      <c r="F26" s="2"/>
      <c r="G26" s="2"/>
      <c r="H26" s="2"/>
      <c r="I26" s="2"/>
      <c r="J26" s="2"/>
    </row>
    <row r="27" spans="1:10" x14ac:dyDescent="0.25">
      <c r="A27" s="7" t="s">
        <v>1369</v>
      </c>
      <c r="B27" s="2">
        <v>0</v>
      </c>
      <c r="C27" s="12">
        <v>18.55</v>
      </c>
      <c r="D27" s="2">
        <f>ROUND(B27*C27,0)</f>
        <v>0</v>
      </c>
      <c r="E27" s="2"/>
      <c r="F27" s="2"/>
      <c r="G27" s="2"/>
      <c r="H27" s="2"/>
      <c r="I27" s="2"/>
      <c r="J27" s="2"/>
    </row>
    <row r="28" spans="1:10" x14ac:dyDescent="0.25">
      <c r="A28" s="7" t="s">
        <v>1464</v>
      </c>
      <c r="B28" s="2">
        <v>80</v>
      </c>
      <c r="C28" s="12">
        <v>11.87</v>
      </c>
      <c r="D28" s="18">
        <f>ROUND(B28*C28,0)</f>
        <v>950</v>
      </c>
      <c r="E28" s="2"/>
      <c r="F28" s="2"/>
      <c r="G28" s="2"/>
      <c r="H28" s="2"/>
      <c r="I28" s="2"/>
      <c r="J28" s="2"/>
    </row>
    <row r="29" spans="1:10" x14ac:dyDescent="0.25">
      <c r="D29" s="2">
        <f>SUM(D25:D28)</f>
        <v>20720</v>
      </c>
      <c r="E29" s="2"/>
      <c r="F29" s="2"/>
      <c r="G29" s="2"/>
      <c r="H29" s="2"/>
      <c r="I29" s="2"/>
      <c r="J29" s="2"/>
    </row>
    <row r="30" spans="1:10" x14ac:dyDescent="0.25">
      <c r="D30" s="2"/>
      <c r="E30" s="2"/>
      <c r="F30" s="2"/>
      <c r="G30" s="2"/>
      <c r="H30" s="2"/>
      <c r="I30" s="2"/>
      <c r="J30" s="2"/>
    </row>
    <row r="31" spans="1:10" ht="13.8" x14ac:dyDescent="0.3">
      <c r="A31" s="10" t="s">
        <v>951</v>
      </c>
      <c r="D31" s="2"/>
      <c r="E31" s="2">
        <v>817</v>
      </c>
      <c r="F31" s="2">
        <v>1092</v>
      </c>
      <c r="G31" s="2">
        <v>1078</v>
      </c>
      <c r="H31" s="2">
        <v>1078</v>
      </c>
      <c r="I31" s="2"/>
      <c r="J31" s="2"/>
    </row>
    <row r="32" spans="1:10" x14ac:dyDescent="0.25">
      <c r="A32" s="7" t="s">
        <v>1027</v>
      </c>
      <c r="B32" s="2">
        <v>40</v>
      </c>
      <c r="C32" s="12">
        <f>SUM(C12:C14)/40/3*1.5</f>
        <v>26.9375</v>
      </c>
      <c r="D32" s="2">
        <f>ROUND(C32*B32,0)</f>
        <v>1078</v>
      </c>
      <c r="E32" s="2"/>
      <c r="F32" s="2"/>
      <c r="G32" s="2"/>
      <c r="H32" s="2"/>
      <c r="I32" s="2"/>
      <c r="J32" s="2"/>
    </row>
    <row r="33" spans="1:10" x14ac:dyDescent="0.25">
      <c r="A33" s="7" t="s">
        <v>386</v>
      </c>
      <c r="B33" s="2" t="s">
        <v>386</v>
      </c>
      <c r="C33" s="12" t="s">
        <v>386</v>
      </c>
      <c r="D33" s="2" t="s">
        <v>386</v>
      </c>
      <c r="E33" s="2"/>
      <c r="F33" s="2"/>
      <c r="G33" s="2"/>
      <c r="H33" s="2"/>
      <c r="I33" s="2"/>
      <c r="J33" s="2"/>
    </row>
    <row r="34" spans="1:10" ht="13.8" x14ac:dyDescent="0.3">
      <c r="A34" s="10" t="s">
        <v>407</v>
      </c>
      <c r="D34" s="2"/>
      <c r="E34" s="2">
        <v>16931</v>
      </c>
      <c r="F34" s="2">
        <v>17512</v>
      </c>
      <c r="G34" s="2">
        <v>18434</v>
      </c>
      <c r="H34" s="2">
        <v>18434</v>
      </c>
      <c r="I34" s="2"/>
      <c r="J34" s="2"/>
    </row>
    <row r="35" spans="1:10" x14ac:dyDescent="0.25">
      <c r="D35" s="2"/>
      <c r="E35" s="2"/>
      <c r="F35" s="2"/>
      <c r="G35" s="2"/>
      <c r="H35" s="2"/>
      <c r="I35" s="2"/>
      <c r="J35" s="2"/>
    </row>
    <row r="36" spans="1:10" ht="13.8" x14ac:dyDescent="0.3">
      <c r="A36" s="15" t="s">
        <v>1384</v>
      </c>
      <c r="D36" s="2"/>
      <c r="E36" s="2">
        <v>27580</v>
      </c>
      <c r="F36" s="2">
        <v>30334</v>
      </c>
      <c r="G36" s="2">
        <v>32040</v>
      </c>
      <c r="H36" s="2">
        <v>32040</v>
      </c>
      <c r="I36" s="2"/>
      <c r="J36" s="2"/>
    </row>
    <row r="37" spans="1:10" x14ac:dyDescent="0.25">
      <c r="D37" s="2"/>
      <c r="E37" s="2"/>
      <c r="F37" s="2"/>
      <c r="G37" s="2"/>
      <c r="H37" s="2"/>
      <c r="I37" s="2"/>
      <c r="J37" s="2"/>
    </row>
    <row r="38" spans="1:10" ht="13.8" x14ac:dyDescent="0.3">
      <c r="A38" s="10" t="s">
        <v>1385</v>
      </c>
      <c r="D38" s="2"/>
      <c r="E38" s="2">
        <v>79604</v>
      </c>
      <c r="F38" s="2">
        <v>86250</v>
      </c>
      <c r="G38" s="2">
        <v>109800</v>
      </c>
      <c r="H38" s="2">
        <v>109800</v>
      </c>
      <c r="I38" s="2"/>
      <c r="J38" s="2"/>
    </row>
    <row r="39" spans="1:10" x14ac:dyDescent="0.25">
      <c r="A39" s="7" t="s">
        <v>406</v>
      </c>
      <c r="B39" s="2">
        <v>6</v>
      </c>
      <c r="C39" s="2">
        <v>18300</v>
      </c>
      <c r="D39" s="2">
        <f>ROUND(B39*C39,0)</f>
        <v>109800</v>
      </c>
      <c r="E39" s="2"/>
      <c r="F39" s="2"/>
      <c r="G39" s="2"/>
      <c r="H39" s="2"/>
      <c r="I39" s="2"/>
      <c r="J39" s="2"/>
    </row>
    <row r="40" spans="1:10" x14ac:dyDescent="0.25">
      <c r="D40" s="2"/>
      <c r="E40" s="2"/>
      <c r="F40" s="2"/>
      <c r="G40" s="2"/>
      <c r="H40" s="2"/>
      <c r="I40" s="2"/>
      <c r="J40" s="2"/>
    </row>
    <row r="41" spans="1:10" ht="13.8" x14ac:dyDescent="0.3">
      <c r="A41" s="10" t="s">
        <v>1386</v>
      </c>
      <c r="D41" s="2"/>
      <c r="E41" s="2">
        <v>5836</v>
      </c>
      <c r="F41" s="2">
        <v>5850</v>
      </c>
      <c r="G41" s="2">
        <v>7020</v>
      </c>
      <c r="H41" s="2">
        <v>7020</v>
      </c>
      <c r="I41" s="2"/>
      <c r="J41" s="2"/>
    </row>
    <row r="42" spans="1:10" x14ac:dyDescent="0.25">
      <c r="A42" s="7" t="s">
        <v>406</v>
      </c>
      <c r="B42" s="2">
        <v>6</v>
      </c>
      <c r="C42" s="2">
        <v>1300</v>
      </c>
      <c r="D42" s="2">
        <f>ROUND(B42*C42,0)</f>
        <v>7800</v>
      </c>
      <c r="E42" s="2"/>
      <c r="F42" s="2"/>
      <c r="G42" s="2"/>
      <c r="H42" s="2"/>
      <c r="I42" s="2"/>
      <c r="J42" s="2"/>
    </row>
    <row r="43" spans="1:10" ht="15" x14ac:dyDescent="0.4">
      <c r="A43" s="7" t="s">
        <v>226</v>
      </c>
      <c r="B43" s="2"/>
      <c r="C43" s="2"/>
      <c r="D43" s="11">
        <f>+C42*-0.1*B42</f>
        <v>-780</v>
      </c>
      <c r="E43" s="2"/>
      <c r="F43" s="2"/>
      <c r="G43" s="2"/>
      <c r="H43" s="2"/>
      <c r="I43" s="2"/>
      <c r="J43" s="2"/>
    </row>
    <row r="44" spans="1:10" x14ac:dyDescent="0.25">
      <c r="A44" s="7" t="s">
        <v>751</v>
      </c>
      <c r="B44" s="2"/>
      <c r="C44" s="2"/>
      <c r="D44" s="2">
        <f>SUM(D42:D43)</f>
        <v>7020</v>
      </c>
      <c r="E44" s="2"/>
      <c r="F44" s="2"/>
      <c r="G44" s="2"/>
      <c r="H44" s="2"/>
      <c r="I44" s="2"/>
      <c r="J44" s="2"/>
    </row>
    <row r="45" spans="1:10" x14ac:dyDescent="0.25">
      <c r="B45" s="2"/>
      <c r="C45" s="2"/>
      <c r="D45" s="2"/>
      <c r="E45" s="2"/>
      <c r="F45" s="2"/>
      <c r="G45" s="2"/>
      <c r="H45" s="2"/>
      <c r="I45" s="2"/>
      <c r="J45" s="2"/>
    </row>
    <row r="46" spans="1:10" ht="13.8" x14ac:dyDescent="0.3">
      <c r="A46" s="10" t="s">
        <v>1018</v>
      </c>
      <c r="D46" s="2"/>
      <c r="E46" s="2">
        <v>535</v>
      </c>
      <c r="F46" s="2">
        <v>675</v>
      </c>
      <c r="G46" s="2">
        <v>810</v>
      </c>
      <c r="H46" s="2">
        <v>810</v>
      </c>
      <c r="I46" s="2"/>
      <c r="J46" s="2"/>
    </row>
    <row r="47" spans="1:10" x14ac:dyDescent="0.25">
      <c r="D47" s="2"/>
      <c r="E47" s="2"/>
      <c r="F47" s="2"/>
      <c r="G47" s="2"/>
      <c r="H47" s="2"/>
      <c r="I47" s="2"/>
      <c r="J47" s="2"/>
    </row>
    <row r="48" spans="1:10" ht="13.8" x14ac:dyDescent="0.3">
      <c r="A48" s="10" t="s">
        <v>1019</v>
      </c>
      <c r="D48" s="2"/>
      <c r="E48" s="2">
        <v>1752</v>
      </c>
      <c r="F48" s="2">
        <v>2050</v>
      </c>
      <c r="G48" s="2">
        <v>3780</v>
      </c>
      <c r="H48" s="2">
        <v>3780</v>
      </c>
      <c r="I48" s="2"/>
      <c r="J48" s="2"/>
    </row>
    <row r="49" spans="1:10" x14ac:dyDescent="0.25">
      <c r="D49" s="2"/>
      <c r="E49" s="2"/>
      <c r="F49" s="2"/>
      <c r="G49" s="2"/>
      <c r="H49" s="2"/>
      <c r="I49" s="2"/>
      <c r="J49" s="2"/>
    </row>
    <row r="50" spans="1:10" ht="13.8" x14ac:dyDescent="0.3">
      <c r="A50" s="10" t="s">
        <v>536</v>
      </c>
      <c r="D50" s="2"/>
      <c r="E50" s="2">
        <v>370</v>
      </c>
      <c r="F50" s="2">
        <v>494</v>
      </c>
      <c r="G50" s="2">
        <v>484</v>
      </c>
      <c r="H50" s="2">
        <v>484</v>
      </c>
      <c r="I50" s="2"/>
      <c r="J50" s="2"/>
    </row>
    <row r="51" spans="1:10" x14ac:dyDescent="0.25">
      <c r="D51" s="2"/>
      <c r="E51" s="2"/>
      <c r="F51" s="2"/>
      <c r="G51" s="2"/>
      <c r="H51" s="2"/>
      <c r="I51" s="2"/>
      <c r="J51" s="2"/>
    </row>
    <row r="52" spans="1:10" ht="13.8" x14ac:dyDescent="0.3">
      <c r="A52" s="10" t="s">
        <v>1437</v>
      </c>
      <c r="D52" s="2"/>
      <c r="E52" s="2">
        <v>176</v>
      </c>
      <c r="F52" s="2">
        <v>213</v>
      </c>
      <c r="G52" s="2">
        <v>158</v>
      </c>
      <c r="H52" s="2">
        <v>158</v>
      </c>
      <c r="I52" s="2"/>
      <c r="J52" s="2"/>
    </row>
    <row r="53" spans="1:10" x14ac:dyDescent="0.25">
      <c r="D53" s="2"/>
      <c r="E53" s="2"/>
      <c r="F53" s="2"/>
      <c r="G53" s="2"/>
      <c r="H53" s="2"/>
      <c r="I53" s="2"/>
      <c r="J53" s="2"/>
    </row>
    <row r="54" spans="1:10" ht="13.8" x14ac:dyDescent="0.3">
      <c r="A54" s="177" t="s">
        <v>360</v>
      </c>
      <c r="B54" s="176"/>
      <c r="C54" s="176"/>
      <c r="D54" s="2"/>
      <c r="E54" s="2">
        <v>5344</v>
      </c>
      <c r="F54" s="2">
        <v>6700</v>
      </c>
      <c r="G54" s="2">
        <v>6050</v>
      </c>
      <c r="H54" s="2">
        <v>6050</v>
      </c>
      <c r="I54" s="2"/>
      <c r="J54" s="2"/>
    </row>
    <row r="55" spans="1:10" x14ac:dyDescent="0.25">
      <c r="A55" s="176" t="s">
        <v>361</v>
      </c>
      <c r="B55" s="176"/>
      <c r="C55" s="2"/>
      <c r="D55" s="2">
        <v>150</v>
      </c>
      <c r="E55" s="2"/>
      <c r="F55" s="2"/>
      <c r="G55" s="2"/>
      <c r="H55" s="2"/>
      <c r="I55" s="2"/>
      <c r="J55" s="2"/>
    </row>
    <row r="56" spans="1:10" x14ac:dyDescent="0.25">
      <c r="A56" s="176" t="s">
        <v>670</v>
      </c>
      <c r="B56" s="176"/>
      <c r="C56" s="2"/>
      <c r="D56" s="2">
        <v>500</v>
      </c>
      <c r="E56" s="2"/>
      <c r="F56" s="2"/>
      <c r="G56" s="2"/>
      <c r="H56" s="2"/>
      <c r="I56" s="2"/>
      <c r="J56" s="2"/>
    </row>
    <row r="57" spans="1:10" x14ac:dyDescent="0.25">
      <c r="A57" s="176" t="s">
        <v>1421</v>
      </c>
      <c r="B57" s="176"/>
      <c r="C57" s="2"/>
      <c r="D57" s="2">
        <v>2745</v>
      </c>
      <c r="E57" s="2"/>
      <c r="F57" s="2"/>
      <c r="G57" s="2"/>
      <c r="H57" s="2"/>
      <c r="I57" s="2"/>
      <c r="J57" s="2"/>
    </row>
    <row r="58" spans="1:10" x14ac:dyDescent="0.25">
      <c r="A58" s="176" t="s">
        <v>362</v>
      </c>
      <c r="B58" s="176"/>
      <c r="C58" s="2"/>
      <c r="D58" s="2">
        <v>1650</v>
      </c>
      <c r="E58" s="2"/>
      <c r="F58" s="2"/>
      <c r="G58" s="2"/>
      <c r="H58" s="2"/>
      <c r="I58" s="2"/>
      <c r="J58" s="2"/>
    </row>
    <row r="59" spans="1:10" x14ac:dyDescent="0.25">
      <c r="A59" s="176" t="s">
        <v>258</v>
      </c>
      <c r="B59" s="176"/>
      <c r="C59" s="2"/>
      <c r="D59" s="2">
        <v>250</v>
      </c>
      <c r="E59" s="2"/>
      <c r="F59" s="2"/>
      <c r="G59" s="2"/>
      <c r="H59" s="2"/>
      <c r="I59" s="2"/>
      <c r="J59" s="2"/>
    </row>
    <row r="60" spans="1:10" ht="15" x14ac:dyDescent="0.4">
      <c r="A60" s="176" t="s">
        <v>995</v>
      </c>
      <c r="B60" s="176"/>
      <c r="C60" s="11"/>
      <c r="D60" s="11">
        <v>755</v>
      </c>
      <c r="E60" s="2"/>
      <c r="F60" s="2"/>
      <c r="G60" s="2"/>
      <c r="H60" s="2"/>
      <c r="I60" s="2"/>
      <c r="J60" s="2"/>
    </row>
    <row r="61" spans="1:10" x14ac:dyDescent="0.25">
      <c r="A61" s="176" t="s">
        <v>1182</v>
      </c>
      <c r="B61" s="176"/>
      <c r="C61" s="2"/>
      <c r="D61" s="2">
        <f>SUM(D55:D60)</f>
        <v>6050</v>
      </c>
      <c r="E61" s="2"/>
      <c r="F61" s="2"/>
      <c r="G61" s="2"/>
      <c r="H61" s="2"/>
      <c r="I61" s="2"/>
      <c r="J61" s="2"/>
    </row>
    <row r="62" spans="1:10" x14ac:dyDescent="0.25">
      <c r="A62" s="176"/>
      <c r="B62" s="176"/>
      <c r="C62" s="2"/>
      <c r="D62" s="2"/>
      <c r="E62" s="2"/>
      <c r="F62" s="2"/>
      <c r="G62" s="2"/>
      <c r="H62" s="2"/>
      <c r="I62" s="2"/>
      <c r="J62" s="2"/>
    </row>
    <row r="63" spans="1:10" ht="13.8" x14ac:dyDescent="0.3">
      <c r="A63" s="177" t="s">
        <v>363</v>
      </c>
      <c r="B63" s="176"/>
      <c r="C63" s="2"/>
      <c r="D63" s="2"/>
      <c r="E63" s="2">
        <v>2787</v>
      </c>
      <c r="F63" s="2">
        <v>3000</v>
      </c>
      <c r="G63" s="2">
        <v>3000</v>
      </c>
      <c r="H63" s="2">
        <v>3000</v>
      </c>
      <c r="I63" s="2"/>
      <c r="J63" s="2"/>
    </row>
    <row r="64" spans="1:10" x14ac:dyDescent="0.25">
      <c r="A64" s="176" t="s">
        <v>364</v>
      </c>
      <c r="B64" s="176"/>
      <c r="C64" s="2"/>
      <c r="D64" s="2">
        <v>3000</v>
      </c>
      <c r="E64" s="2"/>
      <c r="F64" s="2"/>
      <c r="G64" s="2"/>
      <c r="H64" s="2"/>
      <c r="I64" s="2"/>
      <c r="J64" s="2"/>
    </row>
    <row r="65" spans="1:10" x14ac:dyDescent="0.25">
      <c r="A65" s="176"/>
      <c r="B65" s="176"/>
      <c r="C65" s="2"/>
      <c r="D65" s="2"/>
      <c r="E65" s="2"/>
      <c r="F65" s="2"/>
      <c r="G65" s="2"/>
      <c r="H65" s="2"/>
      <c r="I65" s="2"/>
      <c r="J65" s="2"/>
    </row>
    <row r="66" spans="1:10" ht="13.8" x14ac:dyDescent="0.3">
      <c r="A66" s="177" t="s">
        <v>365</v>
      </c>
      <c r="B66" s="176"/>
      <c r="C66" s="2"/>
      <c r="D66" s="2"/>
      <c r="E66" s="2">
        <v>22348</v>
      </c>
      <c r="F66" s="2">
        <v>29050</v>
      </c>
      <c r="G66" s="2">
        <v>25000</v>
      </c>
      <c r="H66" s="2">
        <v>25000</v>
      </c>
      <c r="I66" s="2"/>
      <c r="J66" s="2"/>
    </row>
    <row r="67" spans="1:10" x14ac:dyDescent="0.25">
      <c r="A67" s="23" t="s">
        <v>1011</v>
      </c>
      <c r="B67" s="6"/>
      <c r="C67" s="2"/>
      <c r="D67" s="2" t="s">
        <v>386</v>
      </c>
      <c r="E67" s="2"/>
      <c r="F67" s="2"/>
      <c r="G67" s="2"/>
      <c r="H67" s="2"/>
      <c r="I67" s="2"/>
      <c r="J67" s="2"/>
    </row>
    <row r="68" spans="1:10" x14ac:dyDescent="0.25">
      <c r="A68" s="176" t="s">
        <v>1012</v>
      </c>
      <c r="B68" s="2"/>
      <c r="C68" s="2"/>
      <c r="D68" s="2">
        <v>25000</v>
      </c>
      <c r="E68" s="2"/>
      <c r="F68" s="2"/>
      <c r="G68" s="2"/>
      <c r="H68" s="2"/>
      <c r="I68" s="2"/>
      <c r="J68" s="2"/>
    </row>
    <row r="69" spans="1:10" x14ac:dyDescent="0.25">
      <c r="A69" s="176"/>
      <c r="B69" s="176"/>
      <c r="C69" s="2"/>
      <c r="D69" s="2"/>
      <c r="E69" s="2"/>
      <c r="F69" s="2"/>
      <c r="G69" s="2"/>
      <c r="H69" s="2"/>
      <c r="I69" s="2"/>
      <c r="J69" s="2"/>
    </row>
    <row r="70" spans="1:10" ht="13.8" x14ac:dyDescent="0.3">
      <c r="A70" s="177" t="s">
        <v>931</v>
      </c>
      <c r="B70" s="2"/>
      <c r="C70" s="8"/>
      <c r="D70" s="8" t="s">
        <v>386</v>
      </c>
      <c r="E70" s="2">
        <v>1712</v>
      </c>
      <c r="F70" s="2">
        <v>2200</v>
      </c>
      <c r="G70" s="2">
        <v>2046</v>
      </c>
      <c r="H70" s="2">
        <v>2046</v>
      </c>
      <c r="I70" s="2"/>
      <c r="J70" s="2"/>
    </row>
    <row r="71" spans="1:10" x14ac:dyDescent="0.25">
      <c r="A71" s="176" t="s">
        <v>897</v>
      </c>
      <c r="B71" s="2"/>
      <c r="C71" s="2"/>
      <c r="D71" s="2">
        <v>2046</v>
      </c>
      <c r="E71" s="2"/>
      <c r="F71" s="2"/>
      <c r="G71" s="2"/>
      <c r="H71" s="2"/>
      <c r="I71" s="2"/>
      <c r="J71" s="2"/>
    </row>
    <row r="72" spans="1:10" x14ac:dyDescent="0.25">
      <c r="A72" s="176"/>
      <c r="B72" s="2"/>
      <c r="C72" s="2"/>
      <c r="D72" s="2"/>
      <c r="E72" s="2"/>
      <c r="F72" s="2"/>
      <c r="G72" s="2"/>
      <c r="H72" s="2"/>
      <c r="I72" s="2"/>
      <c r="J72" s="2"/>
    </row>
    <row r="73" spans="1:10" ht="13.8" x14ac:dyDescent="0.3">
      <c r="A73" s="177" t="s">
        <v>932</v>
      </c>
      <c r="B73" s="176"/>
      <c r="C73" s="2"/>
      <c r="D73" s="2"/>
      <c r="E73" s="2">
        <v>285</v>
      </c>
      <c r="F73" s="2">
        <v>300</v>
      </c>
      <c r="G73" s="2">
        <v>300</v>
      </c>
      <c r="H73" s="2">
        <v>300</v>
      </c>
      <c r="I73" s="2"/>
      <c r="J73" s="2"/>
    </row>
    <row r="74" spans="1:10" x14ac:dyDescent="0.25">
      <c r="A74" s="6" t="s">
        <v>1199</v>
      </c>
      <c r="B74" s="6"/>
      <c r="C74" s="176"/>
      <c r="D74" s="2">
        <v>300</v>
      </c>
      <c r="E74" s="2"/>
      <c r="F74" s="2"/>
      <c r="G74" s="2"/>
      <c r="H74" s="2"/>
      <c r="I74" s="2"/>
      <c r="J74" s="2"/>
    </row>
    <row r="75" spans="1:10" x14ac:dyDescent="0.25">
      <c r="A75" s="176"/>
      <c r="B75" s="176"/>
      <c r="C75" s="2"/>
      <c r="D75" s="2"/>
      <c r="E75" s="2"/>
      <c r="F75" s="2"/>
      <c r="G75" s="2"/>
      <c r="H75" s="2"/>
      <c r="I75" s="2"/>
      <c r="J75" s="2"/>
    </row>
    <row r="76" spans="1:10" ht="13.8" x14ac:dyDescent="0.3">
      <c r="A76" s="17" t="s">
        <v>1251</v>
      </c>
      <c r="B76" s="176"/>
      <c r="C76" s="2"/>
      <c r="D76" s="2"/>
      <c r="E76" s="2">
        <v>2492</v>
      </c>
      <c r="F76" s="2">
        <v>3777</v>
      </c>
      <c r="G76" s="2">
        <v>2750</v>
      </c>
      <c r="H76" s="2">
        <v>2750</v>
      </c>
      <c r="I76" s="2"/>
      <c r="J76" s="2"/>
    </row>
    <row r="77" spans="1:10" x14ac:dyDescent="0.25">
      <c r="A77" s="176" t="s">
        <v>1252</v>
      </c>
      <c r="B77" s="176"/>
      <c r="C77" s="176"/>
      <c r="D77" s="176">
        <v>2750</v>
      </c>
      <c r="E77" s="2"/>
      <c r="F77" s="2"/>
      <c r="G77" s="2"/>
      <c r="H77" s="2"/>
      <c r="I77" s="2"/>
      <c r="J77" s="2"/>
    </row>
    <row r="78" spans="1:10" x14ac:dyDescent="0.25">
      <c r="A78" s="176"/>
      <c r="B78" s="176"/>
      <c r="C78" s="2"/>
      <c r="D78" s="2"/>
      <c r="E78" s="2"/>
      <c r="F78" s="2"/>
      <c r="G78" s="2"/>
      <c r="H78" s="2"/>
      <c r="I78" s="2"/>
      <c r="J78" s="2"/>
    </row>
    <row r="79" spans="1:10" ht="13.8" x14ac:dyDescent="0.3">
      <c r="A79" s="177" t="s">
        <v>1002</v>
      </c>
      <c r="B79" s="176"/>
      <c r="C79" s="8"/>
      <c r="D79" s="8"/>
      <c r="E79" s="2">
        <v>653</v>
      </c>
      <c r="F79" s="2">
        <v>660</v>
      </c>
      <c r="G79" s="2">
        <v>660</v>
      </c>
      <c r="H79" s="2">
        <v>660</v>
      </c>
      <c r="I79" s="2"/>
      <c r="J79" s="2"/>
    </row>
    <row r="80" spans="1:10" x14ac:dyDescent="0.25">
      <c r="A80" s="176" t="s">
        <v>1175</v>
      </c>
      <c r="B80" s="176"/>
      <c r="C80" s="2"/>
      <c r="D80" s="2">
        <v>0</v>
      </c>
      <c r="E80" s="2"/>
      <c r="F80" s="2"/>
      <c r="G80" s="2"/>
      <c r="H80" s="2"/>
      <c r="I80" s="2"/>
      <c r="J80" s="2"/>
    </row>
    <row r="81" spans="1:10" x14ac:dyDescent="0.25">
      <c r="A81" s="176" t="s">
        <v>794</v>
      </c>
      <c r="B81" s="176"/>
      <c r="C81" s="2"/>
      <c r="D81" s="2">
        <v>125</v>
      </c>
      <c r="E81" s="2"/>
      <c r="F81" s="2"/>
      <c r="G81" s="2"/>
      <c r="H81" s="2"/>
      <c r="I81" s="2"/>
      <c r="J81" s="2"/>
    </row>
    <row r="82" spans="1:10" x14ac:dyDescent="0.25">
      <c r="A82" s="176" t="s">
        <v>795</v>
      </c>
      <c r="B82" s="176"/>
      <c r="C82" s="2"/>
      <c r="D82" s="2">
        <v>125</v>
      </c>
      <c r="E82" s="2"/>
      <c r="F82" s="2"/>
      <c r="G82" s="2"/>
      <c r="H82" s="2"/>
      <c r="I82" s="2"/>
      <c r="J82" s="2"/>
    </row>
    <row r="83" spans="1:10" x14ac:dyDescent="0.25">
      <c r="A83" s="176" t="s">
        <v>796</v>
      </c>
      <c r="B83" s="176"/>
      <c r="C83" s="2"/>
      <c r="D83" s="2">
        <v>50</v>
      </c>
      <c r="E83" s="2"/>
      <c r="F83" s="2"/>
      <c r="G83" s="2"/>
      <c r="H83" s="2"/>
      <c r="I83" s="2"/>
      <c r="J83" s="2"/>
    </row>
    <row r="84" spans="1:10" x14ac:dyDescent="0.25">
      <c r="A84" s="176" t="s">
        <v>797</v>
      </c>
      <c r="B84" s="176"/>
      <c r="C84" s="2"/>
      <c r="D84" s="2">
        <v>90</v>
      </c>
      <c r="E84" s="2"/>
      <c r="F84" s="2"/>
      <c r="G84" s="2"/>
      <c r="H84" s="2"/>
      <c r="I84" s="2"/>
      <c r="J84" s="2"/>
    </row>
    <row r="85" spans="1:10" x14ac:dyDescent="0.25">
      <c r="A85" s="176" t="s">
        <v>1533</v>
      </c>
      <c r="B85" s="176"/>
      <c r="C85" s="2"/>
      <c r="D85" s="2">
        <v>210</v>
      </c>
      <c r="E85" s="2"/>
      <c r="F85" s="2"/>
      <c r="G85" s="2"/>
      <c r="H85" s="2"/>
      <c r="I85" s="2"/>
      <c r="J85" s="2"/>
    </row>
    <row r="86" spans="1:10" ht="15" x14ac:dyDescent="0.4">
      <c r="A86" s="176" t="s">
        <v>798</v>
      </c>
      <c r="B86" s="176"/>
      <c r="C86" s="11"/>
      <c r="D86" s="11">
        <v>60</v>
      </c>
      <c r="E86" s="2"/>
      <c r="F86" s="2"/>
      <c r="G86" s="2"/>
      <c r="H86" s="2"/>
      <c r="I86" s="2"/>
      <c r="J86" s="2"/>
    </row>
    <row r="87" spans="1:10" x14ac:dyDescent="0.25">
      <c r="A87" s="176" t="s">
        <v>1182</v>
      </c>
      <c r="B87" s="176"/>
      <c r="C87" s="2"/>
      <c r="D87" s="2">
        <f>SUM(D80:D86)</f>
        <v>660</v>
      </c>
      <c r="E87" s="2"/>
      <c r="F87" s="2"/>
      <c r="G87" s="2"/>
      <c r="H87" s="2"/>
      <c r="I87" s="2"/>
      <c r="J87" s="2"/>
    </row>
    <row r="88" spans="1:10" x14ac:dyDescent="0.25">
      <c r="A88" s="176"/>
      <c r="B88" s="176"/>
      <c r="C88" s="2"/>
      <c r="D88" s="2"/>
      <c r="E88" s="2"/>
      <c r="F88" s="2"/>
      <c r="G88" s="2"/>
      <c r="H88" s="2"/>
      <c r="I88" s="2"/>
      <c r="J88" s="2"/>
    </row>
    <row r="89" spans="1:10" ht="13.8" x14ac:dyDescent="0.3">
      <c r="A89" s="177" t="s">
        <v>453</v>
      </c>
      <c r="B89" s="176"/>
      <c r="C89" s="2"/>
      <c r="D89" s="2"/>
      <c r="E89" s="2">
        <v>12747</v>
      </c>
      <c r="F89" s="2">
        <v>14247</v>
      </c>
      <c r="G89" s="2">
        <v>14902</v>
      </c>
      <c r="H89" s="2">
        <v>14902</v>
      </c>
      <c r="I89" s="2"/>
      <c r="J89" s="2"/>
    </row>
    <row r="90" spans="1:10" x14ac:dyDescent="0.25">
      <c r="A90" s="176" t="s">
        <v>80</v>
      </c>
      <c r="B90" s="176"/>
      <c r="C90" s="176"/>
      <c r="D90" s="2">
        <v>6825</v>
      </c>
      <c r="E90" s="2"/>
      <c r="F90" s="2"/>
      <c r="G90" s="2"/>
      <c r="H90" s="2"/>
      <c r="I90" s="2"/>
      <c r="J90" s="2"/>
    </row>
    <row r="91" spans="1:10" x14ac:dyDescent="0.25">
      <c r="A91" s="176" t="s">
        <v>81</v>
      </c>
      <c r="B91" s="176"/>
      <c r="C91" s="176"/>
      <c r="D91" s="2">
        <v>6100</v>
      </c>
      <c r="E91" s="2"/>
      <c r="F91" s="2"/>
      <c r="G91" s="2"/>
      <c r="H91" s="2"/>
      <c r="I91" s="2"/>
      <c r="J91" s="2"/>
    </row>
    <row r="92" spans="1:10" x14ac:dyDescent="0.25">
      <c r="A92" s="176" t="s">
        <v>806</v>
      </c>
      <c r="B92" s="176"/>
      <c r="C92" s="176"/>
      <c r="D92" s="2">
        <v>477</v>
      </c>
      <c r="E92" s="2"/>
      <c r="F92" s="2"/>
      <c r="G92" s="2"/>
      <c r="H92" s="2"/>
      <c r="I92" s="2"/>
      <c r="J92" s="2"/>
    </row>
    <row r="93" spans="1:10" ht="15" x14ac:dyDescent="0.4">
      <c r="A93" s="176" t="s">
        <v>537</v>
      </c>
      <c r="B93" s="176"/>
      <c r="C93" s="176"/>
      <c r="D93" s="11">
        <v>1500</v>
      </c>
      <c r="E93" s="2"/>
      <c r="F93" s="2"/>
      <c r="G93" s="2"/>
      <c r="H93" s="2"/>
      <c r="I93" s="2"/>
      <c r="J93" s="2"/>
    </row>
    <row r="94" spans="1:10" x14ac:dyDescent="0.25">
      <c r="A94" s="176" t="s">
        <v>1182</v>
      </c>
      <c r="B94" s="176"/>
      <c r="C94" s="176"/>
      <c r="D94" s="2">
        <f>SUM(D90:D93)</f>
        <v>14902</v>
      </c>
      <c r="E94" s="2"/>
      <c r="F94" s="2"/>
      <c r="G94" s="2"/>
      <c r="H94" s="2"/>
      <c r="I94" s="2"/>
      <c r="J94" s="2"/>
    </row>
    <row r="95" spans="1:10" x14ac:dyDescent="0.25">
      <c r="A95" s="176"/>
      <c r="B95" s="176"/>
      <c r="C95" s="2"/>
      <c r="D95" s="2"/>
      <c r="E95" s="2"/>
      <c r="F95" s="2"/>
      <c r="G95" s="2"/>
      <c r="H95" s="2"/>
      <c r="I95" s="2"/>
      <c r="J95" s="2"/>
    </row>
    <row r="96" spans="1:10" ht="13.8" x14ac:dyDescent="0.3">
      <c r="A96" s="177" t="s">
        <v>1390</v>
      </c>
      <c r="B96" s="176"/>
      <c r="C96" s="2"/>
      <c r="D96" s="2"/>
      <c r="E96" s="2">
        <v>1628</v>
      </c>
      <c r="F96" s="2">
        <v>2275</v>
      </c>
      <c r="G96" s="2">
        <v>2675</v>
      </c>
      <c r="H96" s="2">
        <v>2675</v>
      </c>
      <c r="I96" s="2"/>
      <c r="J96" s="2"/>
    </row>
    <row r="97" spans="1:10" x14ac:dyDescent="0.25">
      <c r="A97" s="176" t="s">
        <v>794</v>
      </c>
      <c r="B97" s="176"/>
      <c r="C97" s="176"/>
      <c r="D97" s="2">
        <v>1100</v>
      </c>
      <c r="E97" s="2"/>
      <c r="F97" s="2"/>
      <c r="G97" s="2"/>
      <c r="H97" s="2"/>
      <c r="I97" s="2"/>
      <c r="J97" s="2"/>
    </row>
    <row r="98" spans="1:10" x14ac:dyDescent="0.25">
      <c r="A98" s="176" t="s">
        <v>795</v>
      </c>
      <c r="B98" s="176"/>
      <c r="C98" s="176"/>
      <c r="D98" s="2">
        <v>800</v>
      </c>
      <c r="E98" s="2"/>
      <c r="F98" s="2"/>
      <c r="G98" s="2"/>
      <c r="H98" s="2"/>
      <c r="I98" s="2"/>
      <c r="J98" s="2"/>
    </row>
    <row r="99" spans="1:10" x14ac:dyDescent="0.25">
      <c r="A99" s="176" t="s">
        <v>640</v>
      </c>
      <c r="B99" s="176"/>
      <c r="C99" s="176"/>
      <c r="D99" s="2">
        <v>275</v>
      </c>
      <c r="E99" s="2"/>
      <c r="F99" s="2"/>
      <c r="G99" s="2"/>
      <c r="H99" s="2"/>
      <c r="I99" s="2"/>
      <c r="J99" s="2"/>
    </row>
    <row r="100" spans="1:10" x14ac:dyDescent="0.25">
      <c r="A100" s="176" t="s">
        <v>674</v>
      </c>
      <c r="B100" s="176"/>
      <c r="C100" s="176"/>
      <c r="D100" s="2">
        <v>100</v>
      </c>
      <c r="E100" s="2"/>
      <c r="F100" s="2"/>
      <c r="G100" s="2"/>
      <c r="H100" s="2"/>
      <c r="I100" s="2"/>
      <c r="J100" s="2"/>
    </row>
    <row r="101" spans="1:10" ht="15" x14ac:dyDescent="0.4">
      <c r="A101" s="176" t="s">
        <v>2061</v>
      </c>
      <c r="B101" s="176"/>
      <c r="C101" s="176"/>
      <c r="D101" s="11">
        <v>400</v>
      </c>
      <c r="E101" s="2"/>
      <c r="F101" s="2"/>
      <c r="G101" s="2"/>
      <c r="H101" s="2"/>
      <c r="I101" s="2"/>
      <c r="J101" s="2"/>
    </row>
    <row r="102" spans="1:10" x14ac:dyDescent="0.25">
      <c r="A102" s="176" t="s">
        <v>1182</v>
      </c>
      <c r="B102" s="176"/>
      <c r="C102" s="176"/>
      <c r="D102" s="2">
        <f>SUM(D97:D101)</f>
        <v>2675</v>
      </c>
      <c r="E102" s="2"/>
      <c r="F102" s="2"/>
      <c r="G102" s="2"/>
      <c r="H102" s="2"/>
      <c r="I102" s="2"/>
      <c r="J102" s="2"/>
    </row>
    <row r="103" spans="1:10" x14ac:dyDescent="0.25">
      <c r="A103" s="176"/>
      <c r="B103" s="176"/>
      <c r="C103" s="2"/>
      <c r="D103" s="2"/>
      <c r="E103" s="2"/>
      <c r="F103" s="2"/>
      <c r="G103" s="2"/>
      <c r="H103" s="2"/>
      <c r="I103" s="2"/>
      <c r="J103" s="2"/>
    </row>
    <row r="104" spans="1:10" ht="13.8" x14ac:dyDescent="0.3">
      <c r="A104" s="177" t="s">
        <v>1391</v>
      </c>
      <c r="B104" s="176"/>
      <c r="C104" s="2"/>
      <c r="D104" s="2"/>
      <c r="E104" s="2">
        <v>9446</v>
      </c>
      <c r="F104" s="2">
        <v>12000</v>
      </c>
      <c r="G104" s="2">
        <v>12000</v>
      </c>
      <c r="H104" s="2">
        <v>12000</v>
      </c>
      <c r="I104" s="2"/>
      <c r="J104" s="2"/>
    </row>
    <row r="105" spans="1:10" x14ac:dyDescent="0.25">
      <c r="A105" s="176" t="s">
        <v>432</v>
      </c>
      <c r="B105" s="176"/>
      <c r="C105" s="2" t="s">
        <v>386</v>
      </c>
      <c r="D105" s="2"/>
      <c r="E105" s="2"/>
      <c r="F105" s="2"/>
      <c r="G105" s="2"/>
      <c r="H105" s="2"/>
      <c r="I105" s="2"/>
      <c r="J105" s="2"/>
    </row>
    <row r="106" spans="1:10" x14ac:dyDescent="0.25">
      <c r="A106" s="176" t="s">
        <v>652</v>
      </c>
      <c r="B106" s="176"/>
      <c r="C106" s="176"/>
      <c r="D106" s="2">
        <v>12000</v>
      </c>
      <c r="E106" s="2"/>
      <c r="F106" s="2"/>
      <c r="G106" s="2"/>
      <c r="H106" s="2"/>
      <c r="I106" s="2"/>
      <c r="J106" s="2"/>
    </row>
    <row r="107" spans="1:10" x14ac:dyDescent="0.25">
      <c r="A107" s="176"/>
      <c r="B107" s="176"/>
      <c r="C107" s="176"/>
      <c r="D107" s="2"/>
      <c r="E107" s="2"/>
      <c r="F107" s="2"/>
      <c r="G107" s="2"/>
      <c r="H107" s="2"/>
      <c r="I107" s="2"/>
      <c r="J107" s="2"/>
    </row>
    <row r="108" spans="1:10" ht="13.8" x14ac:dyDescent="0.3">
      <c r="A108" s="177" t="s">
        <v>653</v>
      </c>
      <c r="B108" s="176"/>
      <c r="C108" s="176"/>
      <c r="D108" s="2"/>
      <c r="E108" s="2"/>
      <c r="F108" s="2"/>
      <c r="G108" s="2"/>
      <c r="H108" s="2"/>
      <c r="I108" s="2"/>
      <c r="J108" s="2"/>
    </row>
    <row r="109" spans="1:10" x14ac:dyDescent="0.25">
      <c r="A109" s="176" t="s">
        <v>217</v>
      </c>
      <c r="B109" s="176"/>
      <c r="C109" s="176"/>
      <c r="D109" s="2"/>
      <c r="E109" s="2"/>
      <c r="F109" s="2"/>
      <c r="G109" s="2"/>
      <c r="H109" s="2"/>
      <c r="I109" s="2"/>
      <c r="J109" s="2"/>
    </row>
    <row r="110" spans="1:10" x14ac:dyDescent="0.25">
      <c r="A110" s="176"/>
      <c r="B110" s="176"/>
      <c r="C110" s="176"/>
      <c r="D110" s="2"/>
      <c r="E110" s="2"/>
      <c r="F110" s="2"/>
      <c r="G110" s="2"/>
      <c r="H110" s="2"/>
      <c r="I110" s="2"/>
      <c r="J110" s="2"/>
    </row>
    <row r="111" spans="1:10" ht="13.8" x14ac:dyDescent="0.3">
      <c r="A111" s="177" t="s">
        <v>1010</v>
      </c>
      <c r="B111" s="176"/>
      <c r="C111" s="176"/>
      <c r="D111" s="2"/>
      <c r="E111" s="2">
        <v>710</v>
      </c>
      <c r="F111" s="2">
        <v>835</v>
      </c>
      <c r="G111" s="2">
        <v>835</v>
      </c>
      <c r="H111" s="2">
        <v>835</v>
      </c>
      <c r="I111" s="160"/>
      <c r="J111" s="161"/>
    </row>
    <row r="112" spans="1:10" x14ac:dyDescent="0.25">
      <c r="A112" s="176" t="s">
        <v>654</v>
      </c>
      <c r="B112" s="176"/>
      <c r="C112" s="176"/>
      <c r="D112" s="2">
        <v>835</v>
      </c>
      <c r="E112" s="2"/>
      <c r="F112" s="176"/>
      <c r="G112" s="176"/>
      <c r="H112" s="178"/>
      <c r="I112" s="160"/>
      <c r="J112" s="161"/>
    </row>
    <row r="113" spans="1:10" x14ac:dyDescent="0.25">
      <c r="A113" s="176"/>
      <c r="B113" s="176"/>
      <c r="C113" s="176"/>
      <c r="D113" s="2"/>
      <c r="E113" s="2"/>
      <c r="F113" s="176"/>
      <c r="G113" s="176"/>
      <c r="H113" s="178"/>
      <c r="I113" s="18"/>
      <c r="J113" s="18"/>
    </row>
    <row r="114" spans="1:10" ht="15" x14ac:dyDescent="0.4">
      <c r="A114" s="177" t="s">
        <v>621</v>
      </c>
      <c r="B114" s="176"/>
      <c r="C114" s="176"/>
      <c r="D114" s="8" t="s">
        <v>386</v>
      </c>
      <c r="E114" s="11">
        <v>0</v>
      </c>
      <c r="F114" s="18">
        <v>0</v>
      </c>
      <c r="G114" s="11">
        <v>55400</v>
      </c>
      <c r="H114" s="11">
        <v>55400</v>
      </c>
      <c r="I114" s="11">
        <v>0</v>
      </c>
      <c r="J114" s="11">
        <v>0</v>
      </c>
    </row>
    <row r="115" spans="1:10" ht="15" x14ac:dyDescent="0.4">
      <c r="A115" s="176" t="s">
        <v>807</v>
      </c>
      <c r="C115" s="176"/>
      <c r="D115" s="176">
        <v>2000</v>
      </c>
      <c r="E115" s="11"/>
      <c r="F115" s="2"/>
      <c r="G115" s="2"/>
      <c r="H115" s="2"/>
      <c r="I115" s="2"/>
      <c r="J115" s="2"/>
    </row>
    <row r="116" spans="1:10" x14ac:dyDescent="0.25">
      <c r="A116" s="23" t="s">
        <v>2062</v>
      </c>
      <c r="C116" s="176"/>
      <c r="D116" s="28">
        <v>53400</v>
      </c>
      <c r="E116" s="2"/>
      <c r="F116" s="2"/>
      <c r="G116" s="2"/>
      <c r="H116" s="2"/>
      <c r="I116" s="2"/>
      <c r="J116" s="2"/>
    </row>
    <row r="117" spans="1:10" ht="13.8" x14ac:dyDescent="0.3">
      <c r="A117" s="59" t="s">
        <v>386</v>
      </c>
      <c r="B117" s="176"/>
      <c r="C117" s="176"/>
      <c r="D117" s="2">
        <f>SUM(D115:D116)</f>
        <v>55400</v>
      </c>
      <c r="E117" s="2"/>
      <c r="F117" s="2"/>
      <c r="G117" s="2"/>
      <c r="H117" s="2"/>
      <c r="I117" s="2"/>
      <c r="J117" s="2"/>
    </row>
    <row r="118" spans="1:10" x14ac:dyDescent="0.25">
      <c r="A118" s="20" t="s">
        <v>1267</v>
      </c>
      <c r="B118" s="176"/>
      <c r="C118" s="176"/>
      <c r="D118" s="2"/>
      <c r="E118" s="2">
        <f>SUM(E5:E116)</f>
        <v>470553</v>
      </c>
      <c r="F118" s="2">
        <f>SUM(F5:F116)</f>
        <v>508632</v>
      </c>
      <c r="G118" s="2">
        <f>SUM(G5:G116)</f>
        <v>600409</v>
      </c>
      <c r="H118" s="2">
        <f>SUM(H5:H116)</f>
        <v>600409</v>
      </c>
      <c r="I118" s="2">
        <f t="shared" ref="I118:J118" si="0">SUM(I5:I116)</f>
        <v>0</v>
      </c>
      <c r="J118" s="2">
        <f t="shared" si="0"/>
        <v>0</v>
      </c>
    </row>
    <row r="119" spans="1:10" x14ac:dyDescent="0.25">
      <c r="A119" s="176"/>
      <c r="B119" s="176"/>
      <c r="C119" s="176"/>
      <c r="D119" s="176"/>
      <c r="E119" s="176"/>
      <c r="F119" s="176"/>
      <c r="G119" s="176"/>
      <c r="H119" s="178"/>
      <c r="I119" s="191"/>
      <c r="J119" s="191"/>
    </row>
    <row r="120" spans="1:10" x14ac:dyDescent="0.25">
      <c r="A120" s="176" t="s">
        <v>571</v>
      </c>
      <c r="B120" s="176"/>
      <c r="C120" s="176"/>
      <c r="D120" s="176"/>
      <c r="E120" s="2">
        <f>SUM(E5:E52)</f>
        <v>410401</v>
      </c>
      <c r="F120" s="2">
        <f>SUM(F5:F52)</f>
        <v>433588</v>
      </c>
      <c r="G120" s="2">
        <f>SUM(G5:G52)</f>
        <v>474791</v>
      </c>
      <c r="H120" s="2">
        <f>SUM(H5:H52)</f>
        <v>474791</v>
      </c>
      <c r="I120" s="2">
        <f t="shared" ref="I120:J120" si="1">SUM(I5:I52)</f>
        <v>0</v>
      </c>
      <c r="J120" s="2">
        <f t="shared" si="1"/>
        <v>0</v>
      </c>
    </row>
    <row r="121" spans="1:10" x14ac:dyDescent="0.25">
      <c r="A121" s="176" t="s">
        <v>895</v>
      </c>
      <c r="B121" s="176"/>
      <c r="C121" s="176"/>
      <c r="D121" s="176"/>
      <c r="E121" s="2">
        <f>SUM(E53:E113)</f>
        <v>60152</v>
      </c>
      <c r="F121" s="2">
        <f>SUM(F53:F113)</f>
        <v>75044</v>
      </c>
      <c r="G121" s="2">
        <f>SUM(G53:G113)</f>
        <v>70218</v>
      </c>
      <c r="H121" s="2">
        <f>SUM(H53:H113)</f>
        <v>70218</v>
      </c>
      <c r="I121" s="2">
        <f t="shared" ref="I121:J121" si="2">SUM(I53:I113)</f>
        <v>0</v>
      </c>
      <c r="J121" s="2">
        <f t="shared" si="2"/>
        <v>0</v>
      </c>
    </row>
    <row r="122" spans="1:10" ht="15" x14ac:dyDescent="0.4">
      <c r="A122" s="176" t="s">
        <v>896</v>
      </c>
      <c r="B122" s="176"/>
      <c r="C122" s="176"/>
      <c r="D122" s="176"/>
      <c r="E122" s="11">
        <f>SUM(E114:E115)</f>
        <v>0</v>
      </c>
      <c r="F122" s="11">
        <f>SUM(F114:F115)</f>
        <v>0</v>
      </c>
      <c r="G122" s="11">
        <f>SUM(G114:G115)</f>
        <v>55400</v>
      </c>
      <c r="H122" s="11">
        <f>SUM(H114:H115)</f>
        <v>55400</v>
      </c>
      <c r="I122" s="11">
        <f t="shared" ref="I122:J122" si="3">SUM(I114:I115)</f>
        <v>0</v>
      </c>
      <c r="J122" s="11">
        <f t="shared" si="3"/>
        <v>0</v>
      </c>
    </row>
    <row r="123" spans="1:10" x14ac:dyDescent="0.25">
      <c r="A123" s="176" t="s">
        <v>1182</v>
      </c>
      <c r="B123" s="176"/>
      <c r="C123" s="176"/>
      <c r="D123" s="176"/>
      <c r="E123" s="2">
        <f>SUM(E120:E122)</f>
        <v>470553</v>
      </c>
      <c r="F123" s="2">
        <f>SUM(F120:F122)</f>
        <v>508632</v>
      </c>
      <c r="G123" s="2">
        <f>SUM(G120:G122)</f>
        <v>600409</v>
      </c>
      <c r="H123" s="2">
        <f>SUM(H120:H122)</f>
        <v>600409</v>
      </c>
      <c r="I123" s="2">
        <f t="shared" ref="I123:J123" si="4">SUM(I120:I122)</f>
        <v>0</v>
      </c>
      <c r="J123" s="2">
        <f t="shared" si="4"/>
        <v>0</v>
      </c>
    </row>
    <row r="124" spans="1:10" x14ac:dyDescent="0.25">
      <c r="H124" s="178"/>
      <c r="I124" s="160"/>
      <c r="J124" s="161"/>
    </row>
    <row r="125" spans="1:10" x14ac:dyDescent="0.25">
      <c r="H125" s="178"/>
      <c r="I125" s="2"/>
      <c r="J125" s="2"/>
    </row>
    <row r="126" spans="1:10" x14ac:dyDescent="0.25">
      <c r="H126" s="178"/>
      <c r="I126" s="2"/>
      <c r="J126" s="2"/>
    </row>
    <row r="127" spans="1:10" x14ac:dyDescent="0.25">
      <c r="H127" s="178"/>
      <c r="I127" s="160"/>
      <c r="J127" s="161"/>
    </row>
    <row r="128" spans="1:10" x14ac:dyDescent="0.25">
      <c r="H128" s="178"/>
      <c r="I128" s="160"/>
      <c r="J128" s="161"/>
    </row>
    <row r="129" spans="8:10" x14ac:dyDescent="0.25">
      <c r="H129" s="178"/>
      <c r="I129" s="160"/>
      <c r="J129" s="161"/>
    </row>
    <row r="130" spans="8:10" x14ac:dyDescent="0.25">
      <c r="H130" s="178"/>
      <c r="I130" s="160"/>
      <c r="J130" s="161"/>
    </row>
    <row r="131" spans="8:10" x14ac:dyDescent="0.25">
      <c r="H131" s="178"/>
      <c r="I131" s="160"/>
      <c r="J131" s="161"/>
    </row>
    <row r="132" spans="8:10" x14ac:dyDescent="0.25">
      <c r="H132" s="178"/>
      <c r="I132" s="160"/>
      <c r="J132" s="161"/>
    </row>
    <row r="133" spans="8:10" x14ac:dyDescent="0.25">
      <c r="H133" s="178"/>
      <c r="I133" s="160"/>
      <c r="J133" s="161"/>
    </row>
    <row r="134" spans="8:10" x14ac:dyDescent="0.25">
      <c r="H134" s="178"/>
      <c r="I134" s="160"/>
      <c r="J134" s="161"/>
    </row>
    <row r="135" spans="8:10" x14ac:dyDescent="0.25">
      <c r="H135" s="178"/>
      <c r="I135" s="160"/>
      <c r="J135" s="161"/>
    </row>
    <row r="136" spans="8:10" x14ac:dyDescent="0.25">
      <c r="H136" s="178"/>
      <c r="I136" s="160"/>
      <c r="J136" s="161"/>
    </row>
    <row r="137" spans="8:10" x14ac:dyDescent="0.25">
      <c r="H137" s="178"/>
      <c r="I137" s="160"/>
      <c r="J137" s="161"/>
    </row>
    <row r="138" spans="8:10" x14ac:dyDescent="0.25">
      <c r="H138" s="178"/>
      <c r="I138" s="160"/>
      <c r="J138" s="161"/>
    </row>
    <row r="139" spans="8:10" x14ac:dyDescent="0.25">
      <c r="H139" s="178"/>
      <c r="I139" s="160"/>
      <c r="J139" s="161"/>
    </row>
    <row r="140" spans="8:10" x14ac:dyDescent="0.25">
      <c r="H140" s="178"/>
      <c r="I140" s="160"/>
      <c r="J140" s="161"/>
    </row>
    <row r="141" spans="8:10" x14ac:dyDescent="0.25">
      <c r="H141" s="178"/>
      <c r="I141" s="160"/>
    </row>
    <row r="142" spans="8:10" x14ac:dyDescent="0.25">
      <c r="H142" s="178"/>
      <c r="I142" s="160"/>
    </row>
    <row r="143" spans="8:10" x14ac:dyDescent="0.25">
      <c r="H143" s="178"/>
      <c r="I143" s="160"/>
    </row>
    <row r="144" spans="8:10" x14ac:dyDescent="0.25">
      <c r="H144" s="178"/>
      <c r="I144" s="160"/>
    </row>
    <row r="145" spans="8:9" x14ac:dyDescent="0.25">
      <c r="H145" s="178"/>
      <c r="I145" s="160"/>
    </row>
    <row r="146" spans="8:9" x14ac:dyDescent="0.25">
      <c r="H146" s="178"/>
      <c r="I146" s="160"/>
    </row>
    <row r="147" spans="8:9" x14ac:dyDescent="0.25">
      <c r="H147" s="178"/>
      <c r="I147" s="160"/>
    </row>
    <row r="148" spans="8:9" x14ac:dyDescent="0.25">
      <c r="H148" s="178"/>
    </row>
    <row r="149" spans="8:9" x14ac:dyDescent="0.25">
      <c r="H149" s="178"/>
    </row>
    <row r="150" spans="8:9" x14ac:dyDescent="0.25">
      <c r="H150" s="178"/>
    </row>
    <row r="151" spans="8:9" x14ac:dyDescent="0.25">
      <c r="H151" s="178"/>
    </row>
    <row r="152" spans="8:9" x14ac:dyDescent="0.25">
      <c r="H152" s="178"/>
    </row>
    <row r="153" spans="8:9" x14ac:dyDescent="0.25">
      <c r="H153" s="178"/>
    </row>
    <row r="154" spans="8:9" x14ac:dyDescent="0.25">
      <c r="H154" s="178"/>
    </row>
    <row r="155" spans="8:9" x14ac:dyDescent="0.25">
      <c r="H155" s="178"/>
    </row>
    <row r="156" spans="8:9" x14ac:dyDescent="0.25">
      <c r="H156" s="178"/>
    </row>
    <row r="157" spans="8:9" x14ac:dyDescent="0.25">
      <c r="H157" s="178"/>
    </row>
    <row r="158" spans="8:9" x14ac:dyDescent="0.25">
      <c r="H158" s="178"/>
    </row>
    <row r="159" spans="8:9" x14ac:dyDescent="0.25">
      <c r="H159" s="178"/>
    </row>
    <row r="160" spans="8:9" x14ac:dyDescent="0.25">
      <c r="H160" s="178"/>
    </row>
    <row r="161" spans="8:8" x14ac:dyDescent="0.25">
      <c r="H161" s="178"/>
    </row>
    <row r="162" spans="8:8" x14ac:dyDescent="0.25">
      <c r="H162" s="178"/>
    </row>
    <row r="163" spans="8:8" x14ac:dyDescent="0.25">
      <c r="H163" s="178"/>
    </row>
    <row r="164" spans="8:8" x14ac:dyDescent="0.25">
      <c r="H164" s="178"/>
    </row>
    <row r="165" spans="8:8" x14ac:dyDescent="0.25">
      <c r="H165" s="178"/>
    </row>
    <row r="166" spans="8:8" x14ac:dyDescent="0.25">
      <c r="H166" s="178"/>
    </row>
    <row r="167" spans="8:8" x14ac:dyDescent="0.25">
      <c r="H167" s="178"/>
    </row>
    <row r="168" spans="8:8" x14ac:dyDescent="0.25">
      <c r="H168" s="178"/>
    </row>
    <row r="169" spans="8:8" x14ac:dyDescent="0.25">
      <c r="H169" s="178"/>
    </row>
  </sheetData>
  <mergeCells count="1">
    <mergeCell ref="A1:J1"/>
  </mergeCells>
  <phoneticPr fontId="0" type="noConversion"/>
  <printOptions gridLines="1"/>
  <pageMargins left="0.75" right="0.16" top="0.51" bottom="0.22" header="0.5" footer="0"/>
  <pageSetup scale="88" fitToHeight="5" orientation="landscape" r:id="rId1"/>
  <headerFooter alignWithMargins="0"/>
  <rowBreaks count="2" manualBreakCount="2">
    <brk id="44" max="7" man="1"/>
    <brk id="88"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47"/>
  <sheetViews>
    <sheetView zoomScaleNormal="100" zoomScaleSheetLayoutView="100" workbookViewId="0">
      <selection sqref="A1:J1"/>
    </sheetView>
  </sheetViews>
  <sheetFormatPr defaultColWidth="8.88671875" defaultRowHeight="13.2" x14ac:dyDescent="0.25"/>
  <cols>
    <col min="1" max="1" width="56.44140625" style="191" customWidth="1"/>
    <col min="2" max="2" width="9.44140625" style="191" customWidth="1"/>
    <col min="3" max="3" width="8.5546875" style="191" customWidth="1"/>
    <col min="4" max="4" width="8.88671875" style="191" customWidth="1"/>
    <col min="5" max="5" width="9.44140625" style="191" customWidth="1"/>
    <col min="6" max="8" width="10.88671875" style="191" customWidth="1"/>
    <col min="9" max="9" width="14" style="191" bestFit="1" customWidth="1"/>
    <col min="10" max="11" width="10.88671875" style="191" customWidth="1"/>
    <col min="12" max="12" width="0" style="191" hidden="1" customWidth="1"/>
    <col min="13" max="16384" width="8.88671875" style="191"/>
  </cols>
  <sheetData>
    <row r="1" spans="1:11" s="191" customFormat="1" x14ac:dyDescent="0.25">
      <c r="A1" s="194" t="e">
        <f>#REF!</f>
        <v>#REF!</v>
      </c>
      <c r="B1" s="195"/>
      <c r="C1" s="195"/>
      <c r="D1" s="195"/>
      <c r="E1" s="195"/>
      <c r="F1" s="195"/>
      <c r="G1" s="195"/>
      <c r="H1" s="195"/>
      <c r="I1" s="195"/>
      <c r="J1" s="195"/>
    </row>
    <row r="2" spans="1:11" s="191" customFormat="1" ht="17.399999999999999" x14ac:dyDescent="0.3">
      <c r="A2" s="153" t="s">
        <v>1963</v>
      </c>
      <c r="B2" s="153"/>
      <c r="C2" s="153"/>
      <c r="D2" s="153"/>
      <c r="E2" s="153"/>
      <c r="F2" s="153"/>
      <c r="G2" s="153"/>
    </row>
    <row r="3" spans="1:11" s="191" customFormat="1" x14ac:dyDescent="0.25">
      <c r="B3" s="2"/>
      <c r="C3" s="2"/>
      <c r="D3" s="2"/>
      <c r="E3" s="2"/>
      <c r="F3" s="2"/>
      <c r="G3" s="2"/>
    </row>
    <row r="4" spans="1:11" s="191" customFormat="1" x14ac:dyDescent="0.25">
      <c r="B4" s="2"/>
      <c r="C4" s="2"/>
      <c r="D4" s="2"/>
      <c r="E4" s="2"/>
      <c r="F4" s="16" t="s">
        <v>232</v>
      </c>
      <c r="G4" s="16" t="s">
        <v>233</v>
      </c>
      <c r="H4" s="16" t="s">
        <v>69</v>
      </c>
      <c r="I4" s="16" t="s">
        <v>399</v>
      </c>
      <c r="J4" s="16" t="s">
        <v>303</v>
      </c>
      <c r="K4" s="16" t="s">
        <v>336</v>
      </c>
    </row>
    <row r="5" spans="1:11" s="191" customFormat="1" ht="15" x14ac:dyDescent="0.4">
      <c r="B5" s="2"/>
      <c r="C5" s="2"/>
      <c r="D5" s="2"/>
      <c r="E5" s="2"/>
      <c r="F5" s="192" t="s">
        <v>1715</v>
      </c>
      <c r="G5" s="192" t="s">
        <v>1766</v>
      </c>
      <c r="H5" s="192" t="s">
        <v>1985</v>
      </c>
      <c r="I5" s="192" t="s">
        <v>1985</v>
      </c>
      <c r="J5" s="192" t="s">
        <v>1985</v>
      </c>
      <c r="K5" s="192" t="s">
        <v>1985</v>
      </c>
    </row>
    <row r="6" spans="1:11" s="191" customFormat="1" ht="13.8" x14ac:dyDescent="0.3">
      <c r="A6" s="193" t="s">
        <v>622</v>
      </c>
      <c r="B6" s="2"/>
      <c r="C6" s="2"/>
      <c r="D6" s="2"/>
      <c r="E6" s="2"/>
      <c r="F6" s="2">
        <v>37800</v>
      </c>
      <c r="G6" s="2">
        <v>38447</v>
      </c>
      <c r="H6" s="2">
        <v>38875</v>
      </c>
      <c r="I6" s="2">
        <v>38875</v>
      </c>
      <c r="J6" s="2"/>
      <c r="K6" s="2"/>
    </row>
    <row r="7" spans="1:11" s="191" customFormat="1" x14ac:dyDescent="0.25">
      <c r="A7" s="191" t="s">
        <v>1777</v>
      </c>
      <c r="B7" s="2"/>
      <c r="C7" s="2">
        <v>1456</v>
      </c>
      <c r="D7" s="12">
        <v>25.7</v>
      </c>
      <c r="E7" s="2">
        <f>+D7*C7</f>
        <v>37419.199999999997</v>
      </c>
      <c r="F7" s="2"/>
      <c r="G7" s="2"/>
      <c r="H7" s="2"/>
      <c r="I7" s="2"/>
      <c r="J7" s="2"/>
      <c r="K7" s="2"/>
    </row>
    <row r="8" spans="1:11" s="191" customFormat="1" ht="15" x14ac:dyDescent="0.4">
      <c r="A8" s="191" t="s">
        <v>1699</v>
      </c>
      <c r="B8" s="2"/>
      <c r="C8" s="2"/>
      <c r="D8" s="12"/>
      <c r="E8" s="11">
        <v>1456</v>
      </c>
      <c r="F8" s="2"/>
      <c r="G8" s="2"/>
      <c r="H8" s="2"/>
      <c r="I8" s="2"/>
      <c r="J8" s="2"/>
      <c r="K8" s="2"/>
    </row>
    <row r="9" spans="1:11" s="191" customFormat="1" x14ac:dyDescent="0.25">
      <c r="B9" s="2"/>
      <c r="C9" s="2"/>
      <c r="D9" s="12"/>
      <c r="E9" s="2">
        <f>SUM(E7:E8)</f>
        <v>38875.199999999997</v>
      </c>
      <c r="F9" s="2"/>
      <c r="G9" s="2"/>
      <c r="H9" s="2"/>
      <c r="I9" s="2"/>
      <c r="J9" s="2"/>
      <c r="K9" s="2"/>
    </row>
    <row r="10" spans="1:11" s="191" customFormat="1" x14ac:dyDescent="0.25">
      <c r="B10" s="2"/>
      <c r="C10" s="2"/>
      <c r="D10" s="12"/>
      <c r="E10" s="2"/>
      <c r="F10" s="2"/>
      <c r="G10" s="2"/>
      <c r="H10" s="2"/>
      <c r="I10" s="2"/>
      <c r="J10" s="2"/>
      <c r="K10" s="2"/>
    </row>
    <row r="11" spans="1:11" s="191" customFormat="1" ht="13.8" x14ac:dyDescent="0.3">
      <c r="A11" s="193" t="s">
        <v>660</v>
      </c>
      <c r="E11" s="2"/>
      <c r="F11" s="2">
        <v>2893</v>
      </c>
      <c r="G11" s="2">
        <v>2941</v>
      </c>
      <c r="H11" s="2">
        <v>2974</v>
      </c>
      <c r="I11" s="2">
        <v>2974</v>
      </c>
      <c r="J11" s="2"/>
      <c r="K11" s="2"/>
    </row>
    <row r="12" spans="1:11" s="191" customFormat="1" hidden="1" x14ac:dyDescent="0.25">
      <c r="A12" s="191" t="s">
        <v>661</v>
      </c>
      <c r="B12" s="2"/>
      <c r="C12" s="2">
        <f>+E9</f>
        <v>38875.199999999997</v>
      </c>
      <c r="D12" s="14">
        <v>7.6499999999999999E-2</v>
      </c>
      <c r="E12" s="2">
        <f>ROUND(D12*C12,0)</f>
        <v>2974</v>
      </c>
      <c r="F12" s="2"/>
      <c r="G12" s="2"/>
      <c r="H12" s="2"/>
      <c r="I12" s="2"/>
      <c r="J12" s="2"/>
      <c r="K12" s="2"/>
    </row>
    <row r="13" spans="1:11" s="191" customFormat="1" x14ac:dyDescent="0.25">
      <c r="E13" s="2"/>
      <c r="F13" s="2"/>
      <c r="G13" s="2"/>
      <c r="H13" s="2"/>
      <c r="I13" s="2"/>
      <c r="J13" s="2"/>
      <c r="K13" s="2"/>
    </row>
    <row r="14" spans="1:11" s="191" customFormat="1" ht="13.8" x14ac:dyDescent="0.3">
      <c r="A14" s="193" t="s">
        <v>662</v>
      </c>
      <c r="E14" s="2"/>
      <c r="F14" s="2">
        <v>50</v>
      </c>
      <c r="G14" s="2">
        <v>65</v>
      </c>
      <c r="H14" s="2">
        <v>62</v>
      </c>
      <c r="I14" s="2">
        <v>62</v>
      </c>
      <c r="J14" s="2"/>
      <c r="K14" s="2"/>
    </row>
    <row r="15" spans="1:11" s="191" customFormat="1" hidden="1" x14ac:dyDescent="0.25">
      <c r="A15" s="191" t="s">
        <v>661</v>
      </c>
      <c r="B15" s="2"/>
      <c r="C15" s="2">
        <f>+E9</f>
        <v>38875.199999999997</v>
      </c>
      <c r="D15" s="14">
        <v>1.6000000000000001E-3</v>
      </c>
      <c r="E15" s="2">
        <f>ROUND(D15*C15,0)</f>
        <v>62</v>
      </c>
      <c r="F15" s="2"/>
      <c r="G15" s="2"/>
      <c r="H15" s="2"/>
      <c r="I15" s="2"/>
      <c r="J15" s="2"/>
      <c r="K15" s="2"/>
    </row>
    <row r="16" spans="1:11" s="191" customFormat="1" x14ac:dyDescent="0.25">
      <c r="E16" s="2"/>
      <c r="F16" s="2"/>
      <c r="G16" s="2"/>
      <c r="H16" s="2"/>
      <c r="I16" s="2"/>
      <c r="J16" s="2"/>
      <c r="K16" s="2"/>
    </row>
    <row r="17" spans="1:11" s="191" customFormat="1" ht="13.8" x14ac:dyDescent="0.3">
      <c r="A17" s="193" t="s">
        <v>663</v>
      </c>
      <c r="E17" s="2"/>
      <c r="F17" s="2">
        <v>35</v>
      </c>
      <c r="G17" s="2">
        <v>48</v>
      </c>
      <c r="H17" s="2">
        <v>26</v>
      </c>
      <c r="I17" s="2">
        <v>26</v>
      </c>
      <c r="J17" s="2"/>
      <c r="K17" s="2"/>
    </row>
    <row r="18" spans="1:11" s="191" customFormat="1" hidden="1" x14ac:dyDescent="0.25">
      <c r="A18" s="191" t="s">
        <v>661</v>
      </c>
      <c r="B18" s="2" t="s">
        <v>386</v>
      </c>
      <c r="C18" s="2" t="s">
        <v>386</v>
      </c>
      <c r="D18" s="14" t="s">
        <v>386</v>
      </c>
      <c r="E18" s="2">
        <v>26</v>
      </c>
      <c r="F18" s="2"/>
      <c r="G18" s="2"/>
      <c r="H18" s="2"/>
      <c r="I18" s="2"/>
      <c r="J18" s="2"/>
      <c r="K18" s="2"/>
    </row>
    <row r="19" spans="1:11" s="191" customFormat="1" x14ac:dyDescent="0.25">
      <c r="E19" s="2"/>
      <c r="F19" s="2"/>
      <c r="G19" s="2"/>
      <c r="H19" s="2"/>
      <c r="I19" s="2"/>
      <c r="J19" s="2"/>
      <c r="K19" s="2"/>
    </row>
    <row r="20" spans="1:11" s="191" customFormat="1" ht="15" x14ac:dyDescent="0.4">
      <c r="A20" s="193" t="s">
        <v>664</v>
      </c>
      <c r="C20" s="192"/>
      <c r="D20" s="192" t="s">
        <v>1766</v>
      </c>
      <c r="E20" s="192" t="s">
        <v>1985</v>
      </c>
      <c r="F20" s="2">
        <v>171</v>
      </c>
      <c r="G20" s="2">
        <v>270</v>
      </c>
      <c r="H20" s="2">
        <v>270</v>
      </c>
      <c r="I20" s="2">
        <v>270</v>
      </c>
      <c r="J20" s="2"/>
      <c r="K20" s="2"/>
    </row>
    <row r="21" spans="1:11" s="191" customFormat="1" x14ac:dyDescent="0.25">
      <c r="A21" s="191" t="s">
        <v>343</v>
      </c>
      <c r="D21" s="2">
        <v>270</v>
      </c>
      <c r="E21" s="2">
        <v>270</v>
      </c>
      <c r="F21" s="2"/>
      <c r="G21" s="2"/>
      <c r="H21" s="2"/>
      <c r="I21" s="2"/>
      <c r="J21" s="2"/>
      <c r="K21" s="2"/>
    </row>
    <row r="22" spans="1:11" s="191" customFormat="1" x14ac:dyDescent="0.25">
      <c r="D22" s="2"/>
      <c r="E22" s="2"/>
      <c r="F22" s="2"/>
      <c r="G22" s="2"/>
      <c r="H22" s="2"/>
      <c r="I22" s="2"/>
      <c r="J22" s="2"/>
      <c r="K22" s="2"/>
    </row>
    <row r="23" spans="1:11" s="191" customFormat="1" ht="15" x14ac:dyDescent="0.4">
      <c r="A23" s="193" t="s">
        <v>24</v>
      </c>
      <c r="C23" s="192"/>
      <c r="D23" s="192" t="s">
        <v>1766</v>
      </c>
      <c r="E23" s="192" t="s">
        <v>1985</v>
      </c>
      <c r="F23" s="2">
        <v>0</v>
      </c>
      <c r="G23" s="2">
        <v>50</v>
      </c>
      <c r="H23" s="2">
        <v>50</v>
      </c>
      <c r="I23" s="2">
        <v>50</v>
      </c>
      <c r="J23" s="2"/>
      <c r="K23" s="2"/>
    </row>
    <row r="24" spans="1:11" s="191" customFormat="1" x14ac:dyDescent="0.25">
      <c r="A24" s="191" t="s">
        <v>944</v>
      </c>
      <c r="D24" s="2">
        <v>50</v>
      </c>
      <c r="E24" s="2">
        <v>50</v>
      </c>
      <c r="F24" s="2"/>
      <c r="G24" s="2"/>
      <c r="H24" s="2"/>
      <c r="I24" s="2"/>
      <c r="J24" s="2"/>
      <c r="K24" s="2"/>
    </row>
    <row r="25" spans="1:11" s="191" customFormat="1" x14ac:dyDescent="0.25">
      <c r="D25" s="2"/>
      <c r="E25" s="2"/>
      <c r="F25" s="2"/>
      <c r="G25" s="2"/>
      <c r="H25" s="2"/>
      <c r="I25" s="2"/>
      <c r="J25" s="2"/>
      <c r="K25" s="2"/>
    </row>
    <row r="26" spans="1:11" s="191" customFormat="1" ht="15" x14ac:dyDescent="0.4">
      <c r="A26" s="193" t="s">
        <v>915</v>
      </c>
      <c r="C26" s="192"/>
      <c r="D26" s="192" t="s">
        <v>1766</v>
      </c>
      <c r="E26" s="192" t="s">
        <v>1985</v>
      </c>
      <c r="F26" s="2">
        <v>86</v>
      </c>
      <c r="G26" s="2">
        <v>125</v>
      </c>
      <c r="H26" s="2">
        <v>100</v>
      </c>
      <c r="I26" s="2">
        <v>100</v>
      </c>
      <c r="J26" s="2"/>
      <c r="K26" s="2"/>
    </row>
    <row r="27" spans="1:11" s="191" customFormat="1" x14ac:dyDescent="0.25">
      <c r="A27" s="191" t="s">
        <v>916</v>
      </c>
      <c r="B27" s="2" t="s">
        <v>386</v>
      </c>
      <c r="C27" s="2"/>
      <c r="D27" s="2">
        <v>125</v>
      </c>
      <c r="E27" s="2">
        <v>100</v>
      </c>
      <c r="F27" s="2"/>
      <c r="G27" s="2"/>
      <c r="H27" s="2"/>
      <c r="I27" s="2"/>
      <c r="J27" s="2"/>
      <c r="K27" s="2"/>
    </row>
    <row r="28" spans="1:11" s="191" customFormat="1" x14ac:dyDescent="0.25">
      <c r="B28" s="2"/>
      <c r="C28" s="2"/>
      <c r="D28" s="2"/>
      <c r="E28" s="2"/>
      <c r="F28" s="2"/>
      <c r="G28" s="2"/>
      <c r="H28" s="2"/>
      <c r="I28" s="2"/>
      <c r="J28" s="2"/>
      <c r="K28" s="2"/>
    </row>
    <row r="29" spans="1:11" s="191" customFormat="1" ht="15" x14ac:dyDescent="0.4">
      <c r="A29" s="193" t="s">
        <v>452</v>
      </c>
      <c r="C29" s="192"/>
      <c r="D29" s="192" t="s">
        <v>1766</v>
      </c>
      <c r="E29" s="192" t="s">
        <v>1985</v>
      </c>
      <c r="F29" s="2">
        <v>969</v>
      </c>
      <c r="G29" s="2">
        <v>1080</v>
      </c>
      <c r="H29" s="2">
        <v>1070</v>
      </c>
      <c r="I29" s="2">
        <v>1070</v>
      </c>
      <c r="J29" s="2"/>
      <c r="K29" s="2"/>
    </row>
    <row r="30" spans="1:11" s="191" customFormat="1" x14ac:dyDescent="0.25">
      <c r="A30" s="191" t="s">
        <v>897</v>
      </c>
      <c r="C30" s="2"/>
      <c r="D30" s="2">
        <v>600</v>
      </c>
      <c r="E30" s="2">
        <v>590</v>
      </c>
      <c r="F30" s="2"/>
      <c r="G30" s="2"/>
      <c r="H30" s="2"/>
      <c r="I30" s="2"/>
      <c r="J30" s="2"/>
      <c r="K30" s="2"/>
    </row>
    <row r="31" spans="1:11" s="191" customFormat="1" ht="15" x14ac:dyDescent="0.4">
      <c r="A31" s="191" t="s">
        <v>945</v>
      </c>
      <c r="C31" s="11"/>
      <c r="D31" s="11">
        <v>480</v>
      </c>
      <c r="E31" s="11">
        <v>480</v>
      </c>
      <c r="F31" s="2"/>
      <c r="G31" s="2"/>
      <c r="H31" s="2"/>
      <c r="I31" s="2"/>
      <c r="J31" s="2"/>
      <c r="K31" s="2"/>
    </row>
    <row r="32" spans="1:11" s="191" customFormat="1" x14ac:dyDescent="0.25">
      <c r="A32" s="191" t="s">
        <v>1182</v>
      </c>
      <c r="C32" s="2"/>
      <c r="D32" s="2">
        <f>SUM(D30:D31)</f>
        <v>1080</v>
      </c>
      <c r="E32" s="2">
        <f>SUM(E30:E31)</f>
        <v>1070</v>
      </c>
      <c r="F32" s="2"/>
      <c r="G32" s="2"/>
      <c r="H32" s="2"/>
      <c r="I32" s="2"/>
      <c r="J32" s="2"/>
      <c r="K32" s="2"/>
    </row>
    <row r="33" spans="1:11" s="191" customFormat="1" x14ac:dyDescent="0.25">
      <c r="A33" s="191" t="s">
        <v>386</v>
      </c>
      <c r="D33" s="2" t="s">
        <v>386</v>
      </c>
      <c r="E33" s="2" t="s">
        <v>386</v>
      </c>
      <c r="F33" s="2"/>
      <c r="G33" s="2"/>
      <c r="H33" s="2"/>
      <c r="I33" s="2"/>
      <c r="J33" s="2"/>
      <c r="K33" s="2"/>
    </row>
    <row r="34" spans="1:11" s="191" customFormat="1" ht="15" x14ac:dyDescent="0.4">
      <c r="A34" s="193" t="s">
        <v>641</v>
      </c>
      <c r="C34" s="192"/>
      <c r="D34" s="192" t="s">
        <v>1766</v>
      </c>
      <c r="E34" s="192" t="s">
        <v>1985</v>
      </c>
      <c r="F34" s="2">
        <v>50</v>
      </c>
      <c r="G34" s="2">
        <v>50</v>
      </c>
      <c r="H34" s="2">
        <v>50</v>
      </c>
      <c r="I34" s="2">
        <v>50</v>
      </c>
      <c r="J34" s="2"/>
      <c r="K34" s="2"/>
    </row>
    <row r="35" spans="1:11" s="191" customFormat="1" x14ac:dyDescent="0.25">
      <c r="A35" s="191" t="s">
        <v>418</v>
      </c>
      <c r="B35" s="2" t="s">
        <v>386</v>
      </c>
      <c r="C35" s="2"/>
      <c r="D35" s="2">
        <v>50</v>
      </c>
      <c r="E35" s="2">
        <v>50</v>
      </c>
      <c r="F35" s="2"/>
      <c r="G35" s="2"/>
      <c r="H35" s="2"/>
      <c r="I35" s="2"/>
      <c r="J35" s="2"/>
      <c r="K35" s="2"/>
    </row>
    <row r="36" spans="1:11" s="191" customFormat="1" x14ac:dyDescent="0.25">
      <c r="D36" s="2"/>
      <c r="E36" s="2"/>
      <c r="F36" s="2"/>
      <c r="G36" s="2"/>
      <c r="H36" s="2"/>
      <c r="I36" s="2"/>
      <c r="J36" s="2"/>
      <c r="K36" s="2"/>
    </row>
    <row r="37" spans="1:11" s="191" customFormat="1" ht="15" x14ac:dyDescent="0.4">
      <c r="A37" s="17" t="s">
        <v>1425</v>
      </c>
      <c r="C37" s="192"/>
      <c r="D37" s="192" t="s">
        <v>1766</v>
      </c>
      <c r="E37" s="192" t="s">
        <v>1985</v>
      </c>
      <c r="F37" s="2">
        <v>343</v>
      </c>
      <c r="G37" s="2">
        <v>519</v>
      </c>
      <c r="H37" s="2">
        <v>377</v>
      </c>
      <c r="I37" s="2">
        <v>377</v>
      </c>
      <c r="J37" s="2"/>
      <c r="K37" s="2"/>
    </row>
    <row r="38" spans="1:11" s="191" customFormat="1" x14ac:dyDescent="0.25">
      <c r="A38" s="191" t="s">
        <v>815</v>
      </c>
      <c r="C38" s="2"/>
      <c r="D38" s="191">
        <v>519</v>
      </c>
      <c r="E38" s="191">
        <v>377</v>
      </c>
      <c r="F38" s="2"/>
      <c r="G38" s="2"/>
      <c r="H38" s="2"/>
      <c r="I38" s="2"/>
      <c r="J38" s="2"/>
      <c r="K38" s="2"/>
    </row>
    <row r="39" spans="1:11" s="191" customFormat="1" x14ac:dyDescent="0.25">
      <c r="D39" s="2"/>
      <c r="E39" s="2"/>
      <c r="F39" s="2"/>
      <c r="G39" s="2"/>
      <c r="H39" s="2"/>
      <c r="I39" s="2"/>
      <c r="J39" s="2"/>
      <c r="K39" s="2"/>
    </row>
    <row r="40" spans="1:11" s="191" customFormat="1" ht="15" x14ac:dyDescent="0.4">
      <c r="A40" s="193" t="s">
        <v>1426</v>
      </c>
      <c r="C40" s="192"/>
      <c r="D40" s="192" t="s">
        <v>1766</v>
      </c>
      <c r="E40" s="192" t="s">
        <v>1985</v>
      </c>
      <c r="F40" s="2">
        <v>527</v>
      </c>
      <c r="G40" s="2">
        <v>500</v>
      </c>
      <c r="H40" s="2">
        <v>527</v>
      </c>
      <c r="I40" s="2">
        <v>527</v>
      </c>
      <c r="J40" s="2"/>
      <c r="K40" s="2"/>
    </row>
    <row r="41" spans="1:11" s="191" customFormat="1" x14ac:dyDescent="0.25">
      <c r="A41" s="191" t="s">
        <v>300</v>
      </c>
      <c r="D41" s="2">
        <v>500</v>
      </c>
      <c r="E41" s="2">
        <v>527</v>
      </c>
      <c r="F41" s="2"/>
      <c r="G41" s="2"/>
      <c r="H41" s="2"/>
      <c r="I41" s="2"/>
      <c r="J41" s="2"/>
      <c r="K41" s="2"/>
    </row>
    <row r="42" spans="1:11" s="191" customFormat="1" x14ac:dyDescent="0.25">
      <c r="D42" s="2"/>
      <c r="E42" s="2"/>
      <c r="F42" s="2"/>
      <c r="G42" s="2"/>
      <c r="H42" s="2"/>
      <c r="I42" s="2"/>
      <c r="J42" s="2"/>
      <c r="K42" s="2"/>
    </row>
    <row r="43" spans="1:11" s="191" customFormat="1" ht="13.8" x14ac:dyDescent="0.3">
      <c r="A43" s="193" t="s">
        <v>572</v>
      </c>
      <c r="D43" s="2"/>
      <c r="E43" s="2"/>
      <c r="F43" s="2">
        <v>1500</v>
      </c>
      <c r="G43" s="2">
        <v>1500</v>
      </c>
      <c r="H43" s="2">
        <v>1500</v>
      </c>
      <c r="I43" s="2">
        <v>1500</v>
      </c>
      <c r="J43" s="2"/>
      <c r="K43" s="2"/>
    </row>
    <row r="44" spans="1:11" s="191" customFormat="1" x14ac:dyDescent="0.25">
      <c r="A44" s="23" t="s">
        <v>1626</v>
      </c>
      <c r="D44" s="2"/>
      <c r="E44" s="2">
        <v>1500</v>
      </c>
      <c r="F44" s="2"/>
      <c r="G44" s="2"/>
      <c r="H44" s="2"/>
      <c r="I44" s="2"/>
      <c r="J44" s="2"/>
      <c r="K44" s="2"/>
    </row>
    <row r="45" spans="1:11" s="191" customFormat="1" x14ac:dyDescent="0.25">
      <c r="A45" s="23"/>
      <c r="D45" s="2"/>
      <c r="E45" s="2"/>
      <c r="F45" s="2"/>
      <c r="G45" s="2"/>
      <c r="H45" s="2"/>
      <c r="I45" s="2"/>
      <c r="J45" s="2"/>
      <c r="K45" s="2"/>
    </row>
    <row r="46" spans="1:11" s="191" customFormat="1" ht="15" x14ac:dyDescent="0.4">
      <c r="A46" s="193" t="s">
        <v>496</v>
      </c>
      <c r="C46" s="192"/>
      <c r="D46" s="192" t="s">
        <v>1766</v>
      </c>
      <c r="E46" s="192" t="s">
        <v>1985</v>
      </c>
      <c r="F46" s="2">
        <v>85</v>
      </c>
      <c r="G46" s="2">
        <v>180</v>
      </c>
      <c r="H46" s="2">
        <v>220</v>
      </c>
      <c r="I46" s="2">
        <v>220</v>
      </c>
      <c r="J46" s="2"/>
      <c r="K46" s="2"/>
    </row>
    <row r="47" spans="1:11" s="191" customFormat="1" x14ac:dyDescent="0.25">
      <c r="A47" s="191" t="s">
        <v>470</v>
      </c>
      <c r="D47" s="2">
        <v>135</v>
      </c>
      <c r="E47" s="2">
        <v>135</v>
      </c>
      <c r="F47" s="2"/>
      <c r="G47" s="2"/>
      <c r="H47" s="2"/>
      <c r="I47" s="2"/>
      <c r="J47" s="2"/>
      <c r="K47" s="2"/>
    </row>
    <row r="48" spans="1:11" s="191" customFormat="1" ht="15" x14ac:dyDescent="0.4">
      <c r="A48" s="191" t="s">
        <v>1528</v>
      </c>
      <c r="D48" s="11">
        <v>85</v>
      </c>
      <c r="E48" s="11">
        <v>85</v>
      </c>
      <c r="F48" s="2"/>
      <c r="G48" s="2"/>
      <c r="H48" s="2"/>
      <c r="I48" s="2"/>
      <c r="J48" s="2"/>
      <c r="K48" s="2"/>
    </row>
    <row r="49" spans="1:11" s="191" customFormat="1" x14ac:dyDescent="0.25">
      <c r="A49" s="191" t="s">
        <v>1182</v>
      </c>
      <c r="D49" s="2">
        <f>SUM(D47:D48)</f>
        <v>220</v>
      </c>
      <c r="E49" s="2">
        <f>SUM(E47:E48)</f>
        <v>220</v>
      </c>
      <c r="F49" s="2"/>
      <c r="G49" s="2"/>
      <c r="H49" s="2"/>
      <c r="I49" s="2"/>
      <c r="J49" s="2"/>
      <c r="K49" s="2"/>
    </row>
    <row r="50" spans="1:11" s="191" customFormat="1" x14ac:dyDescent="0.25">
      <c r="D50" s="2"/>
      <c r="E50" s="2"/>
      <c r="F50" s="2"/>
      <c r="G50" s="2"/>
      <c r="H50" s="2"/>
      <c r="I50" s="2"/>
      <c r="J50" s="2"/>
      <c r="K50" s="2"/>
    </row>
    <row r="51" spans="1:11" s="191" customFormat="1" ht="15" x14ac:dyDescent="0.4">
      <c r="A51" s="193" t="s">
        <v>497</v>
      </c>
      <c r="D51" s="192" t="s">
        <v>1766</v>
      </c>
      <c r="E51" s="192" t="s">
        <v>1985</v>
      </c>
      <c r="F51" s="2">
        <v>0</v>
      </c>
      <c r="G51" s="2">
        <v>17</v>
      </c>
      <c r="H51" s="2">
        <v>17</v>
      </c>
      <c r="I51" s="2">
        <v>17</v>
      </c>
      <c r="J51" s="2"/>
      <c r="K51" s="2"/>
    </row>
    <row r="52" spans="1:11" s="191" customFormat="1" x14ac:dyDescent="0.25">
      <c r="A52" s="191" t="s">
        <v>299</v>
      </c>
      <c r="D52" s="2">
        <v>17</v>
      </c>
      <c r="E52" s="2">
        <v>17</v>
      </c>
      <c r="F52" s="2"/>
      <c r="G52" s="2"/>
      <c r="H52" s="2"/>
      <c r="I52" s="2"/>
      <c r="J52" s="2"/>
      <c r="K52" s="2"/>
    </row>
    <row r="53" spans="1:11" s="191" customFormat="1" x14ac:dyDescent="0.25">
      <c r="D53" s="2"/>
      <c r="E53" s="2"/>
      <c r="F53" s="2"/>
      <c r="G53" s="2"/>
      <c r="H53" s="2"/>
      <c r="I53" s="2"/>
      <c r="J53" s="2"/>
      <c r="K53" s="2"/>
    </row>
    <row r="54" spans="1:11" s="191" customFormat="1" ht="13.8" x14ac:dyDescent="0.3">
      <c r="A54" s="193" t="s">
        <v>1716</v>
      </c>
      <c r="D54" s="2"/>
      <c r="E54" s="2"/>
      <c r="F54" s="2"/>
      <c r="G54" s="2"/>
      <c r="H54" s="2"/>
      <c r="I54" s="2"/>
      <c r="J54" s="2"/>
      <c r="K54" s="2"/>
    </row>
    <row r="55" spans="1:11" s="191" customFormat="1" x14ac:dyDescent="0.25">
      <c r="D55" s="2"/>
      <c r="E55" s="2"/>
      <c r="F55" s="2"/>
      <c r="G55" s="2"/>
      <c r="H55" s="2"/>
      <c r="I55" s="2"/>
      <c r="J55" s="2"/>
      <c r="K55" s="2"/>
    </row>
    <row r="56" spans="1:11" s="191" customFormat="1" ht="15" x14ac:dyDescent="0.4">
      <c r="D56" s="196" t="s">
        <v>1985</v>
      </c>
      <c r="E56" s="197"/>
      <c r="F56" s="2"/>
      <c r="G56" s="2"/>
      <c r="H56" s="2"/>
      <c r="I56" s="2"/>
      <c r="J56" s="2"/>
      <c r="K56" s="2"/>
    </row>
    <row r="57" spans="1:11" s="191" customFormat="1" ht="13.8" x14ac:dyDescent="0.3">
      <c r="A57" s="193" t="s">
        <v>276</v>
      </c>
      <c r="B57" s="117" t="s">
        <v>1715</v>
      </c>
      <c r="C57" s="117" t="s">
        <v>1766</v>
      </c>
      <c r="D57" s="19" t="s">
        <v>246</v>
      </c>
      <c r="E57" s="19" t="s">
        <v>250</v>
      </c>
      <c r="F57" s="2">
        <v>74000</v>
      </c>
      <c r="G57" s="2">
        <v>74000</v>
      </c>
      <c r="H57" s="2">
        <f>+E75</f>
        <v>75000</v>
      </c>
      <c r="I57" s="2">
        <v>75000</v>
      </c>
      <c r="J57" s="2"/>
      <c r="K57" s="2"/>
    </row>
    <row r="58" spans="1:11" s="191" customFormat="1" x14ac:dyDescent="0.25">
      <c r="A58" s="23" t="s">
        <v>2051</v>
      </c>
      <c r="B58" s="117"/>
      <c r="C58" s="21" t="s">
        <v>2052</v>
      </c>
      <c r="D58" s="8">
        <v>1500</v>
      </c>
      <c r="E58" s="8">
        <v>1000</v>
      </c>
      <c r="F58" s="2"/>
      <c r="G58" s="2"/>
      <c r="H58" s="2"/>
      <c r="I58" s="2"/>
      <c r="J58" s="2"/>
      <c r="K58" s="2"/>
    </row>
    <row r="59" spans="1:11" s="191" customFormat="1" x14ac:dyDescent="0.25">
      <c r="A59" s="191" t="s">
        <v>778</v>
      </c>
      <c r="B59" s="2">
        <v>1000</v>
      </c>
      <c r="C59" s="2">
        <v>1000</v>
      </c>
      <c r="D59" s="2">
        <v>1000</v>
      </c>
      <c r="E59" s="2">
        <v>1000</v>
      </c>
      <c r="F59" s="2"/>
      <c r="G59" s="2"/>
      <c r="H59" s="2"/>
      <c r="I59" s="2"/>
      <c r="J59" s="2"/>
      <c r="K59" s="2"/>
    </row>
    <row r="60" spans="1:11" s="191" customFormat="1" x14ac:dyDescent="0.25">
      <c r="A60" s="191" t="s">
        <v>1325</v>
      </c>
      <c r="B60" s="2">
        <v>1000</v>
      </c>
      <c r="C60" s="2">
        <v>1000</v>
      </c>
      <c r="D60" s="2">
        <v>1000</v>
      </c>
      <c r="E60" s="2">
        <v>1000</v>
      </c>
      <c r="F60" s="2"/>
      <c r="G60" s="2"/>
      <c r="H60" s="2"/>
      <c r="I60" s="2"/>
      <c r="J60" s="2"/>
      <c r="K60" s="2"/>
    </row>
    <row r="61" spans="1:11" s="191" customFormat="1" x14ac:dyDescent="0.25">
      <c r="A61" s="191" t="s">
        <v>1273</v>
      </c>
      <c r="B61" s="2">
        <v>5000</v>
      </c>
      <c r="C61" s="2">
        <v>5100</v>
      </c>
      <c r="D61" s="2">
        <v>5500</v>
      </c>
      <c r="E61" s="2">
        <v>5500</v>
      </c>
      <c r="F61" s="2"/>
      <c r="G61" s="2"/>
      <c r="H61" s="2"/>
      <c r="I61" s="2"/>
      <c r="J61" s="2"/>
      <c r="K61" s="2"/>
    </row>
    <row r="62" spans="1:11" s="191" customFormat="1" x14ac:dyDescent="0.25">
      <c r="A62" s="191" t="s">
        <v>977</v>
      </c>
      <c r="B62" s="2">
        <v>3000</v>
      </c>
      <c r="C62" s="2">
        <v>3000</v>
      </c>
      <c r="D62" s="2">
        <v>3000</v>
      </c>
      <c r="E62" s="2">
        <v>3000</v>
      </c>
      <c r="F62" s="2"/>
      <c r="G62" s="2"/>
      <c r="H62" s="2"/>
      <c r="I62" s="2"/>
      <c r="J62" s="2"/>
      <c r="K62" s="2"/>
    </row>
    <row r="63" spans="1:11" s="191" customFormat="1" x14ac:dyDescent="0.25">
      <c r="A63" s="191" t="s">
        <v>2053</v>
      </c>
      <c r="B63" s="2">
        <v>3000</v>
      </c>
      <c r="C63" s="2">
        <v>3100</v>
      </c>
      <c r="D63" s="2">
        <v>3500</v>
      </c>
      <c r="E63" s="2">
        <v>3500</v>
      </c>
      <c r="F63" s="2"/>
      <c r="G63" s="2"/>
      <c r="H63" s="2"/>
      <c r="I63" s="2"/>
      <c r="J63" s="2"/>
      <c r="K63" s="2"/>
    </row>
    <row r="64" spans="1:11" s="191" customFormat="1" x14ac:dyDescent="0.25">
      <c r="A64" s="191" t="s">
        <v>90</v>
      </c>
      <c r="B64" s="2">
        <v>12000</v>
      </c>
      <c r="C64" s="2">
        <v>12350</v>
      </c>
      <c r="D64" s="2">
        <v>66080</v>
      </c>
      <c r="E64" s="2">
        <v>13517</v>
      </c>
      <c r="F64" s="2"/>
      <c r="G64" s="2"/>
      <c r="H64" s="2"/>
      <c r="I64" s="2"/>
      <c r="J64" s="77"/>
      <c r="K64" s="77"/>
    </row>
    <row r="65" spans="1:11" s="191" customFormat="1" x14ac:dyDescent="0.25">
      <c r="A65" s="191" t="s">
        <v>871</v>
      </c>
      <c r="B65" s="2">
        <v>2000</v>
      </c>
      <c r="C65" s="2">
        <v>2000</v>
      </c>
      <c r="D65" s="2">
        <v>10000</v>
      </c>
      <c r="E65" s="2">
        <v>3667</v>
      </c>
      <c r="F65" s="2"/>
      <c r="G65" s="2"/>
      <c r="H65" s="2"/>
      <c r="I65" s="2"/>
      <c r="J65" s="2"/>
      <c r="K65" s="2"/>
    </row>
    <row r="66" spans="1:11" s="191" customFormat="1" x14ac:dyDescent="0.25">
      <c r="A66" s="191" t="s">
        <v>1529</v>
      </c>
      <c r="B66" s="2">
        <v>1000</v>
      </c>
      <c r="C66" s="2">
        <v>0</v>
      </c>
      <c r="D66" s="8" t="s">
        <v>1506</v>
      </c>
      <c r="E66" s="2">
        <v>0</v>
      </c>
      <c r="F66" s="2"/>
      <c r="G66" s="77"/>
      <c r="H66" s="77"/>
      <c r="I66" s="77"/>
      <c r="J66" s="2"/>
      <c r="K66" s="2"/>
    </row>
    <row r="67" spans="1:11" s="191" customFormat="1" x14ac:dyDescent="0.25">
      <c r="A67" s="191" t="s">
        <v>872</v>
      </c>
      <c r="B67" s="2">
        <v>1000</v>
      </c>
      <c r="C67" s="2">
        <v>1000</v>
      </c>
      <c r="D67" s="2">
        <v>1000</v>
      </c>
      <c r="E67" s="2">
        <v>1000</v>
      </c>
      <c r="F67" s="2"/>
      <c r="G67" s="2"/>
      <c r="H67" s="2"/>
      <c r="I67" s="2"/>
      <c r="J67" s="2"/>
      <c r="K67" s="2"/>
    </row>
    <row r="68" spans="1:11" s="191" customFormat="1" x14ac:dyDescent="0.25">
      <c r="A68" s="191" t="s">
        <v>1321</v>
      </c>
      <c r="B68" s="2">
        <v>15000</v>
      </c>
      <c r="C68" s="2">
        <v>15000</v>
      </c>
      <c r="D68" s="2">
        <v>15000</v>
      </c>
      <c r="E68" s="2">
        <v>15000</v>
      </c>
      <c r="F68" s="2"/>
      <c r="G68" s="2"/>
      <c r="H68" s="2"/>
      <c r="I68" s="2"/>
      <c r="J68" s="2"/>
      <c r="K68" s="2"/>
    </row>
    <row r="69" spans="1:11" s="191" customFormat="1" x14ac:dyDescent="0.25">
      <c r="A69" s="191" t="s">
        <v>384</v>
      </c>
      <c r="B69" s="2">
        <v>3000</v>
      </c>
      <c r="C69" s="2">
        <v>3350</v>
      </c>
      <c r="D69" s="2">
        <v>2500</v>
      </c>
      <c r="E69" s="2">
        <v>2500</v>
      </c>
      <c r="F69" s="2"/>
      <c r="G69" s="2"/>
      <c r="H69" s="2"/>
      <c r="I69" s="2"/>
      <c r="J69" s="2"/>
      <c r="K69" s="2"/>
    </row>
    <row r="70" spans="1:11" s="191" customFormat="1" x14ac:dyDescent="0.25">
      <c r="A70" s="191" t="s">
        <v>91</v>
      </c>
      <c r="B70" s="2">
        <v>5000</v>
      </c>
      <c r="C70" s="2">
        <v>5000</v>
      </c>
      <c r="D70" s="2">
        <v>5000</v>
      </c>
      <c r="E70" s="2">
        <v>5000</v>
      </c>
      <c r="F70" s="2"/>
      <c r="G70" s="2"/>
      <c r="H70" s="2"/>
      <c r="I70" s="2"/>
      <c r="J70" s="2"/>
      <c r="K70" s="2"/>
    </row>
    <row r="71" spans="1:11" s="191" customFormat="1" x14ac:dyDescent="0.25">
      <c r="A71" s="191" t="s">
        <v>863</v>
      </c>
      <c r="B71" s="2">
        <v>5000</v>
      </c>
      <c r="C71" s="2">
        <v>5000</v>
      </c>
      <c r="D71" s="2">
        <v>5000</v>
      </c>
      <c r="E71" s="2">
        <v>5000</v>
      </c>
      <c r="F71" s="2"/>
      <c r="G71" s="2"/>
      <c r="H71" s="2"/>
      <c r="I71" s="2"/>
      <c r="J71" s="2"/>
      <c r="K71" s="2"/>
    </row>
    <row r="72" spans="1:11" s="191" customFormat="1" x14ac:dyDescent="0.25">
      <c r="A72" s="191" t="s">
        <v>92</v>
      </c>
      <c r="B72" s="2">
        <v>1000</v>
      </c>
      <c r="C72" s="2">
        <v>1000</v>
      </c>
      <c r="D72" s="2">
        <v>2000</v>
      </c>
      <c r="E72" s="2">
        <v>1300</v>
      </c>
      <c r="F72" s="2"/>
      <c r="G72" s="2"/>
      <c r="H72" s="2"/>
      <c r="I72" s="2"/>
      <c r="J72" s="2"/>
      <c r="K72" s="2"/>
    </row>
    <row r="73" spans="1:11" s="191" customFormat="1" x14ac:dyDescent="0.25">
      <c r="A73" s="191" t="s">
        <v>491</v>
      </c>
      <c r="B73" s="2">
        <v>3000</v>
      </c>
      <c r="C73" s="3">
        <v>3000</v>
      </c>
      <c r="D73" s="2">
        <v>3000</v>
      </c>
      <c r="E73" s="3">
        <v>3000</v>
      </c>
      <c r="F73" s="2"/>
      <c r="G73" s="2"/>
      <c r="H73" s="2"/>
      <c r="I73" s="2"/>
      <c r="J73" s="2"/>
      <c r="K73" s="2"/>
    </row>
    <row r="74" spans="1:11" s="191" customFormat="1" ht="15" x14ac:dyDescent="0.4">
      <c r="A74" s="191" t="s">
        <v>864</v>
      </c>
      <c r="B74" s="11">
        <v>13000</v>
      </c>
      <c r="C74" s="31">
        <v>13100</v>
      </c>
      <c r="D74" s="11">
        <v>10016</v>
      </c>
      <c r="E74" s="31">
        <v>10016</v>
      </c>
      <c r="F74" s="2"/>
      <c r="G74" s="2"/>
      <c r="H74" s="2"/>
      <c r="I74" s="2"/>
      <c r="J74" s="2"/>
      <c r="K74" s="2"/>
    </row>
    <row r="75" spans="1:11" s="191" customFormat="1" x14ac:dyDescent="0.25">
      <c r="A75" s="191" t="s">
        <v>1182</v>
      </c>
      <c r="B75" s="2">
        <f>SUM(B59:B74)</f>
        <v>74000</v>
      </c>
      <c r="C75" s="2">
        <f>SUM(C59:C74)</f>
        <v>74000</v>
      </c>
      <c r="D75" s="2">
        <f>SUM(D58:D74)</f>
        <v>135096</v>
      </c>
      <c r="E75" s="2">
        <f>SUM(E58:E74)</f>
        <v>75000</v>
      </c>
      <c r="F75" s="2"/>
      <c r="G75" s="2"/>
      <c r="H75" s="2"/>
      <c r="I75" s="2"/>
      <c r="J75" s="2"/>
      <c r="K75" s="2"/>
    </row>
    <row r="76" spans="1:11" s="191" customFormat="1" x14ac:dyDescent="0.25">
      <c r="B76" s="2"/>
      <c r="C76" s="2"/>
      <c r="D76" s="2"/>
      <c r="E76" s="2"/>
      <c r="F76" s="2"/>
      <c r="G76" s="2"/>
      <c r="H76" s="2"/>
      <c r="I76" s="2"/>
      <c r="J76" s="2"/>
      <c r="K76" s="2"/>
    </row>
    <row r="77" spans="1:11" s="191" customFormat="1" x14ac:dyDescent="0.25">
      <c r="A77" s="191" t="s">
        <v>901</v>
      </c>
      <c r="B77" s="2"/>
      <c r="C77" s="2"/>
      <c r="D77" s="2"/>
      <c r="E77" s="8"/>
      <c r="F77" s="2">
        <v>18318</v>
      </c>
      <c r="G77" s="2">
        <v>30561</v>
      </c>
      <c r="H77" s="2">
        <v>30000</v>
      </c>
      <c r="I77" s="2">
        <v>30000</v>
      </c>
      <c r="J77" s="2"/>
      <c r="K77" s="2"/>
    </row>
    <row r="78" spans="1:11" s="191" customFormat="1" x14ac:dyDescent="0.25">
      <c r="A78" s="191" t="s">
        <v>902</v>
      </c>
      <c r="B78" s="2"/>
      <c r="C78" s="2"/>
      <c r="D78" s="2"/>
      <c r="E78" s="8"/>
      <c r="F78" s="2">
        <v>730</v>
      </c>
      <c r="G78" s="2">
        <v>2500</v>
      </c>
      <c r="H78" s="2">
        <v>2000</v>
      </c>
      <c r="I78" s="2">
        <v>2000</v>
      </c>
      <c r="J78" s="2"/>
      <c r="K78" s="2"/>
    </row>
    <row r="79" spans="1:11" s="191" customFormat="1" x14ac:dyDescent="0.25">
      <c r="A79" s="191" t="s">
        <v>687</v>
      </c>
      <c r="B79" s="2"/>
      <c r="C79" s="2"/>
      <c r="D79" s="2"/>
      <c r="E79" s="8"/>
      <c r="F79" s="2">
        <v>51</v>
      </c>
      <c r="G79" s="2">
        <v>200</v>
      </c>
      <c r="H79" s="2">
        <v>200</v>
      </c>
      <c r="I79" s="2">
        <v>200</v>
      </c>
      <c r="J79" s="2"/>
      <c r="K79" s="2"/>
    </row>
    <row r="80" spans="1:11" s="191" customFormat="1" x14ac:dyDescent="0.25">
      <c r="A80" s="191" t="s">
        <v>688</v>
      </c>
      <c r="B80" s="2"/>
      <c r="C80" s="2"/>
      <c r="D80" s="2"/>
      <c r="E80" s="8"/>
      <c r="F80" s="2">
        <v>0</v>
      </c>
      <c r="G80" s="2">
        <v>900</v>
      </c>
      <c r="H80" s="2">
        <v>900</v>
      </c>
      <c r="I80" s="2">
        <v>900</v>
      </c>
      <c r="J80" s="2"/>
      <c r="K80" s="2"/>
    </row>
    <row r="81" spans="1:11" s="191" customFormat="1" x14ac:dyDescent="0.25">
      <c r="A81" s="191" t="s">
        <v>903</v>
      </c>
      <c r="B81" s="2"/>
      <c r="C81" s="2"/>
      <c r="D81" s="2"/>
      <c r="E81" s="8"/>
      <c r="F81" s="2">
        <v>5</v>
      </c>
      <c r="G81" s="2">
        <v>70</v>
      </c>
      <c r="H81" s="2">
        <v>50</v>
      </c>
      <c r="I81" s="2">
        <v>50</v>
      </c>
      <c r="J81" s="2"/>
      <c r="K81" s="2"/>
    </row>
    <row r="82" spans="1:11" s="191" customFormat="1" x14ac:dyDescent="0.25">
      <c r="A82" s="191" t="s">
        <v>904</v>
      </c>
      <c r="B82" s="2"/>
      <c r="C82" s="2"/>
      <c r="D82" s="2"/>
      <c r="E82" s="8"/>
      <c r="F82" s="2">
        <v>0</v>
      </c>
      <c r="G82" s="2">
        <v>50</v>
      </c>
      <c r="H82" s="2">
        <v>50</v>
      </c>
      <c r="I82" s="2">
        <v>50</v>
      </c>
      <c r="J82" s="2"/>
      <c r="K82" s="2"/>
    </row>
    <row r="83" spans="1:11" s="191" customFormat="1" x14ac:dyDescent="0.25">
      <c r="A83" s="191" t="s">
        <v>905</v>
      </c>
      <c r="B83" s="2"/>
      <c r="C83" s="2"/>
      <c r="D83" s="2"/>
      <c r="E83" s="8"/>
      <c r="F83" s="2">
        <v>0</v>
      </c>
      <c r="G83" s="2">
        <v>300</v>
      </c>
      <c r="H83" s="2">
        <v>300</v>
      </c>
      <c r="I83" s="2">
        <v>300</v>
      </c>
      <c r="J83" s="2"/>
      <c r="K83" s="2"/>
    </row>
    <row r="84" spans="1:11" s="191" customFormat="1" x14ac:dyDescent="0.25">
      <c r="A84" s="191" t="s">
        <v>906</v>
      </c>
      <c r="B84" s="2"/>
      <c r="C84" s="2"/>
      <c r="D84" s="2"/>
      <c r="E84" s="8"/>
      <c r="F84" s="2">
        <v>0</v>
      </c>
      <c r="G84" s="2">
        <v>1</v>
      </c>
      <c r="H84" s="2">
        <v>1</v>
      </c>
      <c r="I84" s="2">
        <v>1</v>
      </c>
      <c r="J84" s="2"/>
      <c r="K84" s="2"/>
    </row>
    <row r="85" spans="1:11" s="191" customFormat="1" x14ac:dyDescent="0.25">
      <c r="A85" s="191" t="s">
        <v>1236</v>
      </c>
      <c r="B85" s="2"/>
      <c r="C85" s="2"/>
      <c r="D85" s="2"/>
      <c r="E85" s="8"/>
      <c r="F85" s="2">
        <v>0</v>
      </c>
      <c r="G85" s="2">
        <v>500</v>
      </c>
      <c r="H85" s="2">
        <v>500</v>
      </c>
      <c r="I85" s="2">
        <v>500</v>
      </c>
      <c r="J85" s="2"/>
      <c r="K85" s="2"/>
    </row>
    <row r="86" spans="1:11" s="191" customFormat="1" x14ac:dyDescent="0.25">
      <c r="A86" s="191" t="s">
        <v>2185</v>
      </c>
      <c r="B86" s="2"/>
      <c r="C86" s="2"/>
      <c r="D86" s="2"/>
      <c r="E86" s="8"/>
      <c r="F86" s="2">
        <v>12256</v>
      </c>
      <c r="G86" s="2">
        <v>500</v>
      </c>
      <c r="H86" s="2">
        <v>500</v>
      </c>
      <c r="I86" s="2">
        <v>500</v>
      </c>
      <c r="J86" s="2"/>
      <c r="K86" s="2"/>
    </row>
    <row r="87" spans="1:11" s="191" customFormat="1" x14ac:dyDescent="0.25">
      <c r="A87" s="191" t="s">
        <v>696</v>
      </c>
      <c r="B87" s="2"/>
      <c r="C87" s="2"/>
      <c r="D87" s="2"/>
      <c r="E87" s="8"/>
      <c r="F87" s="2">
        <v>0</v>
      </c>
      <c r="G87" s="2">
        <v>1</v>
      </c>
      <c r="H87" s="2">
        <v>1</v>
      </c>
      <c r="I87" s="2">
        <v>1</v>
      </c>
      <c r="J87" s="2"/>
      <c r="K87" s="2"/>
    </row>
    <row r="88" spans="1:11" s="191" customFormat="1" x14ac:dyDescent="0.25">
      <c r="A88" s="191" t="s">
        <v>266</v>
      </c>
      <c r="B88" s="2"/>
      <c r="C88" s="2"/>
      <c r="D88" s="2"/>
      <c r="E88" s="8"/>
      <c r="F88" s="2">
        <v>0</v>
      </c>
      <c r="G88" s="2">
        <v>1</v>
      </c>
      <c r="H88" s="2">
        <v>1</v>
      </c>
      <c r="I88" s="2">
        <v>1</v>
      </c>
      <c r="J88" s="2"/>
      <c r="K88" s="2"/>
    </row>
    <row r="89" spans="1:11" s="191" customFormat="1" x14ac:dyDescent="0.25">
      <c r="A89" s="191" t="s">
        <v>267</v>
      </c>
      <c r="B89" s="2"/>
      <c r="C89" s="2"/>
      <c r="D89" s="2"/>
      <c r="E89" s="8"/>
      <c r="F89" s="2">
        <v>1000</v>
      </c>
      <c r="G89" s="2">
        <v>1000</v>
      </c>
      <c r="H89" s="2">
        <v>1000</v>
      </c>
      <c r="I89" s="2">
        <v>1000</v>
      </c>
      <c r="J89" s="2"/>
      <c r="K89" s="2"/>
    </row>
    <row r="90" spans="1:11" s="191" customFormat="1" x14ac:dyDescent="0.25">
      <c r="A90" s="191" t="s">
        <v>966</v>
      </c>
      <c r="B90" s="2"/>
      <c r="C90" s="2"/>
      <c r="D90" s="2"/>
      <c r="E90" s="8"/>
      <c r="F90" s="2">
        <v>0</v>
      </c>
      <c r="G90" s="2">
        <v>1000</v>
      </c>
      <c r="H90" s="2">
        <v>1000</v>
      </c>
      <c r="I90" s="2">
        <v>1000</v>
      </c>
      <c r="J90" s="2"/>
      <c r="K90" s="2"/>
    </row>
    <row r="91" spans="1:11" s="191" customFormat="1" ht="15" x14ac:dyDescent="0.4">
      <c r="A91" s="191" t="s">
        <v>1372</v>
      </c>
      <c r="B91" s="2"/>
      <c r="C91" s="2"/>
      <c r="D91" s="2"/>
      <c r="E91" s="8"/>
      <c r="F91" s="2">
        <v>1045</v>
      </c>
      <c r="G91" s="2">
        <v>1</v>
      </c>
      <c r="H91" s="2">
        <v>1</v>
      </c>
      <c r="I91" s="2">
        <v>1</v>
      </c>
      <c r="J91" s="11"/>
      <c r="K91" s="11"/>
    </row>
    <row r="92" spans="1:11" s="191" customFormat="1" ht="15" x14ac:dyDescent="0.4">
      <c r="A92" s="191" t="s">
        <v>647</v>
      </c>
      <c r="B92" s="11"/>
      <c r="C92" s="11"/>
      <c r="D92" s="11"/>
      <c r="E92" s="9"/>
      <c r="F92" s="11">
        <v>0</v>
      </c>
      <c r="G92" s="11">
        <v>1</v>
      </c>
      <c r="H92" s="11">
        <v>1</v>
      </c>
      <c r="I92" s="11">
        <v>1</v>
      </c>
      <c r="J92" s="2"/>
      <c r="K92" s="2"/>
    </row>
    <row r="93" spans="1:11" s="191" customFormat="1" x14ac:dyDescent="0.25">
      <c r="A93" s="191" t="s">
        <v>386</v>
      </c>
      <c r="B93" s="2"/>
      <c r="C93" s="8"/>
      <c r="D93" s="8"/>
      <c r="E93" s="2"/>
      <c r="F93" s="2"/>
      <c r="G93" s="2"/>
      <c r="H93" s="2">
        <f>SUM(H77:H92)</f>
        <v>36505</v>
      </c>
      <c r="I93" s="2">
        <f>SUM(I77:I92)</f>
        <v>36505</v>
      </c>
      <c r="J93" s="2">
        <f>SUM(J6:J91)</f>
        <v>0</v>
      </c>
      <c r="K93" s="2">
        <f>SUM(K6:K91)</f>
        <v>0</v>
      </c>
    </row>
    <row r="94" spans="1:11" s="191" customFormat="1" x14ac:dyDescent="0.25">
      <c r="A94" s="191" t="s">
        <v>1267</v>
      </c>
      <c r="E94" s="2"/>
      <c r="F94" s="2">
        <f t="shared" ref="F94:K94" si="0">SUM(F6:F92)</f>
        <v>151914</v>
      </c>
      <c r="G94" s="2">
        <f t="shared" si="0"/>
        <v>157378</v>
      </c>
      <c r="H94" s="2">
        <f t="shared" si="0"/>
        <v>157623</v>
      </c>
      <c r="I94" s="2">
        <f t="shared" si="0"/>
        <v>157623</v>
      </c>
      <c r="J94" s="2">
        <f t="shared" si="0"/>
        <v>0</v>
      </c>
      <c r="K94" s="2">
        <f t="shared" si="0"/>
        <v>0</v>
      </c>
    </row>
    <row r="95" spans="1:11" s="191" customFormat="1" x14ac:dyDescent="0.25"/>
    <row r="96" spans="1:11" s="191" customFormat="1" x14ac:dyDescent="0.25">
      <c r="A96" s="191" t="s">
        <v>917</v>
      </c>
      <c r="F96" s="2">
        <f t="shared" ref="F96:K96" si="1">SUM(F6:F17)</f>
        <v>40778</v>
      </c>
      <c r="G96" s="2">
        <f t="shared" si="1"/>
        <v>41501</v>
      </c>
      <c r="H96" s="2">
        <f t="shared" si="1"/>
        <v>41937</v>
      </c>
      <c r="I96" s="2">
        <f t="shared" si="1"/>
        <v>41937</v>
      </c>
      <c r="J96" s="2">
        <f t="shared" si="1"/>
        <v>0</v>
      </c>
      <c r="K96" s="2">
        <f t="shared" si="1"/>
        <v>0</v>
      </c>
    </row>
    <row r="97" spans="1:11" s="191" customFormat="1" x14ac:dyDescent="0.25">
      <c r="A97" s="191" t="s">
        <v>895</v>
      </c>
      <c r="F97" s="2">
        <f t="shared" ref="F97:K97" si="2">SUM(F57:F92)+SUM(F19:F53)</f>
        <v>111136</v>
      </c>
      <c r="G97" s="2">
        <f t="shared" si="2"/>
        <v>115877</v>
      </c>
      <c r="H97" s="2">
        <f t="shared" si="2"/>
        <v>115686</v>
      </c>
      <c r="I97" s="2">
        <f t="shared" si="2"/>
        <v>115686</v>
      </c>
      <c r="J97" s="2">
        <f t="shared" si="2"/>
        <v>0</v>
      </c>
      <c r="K97" s="2">
        <f t="shared" si="2"/>
        <v>0</v>
      </c>
    </row>
    <row r="98" spans="1:11" s="191" customFormat="1" x14ac:dyDescent="0.25">
      <c r="A98" s="191" t="s">
        <v>896</v>
      </c>
      <c r="F98" s="18">
        <f t="shared" ref="F98:K98" si="3">+F54</f>
        <v>0</v>
      </c>
      <c r="G98" s="18">
        <f t="shared" si="3"/>
        <v>0</v>
      </c>
      <c r="H98" s="18">
        <f t="shared" si="3"/>
        <v>0</v>
      </c>
      <c r="I98" s="18">
        <f t="shared" si="3"/>
        <v>0</v>
      </c>
      <c r="J98" s="18">
        <f t="shared" si="3"/>
        <v>0</v>
      </c>
      <c r="K98" s="18">
        <f t="shared" si="3"/>
        <v>0</v>
      </c>
    </row>
    <row r="99" spans="1:11" s="191" customFormat="1" x14ac:dyDescent="0.25">
      <c r="A99" s="191" t="s">
        <v>1182</v>
      </c>
      <c r="F99" s="2">
        <f t="shared" ref="F99:K99" si="4">SUM(F96:F98)</f>
        <v>151914</v>
      </c>
      <c r="G99" s="2">
        <f t="shared" si="4"/>
        <v>157378</v>
      </c>
      <c r="H99" s="2">
        <f t="shared" si="4"/>
        <v>157623</v>
      </c>
      <c r="I99" s="2">
        <f t="shared" si="4"/>
        <v>157623</v>
      </c>
      <c r="J99" s="2">
        <f t="shared" si="4"/>
        <v>0</v>
      </c>
      <c r="K99" s="2">
        <f t="shared" si="4"/>
        <v>0</v>
      </c>
    </row>
    <row r="100" spans="1:11" s="191" customFormat="1" x14ac:dyDescent="0.25"/>
    <row r="101" spans="1:11" s="191" customFormat="1" x14ac:dyDescent="0.25"/>
    <row r="102" spans="1:11" s="191" customFormat="1" x14ac:dyDescent="0.25"/>
    <row r="103" spans="1:11" s="191" customFormat="1" x14ac:dyDescent="0.25">
      <c r="F103" s="2"/>
    </row>
    <row r="104" spans="1:11" s="191" customFormat="1" x14ac:dyDescent="0.25"/>
    <row r="105" spans="1:11" s="191" customFormat="1" x14ac:dyDescent="0.25"/>
    <row r="106" spans="1:11" s="191" customFormat="1" x14ac:dyDescent="0.25"/>
    <row r="107" spans="1:11" s="191" customFormat="1" x14ac:dyDescent="0.25"/>
    <row r="108" spans="1:11" s="191" customFormat="1" x14ac:dyDescent="0.25"/>
    <row r="109" spans="1:11" s="191" customFormat="1" x14ac:dyDescent="0.25"/>
    <row r="110" spans="1:11" s="191" customFormat="1" x14ac:dyDescent="0.25"/>
    <row r="111" spans="1:11" s="191" customFormat="1" x14ac:dyDescent="0.25"/>
    <row r="112" spans="1:11" s="191" customFormat="1" x14ac:dyDescent="0.25"/>
    <row r="113" s="191" customFormat="1" x14ac:dyDescent="0.25"/>
    <row r="114" s="191" customFormat="1" x14ac:dyDescent="0.25"/>
    <row r="115" s="191" customFormat="1" x14ac:dyDescent="0.25"/>
    <row r="116" s="191" customFormat="1" x14ac:dyDescent="0.25"/>
    <row r="117" s="191" customFormat="1" x14ac:dyDescent="0.25"/>
    <row r="118" s="191" customFormat="1" x14ac:dyDescent="0.25"/>
    <row r="119" s="191" customFormat="1" x14ac:dyDescent="0.25"/>
    <row r="120" s="191" customFormat="1" x14ac:dyDescent="0.25"/>
    <row r="121" s="191" customFormat="1" x14ac:dyDescent="0.25"/>
    <row r="122" s="191" customFormat="1" x14ac:dyDescent="0.25"/>
    <row r="123" s="191" customFormat="1" x14ac:dyDescent="0.25"/>
    <row r="124" s="191" customFormat="1" x14ac:dyDescent="0.25"/>
    <row r="125" s="191" customFormat="1" x14ac:dyDescent="0.25"/>
    <row r="126" s="191" customFormat="1" x14ac:dyDescent="0.25"/>
    <row r="127" s="191" customFormat="1" x14ac:dyDescent="0.25"/>
    <row r="128" s="191" customFormat="1" x14ac:dyDescent="0.25"/>
    <row r="129" s="191" customFormat="1" x14ac:dyDescent="0.25"/>
    <row r="130" s="191" customFormat="1" x14ac:dyDescent="0.25"/>
    <row r="131" s="191" customFormat="1" x14ac:dyDescent="0.25"/>
    <row r="132" s="191" customFormat="1" x14ac:dyDescent="0.25"/>
    <row r="133" s="191" customFormat="1" x14ac:dyDescent="0.25"/>
    <row r="134" s="191" customFormat="1" x14ac:dyDescent="0.25"/>
    <row r="135" s="191" customFormat="1" x14ac:dyDescent="0.25"/>
    <row r="136" s="191" customFormat="1" x14ac:dyDescent="0.25"/>
    <row r="137" s="191" customFormat="1" x14ac:dyDescent="0.25"/>
    <row r="138" s="191" customFormat="1" x14ac:dyDescent="0.25"/>
    <row r="139" s="191" customFormat="1" x14ac:dyDescent="0.25"/>
    <row r="140" s="191" customFormat="1" x14ac:dyDescent="0.25"/>
    <row r="141" s="191" customFormat="1" x14ac:dyDescent="0.25"/>
    <row r="142" s="191" customFormat="1" x14ac:dyDescent="0.25"/>
    <row r="143" s="191" customFormat="1" x14ac:dyDescent="0.25"/>
    <row r="144" s="191" customFormat="1" x14ac:dyDescent="0.25"/>
    <row r="145" s="191" customFormat="1" x14ac:dyDescent="0.25"/>
    <row r="146" s="191" customFormat="1" x14ac:dyDescent="0.25"/>
    <row r="147" s="191" customFormat="1" x14ac:dyDescent="0.25"/>
  </sheetData>
  <mergeCells count="2">
    <mergeCell ref="D56:E56"/>
    <mergeCell ref="A1:J1"/>
  </mergeCells>
  <phoneticPr fontId="0" type="noConversion"/>
  <printOptions gridLines="1"/>
  <pageMargins left="0.75" right="0.16" top="0.51" bottom="0.16" header="0.5" footer="0.5"/>
  <pageSetup scale="81" fitToHeight="3" orientation="landscape" r:id="rId1"/>
  <headerFooter alignWithMargins="0"/>
  <rowBreaks count="1" manualBreakCount="1">
    <brk id="55"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70"/>
  <sheetViews>
    <sheetView zoomScaleNormal="100" zoomScaleSheetLayoutView="100" workbookViewId="0">
      <selection sqref="A1:G1"/>
    </sheetView>
  </sheetViews>
  <sheetFormatPr defaultColWidth="8.88671875" defaultRowHeight="13.2" x14ac:dyDescent="0.25"/>
  <cols>
    <col min="1" max="1" width="53.88671875" style="7" bestFit="1" customWidth="1"/>
    <col min="2" max="3" width="11.33203125" style="7" bestFit="1" customWidth="1"/>
    <col min="4" max="4" width="11.6640625" style="7" bestFit="1" customWidth="1"/>
    <col min="5" max="7" width="11.33203125" style="7" bestFit="1" customWidth="1"/>
    <col min="8" max="8" width="0" style="7" hidden="1" customWidth="1"/>
    <col min="9" max="11" width="9.44140625" style="7" bestFit="1" customWidth="1"/>
    <col min="12" max="12" width="11.21875" style="7" bestFit="1" customWidth="1"/>
    <col min="13" max="13" width="3" style="7" customWidth="1"/>
    <col min="14" max="16384" width="8.88671875" style="7"/>
  </cols>
  <sheetData>
    <row r="1" spans="1:10" x14ac:dyDescent="0.25">
      <c r="A1" s="194" t="e">
        <f>#REF!</f>
        <v>#REF!</v>
      </c>
      <c r="B1" s="194"/>
      <c r="C1" s="194"/>
      <c r="D1" s="194"/>
      <c r="E1" s="194"/>
      <c r="F1" s="194"/>
      <c r="G1" s="194"/>
      <c r="H1" s="6"/>
      <c r="I1" s="6"/>
      <c r="J1" s="6"/>
    </row>
    <row r="2" spans="1:10" ht="17.399999999999999" x14ac:dyDescent="0.3">
      <c r="A2" s="153" t="s">
        <v>1964</v>
      </c>
      <c r="B2" s="153"/>
      <c r="C2" s="153"/>
      <c r="D2" s="153"/>
      <c r="E2" s="153"/>
      <c r="F2" s="153"/>
      <c r="G2" s="153"/>
    </row>
    <row r="3" spans="1:10" x14ac:dyDescent="0.25">
      <c r="B3" s="2"/>
      <c r="C3" s="2"/>
    </row>
    <row r="4" spans="1:10" x14ac:dyDescent="0.25">
      <c r="B4" s="167" t="s">
        <v>232</v>
      </c>
      <c r="C4" s="167" t="s">
        <v>233</v>
      </c>
      <c r="D4" s="167" t="s">
        <v>69</v>
      </c>
      <c r="E4" s="167" t="s">
        <v>399</v>
      </c>
      <c r="F4" s="16" t="s">
        <v>303</v>
      </c>
      <c r="G4" s="16" t="s">
        <v>336</v>
      </c>
    </row>
    <row r="5" spans="1:10" ht="15" x14ac:dyDescent="0.4">
      <c r="B5" s="164" t="s">
        <v>1715</v>
      </c>
      <c r="C5" s="164" t="s">
        <v>1766</v>
      </c>
      <c r="D5" s="164" t="s">
        <v>1985</v>
      </c>
      <c r="E5" s="164" t="s">
        <v>1985</v>
      </c>
      <c r="F5" s="164" t="s">
        <v>1985</v>
      </c>
      <c r="G5" s="164" t="s">
        <v>1985</v>
      </c>
    </row>
    <row r="6" spans="1:10" ht="13.8" x14ac:dyDescent="0.3">
      <c r="A6" s="10" t="s">
        <v>268</v>
      </c>
      <c r="B6" s="2">
        <v>0</v>
      </c>
      <c r="C6" s="2">
        <v>1</v>
      </c>
      <c r="D6" s="2">
        <v>1</v>
      </c>
      <c r="E6" s="2">
        <v>1</v>
      </c>
      <c r="F6" s="2"/>
      <c r="G6" s="2"/>
      <c r="I6" s="2"/>
    </row>
    <row r="7" spans="1:10" x14ac:dyDescent="0.25">
      <c r="A7" s="7" t="s">
        <v>263</v>
      </c>
      <c r="B7" s="2"/>
      <c r="C7" s="2"/>
      <c r="D7" s="2"/>
      <c r="E7" s="2"/>
      <c r="F7" s="2"/>
      <c r="G7" s="2"/>
      <c r="I7" s="2"/>
    </row>
    <row r="8" spans="1:10" x14ac:dyDescent="0.25">
      <c r="A8" s="7" t="s">
        <v>264</v>
      </c>
      <c r="B8" s="2"/>
      <c r="C8" s="2"/>
      <c r="D8" s="2"/>
      <c r="E8" s="2"/>
      <c r="F8" s="2"/>
      <c r="G8" s="2"/>
      <c r="I8" s="2"/>
    </row>
    <row r="9" spans="1:10" x14ac:dyDescent="0.25">
      <c r="B9" s="2"/>
      <c r="C9" s="2"/>
      <c r="D9" s="2"/>
      <c r="E9" s="2"/>
      <c r="F9" s="2"/>
      <c r="G9" s="2"/>
      <c r="I9" s="2"/>
    </row>
    <row r="10" spans="1:10" ht="13.8" x14ac:dyDescent="0.3">
      <c r="A10" s="10" t="s">
        <v>1054</v>
      </c>
      <c r="B10" s="2">
        <v>7941</v>
      </c>
      <c r="C10" s="2">
        <v>0</v>
      </c>
      <c r="D10" s="2">
        <v>0</v>
      </c>
      <c r="E10" s="2">
        <v>0</v>
      </c>
      <c r="F10" s="2"/>
      <c r="G10" s="2"/>
      <c r="I10" s="2"/>
    </row>
    <row r="11" spans="1:10" x14ac:dyDescent="0.25">
      <c r="A11" s="7" t="s">
        <v>755</v>
      </c>
      <c r="B11" s="2"/>
      <c r="C11" s="2"/>
      <c r="D11" s="2"/>
      <c r="E11" s="2"/>
      <c r="F11" s="2"/>
      <c r="G11" s="2"/>
      <c r="I11" s="2"/>
    </row>
    <row r="12" spans="1:10" x14ac:dyDescent="0.25">
      <c r="B12" s="2"/>
      <c r="C12" s="2"/>
      <c r="D12" s="2"/>
      <c r="E12" s="2"/>
      <c r="F12" s="2"/>
      <c r="G12" s="2"/>
      <c r="I12" s="2"/>
    </row>
    <row r="13" spans="1:10" ht="13.8" x14ac:dyDescent="0.3">
      <c r="A13" s="10" t="s">
        <v>639</v>
      </c>
      <c r="B13" s="2">
        <v>270000</v>
      </c>
      <c r="C13" s="2">
        <v>270000</v>
      </c>
      <c r="D13" s="2">
        <v>0</v>
      </c>
      <c r="E13" s="2">
        <v>0</v>
      </c>
      <c r="F13" s="2"/>
      <c r="G13" s="2"/>
      <c r="I13" s="2"/>
    </row>
    <row r="14" spans="1:10" x14ac:dyDescent="0.25">
      <c r="A14" s="7" t="s">
        <v>755</v>
      </c>
      <c r="B14" s="2"/>
      <c r="C14" s="2"/>
      <c r="D14" s="2"/>
      <c r="E14" s="2"/>
      <c r="F14" s="2"/>
      <c r="G14" s="2"/>
      <c r="I14" s="2"/>
    </row>
    <row r="15" spans="1:10" x14ac:dyDescent="0.25">
      <c r="B15" s="2"/>
      <c r="C15" s="2"/>
      <c r="D15" s="2"/>
      <c r="E15" s="2"/>
      <c r="F15" s="2"/>
      <c r="G15" s="2"/>
      <c r="I15" s="2"/>
    </row>
    <row r="16" spans="1:10" s="169" customFormat="1" ht="13.8" x14ac:dyDescent="0.3">
      <c r="A16" s="170" t="s">
        <v>1292</v>
      </c>
      <c r="B16" s="2">
        <v>42525</v>
      </c>
      <c r="C16" s="2">
        <v>33365</v>
      </c>
      <c r="D16" s="2">
        <v>27525</v>
      </c>
      <c r="E16" s="2">
        <v>27525</v>
      </c>
      <c r="F16" s="2"/>
      <c r="G16" s="2"/>
      <c r="I16" s="2"/>
    </row>
    <row r="17" spans="1:9" s="169" customFormat="1" x14ac:dyDescent="0.25">
      <c r="A17" s="169" t="s">
        <v>36</v>
      </c>
      <c r="B17" s="2"/>
      <c r="C17" s="2"/>
      <c r="D17" s="2"/>
      <c r="E17" s="2"/>
      <c r="F17" s="2"/>
      <c r="G17" s="2"/>
      <c r="I17" s="2"/>
    </row>
    <row r="18" spans="1:9" s="169" customFormat="1" x14ac:dyDescent="0.25">
      <c r="B18" s="2"/>
      <c r="C18" s="2"/>
      <c r="D18" s="2"/>
      <c r="E18" s="2"/>
      <c r="F18" s="2"/>
      <c r="G18" s="2"/>
      <c r="I18" s="2"/>
    </row>
    <row r="19" spans="1:9" s="169" customFormat="1" ht="13.8" x14ac:dyDescent="0.3">
      <c r="A19" s="170" t="s">
        <v>1293</v>
      </c>
      <c r="B19" s="2">
        <v>115000</v>
      </c>
      <c r="C19" s="2">
        <v>120000</v>
      </c>
      <c r="D19" s="2">
        <v>125000</v>
      </c>
      <c r="E19" s="2">
        <v>125000</v>
      </c>
      <c r="F19" s="2"/>
      <c r="G19" s="2"/>
      <c r="I19" s="2"/>
    </row>
    <row r="20" spans="1:9" s="169" customFormat="1" x14ac:dyDescent="0.25">
      <c r="A20" s="169" t="s">
        <v>36</v>
      </c>
      <c r="B20" s="2"/>
      <c r="C20" s="2"/>
      <c r="D20" s="2"/>
      <c r="E20" s="2"/>
      <c r="F20" s="2"/>
      <c r="G20" s="2"/>
      <c r="I20" s="2"/>
    </row>
    <row r="21" spans="1:9" s="169" customFormat="1" x14ac:dyDescent="0.25">
      <c r="B21" s="2"/>
      <c r="C21" s="2"/>
      <c r="D21" s="2"/>
      <c r="E21" s="2"/>
      <c r="F21" s="2"/>
      <c r="G21" s="2"/>
      <c r="I21" s="2"/>
    </row>
    <row r="22" spans="1:9" ht="13.8" x14ac:dyDescent="0.3">
      <c r="A22" s="10" t="s">
        <v>2002</v>
      </c>
      <c r="B22" s="2"/>
      <c r="C22" s="2"/>
      <c r="D22" s="2">
        <v>116485</v>
      </c>
      <c r="E22" s="2">
        <v>116485</v>
      </c>
      <c r="F22" s="2"/>
      <c r="G22" s="2"/>
      <c r="I22" s="2"/>
    </row>
    <row r="23" spans="1:9" x14ac:dyDescent="0.25">
      <c r="A23" s="169" t="s">
        <v>2004</v>
      </c>
      <c r="B23" s="2"/>
      <c r="C23" s="2"/>
      <c r="F23" s="2"/>
      <c r="G23" s="2"/>
      <c r="I23" s="2"/>
    </row>
    <row r="24" spans="1:9" x14ac:dyDescent="0.25">
      <c r="B24" s="2"/>
      <c r="C24" s="2"/>
      <c r="D24" s="2"/>
      <c r="E24" s="2"/>
      <c r="F24" s="2"/>
      <c r="G24" s="2"/>
      <c r="I24" s="2"/>
    </row>
    <row r="25" spans="1:9" ht="13.8" x14ac:dyDescent="0.3">
      <c r="A25" s="10" t="s">
        <v>2003</v>
      </c>
      <c r="B25" s="18">
        <v>0</v>
      </c>
      <c r="C25" s="18">
        <v>0</v>
      </c>
      <c r="D25" s="18">
        <v>165000</v>
      </c>
      <c r="E25" s="18">
        <v>165000</v>
      </c>
      <c r="F25" s="18"/>
      <c r="G25" s="18"/>
      <c r="I25" s="2"/>
    </row>
    <row r="26" spans="1:9" x14ac:dyDescent="0.25">
      <c r="A26" s="7" t="s">
        <v>2004</v>
      </c>
      <c r="C26" s="163"/>
      <c r="E26" s="178"/>
      <c r="F26" s="160"/>
      <c r="G26" s="161"/>
    </row>
    <row r="27" spans="1:9" x14ac:dyDescent="0.25">
      <c r="A27" s="60"/>
      <c r="B27" s="60"/>
      <c r="C27" s="60"/>
      <c r="D27" s="60"/>
      <c r="E27" s="60"/>
      <c r="F27" s="60"/>
      <c r="G27" s="60"/>
    </row>
    <row r="28" spans="1:9" x14ac:dyDescent="0.25">
      <c r="A28" s="7" t="s">
        <v>1290</v>
      </c>
      <c r="B28" s="2">
        <f>SUM(B6:B25)</f>
        <v>435466</v>
      </c>
      <c r="C28" s="2">
        <f>SUM(C6:C25)</f>
        <v>423366</v>
      </c>
      <c r="D28" s="2">
        <f>SUM(D6:D25)</f>
        <v>434011</v>
      </c>
      <c r="E28" s="2">
        <f>SUM(E6:E25)</f>
        <v>434011</v>
      </c>
      <c r="F28" s="2"/>
      <c r="G28" s="2"/>
    </row>
    <row r="29" spans="1:9" x14ac:dyDescent="0.25">
      <c r="B29" s="2"/>
      <c r="C29" s="2"/>
      <c r="D29" s="2"/>
      <c r="E29" s="2"/>
      <c r="F29" s="2"/>
      <c r="G29" s="2"/>
    </row>
    <row r="30" spans="1:9" x14ac:dyDescent="0.25">
      <c r="B30" s="2"/>
      <c r="C30" s="2"/>
      <c r="D30" s="2"/>
      <c r="E30" s="2"/>
      <c r="F30" s="2"/>
      <c r="G30" s="2"/>
    </row>
    <row r="31" spans="1:9" x14ac:dyDescent="0.25">
      <c r="A31" s="7" t="s">
        <v>1947</v>
      </c>
      <c r="B31" s="2">
        <f>+'25-welfare'!F94+'24-tax coll'!E118+'21-comm dev'!E160+'17-bldg &amp; grounds'!E135+'16-equip mntc'!E125+'15-library'!E249+'13-parks &amp; rec'!E258+'09-solid waste'!E218+'08-highway'!E354+'07-pub works'!E120+'06-code enforcement'!E165+'05-comm'!E138+'04-police'!E293+'03-fire'!E449+'02-assessing'!E117+'01-gen gov'!E273+B28+'15-library'!E250</f>
        <v>25918912.609999999</v>
      </c>
      <c r="C31" s="2">
        <f>+'25-welfare'!G94+'24-tax coll'!F118+'21-comm dev'!F160+'17-bldg &amp; grounds'!F135+'16-equip mntc'!F125+'15-library'!F249+'13-parks &amp; rec'!F258+'09-solid waste'!F218+'08-highway'!F354+'07-pub works'!F120+'06-code enforcement'!F165+'05-comm'!F138+'04-police'!F293+'03-fire'!F449+'02-assessing'!F117+'01-gen gov'!F273+C28+'15-library'!F250</f>
        <v>28875643.199999999</v>
      </c>
      <c r="D31" s="2">
        <f>+'25-welfare'!H94+'24-tax coll'!G118+'21-comm dev'!G160+'17-bldg &amp; grounds'!G135+'16-equip mntc'!G125+'15-library'!G249+'13-parks &amp; rec'!G258+'09-solid waste'!G218+'08-highway'!G354+'07-pub works'!G120+'06-code enforcement'!G165+'05-comm'!G138+'04-police'!G293+'03-fire'!G449+'02-assessing'!G117+'01-gen gov'!G273+D28+'15-library'!G250</f>
        <v>29422042.270307828</v>
      </c>
      <c r="E31" s="2">
        <f>+'25-welfare'!I94+'24-tax coll'!H118+'21-comm dev'!H160+'17-bldg &amp; grounds'!H135+'16-equip mntc'!H125+'15-library'!H249+'13-parks &amp; rec'!H258+'09-solid waste'!H218+'08-highway'!H354+'07-pub works'!H120+'06-code enforcement'!H165+'05-comm'!H138+'04-police'!H293+'03-fire'!H449+'02-assessing'!H117+'01-gen gov'!H273+E28+'15-library'!H250</f>
        <v>28645767</v>
      </c>
      <c r="F31" s="2"/>
      <c r="G31" s="2"/>
    </row>
    <row r="32" spans="1:9" x14ac:dyDescent="0.25">
      <c r="B32" s="2"/>
      <c r="C32" s="2"/>
      <c r="D32" s="2"/>
      <c r="E32" s="2"/>
      <c r="F32" s="2"/>
      <c r="G32" s="2"/>
    </row>
    <row r="33" spans="1:14" x14ac:dyDescent="0.25">
      <c r="A33" s="7" t="s">
        <v>571</v>
      </c>
      <c r="B33" s="2">
        <f>+'25-welfare'!F96+'24-tax coll'!E120+'21-comm dev'!E164+'17-bldg &amp; grounds'!E137+'16-equip mntc'!E128+'15-library'!E252+'13-parks &amp; rec'!E260+'09-solid waste'!E221+'08-highway'!E356+'07-pub works'!E122+'06-code enforcement'!E167+'05-comm'!E140+'04-police'!E295+'03-fire'!E451+'02-assessing'!E119+'01-gen gov'!E275</f>
        <v>16705894</v>
      </c>
      <c r="C33" s="2">
        <f>+'25-welfare'!G96+'24-tax coll'!F120+'21-comm dev'!F164+'17-bldg &amp; grounds'!F137+'16-equip mntc'!F128+'15-library'!F252+'13-parks &amp; rec'!F260+'09-solid waste'!F221+'08-highway'!F356+'07-pub works'!F122+'06-code enforcement'!F167+'05-comm'!F140+'04-police'!F295+'03-fire'!F451+'02-assessing'!F119+'01-gen gov'!F275</f>
        <v>18386178</v>
      </c>
      <c r="D33" s="2">
        <f>+'25-welfare'!H96+'24-tax coll'!G120+'21-comm dev'!G164+'17-bldg &amp; grounds'!G137+'16-equip mntc'!G128+'15-library'!G252+'13-parks &amp; rec'!G260+'09-solid waste'!G221+'08-highway'!G356+'07-pub works'!G122+'06-code enforcement'!G167+'05-comm'!G140+'04-police'!G295+'03-fire'!G451+'02-assessing'!G119+'01-gen gov'!G275</f>
        <v>19665015.270307828</v>
      </c>
      <c r="E33" s="2">
        <f>+'25-welfare'!I96+'24-tax coll'!H120+'21-comm dev'!H164+'17-bldg &amp; grounds'!H137+'16-equip mntc'!H128+'15-library'!H252+'13-parks &amp; rec'!H260+'09-solid waste'!H221+'08-highway'!H356+'07-pub works'!H122+'06-code enforcement'!H167+'05-comm'!H140+'04-police'!H295+'03-fire'!H451+'02-assessing'!H119+'01-gen gov'!H275</f>
        <v>19399949</v>
      </c>
      <c r="F33" s="2"/>
      <c r="G33" s="2"/>
    </row>
    <row r="34" spans="1:14" x14ac:dyDescent="0.25">
      <c r="A34" s="7" t="s">
        <v>895</v>
      </c>
      <c r="B34" s="2">
        <f>+'25-welfare'!F97+'24-tax coll'!E121+'21-comm dev'!E165+'17-bldg &amp; grounds'!E138+'16-equip mntc'!E129+'15-library'!E253+'13-parks &amp; rec'!E261+'09-solid waste'!E222+'08-highway'!E357+'07-pub works'!E123+'06-code enforcement'!E168+'05-comm'!E141+'04-police'!E296+'03-fire'!E452+'02-assessing'!E120+'01-gen gov'!E276</f>
        <v>3927130.61</v>
      </c>
      <c r="C34" s="2">
        <f>+'25-welfare'!G97+'24-tax coll'!F121+'21-comm dev'!F165+'17-bldg &amp; grounds'!F138+'16-equip mntc'!F129+'15-library'!F253+'13-parks &amp; rec'!F261+'09-solid waste'!F222+'08-highway'!F357+'07-pub works'!F123+'06-code enforcement'!F168+'05-comm'!F141+'04-police'!F296+'03-fire'!F452+'02-assessing'!F120+'01-gen gov'!F276</f>
        <v>3983553.2</v>
      </c>
      <c r="D34" s="2">
        <f>+'25-welfare'!H97+'24-tax coll'!G121+'21-comm dev'!G165+'17-bldg &amp; grounds'!G138+'16-equip mntc'!G129+'15-library'!G253+'13-parks &amp; rec'!G261+'09-solid waste'!G222+'08-highway'!G357+'07-pub works'!G123+'06-code enforcement'!G168+'05-comm'!G141+'04-police'!G296+'03-fire'!G452+'02-assessing'!G120+'01-gen gov'!G276</f>
        <v>4189234</v>
      </c>
      <c r="E34" s="2">
        <f>+'25-welfare'!I97+'24-tax coll'!H121+'21-comm dev'!H165+'17-bldg &amp; grounds'!H138+'16-equip mntc'!H129+'15-library'!H253+'13-parks &amp; rec'!H261+'09-solid waste'!H222+'08-highway'!H357+'07-pub works'!H123+'06-code enforcement'!H168+'05-comm'!H141+'04-police'!H296+'03-fire'!H452+'02-assessing'!H120+'01-gen gov'!H276</f>
        <v>4152225</v>
      </c>
      <c r="F34" s="2"/>
      <c r="G34" s="2"/>
    </row>
    <row r="35" spans="1:14" x14ac:dyDescent="0.25">
      <c r="A35" s="7" t="s">
        <v>896</v>
      </c>
      <c r="B35" s="2">
        <f>+'25-welfare'!F98+'24-tax coll'!E122+'21-comm dev'!E166+'17-bldg &amp; grounds'!E139+'16-equip mntc'!E130+'15-library'!E254+'13-parks &amp; rec'!E262+'09-solid waste'!E223+'08-highway'!E358+'07-pub works'!E124+'06-code enforcement'!E169+'05-comm'!E142+'04-police'!E297+'03-fire'!E453+'02-assessing'!E121+'01-gen gov'!E277</f>
        <v>4850422</v>
      </c>
      <c r="C35" s="2">
        <f>+'25-welfare'!G98+'24-tax coll'!F122+'21-comm dev'!F166+'17-bldg &amp; grounds'!F139+'16-equip mntc'!F130+'15-library'!F254+'13-parks &amp; rec'!F262+'09-solid waste'!F223+'08-highway'!F358+'07-pub works'!F124+'06-code enforcement'!F169+'05-comm'!F142+'04-police'!F297+'03-fire'!F453+'02-assessing'!F121+'01-gen gov'!F277</f>
        <v>6082546</v>
      </c>
      <c r="D35" s="2">
        <f>+'25-welfare'!H98+'24-tax coll'!G122+'21-comm dev'!G166+'17-bldg &amp; grounds'!G139+'16-equip mntc'!G130+'15-library'!G254+'13-parks &amp; rec'!G262+'09-solid waste'!G223+'08-highway'!G358+'07-pub works'!G124+'06-code enforcement'!G169+'05-comm'!G142+'04-police'!G297+'03-fire'!G453+'02-assessing'!G121+'01-gen gov'!G277</f>
        <v>5133782</v>
      </c>
      <c r="E35" s="2">
        <f>+'25-welfare'!I98+'24-tax coll'!H122+'21-comm dev'!H166+'17-bldg &amp; grounds'!H139+'16-equip mntc'!H130+'15-library'!H254+'13-parks &amp; rec'!H262+'09-solid waste'!H223+'08-highway'!H358+'07-pub works'!H124+'06-code enforcement'!H169+'05-comm'!H142+'04-police'!H297+'03-fire'!H453+'02-assessing'!H121+'01-gen gov'!H277</f>
        <v>4659582</v>
      </c>
      <c r="F35" s="2"/>
      <c r="G35" s="2"/>
    </row>
    <row r="36" spans="1:14" ht="15" x14ac:dyDescent="0.4">
      <c r="A36" s="7" t="s">
        <v>1074</v>
      </c>
      <c r="B36" s="11">
        <f>+B28</f>
        <v>435466</v>
      </c>
      <c r="C36" s="11">
        <f>+C28</f>
        <v>423366</v>
      </c>
      <c r="D36" s="11">
        <f>+D28</f>
        <v>434011</v>
      </c>
      <c r="E36" s="11">
        <f>+E28</f>
        <v>434011</v>
      </c>
      <c r="F36" s="11"/>
      <c r="G36" s="11"/>
    </row>
    <row r="37" spans="1:14" x14ac:dyDescent="0.25">
      <c r="A37" s="7" t="s">
        <v>1182</v>
      </c>
      <c r="B37" s="2">
        <f t="shared" ref="B37:G37" si="0">SUM(B33:B36)</f>
        <v>25918912.609999999</v>
      </c>
      <c r="C37" s="2">
        <f t="shared" si="0"/>
        <v>28875643.199999999</v>
      </c>
      <c r="D37" s="2">
        <f>SUM(D33:D36)</f>
        <v>29422042.270307828</v>
      </c>
      <c r="E37" s="2">
        <f>SUM(E33:E36)</f>
        <v>28645767</v>
      </c>
      <c r="F37" s="2">
        <f>SUM(F33:F36)</f>
        <v>0</v>
      </c>
      <c r="G37" s="2">
        <f t="shared" si="0"/>
        <v>0</v>
      </c>
      <c r="I37" s="2">
        <f t="shared" ref="I37:N37" si="1">+B31-B37</f>
        <v>0</v>
      </c>
      <c r="J37" s="2">
        <f t="shared" si="1"/>
        <v>0</v>
      </c>
      <c r="K37" s="2">
        <f t="shared" si="1"/>
        <v>0</v>
      </c>
      <c r="L37" s="2">
        <f>+E31-E37</f>
        <v>0</v>
      </c>
      <c r="M37" s="2">
        <f t="shared" si="1"/>
        <v>0</v>
      </c>
      <c r="N37" s="2">
        <f t="shared" si="1"/>
        <v>0</v>
      </c>
    </row>
    <row r="38" spans="1:14" x14ac:dyDescent="0.25">
      <c r="B38" s="2"/>
      <c r="C38" s="2"/>
      <c r="D38" s="2"/>
      <c r="E38" s="2"/>
      <c r="F38" s="2"/>
      <c r="G38" s="2"/>
    </row>
    <row r="39" spans="1:14" x14ac:dyDescent="0.25">
      <c r="A39" s="194" t="e">
        <f>#REF!</f>
        <v>#REF!</v>
      </c>
      <c r="B39" s="194"/>
      <c r="C39" s="194"/>
      <c r="D39" s="194"/>
      <c r="E39" s="194"/>
      <c r="F39" s="194"/>
      <c r="G39" s="194"/>
    </row>
    <row r="40" spans="1:14" ht="17.399999999999999" x14ac:dyDescent="0.3">
      <c r="A40" s="153" t="s">
        <v>1965</v>
      </c>
      <c r="B40" s="153"/>
      <c r="C40" s="153"/>
      <c r="D40" s="153"/>
      <c r="E40" s="153"/>
      <c r="F40" s="153"/>
      <c r="G40" s="153"/>
    </row>
    <row r="41" spans="1:14" x14ac:dyDescent="0.25">
      <c r="B41" s="2"/>
      <c r="C41" s="2"/>
    </row>
    <row r="42" spans="1:14" x14ac:dyDescent="0.25">
      <c r="B42" s="167" t="s">
        <v>232</v>
      </c>
      <c r="C42" s="167" t="s">
        <v>233</v>
      </c>
      <c r="D42" s="167" t="s">
        <v>69</v>
      </c>
      <c r="E42" s="167" t="s">
        <v>399</v>
      </c>
      <c r="F42" s="16" t="s">
        <v>303</v>
      </c>
      <c r="G42" s="16" t="s">
        <v>336</v>
      </c>
    </row>
    <row r="43" spans="1:14" ht="15" x14ac:dyDescent="0.4">
      <c r="B43" s="164" t="s">
        <v>1715</v>
      </c>
      <c r="C43" s="164" t="s">
        <v>1766</v>
      </c>
      <c r="D43" s="164" t="s">
        <v>1985</v>
      </c>
      <c r="E43" s="164" t="s">
        <v>1985</v>
      </c>
      <c r="F43" s="164" t="s">
        <v>1985</v>
      </c>
      <c r="G43" s="164" t="s">
        <v>1985</v>
      </c>
    </row>
    <row r="44" spans="1:14" ht="13.8" x14ac:dyDescent="0.3">
      <c r="A44" s="10" t="s">
        <v>1339</v>
      </c>
      <c r="B44" s="2">
        <v>5415</v>
      </c>
      <c r="C44" s="2">
        <v>4331.84</v>
      </c>
      <c r="D44" s="2">
        <v>3249</v>
      </c>
      <c r="E44" s="2">
        <v>3249</v>
      </c>
      <c r="F44" s="2"/>
      <c r="G44" s="2"/>
    </row>
    <row r="45" spans="1:14" x14ac:dyDescent="0.25">
      <c r="A45" s="23" t="s">
        <v>125</v>
      </c>
      <c r="B45" s="2"/>
      <c r="C45" s="2"/>
      <c r="D45" s="2"/>
      <c r="E45" s="2"/>
      <c r="F45" s="2"/>
      <c r="G45" s="2"/>
    </row>
    <row r="46" spans="1:14" x14ac:dyDescent="0.25">
      <c r="B46" s="2"/>
      <c r="C46" s="2"/>
      <c r="D46" s="2"/>
      <c r="E46" s="2"/>
      <c r="F46" s="2"/>
      <c r="G46" s="2"/>
    </row>
    <row r="47" spans="1:14" ht="13.8" x14ac:dyDescent="0.3">
      <c r="A47" s="10" t="s">
        <v>1340</v>
      </c>
      <c r="B47" s="2">
        <v>55823</v>
      </c>
      <c r="C47" s="2">
        <v>55823</v>
      </c>
      <c r="D47" s="2">
        <v>55823</v>
      </c>
      <c r="E47" s="2">
        <v>55823</v>
      </c>
      <c r="F47" s="2"/>
      <c r="G47" s="2"/>
    </row>
    <row r="48" spans="1:14" x14ac:dyDescent="0.25">
      <c r="A48" s="23" t="s">
        <v>125</v>
      </c>
      <c r="B48" s="2"/>
      <c r="C48" s="2"/>
      <c r="D48" s="2"/>
      <c r="E48" s="2"/>
      <c r="F48" s="2"/>
      <c r="G48" s="2"/>
    </row>
    <row r="49" spans="1:7" ht="13.8" x14ac:dyDescent="0.3">
      <c r="A49" s="10"/>
      <c r="B49" s="2"/>
      <c r="C49" s="2"/>
      <c r="D49" s="2"/>
      <c r="E49" s="2"/>
      <c r="F49" s="2"/>
      <c r="G49" s="2"/>
    </row>
    <row r="50" spans="1:7" ht="13.8" x14ac:dyDescent="0.3">
      <c r="A50" s="10" t="s">
        <v>1210</v>
      </c>
      <c r="B50" s="2">
        <v>26874</v>
      </c>
      <c r="C50" s="2">
        <v>22394.82</v>
      </c>
      <c r="D50" s="2">
        <v>17916</v>
      </c>
      <c r="E50" s="2">
        <v>17916</v>
      </c>
      <c r="F50" s="2"/>
      <c r="G50" s="2"/>
    </row>
    <row r="51" spans="1:7" x14ac:dyDescent="0.25">
      <c r="A51" s="23" t="s">
        <v>124</v>
      </c>
      <c r="B51" s="2"/>
      <c r="C51" s="2"/>
      <c r="D51" s="2"/>
      <c r="E51" s="2"/>
      <c r="F51" s="2"/>
      <c r="G51" s="2"/>
    </row>
    <row r="52" spans="1:7" x14ac:dyDescent="0.25">
      <c r="B52" s="2"/>
      <c r="C52" s="2"/>
      <c r="D52" s="2"/>
      <c r="E52" s="2"/>
      <c r="F52" s="2"/>
      <c r="G52" s="2"/>
    </row>
    <row r="53" spans="1:7" ht="13.8" x14ac:dyDescent="0.3">
      <c r="A53" s="10" t="s">
        <v>1211</v>
      </c>
      <c r="B53" s="2">
        <v>263468</v>
      </c>
      <c r="C53" s="2">
        <v>263468</v>
      </c>
      <c r="D53" s="2">
        <v>263468</v>
      </c>
      <c r="E53" s="2">
        <v>263468</v>
      </c>
      <c r="F53" s="2"/>
      <c r="G53" s="2"/>
    </row>
    <row r="54" spans="1:7" x14ac:dyDescent="0.25">
      <c r="A54" s="23" t="s">
        <v>123</v>
      </c>
      <c r="B54" s="2"/>
      <c r="C54" s="2"/>
      <c r="D54" s="2"/>
      <c r="E54" s="2"/>
      <c r="F54" s="2"/>
      <c r="G54" s="2"/>
    </row>
    <row r="55" spans="1:7" ht="13.8" x14ac:dyDescent="0.3">
      <c r="A55" s="10"/>
      <c r="B55" s="2"/>
      <c r="C55" s="2"/>
      <c r="D55" s="2"/>
      <c r="E55" s="2"/>
      <c r="F55" s="2"/>
      <c r="G55" s="2"/>
    </row>
    <row r="56" spans="1:7" ht="13.8" x14ac:dyDescent="0.3">
      <c r="A56" s="10" t="s">
        <v>1779</v>
      </c>
      <c r="B56" s="2">
        <v>141166</v>
      </c>
      <c r="C56" s="2">
        <v>141291</v>
      </c>
      <c r="D56" s="2">
        <v>141291</v>
      </c>
      <c r="E56" s="2">
        <v>141291</v>
      </c>
      <c r="F56" s="2"/>
      <c r="G56" s="2"/>
    </row>
    <row r="57" spans="1:7" x14ac:dyDescent="0.25">
      <c r="A57" s="23" t="s">
        <v>1728</v>
      </c>
      <c r="B57" s="2"/>
      <c r="C57" s="2"/>
      <c r="D57" s="2"/>
      <c r="E57" s="2"/>
      <c r="F57" s="2"/>
      <c r="G57" s="2"/>
    </row>
    <row r="58" spans="1:7" ht="13.8" x14ac:dyDescent="0.3">
      <c r="A58" s="10"/>
      <c r="B58" s="2"/>
      <c r="C58" s="2"/>
      <c r="D58" s="2"/>
      <c r="E58" s="2"/>
      <c r="F58" s="2"/>
      <c r="G58" s="2"/>
    </row>
    <row r="59" spans="1:7" ht="13.8" x14ac:dyDescent="0.3">
      <c r="A59" s="10" t="s">
        <v>1780</v>
      </c>
      <c r="B59" s="2">
        <v>206533</v>
      </c>
      <c r="C59" s="2">
        <v>206408</v>
      </c>
      <c r="D59" s="2">
        <v>206408</v>
      </c>
      <c r="E59" s="2">
        <v>206408</v>
      </c>
      <c r="F59" s="2"/>
      <c r="G59" s="2"/>
    </row>
    <row r="60" spans="1:7" x14ac:dyDescent="0.25">
      <c r="A60" s="23" t="s">
        <v>1729</v>
      </c>
      <c r="B60" s="2"/>
      <c r="C60" s="2"/>
      <c r="D60" s="2"/>
      <c r="E60" s="2"/>
      <c r="F60" s="2"/>
      <c r="G60" s="2"/>
    </row>
    <row r="61" spans="1:7" ht="13.8" x14ac:dyDescent="0.3">
      <c r="A61" s="10"/>
      <c r="B61" s="2"/>
      <c r="C61" s="2"/>
      <c r="D61" s="2"/>
      <c r="E61" s="2"/>
      <c r="F61" s="2"/>
      <c r="G61" s="2"/>
    </row>
    <row r="62" spans="1:7" ht="15" x14ac:dyDescent="0.4">
      <c r="A62" s="10" t="s">
        <v>1781</v>
      </c>
      <c r="B62" s="11">
        <v>134920</v>
      </c>
      <c r="C62" s="11">
        <v>132125</v>
      </c>
      <c r="D62" s="11">
        <v>125172</v>
      </c>
      <c r="E62" s="11">
        <v>125172</v>
      </c>
      <c r="F62" s="2"/>
      <c r="G62" s="2"/>
    </row>
    <row r="63" spans="1:7" x14ac:dyDescent="0.25">
      <c r="A63" s="23" t="s">
        <v>1730</v>
      </c>
      <c r="B63" s="2"/>
      <c r="C63" s="2"/>
      <c r="D63" s="2"/>
      <c r="E63" s="2"/>
      <c r="F63" s="2"/>
      <c r="G63" s="2"/>
    </row>
    <row r="64" spans="1:7" ht="13.8" x14ac:dyDescent="0.3">
      <c r="A64" s="10"/>
      <c r="B64" s="2"/>
      <c r="C64" s="2"/>
      <c r="D64" s="2"/>
      <c r="E64" s="2"/>
      <c r="F64" s="2"/>
      <c r="G64" s="2"/>
    </row>
    <row r="65" spans="1:9" x14ac:dyDescent="0.25">
      <c r="B65" s="2"/>
      <c r="C65" s="2"/>
      <c r="D65" s="2"/>
      <c r="E65" s="2"/>
      <c r="F65" s="2"/>
      <c r="G65" s="2"/>
    </row>
    <row r="66" spans="1:9" x14ac:dyDescent="0.25">
      <c r="A66" s="7" t="s">
        <v>248</v>
      </c>
      <c r="B66" s="2">
        <f t="shared" ref="B66:G66" si="2">SUM(B44:B64)</f>
        <v>834199</v>
      </c>
      <c r="C66" s="2">
        <f t="shared" si="2"/>
        <v>825841.66</v>
      </c>
      <c r="D66" s="2">
        <f t="shared" si="2"/>
        <v>813327</v>
      </c>
      <c r="E66" s="2">
        <f t="shared" si="2"/>
        <v>813327</v>
      </c>
      <c r="F66" s="2">
        <f t="shared" si="2"/>
        <v>0</v>
      </c>
      <c r="G66" s="2">
        <f t="shared" si="2"/>
        <v>0</v>
      </c>
    </row>
    <row r="67" spans="1:9" x14ac:dyDescent="0.25">
      <c r="B67" s="2"/>
      <c r="C67" s="2"/>
      <c r="D67" s="2"/>
      <c r="E67" s="2"/>
      <c r="F67" s="2"/>
      <c r="G67" s="2"/>
    </row>
    <row r="68" spans="1:9" x14ac:dyDescent="0.25">
      <c r="A68" s="7" t="s">
        <v>1290</v>
      </c>
      <c r="B68" s="2">
        <f t="shared" ref="B68:G68" si="3">+B28</f>
        <v>435466</v>
      </c>
      <c r="C68" s="2">
        <f t="shared" si="3"/>
        <v>423366</v>
      </c>
      <c r="D68" s="2">
        <f t="shared" si="3"/>
        <v>434011</v>
      </c>
      <c r="E68" s="2">
        <f t="shared" si="3"/>
        <v>434011</v>
      </c>
      <c r="F68" s="2">
        <f t="shared" si="3"/>
        <v>0</v>
      </c>
      <c r="G68" s="2">
        <f t="shared" si="3"/>
        <v>0</v>
      </c>
      <c r="H68" s="2" t="e">
        <f>#N/A</f>
        <v>#N/A</v>
      </c>
      <c r="I68" s="2">
        <f t="shared" ref="I68" si="4">+I28</f>
        <v>0</v>
      </c>
    </row>
    <row r="69" spans="1:9" ht="15" x14ac:dyDescent="0.4">
      <c r="A69" s="7" t="s">
        <v>248</v>
      </c>
      <c r="B69" s="11">
        <f t="shared" ref="B69:G69" si="5">+B66</f>
        <v>834199</v>
      </c>
      <c r="C69" s="11">
        <f t="shared" si="5"/>
        <v>825841.66</v>
      </c>
      <c r="D69" s="11">
        <f t="shared" si="5"/>
        <v>813327</v>
      </c>
      <c r="E69" s="11">
        <f t="shared" si="5"/>
        <v>813327</v>
      </c>
      <c r="F69" s="11">
        <f t="shared" si="5"/>
        <v>0</v>
      </c>
      <c r="G69" s="11">
        <f t="shared" si="5"/>
        <v>0</v>
      </c>
      <c r="H69" s="11" t="e">
        <f>#N/A</f>
        <v>#N/A</v>
      </c>
      <c r="I69" s="11">
        <f t="shared" ref="I69" si="6">+I66</f>
        <v>0</v>
      </c>
    </row>
    <row r="70" spans="1:9" x14ac:dyDescent="0.25">
      <c r="A70" s="7" t="s">
        <v>1182</v>
      </c>
      <c r="B70" s="2">
        <f t="shared" ref="B70:G70" si="7">SUM(B68:B69)</f>
        <v>1269665</v>
      </c>
      <c r="C70" s="2">
        <f t="shared" si="7"/>
        <v>1249207.6600000001</v>
      </c>
      <c r="D70" s="2">
        <f t="shared" si="7"/>
        <v>1247338</v>
      </c>
      <c r="E70" s="2">
        <f t="shared" si="7"/>
        <v>1247338</v>
      </c>
      <c r="F70" s="2">
        <f t="shared" si="7"/>
        <v>0</v>
      </c>
      <c r="G70" s="2">
        <f t="shared" si="7"/>
        <v>0</v>
      </c>
      <c r="H70" s="2" t="e">
        <f>#N/A</f>
        <v>#N/A</v>
      </c>
      <c r="I70" s="2">
        <f t="shared" ref="I70" si="8">SUM(I68:I69)</f>
        <v>0</v>
      </c>
    </row>
  </sheetData>
  <mergeCells count="2">
    <mergeCell ref="A39:G39"/>
    <mergeCell ref="A1:G1"/>
  </mergeCells>
  <phoneticPr fontId="0" type="noConversion"/>
  <printOptions gridLines="1"/>
  <pageMargins left="0.75" right="0.16" top="0.51" bottom="0.22" header="0.5" footer="0"/>
  <pageSetup fitToHeight="2" orientation="landscape" r:id="rId1"/>
  <headerFooter alignWithMargins="0"/>
  <rowBreaks count="1" manualBreakCount="1">
    <brk id="37" max="4"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350"/>
  <sheetViews>
    <sheetView zoomScaleNormal="100" zoomScaleSheetLayoutView="100" workbookViewId="0">
      <selection sqref="A1:J1"/>
    </sheetView>
  </sheetViews>
  <sheetFormatPr defaultColWidth="8.88671875" defaultRowHeight="13.2" x14ac:dyDescent="0.25"/>
  <cols>
    <col min="1" max="1" width="51.6640625" style="7" bestFit="1" customWidth="1"/>
    <col min="2" max="2" width="8.6640625" style="7" bestFit="1" customWidth="1"/>
    <col min="3" max="3" width="12.109375" style="7" bestFit="1" customWidth="1"/>
    <col min="4" max="4" width="10.109375" style="7" bestFit="1" customWidth="1"/>
    <col min="5" max="7" width="10.88671875" style="7" customWidth="1"/>
    <col min="8" max="8" width="14" style="2" bestFit="1" customWidth="1"/>
    <col min="9" max="10" width="10.88671875" style="7" customWidth="1"/>
    <col min="11" max="16384" width="8.88671875" style="7"/>
  </cols>
  <sheetData>
    <row r="1" spans="1:10" x14ac:dyDescent="0.25">
      <c r="A1" s="194" t="e">
        <f>#REF!</f>
        <v>#REF!</v>
      </c>
      <c r="B1" s="195"/>
      <c r="C1" s="195"/>
      <c r="D1" s="195"/>
      <c r="E1" s="195"/>
      <c r="F1" s="195"/>
      <c r="G1" s="195"/>
      <c r="H1" s="195"/>
      <c r="I1" s="195"/>
      <c r="J1" s="195"/>
    </row>
    <row r="2" spans="1:10" ht="17.399999999999999" x14ac:dyDescent="0.3">
      <c r="A2" s="153" t="s">
        <v>1966</v>
      </c>
      <c r="B2" s="153"/>
      <c r="C2" s="153"/>
      <c r="D2" s="153"/>
      <c r="E2" s="153"/>
      <c r="F2" s="153"/>
    </row>
    <row r="3" spans="1:10" x14ac:dyDescent="0.25">
      <c r="B3" s="2"/>
      <c r="C3" s="2"/>
      <c r="D3" s="2"/>
      <c r="E3" s="2"/>
      <c r="F3" s="2"/>
    </row>
    <row r="4" spans="1:10" x14ac:dyDescent="0.25">
      <c r="B4" s="2"/>
      <c r="C4" s="2"/>
      <c r="D4" s="2"/>
      <c r="E4" s="167" t="s">
        <v>232</v>
      </c>
      <c r="F4" s="167" t="s">
        <v>233</v>
      </c>
      <c r="G4" s="167" t="s">
        <v>69</v>
      </c>
      <c r="H4" s="167" t="s">
        <v>399</v>
      </c>
      <c r="I4" s="16" t="s">
        <v>303</v>
      </c>
      <c r="J4" s="16" t="s">
        <v>336</v>
      </c>
    </row>
    <row r="5" spans="1:10" ht="15" x14ac:dyDescent="0.4">
      <c r="B5" s="2"/>
      <c r="C5" s="2"/>
      <c r="D5" s="2"/>
      <c r="E5" s="164" t="s">
        <v>1715</v>
      </c>
      <c r="F5" s="164" t="s">
        <v>1766</v>
      </c>
      <c r="G5" s="164" t="s">
        <v>1985</v>
      </c>
      <c r="H5" s="164" t="s">
        <v>1985</v>
      </c>
      <c r="I5" s="164" t="s">
        <v>1985</v>
      </c>
      <c r="J5" s="164" t="s">
        <v>1985</v>
      </c>
    </row>
    <row r="6" spans="1:10" ht="13.8" x14ac:dyDescent="0.3">
      <c r="A6" s="177" t="s">
        <v>743</v>
      </c>
      <c r="B6" s="2"/>
      <c r="C6" s="2"/>
      <c r="D6" s="2"/>
      <c r="E6" s="2">
        <v>50710</v>
      </c>
      <c r="F6" s="2">
        <v>51272</v>
      </c>
      <c r="G6" s="47">
        <v>52780</v>
      </c>
      <c r="H6" s="47">
        <v>52780</v>
      </c>
      <c r="I6" s="2"/>
      <c r="J6" s="2"/>
    </row>
    <row r="7" spans="1:10" x14ac:dyDescent="0.25">
      <c r="A7" s="176" t="s">
        <v>427</v>
      </c>
      <c r="B7" s="2">
        <v>52</v>
      </c>
      <c r="C7" s="2">
        <v>1015</v>
      </c>
      <c r="D7" s="2">
        <f>ROUND(B7*C7,0)</f>
        <v>52780</v>
      </c>
      <c r="E7" s="2"/>
      <c r="F7" s="2"/>
      <c r="G7" s="47"/>
      <c r="H7" s="47"/>
      <c r="I7" s="2"/>
      <c r="J7" s="2"/>
    </row>
    <row r="8" spans="1:10" x14ac:dyDescent="0.25">
      <c r="A8" s="176"/>
      <c r="B8" s="2"/>
      <c r="C8" s="2"/>
      <c r="D8" s="2"/>
      <c r="E8" s="2"/>
      <c r="F8" s="2"/>
      <c r="G8" s="47"/>
      <c r="H8" s="47"/>
      <c r="I8" s="2"/>
      <c r="J8" s="2"/>
    </row>
    <row r="9" spans="1:10" ht="13.8" x14ac:dyDescent="0.3">
      <c r="A9" s="177" t="s">
        <v>697</v>
      </c>
      <c r="B9" s="2"/>
      <c r="C9" s="2"/>
      <c r="D9" s="2"/>
      <c r="E9" s="2">
        <v>454581</v>
      </c>
      <c r="F9" s="2">
        <v>491194</v>
      </c>
      <c r="G9" s="47">
        <v>502380</v>
      </c>
      <c r="H9" s="47">
        <v>502380</v>
      </c>
      <c r="I9" s="2"/>
      <c r="J9" s="2"/>
    </row>
    <row r="10" spans="1:10" x14ac:dyDescent="0.25">
      <c r="A10" s="176" t="s">
        <v>2188</v>
      </c>
      <c r="B10" s="2">
        <v>52</v>
      </c>
      <c r="C10" s="2">
        <v>1706</v>
      </c>
      <c r="D10" s="2">
        <f t="shared" ref="D10:D16" si="0">ROUND(B10*C10,0)</f>
        <v>88712</v>
      </c>
      <c r="E10" s="2"/>
      <c r="F10" s="2"/>
      <c r="G10" s="47"/>
      <c r="H10" s="47"/>
      <c r="I10" s="2"/>
      <c r="J10" s="2"/>
    </row>
    <row r="11" spans="1:10" x14ac:dyDescent="0.25">
      <c r="A11" t="s">
        <v>698</v>
      </c>
      <c r="B11" s="2">
        <v>52</v>
      </c>
      <c r="C11" s="2">
        <v>1589.0840000000001</v>
      </c>
      <c r="D11" s="2">
        <f t="shared" si="0"/>
        <v>82632</v>
      </c>
      <c r="E11" s="2"/>
      <c r="F11" s="2"/>
      <c r="G11" s="47"/>
      <c r="H11" s="47"/>
      <c r="I11" s="2"/>
      <c r="J11" s="2"/>
    </row>
    <row r="12" spans="1:10" x14ac:dyDescent="0.25">
      <c r="A12" t="s">
        <v>2007</v>
      </c>
      <c r="B12" s="2">
        <v>52</v>
      </c>
      <c r="C12" s="2">
        <v>1366.1919999999998</v>
      </c>
      <c r="D12" s="2">
        <f t="shared" si="0"/>
        <v>71042</v>
      </c>
      <c r="E12" s="2"/>
      <c r="F12" s="2"/>
      <c r="G12" s="47"/>
      <c r="H12" s="47"/>
      <c r="I12" s="2"/>
      <c r="J12" s="2"/>
    </row>
    <row r="13" spans="1:10" x14ac:dyDescent="0.25">
      <c r="A13" t="s">
        <v>699</v>
      </c>
      <c r="B13" s="2">
        <v>52</v>
      </c>
      <c r="C13" s="2">
        <v>1285.4399999999998</v>
      </c>
      <c r="D13" s="2">
        <f t="shared" si="0"/>
        <v>66843</v>
      </c>
      <c r="E13" s="2"/>
      <c r="F13" s="2"/>
      <c r="G13" s="47"/>
      <c r="H13" s="47"/>
      <c r="I13" s="2"/>
      <c r="J13" s="2"/>
    </row>
    <row r="14" spans="1:10" x14ac:dyDescent="0.25">
      <c r="A14" t="s">
        <v>2008</v>
      </c>
      <c r="B14" s="2">
        <v>52</v>
      </c>
      <c r="C14" s="2">
        <v>1156.896</v>
      </c>
      <c r="D14" s="2">
        <f t="shared" si="0"/>
        <v>60159</v>
      </c>
      <c r="E14" s="2"/>
      <c r="F14" s="2"/>
      <c r="G14" s="47"/>
      <c r="H14" s="47"/>
      <c r="I14" s="2"/>
      <c r="J14" s="2"/>
    </row>
    <row r="15" spans="1:10" x14ac:dyDescent="0.25">
      <c r="A15" t="s">
        <v>240</v>
      </c>
      <c r="B15" s="2">
        <v>52</v>
      </c>
      <c r="C15" s="2">
        <v>1390.5</v>
      </c>
      <c r="D15" s="2">
        <f t="shared" si="0"/>
        <v>72306</v>
      </c>
      <c r="E15" s="2"/>
      <c r="F15" s="2"/>
      <c r="G15" s="47"/>
      <c r="H15" s="47"/>
      <c r="I15" s="2"/>
      <c r="J15" s="2"/>
    </row>
    <row r="16" spans="1:10" x14ac:dyDescent="0.25">
      <c r="A16" s="176" t="s">
        <v>1503</v>
      </c>
      <c r="B16" s="2">
        <v>52</v>
      </c>
      <c r="C16" s="2">
        <v>1099</v>
      </c>
      <c r="D16" s="2">
        <f t="shared" si="0"/>
        <v>57148</v>
      </c>
      <c r="E16" s="2"/>
      <c r="F16" s="2"/>
      <c r="G16" s="47"/>
      <c r="H16" s="47"/>
      <c r="I16" s="2"/>
      <c r="J16" s="2"/>
    </row>
    <row r="17" spans="1:10" ht="15" x14ac:dyDescent="0.4">
      <c r="A17" s="176" t="s">
        <v>912</v>
      </c>
      <c r="B17" s="2" t="s">
        <v>386</v>
      </c>
      <c r="C17" s="2" t="s">
        <v>386</v>
      </c>
      <c r="D17" s="11">
        <v>3538</v>
      </c>
      <c r="E17" s="2"/>
      <c r="F17" s="2"/>
      <c r="G17" s="47"/>
      <c r="H17" s="47"/>
      <c r="I17" s="2"/>
      <c r="J17" s="2"/>
    </row>
    <row r="18" spans="1:10" x14ac:dyDescent="0.25">
      <c r="A18" s="176" t="s">
        <v>1182</v>
      </c>
      <c r="B18" s="2"/>
      <c r="C18" s="2"/>
      <c r="D18" s="2">
        <f>SUM(D10:D17)</f>
        <v>502380</v>
      </c>
      <c r="E18" s="2"/>
      <c r="F18" s="2"/>
      <c r="G18" s="47"/>
      <c r="H18" s="47"/>
      <c r="I18" s="2"/>
      <c r="J18" s="2"/>
    </row>
    <row r="19" spans="1:10" x14ac:dyDescent="0.25">
      <c r="A19" s="176"/>
      <c r="B19" s="2"/>
      <c r="C19" s="2"/>
      <c r="D19" s="2"/>
      <c r="E19" s="2"/>
      <c r="F19" s="2"/>
      <c r="G19" s="47"/>
      <c r="H19" s="47"/>
      <c r="I19" s="2"/>
      <c r="J19" s="2"/>
    </row>
    <row r="20" spans="1:10" ht="13.8" x14ac:dyDescent="0.3">
      <c r="A20" s="177" t="s">
        <v>1307</v>
      </c>
      <c r="B20" s="2"/>
      <c r="C20" s="2"/>
      <c r="D20" s="2"/>
      <c r="E20" s="2">
        <v>560206</v>
      </c>
      <c r="F20" s="2">
        <v>632988</v>
      </c>
      <c r="G20" s="2">
        <v>644553</v>
      </c>
      <c r="H20" s="2">
        <v>644553</v>
      </c>
      <c r="I20" s="2"/>
      <c r="J20" s="2"/>
    </row>
    <row r="21" spans="1:10" x14ac:dyDescent="0.25">
      <c r="A21" s="176"/>
      <c r="B21" s="176"/>
      <c r="C21" s="176"/>
      <c r="D21" s="176"/>
      <c r="E21" s="2"/>
      <c r="F21" s="2"/>
      <c r="G21" s="2"/>
      <c r="I21" s="2"/>
      <c r="J21" s="2"/>
    </row>
    <row r="22" spans="1:10" x14ac:dyDescent="0.25">
      <c r="A22" t="s">
        <v>1297</v>
      </c>
      <c r="B22" s="68">
        <v>52</v>
      </c>
      <c r="C22" s="176">
        <v>913</v>
      </c>
      <c r="D22" s="2">
        <f t="shared" ref="D22:D33" si="1">ROUND(B22*C22,0)</f>
        <v>47476</v>
      </c>
      <c r="E22" s="2"/>
      <c r="F22" s="2"/>
      <c r="G22" s="2"/>
      <c r="I22" s="2"/>
      <c r="J22" s="2"/>
    </row>
    <row r="23" spans="1:10" x14ac:dyDescent="0.25">
      <c r="A23" t="s">
        <v>1297</v>
      </c>
      <c r="B23" s="68">
        <v>52</v>
      </c>
      <c r="C23" s="176">
        <v>964</v>
      </c>
      <c r="D23" s="2">
        <f t="shared" si="1"/>
        <v>50128</v>
      </c>
      <c r="E23" s="2"/>
      <c r="F23" s="2"/>
      <c r="G23" s="2"/>
      <c r="I23" s="2"/>
      <c r="J23" s="2"/>
    </row>
    <row r="24" spans="1:10" x14ac:dyDescent="0.25">
      <c r="A24" t="s">
        <v>1297</v>
      </c>
      <c r="B24" s="68">
        <v>52</v>
      </c>
      <c r="C24" s="176">
        <v>945</v>
      </c>
      <c r="D24" s="2">
        <f t="shared" si="1"/>
        <v>49140</v>
      </c>
      <c r="E24" s="2"/>
      <c r="F24" s="2"/>
      <c r="G24" s="2"/>
      <c r="I24" s="2"/>
      <c r="J24" s="2"/>
    </row>
    <row r="25" spans="1:10" ht="14.4" x14ac:dyDescent="0.3">
      <c r="A25" s="175" t="s">
        <v>1297</v>
      </c>
      <c r="B25" s="68">
        <v>52</v>
      </c>
      <c r="C25" s="176">
        <v>871</v>
      </c>
      <c r="D25" s="2">
        <f t="shared" si="1"/>
        <v>45292</v>
      </c>
      <c r="E25" s="2"/>
      <c r="F25" s="2"/>
      <c r="G25" s="2"/>
      <c r="I25" s="2"/>
      <c r="J25" s="2"/>
    </row>
    <row r="26" spans="1:10" x14ac:dyDescent="0.25">
      <c r="A26" t="s">
        <v>1911</v>
      </c>
      <c r="B26" s="68">
        <v>52</v>
      </c>
      <c r="C26" s="176">
        <v>950</v>
      </c>
      <c r="D26" s="2">
        <f t="shared" si="1"/>
        <v>49400</v>
      </c>
      <c r="E26" s="2"/>
      <c r="F26" s="2"/>
      <c r="G26" s="2"/>
      <c r="I26" s="2"/>
      <c r="J26" s="2"/>
    </row>
    <row r="27" spans="1:10" x14ac:dyDescent="0.25">
      <c r="A27" t="s">
        <v>1911</v>
      </c>
      <c r="B27" s="68">
        <v>52</v>
      </c>
      <c r="C27" s="176">
        <v>1031</v>
      </c>
      <c r="D27" s="2">
        <f t="shared" si="1"/>
        <v>53612</v>
      </c>
      <c r="E27" s="2"/>
      <c r="F27" s="2"/>
      <c r="G27" s="2"/>
      <c r="I27" s="2"/>
      <c r="J27" s="2"/>
    </row>
    <row r="28" spans="1:10" x14ac:dyDescent="0.25">
      <c r="A28" t="s">
        <v>1911</v>
      </c>
      <c r="B28" s="68">
        <v>52</v>
      </c>
      <c r="C28" s="176">
        <v>991</v>
      </c>
      <c r="D28" s="2">
        <f t="shared" si="1"/>
        <v>51532</v>
      </c>
      <c r="E28" s="2"/>
      <c r="F28" s="2"/>
      <c r="G28" s="2"/>
      <c r="I28" s="2"/>
      <c r="J28" s="2"/>
    </row>
    <row r="29" spans="1:10" ht="14.4" x14ac:dyDescent="0.3">
      <c r="A29" s="175" t="s">
        <v>1911</v>
      </c>
      <c r="B29" s="68">
        <v>52</v>
      </c>
      <c r="C29" s="176">
        <v>950</v>
      </c>
      <c r="D29" s="2">
        <f t="shared" si="1"/>
        <v>49400</v>
      </c>
      <c r="E29" s="2"/>
      <c r="F29" s="2"/>
      <c r="G29" s="2"/>
      <c r="I29" s="2"/>
      <c r="J29" s="2"/>
    </row>
    <row r="30" spans="1:10" x14ac:dyDescent="0.25">
      <c r="A30" t="s">
        <v>1799</v>
      </c>
      <c r="B30" s="68">
        <v>52</v>
      </c>
      <c r="C30" s="176">
        <v>900</v>
      </c>
      <c r="D30" s="2">
        <f t="shared" si="1"/>
        <v>46800</v>
      </c>
      <c r="E30" s="2"/>
      <c r="F30" s="2"/>
      <c r="G30" s="2"/>
      <c r="I30" s="2"/>
      <c r="J30" s="2"/>
    </row>
    <row r="31" spans="1:10" x14ac:dyDescent="0.25">
      <c r="A31" t="s">
        <v>1799</v>
      </c>
      <c r="B31" s="68">
        <v>52</v>
      </c>
      <c r="C31" s="176">
        <v>832</v>
      </c>
      <c r="D31" s="2">
        <f t="shared" si="1"/>
        <v>43264</v>
      </c>
      <c r="E31" s="2"/>
      <c r="F31" s="2"/>
      <c r="G31" s="2"/>
      <c r="I31" s="2"/>
      <c r="J31" s="2"/>
    </row>
    <row r="32" spans="1:10" x14ac:dyDescent="0.25">
      <c r="A32" t="s">
        <v>1799</v>
      </c>
      <c r="B32" s="68">
        <v>52</v>
      </c>
      <c r="C32" s="176">
        <v>853</v>
      </c>
      <c r="D32" s="2">
        <f t="shared" si="1"/>
        <v>44356</v>
      </c>
      <c r="E32" s="2"/>
      <c r="F32" s="2"/>
      <c r="G32" s="2"/>
      <c r="I32" s="2"/>
      <c r="J32" s="2"/>
    </row>
    <row r="33" spans="1:10" x14ac:dyDescent="0.25">
      <c r="A33" t="s">
        <v>1801</v>
      </c>
      <c r="B33" s="68">
        <v>52</v>
      </c>
      <c r="C33" s="176">
        <v>973</v>
      </c>
      <c r="D33" s="2">
        <f t="shared" si="1"/>
        <v>50596</v>
      </c>
      <c r="E33" s="2"/>
      <c r="F33" s="2"/>
      <c r="G33" s="2"/>
      <c r="I33" s="2"/>
      <c r="J33" s="2"/>
    </row>
    <row r="34" spans="1:10" x14ac:dyDescent="0.25">
      <c r="A34" t="s">
        <v>1800</v>
      </c>
      <c r="B34" s="68">
        <v>52</v>
      </c>
      <c r="C34" s="176">
        <v>1051</v>
      </c>
      <c r="D34" s="2">
        <v>55193</v>
      </c>
      <c r="E34" s="2"/>
      <c r="F34" s="2"/>
      <c r="G34" s="2"/>
      <c r="I34" s="2"/>
      <c r="J34" s="2"/>
    </row>
    <row r="35" spans="1:10" x14ac:dyDescent="0.25">
      <c r="A35" s="176" t="s">
        <v>912</v>
      </c>
      <c r="B35" s="2"/>
      <c r="C35" s="2"/>
      <c r="D35" s="2">
        <v>1500</v>
      </c>
      <c r="E35" s="2"/>
      <c r="F35" s="2"/>
      <c r="G35" s="2"/>
      <c r="I35" s="2"/>
      <c r="J35" s="2"/>
    </row>
    <row r="36" spans="1:10" ht="15" x14ac:dyDescent="0.4">
      <c r="A36" s="176" t="s">
        <v>1080</v>
      </c>
      <c r="B36" s="2">
        <v>9152</v>
      </c>
      <c r="C36" s="12">
        <v>0.75</v>
      </c>
      <c r="D36" s="11">
        <f>ROUND(B36*C36,0)</f>
        <v>6864</v>
      </c>
      <c r="E36" s="2"/>
      <c r="F36" s="2"/>
      <c r="G36" s="2"/>
      <c r="I36" s="2"/>
      <c r="J36" s="2"/>
    </row>
    <row r="37" spans="1:10" x14ac:dyDescent="0.25">
      <c r="A37" s="176" t="s">
        <v>1182</v>
      </c>
      <c r="B37" s="2"/>
      <c r="C37" s="2"/>
      <c r="D37" s="2">
        <f>SUM(D22:D36)</f>
        <v>644553</v>
      </c>
      <c r="E37" s="2"/>
      <c r="F37" s="2"/>
      <c r="G37" s="2"/>
      <c r="I37" s="2"/>
      <c r="J37" s="2"/>
    </row>
    <row r="38" spans="1:10" x14ac:dyDescent="0.25">
      <c r="A38" s="176"/>
      <c r="B38" s="176"/>
      <c r="C38" s="68"/>
      <c r="D38" s="2"/>
      <c r="E38" s="2"/>
      <c r="F38" s="2"/>
      <c r="G38" s="2"/>
      <c r="I38" s="2"/>
      <c r="J38" s="2"/>
    </row>
    <row r="39" spans="1:10" ht="13.8" x14ac:dyDescent="0.3">
      <c r="A39" s="177" t="s">
        <v>1358</v>
      </c>
      <c r="B39" s="12"/>
      <c r="C39" s="176"/>
      <c r="D39" s="2"/>
      <c r="E39" s="2">
        <v>7516</v>
      </c>
      <c r="F39" s="2">
        <v>9764</v>
      </c>
      <c r="G39" s="2">
        <v>9304</v>
      </c>
      <c r="H39" s="2">
        <v>9304</v>
      </c>
      <c r="I39" s="2"/>
      <c r="J39" s="2"/>
    </row>
    <row r="40" spans="1:10" x14ac:dyDescent="0.25">
      <c r="A40" s="176" t="s">
        <v>680</v>
      </c>
      <c r="B40" s="2" t="s">
        <v>386</v>
      </c>
      <c r="C40" s="12" t="s">
        <v>386</v>
      </c>
      <c r="D40" s="2" t="s">
        <v>386</v>
      </c>
      <c r="E40" s="2"/>
      <c r="F40" s="2"/>
      <c r="G40" s="2"/>
      <c r="I40" s="2"/>
      <c r="J40" s="2"/>
    </row>
    <row r="41" spans="1:10" x14ac:dyDescent="0.25">
      <c r="A41" s="176" t="s">
        <v>1156</v>
      </c>
      <c r="B41" s="2">
        <v>180</v>
      </c>
      <c r="C41" s="12">
        <v>51.69</v>
      </c>
      <c r="D41" s="2">
        <f>+C41*B41</f>
        <v>9304.1999999999989</v>
      </c>
      <c r="E41" s="2"/>
      <c r="F41" s="2"/>
      <c r="G41" s="2"/>
      <c r="I41" s="2"/>
      <c r="J41" s="2"/>
    </row>
    <row r="42" spans="1:10" x14ac:dyDescent="0.25">
      <c r="A42" s="176"/>
      <c r="B42" s="2"/>
      <c r="C42" s="12"/>
      <c r="D42" s="2"/>
      <c r="E42" s="2"/>
      <c r="F42" s="2"/>
      <c r="G42" s="2"/>
      <c r="I42" s="2"/>
      <c r="J42" s="2"/>
    </row>
    <row r="43" spans="1:10" x14ac:dyDescent="0.25">
      <c r="A43" s="176" t="s">
        <v>386</v>
      </c>
      <c r="B43" s="2"/>
      <c r="C43" s="12"/>
      <c r="D43" s="2"/>
      <c r="E43" s="2"/>
      <c r="F43" s="2"/>
      <c r="G43" s="2"/>
      <c r="I43" s="2"/>
      <c r="J43" s="2"/>
    </row>
    <row r="44" spans="1:10" ht="13.8" x14ac:dyDescent="0.3">
      <c r="A44" s="177" t="s">
        <v>448</v>
      </c>
      <c r="B44" s="176"/>
      <c r="C44" s="176"/>
      <c r="D44" s="2"/>
      <c r="E44" s="2">
        <v>13007</v>
      </c>
      <c r="F44" s="2">
        <v>18489</v>
      </c>
      <c r="G44" s="2">
        <v>35841</v>
      </c>
      <c r="H44" s="2">
        <v>35841</v>
      </c>
      <c r="I44" s="2"/>
      <c r="J44" s="2"/>
    </row>
    <row r="45" spans="1:10" x14ac:dyDescent="0.25">
      <c r="A45" s="176" t="s">
        <v>59</v>
      </c>
      <c r="B45" s="2">
        <v>640</v>
      </c>
      <c r="C45" s="12">
        <v>12.22</v>
      </c>
      <c r="D45" s="2">
        <f>ROUND(B45*C45,0)</f>
        <v>7821</v>
      </c>
      <c r="E45" s="2"/>
      <c r="F45" s="2"/>
      <c r="G45" s="2"/>
      <c r="I45" s="2"/>
      <c r="J45" s="2"/>
    </row>
    <row r="46" spans="1:10" x14ac:dyDescent="0.25">
      <c r="A46" s="176" t="s">
        <v>2108</v>
      </c>
      <c r="B46" s="2">
        <v>880</v>
      </c>
      <c r="C46" s="12">
        <v>14</v>
      </c>
      <c r="D46" s="2">
        <f>+B46*C46</f>
        <v>12320</v>
      </c>
      <c r="E46" s="2"/>
      <c r="F46" s="2"/>
      <c r="G46" s="2"/>
      <c r="I46" s="2"/>
      <c r="J46" s="2"/>
    </row>
    <row r="47" spans="1:10" x14ac:dyDescent="0.25">
      <c r="A47" s="176" t="s">
        <v>2109</v>
      </c>
      <c r="B47" s="2"/>
      <c r="C47" s="12"/>
      <c r="D47" s="2"/>
      <c r="E47" s="2"/>
      <c r="F47" s="2"/>
      <c r="G47" s="2"/>
      <c r="I47" s="2"/>
      <c r="J47" s="2"/>
    </row>
    <row r="48" spans="1:10" ht="15" x14ac:dyDescent="0.4">
      <c r="A48" s="176" t="s">
        <v>2110</v>
      </c>
      <c r="B48" s="2">
        <v>1248</v>
      </c>
      <c r="C48" s="12">
        <v>12.58</v>
      </c>
      <c r="D48" s="31">
        <f>ROUND(B48*C48,0)</f>
        <v>15700</v>
      </c>
      <c r="E48" s="2"/>
      <c r="F48" s="2"/>
      <c r="G48" s="2"/>
      <c r="I48" s="2"/>
      <c r="J48" s="2"/>
    </row>
    <row r="49" spans="1:10" x14ac:dyDescent="0.25">
      <c r="A49" s="176"/>
      <c r="B49" s="2"/>
      <c r="C49" s="12"/>
      <c r="D49" s="3">
        <f>SUM(D45:D48)</f>
        <v>35841</v>
      </c>
      <c r="E49" s="2"/>
      <c r="F49" s="2"/>
      <c r="G49" s="2"/>
      <c r="I49" s="2"/>
      <c r="J49" s="2"/>
    </row>
    <row r="50" spans="1:10" x14ac:dyDescent="0.25">
      <c r="A50" s="176"/>
      <c r="B50" s="2"/>
      <c r="C50" s="12"/>
      <c r="D50" s="3"/>
      <c r="E50" s="2"/>
      <c r="F50" s="2"/>
      <c r="G50" s="2"/>
      <c r="I50" s="2"/>
      <c r="J50" s="2"/>
    </row>
    <row r="51" spans="1:10" ht="13.8" x14ac:dyDescent="0.3">
      <c r="A51" s="177" t="s">
        <v>933</v>
      </c>
      <c r="B51" s="176"/>
      <c r="C51" s="176"/>
      <c r="D51" s="2"/>
      <c r="E51" s="2">
        <v>49355</v>
      </c>
      <c r="F51" s="2">
        <v>72247</v>
      </c>
      <c r="G51" s="2">
        <v>74960</v>
      </c>
      <c r="H51" s="2">
        <v>74960</v>
      </c>
      <c r="I51" s="2"/>
      <c r="J51" s="2"/>
    </row>
    <row r="52" spans="1:10" x14ac:dyDescent="0.25">
      <c r="A52" s="176" t="s">
        <v>208</v>
      </c>
      <c r="B52" s="2" t="s">
        <v>386</v>
      </c>
      <c r="C52" s="12" t="s">
        <v>386</v>
      </c>
      <c r="D52" s="2" t="s">
        <v>386</v>
      </c>
      <c r="E52" s="2"/>
      <c r="F52" s="2"/>
      <c r="G52" s="2"/>
      <c r="I52" s="2"/>
      <c r="J52" s="2"/>
    </row>
    <row r="53" spans="1:10" x14ac:dyDescent="0.25">
      <c r="A53" s="176" t="s">
        <v>1504</v>
      </c>
      <c r="B53" s="2">
        <v>1902</v>
      </c>
      <c r="C53" s="12">
        <f>+SUM(C15:C34)/40/14*1.5</f>
        <v>39.411160714285714</v>
      </c>
      <c r="D53" s="2">
        <f>+C53*B53</f>
        <v>74960.027678571423</v>
      </c>
      <c r="E53" s="2"/>
      <c r="F53" s="2"/>
      <c r="G53" s="2"/>
      <c r="I53" s="2"/>
      <c r="J53" s="2"/>
    </row>
    <row r="54" spans="1:10" x14ac:dyDescent="0.25">
      <c r="A54" s="176"/>
      <c r="B54" s="2"/>
      <c r="C54" s="12"/>
      <c r="D54" s="2"/>
      <c r="E54" s="2"/>
      <c r="F54" s="2"/>
      <c r="G54" s="2"/>
      <c r="I54" s="2"/>
      <c r="J54" s="2"/>
    </row>
    <row r="55" spans="1:10" ht="13.8" x14ac:dyDescent="0.3">
      <c r="A55" s="177" t="s">
        <v>638</v>
      </c>
      <c r="B55" s="176"/>
      <c r="C55" s="176"/>
      <c r="D55" s="2"/>
      <c r="E55" s="2">
        <v>89408</v>
      </c>
      <c r="F55" s="2">
        <v>97618</v>
      </c>
      <c r="G55" s="2">
        <v>100966</v>
      </c>
      <c r="H55" s="2">
        <v>100966</v>
      </c>
      <c r="I55" s="2"/>
      <c r="J55" s="2"/>
    </row>
    <row r="56" spans="1:10" hidden="1" x14ac:dyDescent="0.25">
      <c r="A56" s="13" t="s">
        <v>844</v>
      </c>
      <c r="B56" s="2">
        <f>+D7</f>
        <v>52780</v>
      </c>
      <c r="C56" s="14">
        <v>7.6499999999999999E-2</v>
      </c>
      <c r="D56" s="2">
        <f t="shared" ref="D56:D61" si="2">ROUND(B56*C56,0)</f>
        <v>4038</v>
      </c>
      <c r="E56" s="2"/>
      <c r="F56" s="2"/>
      <c r="G56" s="2"/>
      <c r="I56" s="2"/>
      <c r="J56" s="2"/>
    </row>
    <row r="57" spans="1:10" hidden="1" x14ac:dyDescent="0.25">
      <c r="A57" s="13" t="s">
        <v>1406</v>
      </c>
      <c r="B57" s="2">
        <f>+D18</f>
        <v>502380</v>
      </c>
      <c r="C57" s="14">
        <v>7.6499999999999999E-2</v>
      </c>
      <c r="D57" s="2">
        <f t="shared" si="2"/>
        <v>38432</v>
      </c>
      <c r="E57" s="2"/>
      <c r="F57" s="2"/>
      <c r="G57" s="2"/>
      <c r="I57" s="2"/>
      <c r="J57" s="2"/>
    </row>
    <row r="58" spans="1:10" hidden="1" x14ac:dyDescent="0.25">
      <c r="A58" s="13" t="s">
        <v>757</v>
      </c>
      <c r="B58" s="2">
        <f>+D37</f>
        <v>644553</v>
      </c>
      <c r="C58" s="14">
        <v>7.6499999999999999E-2</v>
      </c>
      <c r="D58" s="2">
        <f t="shared" si="2"/>
        <v>49308</v>
      </c>
      <c r="E58" s="2"/>
      <c r="F58" s="2"/>
      <c r="G58" s="2"/>
      <c r="I58" s="2"/>
      <c r="J58" s="2"/>
    </row>
    <row r="59" spans="1:10" hidden="1" x14ac:dyDescent="0.25">
      <c r="A59" s="13" t="s">
        <v>845</v>
      </c>
      <c r="B59" s="2">
        <f>+D41</f>
        <v>9304.1999999999989</v>
      </c>
      <c r="C59" s="14">
        <v>7.6499999999999999E-2</v>
      </c>
      <c r="D59" s="2">
        <f t="shared" si="2"/>
        <v>712</v>
      </c>
      <c r="E59" s="2"/>
      <c r="F59" s="2"/>
      <c r="G59" s="2"/>
      <c r="I59" s="2"/>
      <c r="J59" s="2"/>
    </row>
    <row r="60" spans="1:10" hidden="1" x14ac:dyDescent="0.25">
      <c r="A60" s="13" t="s">
        <v>183</v>
      </c>
      <c r="B60" s="2">
        <f>+D49</f>
        <v>35841</v>
      </c>
      <c r="C60" s="14">
        <v>7.6499999999999999E-2</v>
      </c>
      <c r="D60" s="2">
        <f t="shared" si="2"/>
        <v>2742</v>
      </c>
      <c r="E60" s="2"/>
      <c r="F60" s="2"/>
      <c r="G60" s="2"/>
      <c r="I60" s="2"/>
      <c r="J60" s="2"/>
    </row>
    <row r="61" spans="1:10" ht="15" hidden="1" x14ac:dyDescent="0.4">
      <c r="A61" s="13" t="s">
        <v>184</v>
      </c>
      <c r="B61" s="2">
        <f>+D53</f>
        <v>74960.027678571423</v>
      </c>
      <c r="C61" s="14">
        <v>7.6499999999999999E-2</v>
      </c>
      <c r="D61" s="11">
        <f t="shared" si="2"/>
        <v>5734</v>
      </c>
      <c r="E61" s="2"/>
      <c r="F61" s="2"/>
      <c r="G61" s="2"/>
      <c r="I61" s="2"/>
      <c r="J61" s="2"/>
    </row>
    <row r="62" spans="1:10" hidden="1" x14ac:dyDescent="0.25">
      <c r="A62" s="176" t="s">
        <v>1182</v>
      </c>
      <c r="B62" s="176"/>
      <c r="C62" s="176"/>
      <c r="D62" s="2">
        <f>SUM(D56:D61)</f>
        <v>100966</v>
      </c>
      <c r="E62" s="2"/>
      <c r="F62" s="2"/>
      <c r="G62" s="2"/>
      <c r="I62" s="2"/>
      <c r="J62" s="2"/>
    </row>
    <row r="63" spans="1:10" x14ac:dyDescent="0.25">
      <c r="A63" s="176"/>
      <c r="B63" s="176"/>
      <c r="C63" s="176"/>
      <c r="D63" s="2"/>
      <c r="E63" s="2"/>
      <c r="F63" s="2"/>
      <c r="G63" s="2"/>
      <c r="I63" s="2"/>
      <c r="J63" s="2"/>
    </row>
    <row r="64" spans="1:10" ht="13.8" x14ac:dyDescent="0.3">
      <c r="A64" s="177" t="s">
        <v>1081</v>
      </c>
      <c r="B64" s="176"/>
      <c r="C64" s="176"/>
      <c r="D64" s="2"/>
      <c r="E64" s="2">
        <v>126727</v>
      </c>
      <c r="F64" s="2">
        <v>152796</v>
      </c>
      <c r="G64" s="2">
        <v>146116</v>
      </c>
      <c r="H64" s="2">
        <v>146116</v>
      </c>
      <c r="I64" s="2"/>
      <c r="J64" s="2"/>
    </row>
    <row r="65" spans="1:10" hidden="1" x14ac:dyDescent="0.25">
      <c r="A65" s="23">
        <v>8102</v>
      </c>
      <c r="B65" s="2">
        <f>+B56</f>
        <v>52780</v>
      </c>
      <c r="C65" s="14">
        <v>0.1138</v>
      </c>
      <c r="D65" s="2">
        <f>ROUND(B65*C65,0)</f>
        <v>6006</v>
      </c>
      <c r="E65" s="2"/>
      <c r="F65" s="2"/>
      <c r="G65" s="2"/>
      <c r="I65" s="2"/>
      <c r="J65" s="2"/>
    </row>
    <row r="66" spans="1:10" hidden="1" x14ac:dyDescent="0.25">
      <c r="A66" s="13" t="s">
        <v>1406</v>
      </c>
      <c r="B66" s="2">
        <f>+B57</f>
        <v>502380</v>
      </c>
      <c r="C66" s="14">
        <v>0.1138</v>
      </c>
      <c r="D66" s="2">
        <f>ROUND(B66*C66,0)</f>
        <v>57171</v>
      </c>
      <c r="E66" s="2"/>
      <c r="F66" s="2"/>
      <c r="G66" s="2"/>
      <c r="I66" s="2"/>
      <c r="J66" s="2"/>
    </row>
    <row r="67" spans="1:10" hidden="1" x14ac:dyDescent="0.25">
      <c r="A67" s="23">
        <v>8104</v>
      </c>
      <c r="B67" s="2">
        <f>+B58</f>
        <v>644553</v>
      </c>
      <c r="C67" s="14">
        <v>0.1138</v>
      </c>
      <c r="D67" s="2">
        <f>ROUND(B67*C67,0)</f>
        <v>73350</v>
      </c>
      <c r="E67" s="2"/>
      <c r="F67" s="2"/>
      <c r="G67" s="2"/>
      <c r="I67" s="2"/>
      <c r="J67" s="2"/>
    </row>
    <row r="68" spans="1:10" hidden="1" x14ac:dyDescent="0.25">
      <c r="A68" s="13" t="s">
        <v>845</v>
      </c>
      <c r="B68" s="2">
        <f>+B59</f>
        <v>9304.1999999999989</v>
      </c>
      <c r="C68" s="14">
        <v>0.1138</v>
      </c>
      <c r="D68" s="2">
        <f>ROUND(B68*C68,0)</f>
        <v>1059</v>
      </c>
      <c r="E68" s="2"/>
      <c r="F68" s="2"/>
      <c r="G68" s="2"/>
      <c r="I68" s="2"/>
      <c r="J68" s="2"/>
    </row>
    <row r="69" spans="1:10" ht="15" hidden="1" x14ac:dyDescent="0.4">
      <c r="A69" s="34" t="s">
        <v>184</v>
      </c>
      <c r="B69" s="2">
        <f>+B61</f>
        <v>74960.027678571423</v>
      </c>
      <c r="C69" s="14">
        <v>0.1138</v>
      </c>
      <c r="D69" s="11">
        <f>ROUND(B69*C69,0)</f>
        <v>8530</v>
      </c>
      <c r="E69" s="2"/>
      <c r="F69" s="2"/>
      <c r="G69" s="2"/>
      <c r="I69" s="2"/>
      <c r="J69" s="2"/>
    </row>
    <row r="70" spans="1:10" hidden="1" x14ac:dyDescent="0.25">
      <c r="A70" s="176" t="s">
        <v>1182</v>
      </c>
      <c r="B70" s="176"/>
      <c r="C70" s="176"/>
      <c r="D70" s="2">
        <f>SUM(D65:D69)</f>
        <v>146116</v>
      </c>
      <c r="E70" s="2"/>
      <c r="F70" s="2"/>
      <c r="G70" s="2"/>
      <c r="I70" s="2"/>
      <c r="J70" s="2"/>
    </row>
    <row r="71" spans="1:10" x14ac:dyDescent="0.25">
      <c r="A71" s="176"/>
      <c r="B71" s="176"/>
      <c r="C71" s="176"/>
      <c r="D71" s="2"/>
      <c r="E71" s="2"/>
      <c r="F71" s="2"/>
      <c r="G71" s="2"/>
      <c r="I71" s="2"/>
      <c r="J71" s="2"/>
    </row>
    <row r="72" spans="1:10" ht="13.8" x14ac:dyDescent="0.3">
      <c r="A72" s="177" t="s">
        <v>643</v>
      </c>
      <c r="B72" s="176"/>
      <c r="C72" s="176"/>
      <c r="D72" s="2"/>
      <c r="E72" s="2">
        <v>340991</v>
      </c>
      <c r="F72" s="2">
        <v>362250</v>
      </c>
      <c r="G72" s="2">
        <v>384300</v>
      </c>
      <c r="H72" s="2">
        <v>384300</v>
      </c>
      <c r="I72" s="2"/>
      <c r="J72" s="2"/>
    </row>
    <row r="73" spans="1:10" x14ac:dyDescent="0.25">
      <c r="A73" s="176" t="s">
        <v>297</v>
      </c>
      <c r="B73" s="2">
        <v>14</v>
      </c>
      <c r="C73" s="2">
        <v>18300</v>
      </c>
      <c r="D73" s="2">
        <f>ROUND(B73*C73,0)</f>
        <v>256200</v>
      </c>
      <c r="E73" s="2"/>
      <c r="F73" s="2"/>
      <c r="G73" s="2"/>
      <c r="I73" s="2"/>
      <c r="J73" s="2"/>
    </row>
    <row r="74" spans="1:10" x14ac:dyDescent="0.25">
      <c r="A74" s="176" t="s">
        <v>298</v>
      </c>
      <c r="B74" s="2">
        <v>2</v>
      </c>
      <c r="C74" s="2">
        <v>18300</v>
      </c>
      <c r="D74" s="2">
        <f>ROUND(B74*C74,0)</f>
        <v>36600</v>
      </c>
      <c r="E74" s="2"/>
      <c r="F74" s="2"/>
      <c r="G74" s="2"/>
      <c r="I74" s="2"/>
      <c r="J74" s="2"/>
    </row>
    <row r="75" spans="1:10" ht="15" x14ac:dyDescent="0.4">
      <c r="A75" s="176" t="s">
        <v>338</v>
      </c>
      <c r="B75" s="2">
        <v>5</v>
      </c>
      <c r="C75" s="2">
        <v>18300</v>
      </c>
      <c r="D75" s="11">
        <f>ROUND(B75*C75,0)</f>
        <v>91500</v>
      </c>
      <c r="E75" s="2"/>
      <c r="F75" s="2"/>
      <c r="G75" s="2"/>
      <c r="I75" s="2"/>
      <c r="J75" s="2"/>
    </row>
    <row r="76" spans="1:10" x14ac:dyDescent="0.25">
      <c r="A76" s="176" t="s">
        <v>751</v>
      </c>
      <c r="B76" s="2"/>
      <c r="C76" s="2"/>
      <c r="D76" s="2">
        <f>SUM(D73:D75)</f>
        <v>384300</v>
      </c>
      <c r="E76" s="2"/>
      <c r="F76" s="2"/>
      <c r="G76" s="2"/>
      <c r="I76" s="2"/>
      <c r="J76" s="2"/>
    </row>
    <row r="77" spans="1:10" x14ac:dyDescent="0.25">
      <c r="A77" s="176"/>
      <c r="B77" s="176"/>
      <c r="C77" s="176"/>
      <c r="D77" s="2"/>
      <c r="E77" s="2"/>
      <c r="F77" s="2"/>
      <c r="G77" s="2"/>
      <c r="I77" s="2"/>
      <c r="J77" s="2"/>
    </row>
    <row r="78" spans="1:10" ht="13.8" x14ac:dyDescent="0.3">
      <c r="A78" s="177" t="s">
        <v>644</v>
      </c>
      <c r="B78" s="176"/>
      <c r="C78" s="176"/>
      <c r="D78" s="2"/>
      <c r="E78" s="2">
        <v>23441</v>
      </c>
      <c r="F78" s="2">
        <v>24570</v>
      </c>
      <c r="G78" s="2">
        <v>24570</v>
      </c>
      <c r="H78" s="2">
        <v>24570</v>
      </c>
      <c r="I78" s="2"/>
      <c r="J78" s="2"/>
    </row>
    <row r="79" spans="1:10" x14ac:dyDescent="0.25">
      <c r="A79" s="176" t="s">
        <v>297</v>
      </c>
      <c r="B79" s="2">
        <v>21</v>
      </c>
      <c r="C79" s="2">
        <v>1300</v>
      </c>
      <c r="D79" s="2">
        <f>+C79*B79</f>
        <v>27300</v>
      </c>
      <c r="E79" s="2"/>
      <c r="F79" s="2"/>
      <c r="G79" s="2"/>
      <c r="I79" s="2"/>
      <c r="J79" s="2"/>
    </row>
    <row r="80" spans="1:10" ht="15" x14ac:dyDescent="0.4">
      <c r="A80" s="176" t="s">
        <v>583</v>
      </c>
      <c r="B80" s="2"/>
      <c r="C80" s="2"/>
      <c r="D80" s="11">
        <f>D79*-0.1</f>
        <v>-2730</v>
      </c>
      <c r="E80" s="2"/>
      <c r="F80" s="2"/>
      <c r="G80" s="2"/>
      <c r="I80" s="2"/>
      <c r="J80" s="2"/>
    </row>
    <row r="81" spans="1:10" x14ac:dyDescent="0.25">
      <c r="A81" s="176" t="s">
        <v>751</v>
      </c>
      <c r="B81" s="2"/>
      <c r="C81" s="2"/>
      <c r="D81" s="2">
        <f>SUM(D79:D80)</f>
        <v>24570</v>
      </c>
      <c r="E81" s="2"/>
      <c r="F81" s="2"/>
      <c r="G81" s="2"/>
      <c r="I81" s="2"/>
      <c r="J81" s="2"/>
    </row>
    <row r="82" spans="1:10" x14ac:dyDescent="0.25">
      <c r="A82" s="176"/>
      <c r="B82" s="176"/>
      <c r="C82" s="176"/>
      <c r="D82" s="2"/>
      <c r="E82" s="2"/>
      <c r="F82" s="2"/>
      <c r="G82" s="2"/>
      <c r="I82" s="2"/>
      <c r="J82" s="2"/>
    </row>
    <row r="83" spans="1:10" ht="13.8" x14ac:dyDescent="0.3">
      <c r="A83" s="177" t="s">
        <v>645</v>
      </c>
      <c r="B83" s="176"/>
      <c r="C83" s="176"/>
      <c r="D83" s="2"/>
      <c r="E83" s="2">
        <v>1459</v>
      </c>
      <c r="F83" s="2">
        <v>1435</v>
      </c>
      <c r="G83" s="2">
        <v>1435</v>
      </c>
      <c r="H83" s="2">
        <v>1435</v>
      </c>
      <c r="I83" s="2"/>
      <c r="J83" s="2"/>
    </row>
    <row r="84" spans="1:10" hidden="1" x14ac:dyDescent="0.25">
      <c r="A84" s="176" t="s">
        <v>222</v>
      </c>
      <c r="B84" s="2">
        <v>2</v>
      </c>
      <c r="C84" s="2">
        <v>135</v>
      </c>
      <c r="D84" s="2">
        <f>+C84*B84</f>
        <v>270</v>
      </c>
      <c r="E84" s="2"/>
      <c r="F84" s="2"/>
      <c r="G84" s="2"/>
      <c r="I84" s="2"/>
      <c r="J84" s="2"/>
    </row>
    <row r="85" spans="1:10" hidden="1" x14ac:dyDescent="0.25">
      <c r="A85" s="176" t="s">
        <v>337</v>
      </c>
      <c r="B85" s="2">
        <v>5</v>
      </c>
      <c r="C85" s="2">
        <v>135</v>
      </c>
      <c r="D85" s="2">
        <f>+C85*B85</f>
        <v>675</v>
      </c>
      <c r="E85" s="2"/>
      <c r="F85" s="2"/>
      <c r="G85" s="2"/>
      <c r="I85" s="2"/>
      <c r="J85" s="2"/>
    </row>
    <row r="86" spans="1:10" ht="15" hidden="1" x14ac:dyDescent="0.4">
      <c r="A86" s="176" t="s">
        <v>223</v>
      </c>
      <c r="B86" s="2">
        <v>14</v>
      </c>
      <c r="C86" s="2">
        <v>35</v>
      </c>
      <c r="D86" s="11">
        <f>+C86*B86</f>
        <v>490</v>
      </c>
      <c r="E86" s="2"/>
      <c r="F86" s="2"/>
      <c r="G86" s="2"/>
      <c r="I86" s="2"/>
      <c r="J86" s="2"/>
    </row>
    <row r="87" spans="1:10" hidden="1" x14ac:dyDescent="0.25">
      <c r="A87" s="176" t="s">
        <v>1182</v>
      </c>
      <c r="B87" s="176"/>
      <c r="C87" s="176"/>
      <c r="D87" s="2">
        <f>SUM(D84:D86)</f>
        <v>1435</v>
      </c>
      <c r="E87" s="2"/>
      <c r="F87" s="2"/>
      <c r="G87" s="2"/>
      <c r="I87" s="2"/>
      <c r="J87" s="2"/>
    </row>
    <row r="88" spans="1:10" x14ac:dyDescent="0.25">
      <c r="A88" s="176"/>
      <c r="B88" s="176"/>
      <c r="C88" s="176"/>
      <c r="D88" s="2"/>
      <c r="E88" s="2"/>
      <c r="F88" s="2"/>
      <c r="G88" s="2"/>
      <c r="I88" s="2"/>
      <c r="J88" s="2"/>
    </row>
    <row r="89" spans="1:10" ht="13.8" x14ac:dyDescent="0.3">
      <c r="A89" s="177" t="s">
        <v>655</v>
      </c>
      <c r="B89" s="176"/>
      <c r="C89" s="176"/>
      <c r="D89" s="2"/>
      <c r="E89" s="2">
        <v>8021</v>
      </c>
      <c r="F89" s="2">
        <v>8610</v>
      </c>
      <c r="G89" s="2">
        <v>13230</v>
      </c>
      <c r="H89" s="2">
        <v>13230</v>
      </c>
      <c r="I89" s="2"/>
      <c r="J89" s="2"/>
    </row>
    <row r="90" spans="1:10" hidden="1" x14ac:dyDescent="0.25">
      <c r="A90" s="176" t="s">
        <v>222</v>
      </c>
      <c r="B90" s="2">
        <v>2</v>
      </c>
      <c r="C90" s="2">
        <v>630</v>
      </c>
      <c r="D90" s="2">
        <f>+C90*B90</f>
        <v>1260</v>
      </c>
      <c r="E90" s="2"/>
      <c r="F90" s="2"/>
      <c r="G90" s="2"/>
      <c r="I90" s="2"/>
      <c r="J90" s="2"/>
    </row>
    <row r="91" spans="1:10" ht="15" hidden="1" x14ac:dyDescent="0.4">
      <c r="A91" s="176" t="s">
        <v>1348</v>
      </c>
      <c r="B91" s="2">
        <v>19</v>
      </c>
      <c r="C91" s="2">
        <v>630</v>
      </c>
      <c r="D91" s="11">
        <f>+C91*B91</f>
        <v>11970</v>
      </c>
      <c r="E91" s="2"/>
      <c r="F91" s="2"/>
      <c r="G91" s="2"/>
      <c r="I91" s="2"/>
      <c r="J91" s="2"/>
    </row>
    <row r="92" spans="1:10" hidden="1" x14ac:dyDescent="0.25">
      <c r="A92" s="176" t="s">
        <v>1182</v>
      </c>
      <c r="B92" s="176"/>
      <c r="C92" s="176"/>
      <c r="D92" s="2">
        <f>SUM(D90:D91)</f>
        <v>13230</v>
      </c>
      <c r="E92" s="2"/>
      <c r="F92" s="2"/>
      <c r="G92" s="2"/>
      <c r="I92" s="2"/>
      <c r="J92" s="2"/>
    </row>
    <row r="93" spans="1:10" x14ac:dyDescent="0.25">
      <c r="A93" s="176"/>
      <c r="B93" s="176"/>
      <c r="C93" s="176"/>
      <c r="D93" s="2"/>
      <c r="E93" s="2"/>
      <c r="F93" s="2"/>
      <c r="G93" s="2"/>
      <c r="I93" s="2"/>
      <c r="J93" s="2"/>
    </row>
    <row r="94" spans="1:10" ht="13.8" x14ac:dyDescent="0.3">
      <c r="A94" s="177" t="s">
        <v>283</v>
      </c>
      <c r="B94" s="176"/>
      <c r="C94" s="176"/>
      <c r="D94" s="2"/>
      <c r="E94" s="2">
        <v>12338</v>
      </c>
      <c r="F94" s="2">
        <v>15896</v>
      </c>
      <c r="G94" s="2">
        <v>18582</v>
      </c>
      <c r="H94" s="2">
        <v>18582</v>
      </c>
      <c r="I94" s="2"/>
      <c r="J94" s="2"/>
    </row>
    <row r="95" spans="1:10" hidden="1" x14ac:dyDescent="0.25">
      <c r="A95" s="13" t="s">
        <v>844</v>
      </c>
      <c r="B95" s="2">
        <f t="shared" ref="B95:B100" si="3">+B56</f>
        <v>52780</v>
      </c>
      <c r="C95" s="14">
        <v>1.6000000000000001E-3</v>
      </c>
      <c r="D95" s="2">
        <f t="shared" ref="D95:D100" si="4">ROUND(B95*C95,0)</f>
        <v>84</v>
      </c>
      <c r="E95" s="2"/>
      <c r="F95" s="2"/>
      <c r="G95" s="2"/>
      <c r="I95" s="2"/>
      <c r="J95" s="2"/>
    </row>
    <row r="96" spans="1:10" hidden="1" x14ac:dyDescent="0.25">
      <c r="A96" s="13" t="s">
        <v>1406</v>
      </c>
      <c r="B96" s="2">
        <f t="shared" si="3"/>
        <v>502380</v>
      </c>
      <c r="C96" s="14">
        <v>1.46E-2</v>
      </c>
      <c r="D96" s="2">
        <f t="shared" si="4"/>
        <v>7335</v>
      </c>
      <c r="E96" s="2"/>
      <c r="F96" s="2"/>
      <c r="G96" s="2"/>
      <c r="I96" s="2"/>
      <c r="J96" s="2"/>
    </row>
    <row r="97" spans="1:10" hidden="1" x14ac:dyDescent="0.25">
      <c r="A97" s="13" t="s">
        <v>757</v>
      </c>
      <c r="B97" s="2">
        <f t="shared" si="3"/>
        <v>644553</v>
      </c>
      <c r="C97" s="14">
        <v>1.46E-2</v>
      </c>
      <c r="D97" s="2">
        <f t="shared" si="4"/>
        <v>9410</v>
      </c>
      <c r="E97" s="2"/>
      <c r="F97" s="2"/>
      <c r="G97" s="2"/>
      <c r="I97" s="2"/>
      <c r="J97" s="2"/>
    </row>
    <row r="98" spans="1:10" hidden="1" x14ac:dyDescent="0.25">
      <c r="A98" s="13" t="s">
        <v>1997</v>
      </c>
      <c r="B98" s="2">
        <f t="shared" si="3"/>
        <v>9304.1999999999989</v>
      </c>
      <c r="C98" s="14">
        <v>1.46E-2</v>
      </c>
      <c r="D98" s="2">
        <f t="shared" si="4"/>
        <v>136</v>
      </c>
      <c r="E98" s="2"/>
      <c r="F98" s="2"/>
      <c r="G98" s="2"/>
      <c r="I98" s="2"/>
      <c r="J98" s="2"/>
    </row>
    <row r="99" spans="1:10" hidden="1" x14ac:dyDescent="0.25">
      <c r="A99" s="13" t="s">
        <v>183</v>
      </c>
      <c r="B99" s="2">
        <f t="shared" si="3"/>
        <v>35841</v>
      </c>
      <c r="C99" s="14">
        <v>1.46E-2</v>
      </c>
      <c r="D99" s="2">
        <f t="shared" si="4"/>
        <v>523</v>
      </c>
      <c r="E99" s="2"/>
      <c r="F99" s="2"/>
      <c r="G99" s="2"/>
      <c r="I99" s="2"/>
      <c r="J99" s="2"/>
    </row>
    <row r="100" spans="1:10" ht="15" hidden="1" x14ac:dyDescent="0.4">
      <c r="A100" s="13" t="s">
        <v>1998</v>
      </c>
      <c r="B100" s="2">
        <f t="shared" si="3"/>
        <v>74960.027678571423</v>
      </c>
      <c r="C100" s="14">
        <v>1.46E-2</v>
      </c>
      <c r="D100" s="11">
        <f t="shared" si="4"/>
        <v>1094</v>
      </c>
      <c r="E100" s="2"/>
      <c r="F100" s="2"/>
      <c r="G100" s="2"/>
      <c r="I100" s="2"/>
      <c r="J100" s="2"/>
    </row>
    <row r="101" spans="1:10" hidden="1" x14ac:dyDescent="0.25">
      <c r="A101" s="176" t="s">
        <v>1182</v>
      </c>
      <c r="B101" s="176"/>
      <c r="C101" s="176"/>
      <c r="D101" s="2">
        <f>SUM(D95:D100)</f>
        <v>18582</v>
      </c>
      <c r="E101" s="2"/>
      <c r="F101" s="2"/>
      <c r="G101" s="2"/>
      <c r="I101" s="2"/>
      <c r="J101" s="2"/>
    </row>
    <row r="102" spans="1:10" x14ac:dyDescent="0.25">
      <c r="A102" s="176"/>
      <c r="B102" s="176"/>
      <c r="C102" s="176"/>
      <c r="D102" s="2"/>
      <c r="E102" s="2"/>
      <c r="F102" s="2"/>
      <c r="G102" s="2"/>
      <c r="I102" s="2"/>
      <c r="J102" s="2"/>
    </row>
    <row r="103" spans="1:10" ht="13.8" x14ac:dyDescent="0.3">
      <c r="A103" s="177" t="s">
        <v>1381</v>
      </c>
      <c r="B103" s="176"/>
      <c r="C103" s="176"/>
      <c r="D103" s="2"/>
      <c r="E103" s="2">
        <v>818</v>
      </c>
      <c r="F103" s="2">
        <v>750</v>
      </c>
      <c r="G103" s="2">
        <v>557</v>
      </c>
      <c r="H103" s="2">
        <v>557</v>
      </c>
      <c r="I103" s="2"/>
      <c r="J103" s="2"/>
    </row>
    <row r="104" spans="1:10" hidden="1" x14ac:dyDescent="0.25">
      <c r="A104" s="13" t="s">
        <v>844</v>
      </c>
      <c r="B104" s="2">
        <v>1</v>
      </c>
      <c r="C104" s="2">
        <v>26</v>
      </c>
      <c r="D104" s="2">
        <f>+B104*C104</f>
        <v>26</v>
      </c>
      <c r="E104" s="2"/>
      <c r="F104" s="2"/>
      <c r="G104" s="2"/>
      <c r="I104" s="2"/>
      <c r="J104" s="2"/>
    </row>
    <row r="105" spans="1:10" hidden="1" x14ac:dyDescent="0.25">
      <c r="A105" s="13" t="s">
        <v>1406</v>
      </c>
      <c r="B105" s="2">
        <v>6</v>
      </c>
      <c r="C105" s="2">
        <v>26</v>
      </c>
      <c r="D105" s="2">
        <f>+B105*C105</f>
        <v>156</v>
      </c>
      <c r="E105" s="2"/>
      <c r="F105" s="2"/>
      <c r="G105" s="47"/>
      <c r="H105" s="47"/>
      <c r="I105" s="2"/>
      <c r="J105" s="2"/>
    </row>
    <row r="106" spans="1:10" hidden="1" x14ac:dyDescent="0.25">
      <c r="A106" s="13" t="s">
        <v>757</v>
      </c>
      <c r="B106" s="2">
        <v>13</v>
      </c>
      <c r="C106" s="2">
        <v>26</v>
      </c>
      <c r="D106" s="2">
        <f>+B106*C106</f>
        <v>338</v>
      </c>
      <c r="E106" s="2"/>
      <c r="F106" s="2"/>
      <c r="G106" s="47"/>
      <c r="H106" s="47"/>
      <c r="I106" s="2"/>
      <c r="J106" s="2"/>
    </row>
    <row r="107" spans="1:10" hidden="1" x14ac:dyDescent="0.25">
      <c r="A107" s="13" t="s">
        <v>183</v>
      </c>
      <c r="B107" s="2">
        <v>1</v>
      </c>
      <c r="C107" s="2">
        <v>26</v>
      </c>
      <c r="D107" s="2">
        <f>+B107*C107</f>
        <v>26</v>
      </c>
      <c r="E107" s="2"/>
      <c r="F107" s="2"/>
      <c r="G107" s="47"/>
      <c r="H107" s="47"/>
      <c r="I107" s="2"/>
      <c r="J107" s="2"/>
    </row>
    <row r="108" spans="1:10" ht="15" hidden="1" x14ac:dyDescent="0.4">
      <c r="A108" s="13" t="s">
        <v>183</v>
      </c>
      <c r="B108" s="2">
        <v>6080</v>
      </c>
      <c r="C108" s="14">
        <v>1.8E-3</v>
      </c>
      <c r="D108" s="11">
        <f>+B108*C108</f>
        <v>10.943999999999999</v>
      </c>
      <c r="E108" s="2"/>
      <c r="F108" s="2"/>
      <c r="G108" s="47"/>
      <c r="H108" s="47"/>
      <c r="I108" s="2"/>
      <c r="J108" s="2"/>
    </row>
    <row r="109" spans="1:10" hidden="1" x14ac:dyDescent="0.25">
      <c r="A109" s="176" t="s">
        <v>1182</v>
      </c>
      <c r="B109" s="176"/>
      <c r="C109" s="176"/>
      <c r="D109" s="2">
        <f>SUM(D104:D108)</f>
        <v>556.94399999999996</v>
      </c>
      <c r="E109" s="2"/>
      <c r="F109" s="2"/>
      <c r="G109" s="47"/>
      <c r="H109" s="47"/>
      <c r="I109" s="2"/>
      <c r="J109" s="2"/>
    </row>
    <row r="110" spans="1:10" x14ac:dyDescent="0.25">
      <c r="A110" s="176"/>
      <c r="B110" s="176"/>
      <c r="C110" s="176"/>
      <c r="D110" s="2"/>
      <c r="E110" s="2"/>
      <c r="F110" s="2"/>
      <c r="G110" s="47"/>
      <c r="H110" s="47"/>
      <c r="I110" s="2"/>
      <c r="J110" s="2"/>
    </row>
    <row r="111" spans="1:10" ht="13.8" x14ac:dyDescent="0.3">
      <c r="A111" s="53" t="s">
        <v>86</v>
      </c>
      <c r="B111" s="2" t="s">
        <v>386</v>
      </c>
      <c r="C111" s="2"/>
      <c r="D111" s="2"/>
      <c r="E111" s="2">
        <v>868</v>
      </c>
      <c r="F111" s="2">
        <v>14503</v>
      </c>
      <c r="G111" s="47">
        <v>2936</v>
      </c>
      <c r="H111" s="47">
        <v>3401</v>
      </c>
      <c r="I111" s="2"/>
      <c r="J111" s="2"/>
    </row>
    <row r="112" spans="1:10" x14ac:dyDescent="0.25">
      <c r="A112" s="2" t="s">
        <v>290</v>
      </c>
      <c r="B112" s="2"/>
      <c r="C112" s="2"/>
      <c r="D112" s="2"/>
      <c r="E112" s="2"/>
      <c r="F112" s="2"/>
      <c r="G112" s="47"/>
      <c r="H112" s="47"/>
      <c r="I112" s="2"/>
      <c r="J112" s="2"/>
    </row>
    <row r="113" spans="1:10" x14ac:dyDescent="0.25">
      <c r="A113" s="2" t="s">
        <v>1912</v>
      </c>
      <c r="B113" s="2"/>
      <c r="C113" s="2"/>
      <c r="D113" s="2">
        <v>0</v>
      </c>
      <c r="E113" s="2"/>
      <c r="F113" s="2"/>
      <c r="G113" s="47"/>
      <c r="H113" s="47"/>
      <c r="I113" s="2"/>
      <c r="J113" s="2"/>
    </row>
    <row r="114" spans="1:10" ht="15" x14ac:dyDescent="0.4">
      <c r="A114" s="2" t="s">
        <v>1724</v>
      </c>
      <c r="B114" s="2"/>
      <c r="C114" s="2"/>
      <c r="D114" s="11">
        <v>3401</v>
      </c>
      <c r="E114" s="2"/>
      <c r="F114" s="2"/>
      <c r="G114" s="47"/>
      <c r="H114" s="47"/>
      <c r="I114" s="2"/>
      <c r="J114" s="2"/>
    </row>
    <row r="115" spans="1:10" x14ac:dyDescent="0.25">
      <c r="A115" s="2" t="s">
        <v>251</v>
      </c>
      <c r="B115" s="2"/>
      <c r="C115" s="2"/>
      <c r="D115" s="2">
        <f>SUM(D113:D114)</f>
        <v>3401</v>
      </c>
      <c r="E115" s="2"/>
      <c r="F115" s="2"/>
      <c r="G115" s="47"/>
      <c r="H115" s="47"/>
      <c r="I115" s="2"/>
      <c r="J115" s="2"/>
    </row>
    <row r="116" spans="1:10" x14ac:dyDescent="0.25">
      <c r="A116" s="176"/>
      <c r="B116" s="176"/>
      <c r="C116" s="176"/>
      <c r="D116" s="2"/>
      <c r="E116" s="2"/>
      <c r="F116" s="2"/>
      <c r="G116" s="47"/>
      <c r="H116" s="47"/>
      <c r="I116" s="2"/>
      <c r="J116" s="2"/>
    </row>
    <row r="117" spans="1:10" ht="13.8" x14ac:dyDescent="0.3">
      <c r="A117" s="53" t="s">
        <v>1771</v>
      </c>
      <c r="B117" s="176"/>
      <c r="C117" s="176"/>
      <c r="D117" s="2">
        <v>0</v>
      </c>
      <c r="E117" s="2">
        <v>0</v>
      </c>
      <c r="F117" s="2">
        <v>0</v>
      </c>
      <c r="G117" s="47"/>
      <c r="H117" s="47"/>
      <c r="I117" s="2"/>
      <c r="J117" s="2"/>
    </row>
    <row r="118" spans="1:10" x14ac:dyDescent="0.25">
      <c r="A118" s="176"/>
      <c r="B118" s="176"/>
      <c r="C118" s="176"/>
      <c r="D118" s="2"/>
      <c r="E118" s="2"/>
      <c r="F118" s="2"/>
      <c r="G118" s="47"/>
      <c r="H118" s="47"/>
      <c r="I118" s="2"/>
      <c r="J118" s="2"/>
    </row>
    <row r="119" spans="1:10" ht="13.8" x14ac:dyDescent="0.3">
      <c r="A119" s="177" t="s">
        <v>1382</v>
      </c>
      <c r="B119" s="176"/>
      <c r="C119" s="176"/>
      <c r="D119" s="2"/>
      <c r="E119" s="2">
        <v>2032</v>
      </c>
      <c r="F119" s="2">
        <v>3000</v>
      </c>
      <c r="G119" s="47">
        <v>2500</v>
      </c>
      <c r="H119" s="47">
        <v>2500</v>
      </c>
      <c r="I119" s="2"/>
      <c r="J119" s="2"/>
    </row>
    <row r="120" spans="1:10" x14ac:dyDescent="0.25">
      <c r="A120" s="176" t="s">
        <v>1383</v>
      </c>
      <c r="B120" s="176"/>
      <c r="C120" s="176"/>
      <c r="D120" s="2" t="s">
        <v>386</v>
      </c>
      <c r="E120" s="2"/>
      <c r="F120" s="2"/>
      <c r="G120" s="47"/>
      <c r="H120" s="47"/>
      <c r="I120" s="2"/>
      <c r="J120" s="2"/>
    </row>
    <row r="121" spans="1:10" x14ac:dyDescent="0.25">
      <c r="A121" s="176" t="s">
        <v>1662</v>
      </c>
      <c r="B121" s="176"/>
      <c r="C121" s="2"/>
      <c r="D121" s="2"/>
      <c r="E121" s="2"/>
      <c r="F121" s="2"/>
      <c r="G121" s="47"/>
      <c r="H121" s="47"/>
      <c r="I121" s="2"/>
      <c r="J121" s="2"/>
    </row>
    <row r="122" spans="1:10" x14ac:dyDescent="0.25">
      <c r="A122" s="176" t="s">
        <v>1182</v>
      </c>
      <c r="B122" s="2"/>
      <c r="C122" s="2"/>
      <c r="D122" s="2">
        <v>2500</v>
      </c>
      <c r="E122" s="2"/>
      <c r="F122" s="2"/>
      <c r="G122" s="47"/>
      <c r="H122" s="47"/>
      <c r="I122" s="2"/>
      <c r="J122" s="2"/>
    </row>
    <row r="123" spans="1:10" x14ac:dyDescent="0.25">
      <c r="A123" s="176"/>
      <c r="B123" s="176"/>
      <c r="C123" s="2" t="s">
        <v>386</v>
      </c>
      <c r="D123" s="2" t="s">
        <v>386</v>
      </c>
      <c r="E123" s="2"/>
      <c r="F123" s="2"/>
      <c r="G123" s="47"/>
      <c r="H123" s="47"/>
      <c r="I123" s="2"/>
      <c r="J123" s="2"/>
    </row>
    <row r="124" spans="1:10" ht="13.8" x14ac:dyDescent="0.3">
      <c r="A124" s="177" t="s">
        <v>331</v>
      </c>
      <c r="B124" s="176"/>
      <c r="C124" s="2"/>
      <c r="D124" s="2"/>
      <c r="E124" s="2">
        <v>7318</v>
      </c>
      <c r="F124" s="2">
        <v>7900</v>
      </c>
      <c r="G124" s="47">
        <v>7900</v>
      </c>
      <c r="H124" s="47">
        <v>7900</v>
      </c>
      <c r="I124" s="2"/>
      <c r="J124" s="2"/>
    </row>
    <row r="125" spans="1:10" x14ac:dyDescent="0.25">
      <c r="A125" s="176" t="s">
        <v>785</v>
      </c>
      <c r="B125" s="176"/>
      <c r="C125" s="2"/>
      <c r="D125" s="2">
        <v>2500</v>
      </c>
      <c r="E125" s="2"/>
      <c r="F125" s="2"/>
      <c r="G125" s="47"/>
      <c r="H125" s="47"/>
      <c r="I125" s="2"/>
      <c r="J125" s="2"/>
    </row>
    <row r="126" spans="1:10" ht="15" x14ac:dyDescent="0.4">
      <c r="A126" s="176" t="s">
        <v>332</v>
      </c>
      <c r="B126" s="176"/>
      <c r="C126" s="11"/>
      <c r="D126" s="11">
        <v>5400</v>
      </c>
      <c r="E126" s="2"/>
      <c r="F126" s="2"/>
      <c r="G126" s="47"/>
      <c r="H126" s="47"/>
      <c r="I126" s="2"/>
      <c r="J126" s="2"/>
    </row>
    <row r="127" spans="1:10" x14ac:dyDescent="0.25">
      <c r="A127" s="176" t="s">
        <v>1182</v>
      </c>
      <c r="B127" s="176"/>
      <c r="C127" s="2"/>
      <c r="D127" s="2">
        <v>7900</v>
      </c>
      <c r="E127" s="2"/>
      <c r="F127" s="2"/>
      <c r="G127" s="47"/>
      <c r="H127" s="47"/>
      <c r="I127" s="2"/>
      <c r="J127" s="2"/>
    </row>
    <row r="128" spans="1:10" x14ac:dyDescent="0.25">
      <c r="A128" s="176"/>
      <c r="B128" s="176"/>
      <c r="C128" s="18"/>
      <c r="D128" s="18"/>
      <c r="E128" s="2"/>
      <c r="F128" s="2"/>
      <c r="G128" s="47"/>
      <c r="H128" s="47"/>
      <c r="I128" s="2"/>
      <c r="J128" s="2"/>
    </row>
    <row r="129" spans="1:10" ht="13.8" x14ac:dyDescent="0.3">
      <c r="A129" s="177" t="s">
        <v>333</v>
      </c>
      <c r="B129" s="176"/>
      <c r="C129" s="2"/>
      <c r="D129" s="2"/>
      <c r="E129" s="2">
        <v>5432</v>
      </c>
      <c r="F129" s="2">
        <v>5100</v>
      </c>
      <c r="G129" s="47">
        <v>5300</v>
      </c>
      <c r="H129" s="47">
        <v>5300</v>
      </c>
      <c r="I129" s="2"/>
      <c r="J129" s="2"/>
    </row>
    <row r="130" spans="1:10" x14ac:dyDescent="0.25">
      <c r="A130" s="6" t="s">
        <v>0</v>
      </c>
      <c r="B130" s="6"/>
      <c r="C130" s="2"/>
      <c r="D130" s="2">
        <v>600</v>
      </c>
      <c r="E130" s="2"/>
      <c r="F130" s="2"/>
      <c r="G130" s="47"/>
      <c r="H130" s="47"/>
      <c r="I130" s="2"/>
      <c r="J130" s="2"/>
    </row>
    <row r="131" spans="1:10" x14ac:dyDescent="0.25">
      <c r="A131" s="6" t="s">
        <v>1750</v>
      </c>
      <c r="B131" s="6"/>
      <c r="C131" s="2"/>
      <c r="D131" s="2">
        <v>1300</v>
      </c>
      <c r="E131" s="2"/>
      <c r="F131" s="2"/>
      <c r="G131" s="47"/>
      <c r="H131" s="47"/>
      <c r="I131" s="2"/>
      <c r="J131" s="2"/>
    </row>
    <row r="132" spans="1:10" x14ac:dyDescent="0.25">
      <c r="A132" s="6" t="s">
        <v>1663</v>
      </c>
      <c r="B132" s="6"/>
      <c r="C132" s="2"/>
      <c r="D132" s="2">
        <v>1900</v>
      </c>
      <c r="E132" s="2"/>
      <c r="F132" s="2"/>
      <c r="G132" s="47"/>
      <c r="H132" s="47"/>
      <c r="I132" s="2"/>
      <c r="J132" s="2"/>
    </row>
    <row r="133" spans="1:10" x14ac:dyDescent="0.25">
      <c r="A133" s="6" t="s">
        <v>1</v>
      </c>
      <c r="B133" s="6"/>
      <c r="C133" s="2"/>
      <c r="D133" s="2">
        <v>700</v>
      </c>
      <c r="E133" s="2"/>
      <c r="F133" s="2"/>
      <c r="G133" s="47"/>
      <c r="H133" s="47"/>
      <c r="I133" s="2"/>
      <c r="J133" s="2"/>
    </row>
    <row r="134" spans="1:10" ht="15" x14ac:dyDescent="0.4">
      <c r="A134" s="6" t="s">
        <v>1061</v>
      </c>
      <c r="B134" s="6"/>
      <c r="C134" s="11"/>
      <c r="D134" s="11">
        <v>800</v>
      </c>
      <c r="E134" s="2"/>
      <c r="F134" s="2"/>
      <c r="G134" s="47"/>
      <c r="H134" s="47"/>
      <c r="I134" s="2"/>
      <c r="J134" s="2"/>
    </row>
    <row r="135" spans="1:10" x14ac:dyDescent="0.25">
      <c r="A135" s="6" t="s">
        <v>1182</v>
      </c>
      <c r="B135" s="6"/>
      <c r="C135" s="2"/>
      <c r="D135" s="2">
        <f>SUM(D130:D134)</f>
        <v>5300</v>
      </c>
      <c r="E135" s="2"/>
      <c r="F135" s="2"/>
      <c r="G135" s="47"/>
      <c r="H135" s="47"/>
      <c r="I135" s="2"/>
      <c r="J135" s="2"/>
    </row>
    <row r="136" spans="1:10" x14ac:dyDescent="0.25">
      <c r="A136" s="176"/>
      <c r="B136" s="2"/>
      <c r="C136" s="18"/>
      <c r="D136" s="18"/>
      <c r="E136" s="2"/>
      <c r="F136" s="2"/>
      <c r="G136" s="47"/>
      <c r="H136" s="47"/>
      <c r="I136" s="2"/>
      <c r="J136" s="2"/>
    </row>
    <row r="137" spans="1:10" ht="13.8" x14ac:dyDescent="0.3">
      <c r="A137" s="177" t="s">
        <v>1105</v>
      </c>
      <c r="B137" s="176"/>
      <c r="C137" s="176"/>
      <c r="D137" s="2" t="s">
        <v>386</v>
      </c>
      <c r="E137" s="2">
        <v>11590</v>
      </c>
      <c r="F137" s="2">
        <v>9492</v>
      </c>
      <c r="G137" s="47">
        <v>9492</v>
      </c>
      <c r="H137" s="47">
        <v>9492</v>
      </c>
      <c r="I137" s="2"/>
      <c r="J137" s="2"/>
    </row>
    <row r="138" spans="1:10" x14ac:dyDescent="0.25">
      <c r="A138" s="176" t="s">
        <v>46</v>
      </c>
      <c r="B138" s="2">
        <v>3</v>
      </c>
      <c r="C138" s="2">
        <v>255</v>
      </c>
      <c r="D138" s="2">
        <v>765</v>
      </c>
      <c r="E138" s="2"/>
      <c r="F138" s="2"/>
      <c r="G138" s="47"/>
      <c r="H138" s="47"/>
      <c r="I138" s="2"/>
      <c r="J138" s="2"/>
    </row>
    <row r="139" spans="1:10" x14ac:dyDescent="0.25">
      <c r="A139" s="176" t="s">
        <v>1006</v>
      </c>
      <c r="B139" s="2">
        <v>3</v>
      </c>
      <c r="C139" s="2">
        <v>130</v>
      </c>
      <c r="D139" s="2">
        <v>390</v>
      </c>
      <c r="E139" s="2"/>
      <c r="F139" s="2"/>
      <c r="G139" s="47"/>
      <c r="H139" s="47"/>
      <c r="I139" s="2"/>
      <c r="J139" s="2"/>
    </row>
    <row r="140" spans="1:10" x14ac:dyDescent="0.25">
      <c r="A140" s="176" t="s">
        <v>1106</v>
      </c>
      <c r="B140" s="2">
        <v>2</v>
      </c>
      <c r="C140" s="2">
        <v>350</v>
      </c>
      <c r="D140" s="2">
        <v>700</v>
      </c>
      <c r="E140" s="2"/>
      <c r="F140" s="2"/>
      <c r="G140" s="47"/>
      <c r="H140" s="47"/>
      <c r="I140" s="2"/>
      <c r="J140" s="2"/>
    </row>
    <row r="141" spans="1:10" x14ac:dyDescent="0.25">
      <c r="A141" s="176" t="s">
        <v>936</v>
      </c>
      <c r="B141" s="2">
        <v>2</v>
      </c>
      <c r="C141" s="2">
        <v>75</v>
      </c>
      <c r="D141" s="2">
        <v>150</v>
      </c>
      <c r="E141" s="2"/>
      <c r="F141" s="2"/>
      <c r="G141" s="47"/>
      <c r="H141" s="47"/>
      <c r="I141" s="2"/>
      <c r="J141" s="2"/>
    </row>
    <row r="142" spans="1:10" x14ac:dyDescent="0.25">
      <c r="A142" s="176" t="s">
        <v>1194</v>
      </c>
      <c r="B142" s="2">
        <v>17</v>
      </c>
      <c r="C142" s="2">
        <v>260</v>
      </c>
      <c r="D142" s="2">
        <f>+C142*B142</f>
        <v>4420</v>
      </c>
      <c r="E142" s="2"/>
      <c r="F142" s="2"/>
      <c r="G142" s="47"/>
      <c r="H142" s="47"/>
      <c r="I142" s="2"/>
      <c r="J142" s="2"/>
    </row>
    <row r="143" spans="1:10" x14ac:dyDescent="0.25">
      <c r="A143" s="176" t="s">
        <v>1664</v>
      </c>
      <c r="B143" s="2">
        <v>1</v>
      </c>
      <c r="C143" s="110">
        <v>2.25</v>
      </c>
      <c r="D143" s="2">
        <v>117</v>
      </c>
      <c r="E143" s="2"/>
      <c r="F143" s="2"/>
      <c r="G143" s="47"/>
      <c r="H143" s="47"/>
      <c r="I143" s="2"/>
      <c r="J143" s="2"/>
    </row>
    <row r="144" spans="1:10" x14ac:dyDescent="0.25">
      <c r="A144" s="176" t="s">
        <v>937</v>
      </c>
      <c r="B144" s="2">
        <v>2</v>
      </c>
      <c r="C144" s="2">
        <v>75</v>
      </c>
      <c r="D144" s="2">
        <v>150</v>
      </c>
      <c r="E144" s="2"/>
      <c r="F144" s="2"/>
      <c r="G144" s="47"/>
      <c r="H144" s="47"/>
      <c r="I144" s="2"/>
      <c r="J144" s="2"/>
    </row>
    <row r="145" spans="1:10" x14ac:dyDescent="0.25">
      <c r="A145" s="176" t="s">
        <v>853</v>
      </c>
      <c r="B145" s="2">
        <v>14</v>
      </c>
      <c r="C145" s="2">
        <v>200</v>
      </c>
      <c r="D145" s="35">
        <f>+B145*C145</f>
        <v>2800</v>
      </c>
      <c r="E145" s="2"/>
      <c r="F145" s="2"/>
      <c r="G145" s="47"/>
      <c r="H145" s="47"/>
      <c r="I145" s="2"/>
      <c r="J145" s="2"/>
    </row>
    <row r="146" spans="1:10" x14ac:dyDescent="0.25">
      <c r="A146" s="176" t="s">
        <v>1182</v>
      </c>
      <c r="B146" s="176"/>
      <c r="C146" s="176"/>
      <c r="D146" s="2">
        <f>SUM(D138:D145)</f>
        <v>9492</v>
      </c>
      <c r="E146" s="2"/>
      <c r="F146" s="2"/>
      <c r="G146" s="176"/>
      <c r="H146" s="178"/>
      <c r="I146" s="2"/>
      <c r="J146" s="2"/>
    </row>
    <row r="147" spans="1:10" x14ac:dyDescent="0.25">
      <c r="A147" s="176"/>
      <c r="B147" s="176"/>
      <c r="C147" s="176"/>
      <c r="D147" s="2"/>
      <c r="E147" s="2"/>
      <c r="F147" s="2"/>
      <c r="G147" s="176"/>
      <c r="H147" s="178"/>
      <c r="I147" s="2"/>
      <c r="J147" s="2"/>
    </row>
    <row r="148" spans="1:10" ht="13.8" x14ac:dyDescent="0.3">
      <c r="A148" s="177" t="s">
        <v>358</v>
      </c>
      <c r="B148" s="176"/>
      <c r="C148" s="176"/>
      <c r="D148" s="2"/>
      <c r="E148" s="2">
        <v>27660</v>
      </c>
      <c r="F148" s="2">
        <v>28000</v>
      </c>
      <c r="G148" s="47">
        <v>28000</v>
      </c>
      <c r="H148" s="47">
        <v>28000</v>
      </c>
      <c r="I148" s="2"/>
      <c r="J148" s="2"/>
    </row>
    <row r="149" spans="1:10" x14ac:dyDescent="0.25">
      <c r="A149" s="176" t="s">
        <v>1665</v>
      </c>
      <c r="B149" s="176"/>
      <c r="C149" s="176"/>
      <c r="D149" s="2"/>
      <c r="E149" s="2"/>
      <c r="F149" s="2"/>
      <c r="G149" s="47"/>
      <c r="H149" s="47"/>
      <c r="I149" s="2"/>
      <c r="J149" s="2"/>
    </row>
    <row r="150" spans="1:10" x14ac:dyDescent="0.25">
      <c r="A150" s="176" t="s">
        <v>60</v>
      </c>
      <c r="B150" s="176"/>
      <c r="C150" s="2"/>
      <c r="D150" s="2">
        <v>28000</v>
      </c>
      <c r="E150" s="2"/>
      <c r="F150" s="2"/>
      <c r="G150" s="47"/>
      <c r="H150" s="47"/>
      <c r="I150" s="2"/>
      <c r="J150" s="2"/>
    </row>
    <row r="151" spans="1:10" x14ac:dyDescent="0.25">
      <c r="A151" s="176"/>
      <c r="B151" s="176"/>
      <c r="C151" s="2"/>
      <c r="D151" s="2"/>
      <c r="E151" s="2"/>
      <c r="F151" s="2"/>
      <c r="G151" s="47"/>
      <c r="H151" s="47"/>
      <c r="I151" s="2"/>
      <c r="J151" s="2"/>
    </row>
    <row r="152" spans="1:10" ht="13.8" x14ac:dyDescent="0.3">
      <c r="A152" s="177" t="s">
        <v>359</v>
      </c>
      <c r="B152" s="176"/>
      <c r="C152" s="2"/>
      <c r="D152" s="2"/>
      <c r="E152" s="2">
        <v>2563</v>
      </c>
      <c r="F152" s="2">
        <v>3000</v>
      </c>
      <c r="G152" s="47">
        <v>3000</v>
      </c>
      <c r="H152" s="47">
        <v>3000</v>
      </c>
      <c r="I152" s="2"/>
      <c r="J152" s="2"/>
    </row>
    <row r="153" spans="1:10" x14ac:dyDescent="0.25">
      <c r="A153" s="176" t="s">
        <v>1289</v>
      </c>
      <c r="B153" s="176"/>
      <c r="C153" s="2"/>
      <c r="D153" s="2">
        <v>3000</v>
      </c>
      <c r="E153" s="2"/>
      <c r="F153" s="2"/>
      <c r="G153" s="47"/>
      <c r="H153" s="47"/>
      <c r="I153" s="2"/>
      <c r="J153" s="2"/>
    </row>
    <row r="154" spans="1:10" x14ac:dyDescent="0.25">
      <c r="A154" s="176"/>
      <c r="B154" s="176"/>
      <c r="C154" s="2"/>
      <c r="D154" s="2"/>
      <c r="E154" s="2"/>
      <c r="F154" s="2"/>
      <c r="G154" s="47"/>
      <c r="H154" s="47"/>
      <c r="I154" s="2"/>
      <c r="J154" s="2"/>
    </row>
    <row r="155" spans="1:10" ht="13.8" x14ac:dyDescent="0.3">
      <c r="A155" s="177" t="s">
        <v>810</v>
      </c>
      <c r="B155" s="176"/>
      <c r="C155" s="2"/>
      <c r="D155" s="2"/>
      <c r="E155" s="2">
        <v>2063</v>
      </c>
      <c r="F155" s="2">
        <v>2000</v>
      </c>
      <c r="G155" s="47">
        <v>2100</v>
      </c>
      <c r="H155" s="47">
        <v>2100</v>
      </c>
      <c r="I155" s="2"/>
      <c r="J155" s="2"/>
    </row>
    <row r="156" spans="1:10" x14ac:dyDescent="0.25">
      <c r="A156" s="176" t="s">
        <v>1666</v>
      </c>
      <c r="B156" s="176"/>
      <c r="C156" s="2"/>
      <c r="D156" s="2">
        <v>2100</v>
      </c>
      <c r="E156" s="2"/>
      <c r="F156" s="2"/>
      <c r="G156" s="47"/>
      <c r="H156" s="47"/>
      <c r="I156" s="2"/>
      <c r="J156" s="2"/>
    </row>
    <row r="157" spans="1:10" x14ac:dyDescent="0.25">
      <c r="A157" s="176"/>
      <c r="B157" s="176"/>
      <c r="C157" s="2"/>
      <c r="D157" s="2"/>
      <c r="E157" s="2"/>
      <c r="F157" s="2"/>
      <c r="G157" s="47"/>
      <c r="H157" s="47"/>
      <c r="I157" s="2"/>
      <c r="J157" s="2"/>
    </row>
    <row r="158" spans="1:10" ht="13.8" x14ac:dyDescent="0.3">
      <c r="A158" s="177" t="s">
        <v>344</v>
      </c>
      <c r="B158" s="176"/>
      <c r="C158" s="2"/>
      <c r="D158" s="2"/>
      <c r="E158" s="2">
        <v>375793</v>
      </c>
      <c r="F158" s="2">
        <v>433395</v>
      </c>
      <c r="G158" s="47">
        <v>380000</v>
      </c>
      <c r="H158" s="47">
        <v>410000</v>
      </c>
      <c r="I158" s="2"/>
      <c r="J158" s="2"/>
    </row>
    <row r="159" spans="1:10" x14ac:dyDescent="0.25">
      <c r="A159" s="176" t="s">
        <v>345</v>
      </c>
      <c r="B159" s="176"/>
      <c r="C159" s="2"/>
      <c r="D159" s="2">
        <v>286315</v>
      </c>
      <c r="E159" s="2"/>
      <c r="F159" s="2"/>
      <c r="G159" s="176"/>
      <c r="H159" s="178"/>
      <c r="I159" s="2"/>
      <c r="J159" s="2"/>
    </row>
    <row r="160" spans="1:10" x14ac:dyDescent="0.25">
      <c r="A160" s="176" t="s">
        <v>971</v>
      </c>
      <c r="B160" s="176"/>
      <c r="C160" s="2"/>
      <c r="D160" s="2">
        <v>7950</v>
      </c>
      <c r="E160" s="2"/>
      <c r="F160" s="2"/>
      <c r="G160" s="47"/>
      <c r="H160" s="47"/>
      <c r="I160" s="2"/>
      <c r="J160" s="2"/>
    </row>
    <row r="161" spans="1:10" x14ac:dyDescent="0.25">
      <c r="A161" s="176" t="s">
        <v>972</v>
      </c>
      <c r="B161" s="176"/>
      <c r="C161" s="2"/>
      <c r="D161" s="2">
        <v>4925</v>
      </c>
      <c r="E161" s="2"/>
      <c r="F161" s="2"/>
      <c r="G161" s="47"/>
      <c r="H161" s="47"/>
      <c r="I161" s="2"/>
      <c r="J161" s="2"/>
    </row>
    <row r="162" spans="1:10" x14ac:dyDescent="0.25">
      <c r="A162" s="176" t="s">
        <v>701</v>
      </c>
      <c r="B162" s="176"/>
      <c r="C162" s="2"/>
      <c r="D162" s="2">
        <v>2450</v>
      </c>
      <c r="E162" s="2"/>
      <c r="F162" s="2"/>
      <c r="G162" s="47"/>
      <c r="H162" s="47"/>
      <c r="I162" s="2"/>
      <c r="J162" s="2"/>
    </row>
    <row r="163" spans="1:10" x14ac:dyDescent="0.25">
      <c r="A163" s="176" t="s">
        <v>1056</v>
      </c>
      <c r="B163" s="176"/>
      <c r="C163" s="2"/>
      <c r="D163" s="2">
        <v>1840</v>
      </c>
      <c r="E163" s="2"/>
      <c r="F163" s="2"/>
      <c r="G163" s="47"/>
      <c r="H163" s="47"/>
      <c r="I163" s="2"/>
      <c r="J163" s="2"/>
    </row>
    <row r="164" spans="1:10" x14ac:dyDescent="0.25">
      <c r="A164" s="176" t="s">
        <v>1477</v>
      </c>
      <c r="B164" s="176"/>
      <c r="C164" s="2"/>
      <c r="D164" s="2">
        <v>1285</v>
      </c>
      <c r="E164" s="2"/>
      <c r="F164" s="2"/>
      <c r="G164" s="47"/>
      <c r="H164" s="47"/>
      <c r="I164" s="2"/>
      <c r="J164" s="2"/>
    </row>
    <row r="165" spans="1:10" x14ac:dyDescent="0.25">
      <c r="A165" s="176" t="s">
        <v>702</v>
      </c>
      <c r="B165" s="176"/>
      <c r="C165" s="2"/>
      <c r="D165" s="2">
        <v>1135</v>
      </c>
      <c r="E165" s="2"/>
      <c r="F165" s="2"/>
      <c r="G165" s="47"/>
      <c r="H165" s="47"/>
      <c r="I165" s="2"/>
      <c r="J165" s="2"/>
    </row>
    <row r="166" spans="1:10" x14ac:dyDescent="0.25">
      <c r="A166" s="176" t="s">
        <v>1913</v>
      </c>
      <c r="B166" s="176"/>
      <c r="C166" s="2"/>
      <c r="D166" s="2">
        <v>2090</v>
      </c>
      <c r="E166" s="2"/>
      <c r="F166" s="2"/>
      <c r="G166" s="47"/>
      <c r="H166" s="47"/>
      <c r="I166" s="2"/>
      <c r="J166" s="2"/>
    </row>
    <row r="167" spans="1:10" ht="15" x14ac:dyDescent="0.4">
      <c r="A167" s="176" t="s">
        <v>703</v>
      </c>
      <c r="B167" s="176"/>
      <c r="C167" s="11"/>
      <c r="D167" s="11">
        <v>102010</v>
      </c>
      <c r="E167" s="2"/>
      <c r="F167" s="2"/>
      <c r="G167" s="47"/>
      <c r="H167" s="47"/>
      <c r="I167" s="2"/>
      <c r="J167" s="2"/>
    </row>
    <row r="168" spans="1:10" x14ac:dyDescent="0.25">
      <c r="A168" s="176" t="s">
        <v>1182</v>
      </c>
      <c r="B168" s="176"/>
      <c r="C168" s="2"/>
      <c r="D168" s="2">
        <f>SUM(D159:D167)</f>
        <v>410000</v>
      </c>
      <c r="E168" s="2"/>
      <c r="F168" s="2"/>
      <c r="G168" s="47"/>
      <c r="H168" s="47"/>
      <c r="I168" s="2"/>
      <c r="J168" s="2"/>
    </row>
    <row r="169" spans="1:10" x14ac:dyDescent="0.25">
      <c r="A169" s="176"/>
      <c r="B169" s="176"/>
      <c r="C169" s="2"/>
      <c r="D169" s="2"/>
      <c r="E169" s="2"/>
      <c r="F169" s="2"/>
      <c r="G169" s="47"/>
      <c r="H169" s="47"/>
      <c r="I169" s="2"/>
      <c r="J169" s="2"/>
    </row>
    <row r="170" spans="1:10" ht="13.8" x14ac:dyDescent="0.3">
      <c r="A170" s="177" t="s">
        <v>376</v>
      </c>
      <c r="B170" s="176"/>
      <c r="C170" s="2"/>
      <c r="D170" s="2"/>
      <c r="E170" s="2">
        <v>49067</v>
      </c>
      <c r="F170" s="2">
        <v>74075</v>
      </c>
      <c r="G170" s="47">
        <v>55180</v>
      </c>
      <c r="H170" s="47">
        <v>55180</v>
      </c>
      <c r="I170" s="2"/>
      <c r="J170" s="2"/>
    </row>
    <row r="171" spans="1:10" x14ac:dyDescent="0.25">
      <c r="A171" s="176" t="s">
        <v>1914</v>
      </c>
      <c r="B171" s="176"/>
      <c r="C171" s="2"/>
      <c r="D171" s="2">
        <v>13200</v>
      </c>
      <c r="E171" s="2"/>
      <c r="F171" s="2"/>
      <c r="G171" s="47"/>
      <c r="H171" s="47"/>
      <c r="I171" s="2"/>
      <c r="J171" s="2"/>
    </row>
    <row r="172" spans="1:10" x14ac:dyDescent="0.25">
      <c r="A172" s="176" t="s">
        <v>1915</v>
      </c>
      <c r="B172" s="176"/>
      <c r="C172" s="2"/>
      <c r="D172" s="2">
        <v>12700</v>
      </c>
      <c r="E172" s="2"/>
      <c r="F172" s="2"/>
      <c r="G172" s="47"/>
      <c r="H172" s="47"/>
      <c r="I172" s="2"/>
      <c r="J172" s="2"/>
    </row>
    <row r="173" spans="1:10" x14ac:dyDescent="0.25">
      <c r="A173" s="176" t="s">
        <v>1146</v>
      </c>
      <c r="B173" s="176"/>
      <c r="C173" s="2"/>
      <c r="D173" s="2">
        <v>1280</v>
      </c>
      <c r="E173" s="2"/>
      <c r="F173" s="2"/>
      <c r="G173" s="47"/>
      <c r="H173" s="47"/>
      <c r="I173" s="2"/>
      <c r="J173" s="2"/>
    </row>
    <row r="174" spans="1:10" ht="15" x14ac:dyDescent="0.4">
      <c r="A174" s="176" t="s">
        <v>1047</v>
      </c>
      <c r="B174" s="176"/>
      <c r="C174" s="11"/>
      <c r="D174" s="11">
        <v>28000</v>
      </c>
      <c r="E174" s="2"/>
      <c r="F174" s="2"/>
      <c r="G174" s="47"/>
      <c r="H174" s="47"/>
      <c r="I174" s="2"/>
      <c r="J174" s="2"/>
    </row>
    <row r="175" spans="1:10" x14ac:dyDescent="0.25">
      <c r="A175" s="176" t="s">
        <v>1182</v>
      </c>
      <c r="B175" s="176"/>
      <c r="C175" s="2"/>
      <c r="D175" s="2">
        <f>SUM(D171:D174)</f>
        <v>55180</v>
      </c>
      <c r="E175" s="2"/>
      <c r="F175" s="2"/>
      <c r="G175" s="47"/>
      <c r="H175" s="47"/>
      <c r="I175" s="2"/>
      <c r="J175" s="2"/>
    </row>
    <row r="176" spans="1:10" x14ac:dyDescent="0.25">
      <c r="A176" s="176"/>
      <c r="B176" s="176"/>
      <c r="C176" s="176"/>
      <c r="D176" s="2"/>
      <c r="E176" s="2"/>
      <c r="F176" s="2"/>
      <c r="G176" s="47"/>
      <c r="H176" s="47"/>
      <c r="I176" s="2"/>
      <c r="J176" s="2"/>
    </row>
    <row r="177" spans="1:10" ht="13.8" x14ac:dyDescent="0.3">
      <c r="A177" s="177" t="s">
        <v>1048</v>
      </c>
      <c r="B177" s="176"/>
      <c r="C177" s="176"/>
      <c r="D177" s="2"/>
      <c r="E177" s="2">
        <v>2749</v>
      </c>
      <c r="F177" s="2">
        <v>2400</v>
      </c>
      <c r="G177" s="47">
        <v>3250</v>
      </c>
      <c r="H177" s="47">
        <v>3250</v>
      </c>
      <c r="I177" s="2"/>
      <c r="J177" s="2"/>
    </row>
    <row r="178" spans="1:10" x14ac:dyDescent="0.25">
      <c r="A178" s="176" t="s">
        <v>972</v>
      </c>
      <c r="B178" s="2">
        <v>400</v>
      </c>
      <c r="C178" s="12">
        <v>3.25</v>
      </c>
      <c r="D178" s="2">
        <f>+C178*B178</f>
        <v>1300</v>
      </c>
      <c r="E178" s="2"/>
      <c r="F178" s="2"/>
      <c r="G178" s="47"/>
      <c r="H178" s="47"/>
      <c r="I178" s="2"/>
      <c r="J178" s="2"/>
    </row>
    <row r="179" spans="1:10" ht="15" x14ac:dyDescent="0.4">
      <c r="A179" s="176" t="s">
        <v>1049</v>
      </c>
      <c r="B179" s="2">
        <v>600</v>
      </c>
      <c r="C179" s="12">
        <v>3.25</v>
      </c>
      <c r="D179" s="11">
        <f>B179*C179</f>
        <v>1950</v>
      </c>
      <c r="E179" s="2"/>
      <c r="F179" s="2"/>
      <c r="G179" s="47"/>
      <c r="H179" s="47"/>
      <c r="I179" s="2"/>
      <c r="J179" s="2"/>
    </row>
    <row r="180" spans="1:10" x14ac:dyDescent="0.25">
      <c r="A180" s="176" t="s">
        <v>1182</v>
      </c>
      <c r="B180" s="176"/>
      <c r="C180" s="176"/>
      <c r="D180" s="2">
        <f>SUM(D178:D179)</f>
        <v>3250</v>
      </c>
      <c r="E180" s="2"/>
      <c r="F180" s="2"/>
      <c r="G180" s="176"/>
      <c r="H180" s="178"/>
      <c r="I180" s="2"/>
      <c r="J180" s="2"/>
    </row>
    <row r="181" spans="1:10" x14ac:dyDescent="0.25">
      <c r="A181" s="176"/>
      <c r="B181" s="176"/>
      <c r="C181" s="176"/>
      <c r="D181" s="2"/>
      <c r="E181" s="2"/>
      <c r="F181" s="2"/>
      <c r="G181" s="176"/>
      <c r="H181" s="178"/>
      <c r="I181" s="2"/>
      <c r="J181" s="2"/>
    </row>
    <row r="182" spans="1:10" ht="13.8" x14ac:dyDescent="0.3">
      <c r="A182" s="15" t="s">
        <v>214</v>
      </c>
      <c r="B182" s="176"/>
      <c r="C182" s="176"/>
      <c r="D182" s="2"/>
      <c r="E182" s="2">
        <v>10190</v>
      </c>
      <c r="F182" s="2">
        <v>10000</v>
      </c>
      <c r="G182" s="47">
        <v>10479</v>
      </c>
      <c r="H182" s="47">
        <v>10479</v>
      </c>
      <c r="I182" s="2"/>
      <c r="J182" s="2"/>
    </row>
    <row r="183" spans="1:10" x14ac:dyDescent="0.25">
      <c r="A183" s="176" t="s">
        <v>1147</v>
      </c>
      <c r="B183" s="176"/>
      <c r="C183" s="2"/>
      <c r="D183" s="2">
        <v>2200</v>
      </c>
      <c r="E183" s="2"/>
      <c r="F183" s="2"/>
      <c r="G183" s="47"/>
      <c r="H183" s="47"/>
      <c r="I183" s="2"/>
      <c r="J183" s="2"/>
    </row>
    <row r="184" spans="1:10" x14ac:dyDescent="0.25">
      <c r="A184" s="176" t="s">
        <v>1148</v>
      </c>
      <c r="B184" s="176"/>
      <c r="C184" s="2"/>
      <c r="D184" s="2">
        <v>1950</v>
      </c>
      <c r="E184" s="2"/>
      <c r="F184" s="2"/>
      <c r="G184" s="47"/>
      <c r="H184" s="47"/>
      <c r="I184" s="2"/>
      <c r="J184" s="2"/>
    </row>
    <row r="185" spans="1:10" x14ac:dyDescent="0.25">
      <c r="A185" s="176" t="s">
        <v>1149</v>
      </c>
      <c r="B185" s="176"/>
      <c r="C185" s="2"/>
      <c r="D185" s="2">
        <v>2000</v>
      </c>
      <c r="E185" s="2"/>
      <c r="F185" s="2"/>
      <c r="G185" s="47"/>
      <c r="H185" s="47"/>
      <c r="I185" s="2"/>
      <c r="J185" s="2"/>
    </row>
    <row r="186" spans="1:10" x14ac:dyDescent="0.25">
      <c r="A186" s="176" t="s">
        <v>1327</v>
      </c>
      <c r="B186" s="176"/>
      <c r="C186" s="2"/>
      <c r="D186" s="2">
        <v>349</v>
      </c>
      <c r="E186" s="2"/>
      <c r="F186" s="2"/>
      <c r="G186" s="47"/>
      <c r="H186" s="47"/>
      <c r="I186" s="2"/>
      <c r="J186" s="2"/>
    </row>
    <row r="187" spans="1:10" x14ac:dyDescent="0.25">
      <c r="A187" s="176" t="s">
        <v>1150</v>
      </c>
      <c r="B187" s="176"/>
      <c r="C187" s="2"/>
      <c r="D187" s="2">
        <v>1420</v>
      </c>
      <c r="E187" s="2"/>
      <c r="F187" s="2"/>
      <c r="G187" s="47"/>
      <c r="H187" s="47"/>
      <c r="I187" s="2"/>
      <c r="J187" s="2"/>
    </row>
    <row r="188" spans="1:10" x14ac:dyDescent="0.25">
      <c r="A188" s="176" t="s">
        <v>1505</v>
      </c>
      <c r="B188" s="176"/>
      <c r="C188" s="2"/>
      <c r="D188" s="2">
        <v>1400</v>
      </c>
      <c r="E188" s="2"/>
      <c r="F188" s="2"/>
      <c r="G188" s="47"/>
      <c r="H188" s="47"/>
      <c r="I188" s="2"/>
      <c r="J188" s="2"/>
    </row>
    <row r="189" spans="1:10" ht="15" x14ac:dyDescent="0.4">
      <c r="A189" s="176" t="s">
        <v>1667</v>
      </c>
      <c r="B189" s="176"/>
      <c r="C189" s="11"/>
      <c r="D189" s="11">
        <v>1160</v>
      </c>
      <c r="E189" s="2"/>
      <c r="F189" s="2"/>
      <c r="G189" s="47"/>
      <c r="H189" s="47"/>
      <c r="I189" s="2"/>
      <c r="J189" s="2"/>
    </row>
    <row r="190" spans="1:10" x14ac:dyDescent="0.25">
      <c r="A190" s="176" t="s">
        <v>1182</v>
      </c>
      <c r="B190" s="176"/>
      <c r="C190" s="2"/>
      <c r="D190" s="2">
        <f>SUM(D183:D189)</f>
        <v>10479</v>
      </c>
      <c r="E190" s="2"/>
      <c r="F190" s="2"/>
      <c r="G190" s="47"/>
      <c r="H190" s="47"/>
      <c r="I190" s="2"/>
      <c r="J190" s="2"/>
    </row>
    <row r="191" spans="1:10" x14ac:dyDescent="0.25">
      <c r="A191" s="176"/>
      <c r="B191" s="176"/>
      <c r="C191" s="2"/>
      <c r="D191" s="2"/>
      <c r="E191" s="2"/>
      <c r="F191" s="2"/>
      <c r="G191" s="47"/>
      <c r="H191" s="47"/>
      <c r="I191" s="2"/>
      <c r="J191" s="2"/>
    </row>
    <row r="192" spans="1:10" ht="13.8" x14ac:dyDescent="0.3">
      <c r="A192" s="177" t="s">
        <v>349</v>
      </c>
      <c r="B192" s="176"/>
      <c r="C192" s="2"/>
      <c r="D192" s="2"/>
      <c r="E192" s="2">
        <v>37065</v>
      </c>
      <c r="F192" s="2">
        <v>45000</v>
      </c>
      <c r="G192" s="47">
        <v>55000</v>
      </c>
      <c r="H192" s="47">
        <v>55000</v>
      </c>
      <c r="I192" s="2"/>
      <c r="J192" s="2"/>
    </row>
    <row r="193" spans="1:10" x14ac:dyDescent="0.25">
      <c r="A193" s="176" t="s">
        <v>2111</v>
      </c>
      <c r="B193" s="176"/>
      <c r="C193" s="2"/>
      <c r="D193" s="2">
        <v>55000</v>
      </c>
      <c r="E193" s="2"/>
      <c r="F193" s="2"/>
      <c r="G193" s="47"/>
      <c r="H193" s="47"/>
      <c r="I193" s="2"/>
      <c r="J193" s="2"/>
    </row>
    <row r="194" spans="1:10" x14ac:dyDescent="0.25">
      <c r="A194" s="176"/>
      <c r="B194" s="176"/>
      <c r="C194" s="176"/>
      <c r="D194" s="2"/>
      <c r="E194" s="2"/>
      <c r="F194" s="2"/>
      <c r="G194" s="47"/>
      <c r="H194" s="47"/>
      <c r="I194" s="2"/>
      <c r="J194" s="2"/>
    </row>
    <row r="195" spans="1:10" ht="13.8" x14ac:dyDescent="0.3">
      <c r="A195" s="177" t="s">
        <v>603</v>
      </c>
      <c r="B195" s="176"/>
      <c r="C195" s="176"/>
      <c r="D195" s="2"/>
      <c r="E195" s="2">
        <v>26681</v>
      </c>
      <c r="F195" s="2">
        <v>42950</v>
      </c>
      <c r="G195" s="47">
        <v>31963</v>
      </c>
      <c r="H195" s="47">
        <v>31963</v>
      </c>
      <c r="I195" s="2"/>
      <c r="J195" s="2"/>
    </row>
    <row r="196" spans="1:10" x14ac:dyDescent="0.25">
      <c r="A196" s="176" t="s">
        <v>1219</v>
      </c>
      <c r="B196" s="2">
        <v>1025</v>
      </c>
      <c r="C196" s="12">
        <v>2.5</v>
      </c>
      <c r="D196" s="2">
        <f>+C196*B196</f>
        <v>2562.5</v>
      </c>
      <c r="E196" s="2"/>
      <c r="F196" s="2"/>
      <c r="G196" s="47"/>
      <c r="H196" s="47"/>
      <c r="I196" s="2"/>
      <c r="J196" s="2"/>
    </row>
    <row r="197" spans="1:10" x14ac:dyDescent="0.25">
      <c r="A197" s="176" t="s">
        <v>1916</v>
      </c>
      <c r="B197" s="2">
        <v>9500</v>
      </c>
      <c r="C197" s="12">
        <v>2.8</v>
      </c>
      <c r="D197" s="2">
        <f>+C197*B197</f>
        <v>26600</v>
      </c>
      <c r="E197" s="2"/>
      <c r="F197" s="2"/>
      <c r="G197" s="47"/>
      <c r="H197" s="47"/>
      <c r="I197" s="2"/>
      <c r="J197" s="2"/>
    </row>
    <row r="198" spans="1:10" ht="15" x14ac:dyDescent="0.4">
      <c r="A198" s="176" t="s">
        <v>1295</v>
      </c>
      <c r="B198" s="2">
        <v>1000</v>
      </c>
      <c r="C198" s="12">
        <v>2.8</v>
      </c>
      <c r="D198" s="11">
        <f>+C198*B198</f>
        <v>2800</v>
      </c>
      <c r="E198" s="2"/>
      <c r="F198" s="2"/>
      <c r="G198" s="47"/>
      <c r="H198" s="47"/>
      <c r="I198" s="2"/>
      <c r="J198" s="2"/>
    </row>
    <row r="199" spans="1:10" x14ac:dyDescent="0.25">
      <c r="A199" s="176" t="s">
        <v>1182</v>
      </c>
      <c r="B199" s="176"/>
      <c r="C199" s="176"/>
      <c r="D199" s="2">
        <f>SUM(D196:D198)</f>
        <v>31962.5</v>
      </c>
      <c r="E199" s="2"/>
      <c r="F199" s="2"/>
      <c r="G199" s="47"/>
      <c r="H199" s="47"/>
      <c r="I199" s="2"/>
      <c r="J199" s="2"/>
    </row>
    <row r="200" spans="1:10" x14ac:dyDescent="0.25">
      <c r="A200" s="176"/>
      <c r="B200" s="176"/>
      <c r="C200" s="176"/>
      <c r="D200" s="2"/>
      <c r="E200" s="2"/>
      <c r="F200" s="2"/>
      <c r="G200" s="47"/>
      <c r="H200" s="47"/>
      <c r="I200" s="2"/>
      <c r="J200" s="2"/>
    </row>
    <row r="201" spans="1:10" ht="13.8" x14ac:dyDescent="0.3">
      <c r="A201" s="177" t="s">
        <v>1363</v>
      </c>
      <c r="B201" s="176"/>
      <c r="C201" s="176"/>
      <c r="D201" s="2"/>
      <c r="E201" s="2">
        <v>9843</v>
      </c>
      <c r="F201" s="2">
        <v>8362</v>
      </c>
      <c r="G201" s="47">
        <v>8535</v>
      </c>
      <c r="H201" s="47">
        <v>8535</v>
      </c>
      <c r="I201" s="2"/>
      <c r="J201" s="2"/>
    </row>
    <row r="202" spans="1:10" x14ac:dyDescent="0.25">
      <c r="A202" s="176" t="s">
        <v>897</v>
      </c>
      <c r="B202" s="176"/>
      <c r="C202" s="2"/>
      <c r="D202" s="2">
        <v>3491</v>
      </c>
      <c r="E202" s="2"/>
      <c r="F202" s="2"/>
      <c r="G202" s="47"/>
      <c r="H202" s="47"/>
      <c r="I202" s="2"/>
      <c r="J202" s="2"/>
    </row>
    <row r="203" spans="1:10" x14ac:dyDescent="0.25">
      <c r="A203" s="176" t="s">
        <v>2112</v>
      </c>
      <c r="B203" s="176"/>
      <c r="C203" s="2"/>
      <c r="D203" s="2">
        <f>4287+612</f>
        <v>4899</v>
      </c>
      <c r="E203" s="2"/>
      <c r="F203" s="2"/>
      <c r="G203" s="47"/>
      <c r="H203" s="47"/>
      <c r="I203" s="2"/>
      <c r="J203" s="2"/>
    </row>
    <row r="204" spans="1:10" ht="15" x14ac:dyDescent="0.4">
      <c r="A204" s="176" t="s">
        <v>169</v>
      </c>
      <c r="B204" s="2" t="s">
        <v>386</v>
      </c>
      <c r="C204" s="11">
        <v>136</v>
      </c>
      <c r="D204" s="11">
        <v>145</v>
      </c>
      <c r="E204" s="2"/>
      <c r="F204" s="2"/>
      <c r="G204" s="47"/>
      <c r="H204" s="47"/>
      <c r="I204" s="2"/>
      <c r="J204" s="2"/>
    </row>
    <row r="205" spans="1:10" x14ac:dyDescent="0.25">
      <c r="A205" s="176" t="s">
        <v>1182</v>
      </c>
      <c r="B205" s="176"/>
      <c r="C205" s="2"/>
      <c r="D205" s="2">
        <f>SUM(D202:D204)</f>
        <v>8535</v>
      </c>
      <c r="E205" s="2"/>
      <c r="F205" s="2"/>
      <c r="G205" s="47"/>
      <c r="H205" s="47"/>
      <c r="I205" s="2"/>
      <c r="J205" s="2"/>
    </row>
    <row r="206" spans="1:10" x14ac:dyDescent="0.25">
      <c r="A206" s="176"/>
      <c r="B206" s="176"/>
      <c r="C206" s="2"/>
      <c r="D206" s="2"/>
      <c r="E206" s="2"/>
      <c r="F206" s="2"/>
      <c r="G206" s="47"/>
      <c r="H206" s="47"/>
      <c r="I206" s="2"/>
      <c r="J206" s="2"/>
    </row>
    <row r="207" spans="1:10" ht="13.8" x14ac:dyDescent="0.3">
      <c r="A207" s="177" t="s">
        <v>1030</v>
      </c>
      <c r="B207" s="176"/>
      <c r="C207" s="8" t="s">
        <v>386</v>
      </c>
      <c r="D207" s="8" t="s">
        <v>386</v>
      </c>
      <c r="E207" s="2">
        <v>5775</v>
      </c>
      <c r="F207" s="2">
        <v>4918</v>
      </c>
      <c r="G207" s="47">
        <v>4918</v>
      </c>
      <c r="H207" s="47">
        <v>4918</v>
      </c>
      <c r="I207" s="2"/>
      <c r="J207" s="2"/>
    </row>
    <row r="208" spans="1:10" x14ac:dyDescent="0.25">
      <c r="A208" s="176" t="s">
        <v>334</v>
      </c>
      <c r="B208" s="2" t="s">
        <v>386</v>
      </c>
      <c r="C208" s="2"/>
      <c r="D208" s="2">
        <v>375</v>
      </c>
      <c r="E208" s="2"/>
      <c r="F208" s="2"/>
      <c r="G208" s="47"/>
      <c r="H208" s="47"/>
      <c r="I208" s="2"/>
      <c r="J208" s="2"/>
    </row>
    <row r="209" spans="1:10" x14ac:dyDescent="0.25">
      <c r="A209" s="176" t="s">
        <v>836</v>
      </c>
      <c r="B209" s="2"/>
      <c r="C209" s="2"/>
      <c r="D209" s="2">
        <v>2773</v>
      </c>
      <c r="E209" s="2"/>
      <c r="F209" s="2"/>
      <c r="G209" s="47"/>
      <c r="H209" s="47"/>
      <c r="I209" s="2"/>
      <c r="J209" s="2"/>
    </row>
    <row r="210" spans="1:10" x14ac:dyDescent="0.25">
      <c r="A210" s="176" t="s">
        <v>170</v>
      </c>
      <c r="B210" s="2"/>
      <c r="C210" s="2"/>
      <c r="D210" s="2">
        <v>450</v>
      </c>
      <c r="E210" s="2"/>
      <c r="F210" s="2"/>
      <c r="G210" s="47"/>
      <c r="H210" s="47"/>
      <c r="I210" s="2"/>
      <c r="J210" s="2"/>
    </row>
    <row r="211" spans="1:10" ht="15" x14ac:dyDescent="0.4">
      <c r="A211" s="176" t="s">
        <v>335</v>
      </c>
      <c r="B211" s="2"/>
      <c r="C211" s="2"/>
      <c r="D211" s="11">
        <v>900</v>
      </c>
      <c r="E211" s="2"/>
      <c r="F211" s="2"/>
      <c r="G211" s="47"/>
      <c r="H211" s="47"/>
      <c r="I211" s="2"/>
      <c r="J211" s="2"/>
    </row>
    <row r="212" spans="1:10" ht="15" hidden="1" x14ac:dyDescent="0.4">
      <c r="A212" s="176" t="s">
        <v>837</v>
      </c>
      <c r="B212" s="2"/>
      <c r="C212" s="11"/>
      <c r="D212" s="11">
        <v>420</v>
      </c>
      <c r="E212" s="2"/>
      <c r="F212" s="2"/>
      <c r="G212" s="47"/>
      <c r="H212" s="47"/>
      <c r="I212" s="2"/>
      <c r="J212" s="2"/>
    </row>
    <row r="213" spans="1:10" x14ac:dyDescent="0.25">
      <c r="A213" s="176" t="s">
        <v>1182</v>
      </c>
      <c r="B213" s="2"/>
      <c r="C213" s="2"/>
      <c r="D213" s="2">
        <f>SUM(D208:D212)</f>
        <v>4918</v>
      </c>
      <c r="E213" s="2"/>
      <c r="F213" s="2"/>
      <c r="G213" s="176"/>
      <c r="H213" s="178"/>
      <c r="I213" s="2"/>
      <c r="J213" s="2"/>
    </row>
    <row r="214" spans="1:10" x14ac:dyDescent="0.25">
      <c r="A214" s="176" t="s">
        <v>386</v>
      </c>
      <c r="B214" s="176"/>
      <c r="C214" s="2" t="s">
        <v>386</v>
      </c>
      <c r="D214" s="2" t="s">
        <v>386</v>
      </c>
      <c r="E214" s="2"/>
      <c r="F214" s="2"/>
      <c r="G214" s="176"/>
      <c r="H214" s="178"/>
      <c r="I214" s="2"/>
      <c r="J214" s="2"/>
    </row>
    <row r="215" spans="1:10" ht="13.8" x14ac:dyDescent="0.3">
      <c r="A215" s="17" t="s">
        <v>830</v>
      </c>
      <c r="B215" s="176"/>
      <c r="C215" s="2"/>
      <c r="D215" s="2"/>
      <c r="E215" s="2">
        <v>54694</v>
      </c>
      <c r="F215" s="2">
        <v>53813</v>
      </c>
      <c r="G215" s="47">
        <v>60165</v>
      </c>
      <c r="H215" s="47">
        <v>60165</v>
      </c>
      <c r="I215" s="2"/>
      <c r="J215" s="2"/>
    </row>
    <row r="216" spans="1:10" x14ac:dyDescent="0.25">
      <c r="A216" s="176" t="s">
        <v>1640</v>
      </c>
      <c r="B216" s="176"/>
      <c r="C216" s="2"/>
      <c r="D216" s="2">
        <v>60165</v>
      </c>
      <c r="E216" s="2"/>
      <c r="F216" s="2"/>
      <c r="G216" s="176"/>
      <c r="H216" s="178"/>
      <c r="I216" s="2"/>
      <c r="J216" s="2"/>
    </row>
    <row r="217" spans="1:10" x14ac:dyDescent="0.25">
      <c r="A217" s="176"/>
      <c r="B217" s="176"/>
      <c r="C217" s="2"/>
      <c r="D217" s="2"/>
      <c r="E217" s="2"/>
      <c r="F217" s="2"/>
      <c r="G217" s="47"/>
      <c r="H217" s="47"/>
      <c r="I217" s="2"/>
      <c r="J217" s="2"/>
    </row>
    <row r="218" spans="1:10" x14ac:dyDescent="0.25">
      <c r="A218" s="176"/>
      <c r="B218" s="176"/>
      <c r="C218" s="2"/>
      <c r="D218" s="2"/>
      <c r="E218" s="2"/>
      <c r="F218" s="2"/>
      <c r="G218" s="47"/>
      <c r="H218" s="47"/>
      <c r="I218" s="2"/>
      <c r="J218" s="2"/>
    </row>
    <row r="219" spans="1:10" ht="13.8" x14ac:dyDescent="0.3">
      <c r="A219" s="177" t="s">
        <v>993</v>
      </c>
      <c r="B219" s="176"/>
      <c r="C219" s="2"/>
      <c r="D219" s="2"/>
      <c r="E219" s="2">
        <v>1142</v>
      </c>
      <c r="F219" s="2">
        <v>2500</v>
      </c>
      <c r="G219" s="47">
        <v>2500</v>
      </c>
      <c r="H219" s="47">
        <v>2500</v>
      </c>
      <c r="I219" s="2"/>
      <c r="J219" s="2"/>
    </row>
    <row r="220" spans="1:10" x14ac:dyDescent="0.25">
      <c r="A220" s="176" t="s">
        <v>1917</v>
      </c>
      <c r="B220" s="176"/>
      <c r="C220" s="2" t="s">
        <v>386</v>
      </c>
      <c r="D220" s="2" t="s">
        <v>386</v>
      </c>
      <c r="E220" s="2"/>
      <c r="F220" s="2"/>
      <c r="G220" s="47"/>
      <c r="H220" s="47"/>
      <c r="I220" s="2"/>
      <c r="J220" s="2"/>
    </row>
    <row r="221" spans="1:10" x14ac:dyDescent="0.25">
      <c r="A221" s="176" t="s">
        <v>1668</v>
      </c>
      <c r="B221" s="176"/>
      <c r="C221" s="2"/>
      <c r="D221" s="2">
        <v>2500</v>
      </c>
      <c r="E221" s="2"/>
      <c r="F221" s="2"/>
      <c r="G221" s="47"/>
      <c r="H221" s="47"/>
      <c r="I221" s="2"/>
      <c r="J221" s="2"/>
    </row>
    <row r="222" spans="1:10" x14ac:dyDescent="0.25">
      <c r="A222" s="176"/>
      <c r="B222" s="176"/>
      <c r="C222" s="2"/>
      <c r="D222" s="2"/>
      <c r="E222" s="2"/>
      <c r="F222" s="2"/>
      <c r="G222" s="47"/>
      <c r="H222" s="47"/>
      <c r="I222" s="2"/>
      <c r="J222" s="2"/>
    </row>
    <row r="223" spans="1:10" ht="13.8" x14ac:dyDescent="0.3">
      <c r="A223" s="177" t="s">
        <v>630</v>
      </c>
      <c r="B223" s="176" t="s">
        <v>61</v>
      </c>
      <c r="C223" s="2" t="s">
        <v>62</v>
      </c>
      <c r="D223" s="2" t="s">
        <v>63</v>
      </c>
      <c r="E223" s="2">
        <v>71243</v>
      </c>
      <c r="F223" s="2">
        <v>75125</v>
      </c>
      <c r="G223" s="47">
        <v>99250</v>
      </c>
      <c r="H223" s="47">
        <v>99250</v>
      </c>
      <c r="I223" s="2"/>
      <c r="J223" s="2"/>
    </row>
    <row r="224" spans="1:10" x14ac:dyDescent="0.25">
      <c r="A224" s="176" t="s">
        <v>64</v>
      </c>
      <c r="B224" s="176">
        <v>0.8</v>
      </c>
      <c r="C224" s="2">
        <v>30000</v>
      </c>
      <c r="D224" s="2">
        <f>B224*C224</f>
        <v>24000</v>
      </c>
      <c r="E224" s="2"/>
      <c r="F224" s="2"/>
      <c r="G224" s="176"/>
      <c r="H224" s="178"/>
      <c r="I224" s="2"/>
      <c r="J224" s="2"/>
    </row>
    <row r="225" spans="1:10" x14ac:dyDescent="0.25">
      <c r="A225" s="176" t="s">
        <v>65</v>
      </c>
      <c r="B225" s="176">
        <v>0.3</v>
      </c>
      <c r="C225" s="2">
        <v>15000</v>
      </c>
      <c r="D225" s="2">
        <f>B225*C225</f>
        <v>4500</v>
      </c>
      <c r="E225" s="2"/>
      <c r="F225" s="2"/>
      <c r="G225" s="47"/>
      <c r="H225" s="47"/>
      <c r="I225" s="2"/>
      <c r="J225" s="2"/>
    </row>
    <row r="226" spans="1:10" x14ac:dyDescent="0.25">
      <c r="A226" s="176" t="s">
        <v>987</v>
      </c>
      <c r="B226" s="176">
        <v>0.95</v>
      </c>
      <c r="C226" s="2">
        <v>14000</v>
      </c>
      <c r="D226" s="2">
        <f>B226*C226</f>
        <v>13300</v>
      </c>
      <c r="E226" s="2"/>
      <c r="F226" s="2"/>
      <c r="G226" s="47"/>
      <c r="H226" s="47"/>
      <c r="I226" s="2"/>
      <c r="J226" s="2"/>
    </row>
    <row r="227" spans="1:10" x14ac:dyDescent="0.25">
      <c r="A227" s="176" t="s">
        <v>631</v>
      </c>
      <c r="B227" s="176">
        <v>0.15</v>
      </c>
      <c r="C227" s="2">
        <v>383000</v>
      </c>
      <c r="D227" s="2">
        <f>B227*C227</f>
        <v>57450</v>
      </c>
      <c r="E227" s="2"/>
      <c r="F227" s="2"/>
      <c r="G227" s="47"/>
      <c r="H227" s="47"/>
      <c r="I227" s="2"/>
      <c r="J227" s="2"/>
    </row>
    <row r="228" spans="1:10" ht="15" x14ac:dyDescent="0.4">
      <c r="A228" s="176"/>
      <c r="B228" s="176"/>
      <c r="C228" s="11"/>
      <c r="D228" s="11">
        <f>B228*C228</f>
        <v>0</v>
      </c>
      <c r="E228" s="2"/>
      <c r="F228" s="2"/>
      <c r="G228" s="47"/>
      <c r="H228" s="47"/>
      <c r="I228" s="2"/>
      <c r="J228" s="2"/>
    </row>
    <row r="229" spans="1:10" x14ac:dyDescent="0.25">
      <c r="A229" s="176" t="s">
        <v>1182</v>
      </c>
      <c r="B229" s="176"/>
      <c r="C229" s="2"/>
      <c r="D229" s="2">
        <f>SUM(D224:D228)</f>
        <v>99250</v>
      </c>
      <c r="E229" s="2"/>
      <c r="F229" s="2"/>
      <c r="G229" s="47"/>
      <c r="H229" s="47"/>
      <c r="I229" s="2"/>
      <c r="J229" s="2"/>
    </row>
    <row r="230" spans="1:10" x14ac:dyDescent="0.25">
      <c r="A230" s="176"/>
      <c r="B230" s="176"/>
      <c r="C230" s="176"/>
      <c r="D230" s="176"/>
      <c r="E230" s="176"/>
      <c r="F230" s="2"/>
      <c r="G230" s="176"/>
      <c r="H230" s="178"/>
      <c r="I230" s="2"/>
      <c r="J230" s="2"/>
    </row>
    <row r="231" spans="1:10" ht="15" x14ac:dyDescent="0.4">
      <c r="A231" s="177" t="s">
        <v>1124</v>
      </c>
      <c r="B231" s="176" t="s">
        <v>61</v>
      </c>
      <c r="C231" s="11" t="s">
        <v>1151</v>
      </c>
      <c r="D231" s="11"/>
      <c r="E231" s="2">
        <v>268325</v>
      </c>
      <c r="F231" s="2">
        <v>248000</v>
      </c>
      <c r="G231" s="47">
        <v>248000</v>
      </c>
      <c r="H231" s="47">
        <v>248000</v>
      </c>
      <c r="I231" s="2"/>
      <c r="J231" s="2"/>
    </row>
    <row r="232" spans="1:10" x14ac:dyDescent="0.25">
      <c r="A232" s="176" t="s">
        <v>1918</v>
      </c>
      <c r="B232" s="176">
        <v>13.5</v>
      </c>
      <c r="C232" s="2">
        <v>18371</v>
      </c>
      <c r="D232" s="2">
        <v>248000</v>
      </c>
      <c r="E232" s="2"/>
      <c r="F232" s="2"/>
      <c r="G232" s="47"/>
      <c r="H232" s="47"/>
      <c r="I232" s="2"/>
      <c r="J232" s="2"/>
    </row>
    <row r="233" spans="1:10" ht="15" x14ac:dyDescent="0.4">
      <c r="A233" s="176"/>
      <c r="B233" s="176"/>
      <c r="C233" s="2"/>
      <c r="D233" s="11"/>
      <c r="E233" s="2"/>
      <c r="F233" s="2"/>
      <c r="G233" s="47"/>
      <c r="H233" s="47"/>
      <c r="I233" s="2"/>
      <c r="J233" s="2"/>
    </row>
    <row r="234" spans="1:10" x14ac:dyDescent="0.25">
      <c r="A234" s="176" t="s">
        <v>1182</v>
      </c>
      <c r="B234" s="176"/>
      <c r="C234" s="2"/>
      <c r="D234" s="2">
        <v>248000</v>
      </c>
      <c r="E234" s="2"/>
      <c r="F234" s="2"/>
      <c r="G234" s="47"/>
      <c r="H234" s="47"/>
      <c r="I234" s="2"/>
      <c r="J234" s="2"/>
    </row>
    <row r="235" spans="1:10" x14ac:dyDescent="0.25">
      <c r="A235" s="176"/>
      <c r="B235" s="176"/>
      <c r="C235" s="2"/>
      <c r="D235" s="2"/>
      <c r="E235" s="2"/>
      <c r="F235" s="2"/>
      <c r="G235" s="47"/>
      <c r="H235" s="47"/>
      <c r="I235" s="2"/>
      <c r="J235" s="2"/>
    </row>
    <row r="236" spans="1:10" ht="13.8" x14ac:dyDescent="0.3">
      <c r="A236" s="177" t="s">
        <v>1125</v>
      </c>
      <c r="B236" s="176"/>
      <c r="C236" s="2"/>
      <c r="D236" s="2"/>
      <c r="E236" s="2">
        <v>34068</v>
      </c>
      <c r="F236" s="2">
        <v>8800</v>
      </c>
      <c r="G236" s="47">
        <v>16000</v>
      </c>
      <c r="H236" s="47">
        <v>16000</v>
      </c>
      <c r="I236" s="2"/>
      <c r="J236" s="2"/>
    </row>
    <row r="237" spans="1:10" x14ac:dyDescent="0.25">
      <c r="A237" s="176" t="s">
        <v>1221</v>
      </c>
      <c r="B237" s="176"/>
      <c r="C237" s="2"/>
      <c r="D237" s="2">
        <v>2000</v>
      </c>
      <c r="E237" s="2"/>
      <c r="F237" s="2"/>
      <c r="G237" s="47"/>
      <c r="H237" s="47"/>
      <c r="I237" s="2"/>
      <c r="J237" s="2"/>
    </row>
    <row r="238" spans="1:10" x14ac:dyDescent="0.25">
      <c r="A238" s="176" t="s">
        <v>1222</v>
      </c>
      <c r="B238" s="176"/>
      <c r="C238" s="2"/>
      <c r="D238" s="2">
        <v>1000</v>
      </c>
      <c r="E238" s="2"/>
      <c r="F238" s="2"/>
      <c r="G238" s="47"/>
      <c r="H238" s="47"/>
      <c r="I238" s="2"/>
      <c r="J238" s="2"/>
    </row>
    <row r="239" spans="1:10" ht="15" x14ac:dyDescent="0.4">
      <c r="A239" s="176" t="s">
        <v>1223</v>
      </c>
      <c r="B239" s="176"/>
      <c r="C239" s="11"/>
      <c r="D239" s="2">
        <v>3000</v>
      </c>
      <c r="E239" s="2"/>
      <c r="F239" s="2"/>
      <c r="G239" s="47"/>
      <c r="H239" s="47"/>
      <c r="I239" s="2"/>
      <c r="J239" s="2"/>
    </row>
    <row r="240" spans="1:10" ht="15" x14ac:dyDescent="0.4">
      <c r="A240" s="176" t="s">
        <v>2113</v>
      </c>
      <c r="B240" s="176"/>
      <c r="C240" s="11"/>
      <c r="D240" s="35">
        <v>10000</v>
      </c>
      <c r="E240" s="2"/>
      <c r="F240" s="2"/>
      <c r="G240" s="47"/>
      <c r="H240" s="47"/>
      <c r="I240" s="2"/>
      <c r="J240" s="2"/>
    </row>
    <row r="241" spans="1:10" x14ac:dyDescent="0.25">
      <c r="A241" s="176" t="s">
        <v>1182</v>
      </c>
      <c r="B241" s="176"/>
      <c r="C241" s="2"/>
      <c r="D241" s="2">
        <f>SUM(D237:D240)</f>
        <v>16000</v>
      </c>
      <c r="E241" s="2"/>
      <c r="F241" s="2"/>
      <c r="G241" s="47"/>
      <c r="H241" s="47"/>
      <c r="I241" s="2"/>
      <c r="J241" s="2"/>
    </row>
    <row r="242" spans="1:10" x14ac:dyDescent="0.25">
      <c r="A242" s="176"/>
      <c r="B242" s="176"/>
      <c r="C242" s="2"/>
      <c r="D242" s="2"/>
      <c r="E242" s="2"/>
      <c r="F242" s="2"/>
      <c r="G242" s="47"/>
      <c r="H242" s="47"/>
      <c r="I242" s="2"/>
      <c r="J242" s="2"/>
    </row>
    <row r="243" spans="1:10" ht="13.8" x14ac:dyDescent="0.3">
      <c r="A243" s="177" t="s">
        <v>1224</v>
      </c>
      <c r="B243" s="176"/>
      <c r="C243" s="2"/>
      <c r="D243" s="2"/>
      <c r="E243" s="2">
        <v>1140</v>
      </c>
      <c r="F243" s="2">
        <v>1100</v>
      </c>
      <c r="G243" s="47">
        <v>1200</v>
      </c>
      <c r="H243" s="47">
        <v>1200</v>
      </c>
      <c r="I243" s="2"/>
      <c r="J243" s="2"/>
    </row>
    <row r="244" spans="1:10" x14ac:dyDescent="0.25">
      <c r="A244" s="176" t="s">
        <v>1225</v>
      </c>
      <c r="B244" s="176"/>
      <c r="C244" s="2"/>
      <c r="D244" s="2">
        <v>1200</v>
      </c>
      <c r="E244" s="2"/>
      <c r="F244" s="2"/>
      <c r="G244" s="47"/>
      <c r="H244" s="47"/>
      <c r="I244" s="2"/>
      <c r="J244" s="2"/>
    </row>
    <row r="245" spans="1:10" x14ac:dyDescent="0.25">
      <c r="A245" s="176"/>
      <c r="B245" s="176"/>
      <c r="C245" s="2"/>
      <c r="D245" s="2"/>
      <c r="E245" s="2"/>
      <c r="F245" s="2"/>
      <c r="G245" s="47"/>
      <c r="H245" s="47"/>
      <c r="I245" s="2"/>
      <c r="J245" s="2"/>
    </row>
    <row r="246" spans="1:10" ht="13.8" x14ac:dyDescent="0.3">
      <c r="A246" s="177" t="s">
        <v>648</v>
      </c>
      <c r="B246" s="176"/>
      <c r="C246" s="2"/>
      <c r="D246" s="2"/>
      <c r="E246" s="2">
        <v>100526</v>
      </c>
      <c r="F246" s="2">
        <v>122000</v>
      </c>
      <c r="G246" s="47">
        <v>128690</v>
      </c>
      <c r="H246" s="47">
        <v>128690</v>
      </c>
      <c r="I246" s="2"/>
      <c r="J246" s="2"/>
    </row>
    <row r="247" spans="1:10" x14ac:dyDescent="0.25">
      <c r="A247" s="176" t="s">
        <v>1669</v>
      </c>
      <c r="B247" s="176"/>
      <c r="C247" s="2"/>
      <c r="D247" s="2">
        <v>18000</v>
      </c>
      <c r="E247" s="2"/>
      <c r="F247" s="2"/>
      <c r="G247" s="47"/>
      <c r="H247" s="47"/>
      <c r="I247" s="2"/>
      <c r="J247" s="2"/>
    </row>
    <row r="248" spans="1:10" x14ac:dyDescent="0.25">
      <c r="A248" s="176" t="s">
        <v>1152</v>
      </c>
      <c r="B248" s="176"/>
      <c r="C248" s="2"/>
      <c r="D248" s="2">
        <v>30000</v>
      </c>
      <c r="E248" s="2"/>
      <c r="F248" s="2"/>
      <c r="G248" s="47"/>
      <c r="H248" s="47"/>
      <c r="I248" s="2"/>
      <c r="J248" s="2"/>
    </row>
    <row r="249" spans="1:10" x14ac:dyDescent="0.25">
      <c r="A249" s="176" t="s">
        <v>1153</v>
      </c>
      <c r="B249" s="176"/>
      <c r="C249" s="2"/>
      <c r="D249" s="2">
        <v>6000</v>
      </c>
      <c r="E249" s="2"/>
      <c r="F249" s="2"/>
      <c r="G249" s="47"/>
      <c r="H249" s="47"/>
      <c r="I249" s="2"/>
      <c r="J249" s="2"/>
    </row>
    <row r="250" spans="1:10" x14ac:dyDescent="0.25">
      <c r="A250" s="176" t="s">
        <v>910</v>
      </c>
      <c r="B250" s="176"/>
      <c r="C250" s="2"/>
      <c r="D250" s="2">
        <v>8000</v>
      </c>
      <c r="E250" s="2"/>
      <c r="F250" s="2"/>
      <c r="G250" s="47"/>
      <c r="H250" s="47"/>
      <c r="I250" s="2"/>
      <c r="J250" s="2"/>
    </row>
    <row r="251" spans="1:10" x14ac:dyDescent="0.25">
      <c r="A251" s="176" t="s">
        <v>66</v>
      </c>
      <c r="B251" s="176"/>
      <c r="C251" s="2"/>
      <c r="D251" s="2">
        <v>6000</v>
      </c>
      <c r="E251" s="2"/>
      <c r="F251" s="2"/>
      <c r="G251" s="47"/>
      <c r="H251" s="47"/>
      <c r="I251" s="2"/>
      <c r="J251" s="2"/>
    </row>
    <row r="252" spans="1:10" x14ac:dyDescent="0.25">
      <c r="A252" s="176" t="s">
        <v>1670</v>
      </c>
      <c r="B252" s="176"/>
      <c r="C252" s="2"/>
      <c r="D252" s="2">
        <v>15000</v>
      </c>
      <c r="E252" s="2"/>
      <c r="F252" s="2"/>
      <c r="G252" s="47"/>
      <c r="H252" s="47"/>
      <c r="I252" s="2"/>
      <c r="J252" s="2"/>
    </row>
    <row r="253" spans="1:10" x14ac:dyDescent="0.25">
      <c r="A253" s="176" t="s">
        <v>2114</v>
      </c>
      <c r="B253" s="176"/>
      <c r="C253" s="2"/>
      <c r="D253" s="2">
        <v>14690</v>
      </c>
      <c r="E253" s="2"/>
      <c r="F253" s="2"/>
      <c r="G253" s="47"/>
      <c r="H253" s="47"/>
      <c r="I253" s="2"/>
      <c r="J253" s="2"/>
    </row>
    <row r="254" spans="1:10" x14ac:dyDescent="0.25">
      <c r="A254" s="176" t="s">
        <v>2115</v>
      </c>
      <c r="B254" s="176"/>
      <c r="C254" s="2"/>
      <c r="D254" s="2">
        <v>15000</v>
      </c>
      <c r="E254" s="2"/>
      <c r="F254" s="2"/>
      <c r="G254" s="47"/>
      <c r="H254" s="47"/>
      <c r="I254" s="2"/>
      <c r="J254" s="2"/>
    </row>
    <row r="255" spans="1:10" ht="15" x14ac:dyDescent="0.4">
      <c r="A255" s="176" t="s">
        <v>1154</v>
      </c>
      <c r="B255" s="176"/>
      <c r="C255" s="11"/>
      <c r="D255" s="11">
        <v>16000</v>
      </c>
      <c r="E255" s="2"/>
      <c r="F255" s="2"/>
      <c r="G255" s="47"/>
      <c r="H255" s="47"/>
      <c r="I255" s="2"/>
      <c r="J255" s="2"/>
    </row>
    <row r="256" spans="1:10" x14ac:dyDescent="0.25">
      <c r="A256" s="176" t="s">
        <v>1182</v>
      </c>
      <c r="B256" s="176"/>
      <c r="C256" s="2"/>
      <c r="D256" s="2">
        <f>SUM(D247:D255)</f>
        <v>128690</v>
      </c>
      <c r="E256" s="2"/>
      <c r="F256" s="2"/>
      <c r="G256" s="47"/>
      <c r="H256" s="47"/>
      <c r="I256" s="2"/>
      <c r="J256" s="2"/>
    </row>
    <row r="257" spans="1:10" x14ac:dyDescent="0.25">
      <c r="A257" s="176"/>
      <c r="B257" s="176"/>
      <c r="C257" s="2"/>
      <c r="D257" s="2"/>
      <c r="E257" s="2"/>
      <c r="F257" s="2"/>
      <c r="G257" s="47"/>
      <c r="H257" s="47"/>
      <c r="I257" s="2"/>
      <c r="J257" s="2"/>
    </row>
    <row r="258" spans="1:10" ht="13.8" x14ac:dyDescent="0.3">
      <c r="A258" s="177" t="s">
        <v>924</v>
      </c>
      <c r="B258" s="176"/>
      <c r="C258" s="2"/>
      <c r="D258" s="2"/>
      <c r="E258" s="2">
        <v>31417</v>
      </c>
      <c r="F258" s="2">
        <v>38000</v>
      </c>
      <c r="G258" s="2">
        <v>38000</v>
      </c>
      <c r="H258" s="2">
        <v>38000</v>
      </c>
      <c r="I258" s="2"/>
      <c r="J258" s="2"/>
    </row>
    <row r="259" spans="1:10" x14ac:dyDescent="0.25">
      <c r="A259" s="176" t="s">
        <v>2116</v>
      </c>
      <c r="B259" s="176"/>
      <c r="C259" s="2"/>
      <c r="D259" s="2">
        <v>38000</v>
      </c>
      <c r="E259" s="2"/>
      <c r="F259" s="2"/>
      <c r="G259" s="176"/>
      <c r="H259" s="178"/>
      <c r="I259" s="2"/>
      <c r="J259" s="2"/>
    </row>
    <row r="260" spans="1:10" ht="15" x14ac:dyDescent="0.4">
      <c r="A260" s="41"/>
      <c r="B260" s="176"/>
      <c r="C260" s="176"/>
      <c r="D260" s="31"/>
      <c r="E260" s="2"/>
      <c r="F260" s="2"/>
      <c r="G260" s="176"/>
      <c r="H260" s="178"/>
      <c r="I260" s="2"/>
      <c r="J260" s="2"/>
    </row>
    <row r="261" spans="1:10" x14ac:dyDescent="0.25">
      <c r="A261" s="176"/>
      <c r="B261" s="176"/>
      <c r="C261" s="2"/>
      <c r="D261" s="2">
        <f>SUM(D259:D260)</f>
        <v>38000</v>
      </c>
      <c r="E261" s="2"/>
      <c r="F261" s="2"/>
      <c r="G261" s="176"/>
      <c r="H261" s="178"/>
      <c r="I261" s="2"/>
      <c r="J261" s="2"/>
    </row>
    <row r="262" spans="1:10" x14ac:dyDescent="0.25">
      <c r="A262" s="176"/>
      <c r="B262" s="176"/>
      <c r="C262" s="2"/>
      <c r="D262" s="2"/>
      <c r="E262" s="2"/>
      <c r="F262" s="2"/>
      <c r="G262" s="176"/>
      <c r="H262" s="178"/>
      <c r="I262" s="2"/>
      <c r="J262" s="2"/>
    </row>
    <row r="263" spans="1:10" ht="13.8" x14ac:dyDescent="0.3">
      <c r="A263" s="177" t="s">
        <v>925</v>
      </c>
      <c r="B263" s="176"/>
      <c r="C263" s="8" t="s">
        <v>386</v>
      </c>
      <c r="D263" s="8" t="s">
        <v>386</v>
      </c>
      <c r="E263" s="2">
        <v>16098</v>
      </c>
      <c r="F263" s="2">
        <v>14073</v>
      </c>
      <c r="G263" s="47">
        <v>16128</v>
      </c>
      <c r="H263" s="47">
        <v>16128</v>
      </c>
      <c r="I263" s="2"/>
      <c r="J263" s="2"/>
    </row>
    <row r="264" spans="1:10" x14ac:dyDescent="0.25">
      <c r="A264" s="176" t="s">
        <v>926</v>
      </c>
      <c r="B264" s="176"/>
      <c r="C264" s="2"/>
      <c r="D264" s="2">
        <v>650</v>
      </c>
      <c r="E264" s="2"/>
      <c r="F264" s="2"/>
      <c r="G264" s="47"/>
      <c r="H264" s="47"/>
      <c r="I264" s="2"/>
      <c r="J264" s="2"/>
    </row>
    <row r="265" spans="1:10" x14ac:dyDescent="0.25">
      <c r="A265" s="176" t="s">
        <v>927</v>
      </c>
      <c r="B265" s="176"/>
      <c r="C265" s="2"/>
      <c r="D265" s="2">
        <v>1500</v>
      </c>
      <c r="E265" s="2"/>
      <c r="F265" s="2"/>
      <c r="G265" s="47"/>
      <c r="H265" s="47"/>
      <c r="I265" s="2"/>
      <c r="J265" s="2"/>
    </row>
    <row r="266" spans="1:10" x14ac:dyDescent="0.25">
      <c r="A266" s="176" t="s">
        <v>171</v>
      </c>
      <c r="B266" s="176"/>
      <c r="C266" s="2"/>
      <c r="D266" s="2">
        <v>500</v>
      </c>
      <c r="E266" s="2"/>
      <c r="F266" s="2"/>
      <c r="G266" s="47"/>
      <c r="H266" s="47"/>
      <c r="I266" s="2"/>
      <c r="J266" s="2"/>
    </row>
    <row r="267" spans="1:10" x14ac:dyDescent="0.25">
      <c r="A267" s="176" t="s">
        <v>1671</v>
      </c>
      <c r="B267" s="176"/>
      <c r="C267" s="2"/>
      <c r="D267" s="2">
        <v>7094</v>
      </c>
      <c r="E267" s="2"/>
      <c r="F267" s="2"/>
      <c r="G267" s="47"/>
      <c r="H267" s="47"/>
      <c r="I267" s="2"/>
      <c r="J267" s="2"/>
    </row>
    <row r="268" spans="1:10" x14ac:dyDescent="0.25">
      <c r="A268" s="176" t="s">
        <v>1672</v>
      </c>
      <c r="B268" s="176"/>
      <c r="C268" s="2"/>
      <c r="D268" s="2">
        <v>2584</v>
      </c>
      <c r="E268" s="2"/>
      <c r="F268" s="2"/>
      <c r="G268" s="47"/>
      <c r="H268" s="47"/>
      <c r="I268" s="2"/>
      <c r="J268" s="2"/>
    </row>
    <row r="269" spans="1:10" x14ac:dyDescent="0.25">
      <c r="A269" s="176" t="s">
        <v>806</v>
      </c>
      <c r="B269" s="176"/>
      <c r="C269" s="2"/>
      <c r="D269" s="2">
        <v>800</v>
      </c>
      <c r="E269" s="2"/>
      <c r="F269" s="2"/>
      <c r="G269" s="47"/>
      <c r="H269" s="47"/>
      <c r="I269" s="2"/>
      <c r="J269" s="2"/>
    </row>
    <row r="270" spans="1:10" ht="15" x14ac:dyDescent="0.4">
      <c r="A270" s="176" t="s">
        <v>120</v>
      </c>
      <c r="B270" s="176"/>
      <c r="C270" s="11"/>
      <c r="D270" s="3">
        <v>500</v>
      </c>
      <c r="E270" s="2"/>
      <c r="F270" s="2"/>
      <c r="G270" s="47"/>
      <c r="H270" s="47"/>
      <c r="I270" s="2"/>
      <c r="J270" s="2"/>
    </row>
    <row r="271" spans="1:10" ht="15" x14ac:dyDescent="0.4">
      <c r="A271" s="176" t="s">
        <v>1155</v>
      </c>
      <c r="B271" s="176"/>
      <c r="C271" s="11"/>
      <c r="D271" s="11">
        <v>2500</v>
      </c>
      <c r="E271" s="2"/>
      <c r="F271" s="2"/>
      <c r="G271" s="47"/>
      <c r="H271" s="47"/>
      <c r="I271" s="2"/>
      <c r="J271" s="2"/>
    </row>
    <row r="272" spans="1:10" x14ac:dyDescent="0.25">
      <c r="A272" s="176" t="s">
        <v>1182</v>
      </c>
      <c r="B272" s="176"/>
      <c r="C272" s="2"/>
      <c r="D272" s="2">
        <f>SUM(D264:D271)</f>
        <v>16128</v>
      </c>
      <c r="E272" s="2"/>
      <c r="F272" s="2"/>
      <c r="G272" s="47"/>
      <c r="H272" s="47"/>
      <c r="I272" s="2"/>
      <c r="J272" s="2"/>
    </row>
    <row r="273" spans="1:10" x14ac:dyDescent="0.25">
      <c r="A273" s="176"/>
      <c r="B273" s="176"/>
      <c r="C273" s="2"/>
      <c r="D273" s="2"/>
      <c r="E273" s="2"/>
      <c r="F273" s="2"/>
      <c r="G273" s="47"/>
      <c r="H273" s="47"/>
      <c r="I273" s="2"/>
      <c r="J273" s="2"/>
    </row>
    <row r="274" spans="1:10" ht="13.8" x14ac:dyDescent="0.3">
      <c r="A274" s="177" t="s">
        <v>450</v>
      </c>
      <c r="B274" s="176"/>
      <c r="C274" s="2"/>
      <c r="D274" s="2"/>
      <c r="E274" s="2">
        <v>16274</v>
      </c>
      <c r="F274" s="2">
        <v>5000</v>
      </c>
      <c r="G274" s="47">
        <v>43464</v>
      </c>
      <c r="H274" s="47">
        <v>43464</v>
      </c>
      <c r="I274" s="2"/>
      <c r="J274" s="2"/>
    </row>
    <row r="275" spans="1:10" x14ac:dyDescent="0.25">
      <c r="A275" s="176" t="s">
        <v>1271</v>
      </c>
      <c r="B275" s="176"/>
      <c r="C275" s="2"/>
      <c r="D275" s="2">
        <v>10000</v>
      </c>
      <c r="E275" s="2"/>
      <c r="F275" s="2"/>
      <c r="G275" s="47"/>
      <c r="H275" s="47"/>
      <c r="I275" s="2"/>
      <c r="J275" s="2"/>
    </row>
    <row r="276" spans="1:10" ht="15" x14ac:dyDescent="0.4">
      <c r="A276" s="41" t="s">
        <v>1920</v>
      </c>
      <c r="B276" s="176"/>
      <c r="C276" s="176"/>
      <c r="D276" s="31">
        <v>33464</v>
      </c>
      <c r="E276" s="2"/>
      <c r="F276" s="47"/>
      <c r="G276" s="47"/>
      <c r="H276" s="47"/>
      <c r="I276" s="2"/>
      <c r="J276" s="2"/>
    </row>
    <row r="277" spans="1:10" x14ac:dyDescent="0.25">
      <c r="A277" s="41"/>
      <c r="B277" s="176"/>
      <c r="C277" s="176"/>
      <c r="D277" s="3">
        <f>SUM(D275:D276)</f>
        <v>43464</v>
      </c>
      <c r="E277" s="2"/>
      <c r="F277" s="47"/>
      <c r="G277" s="47"/>
      <c r="H277" s="47"/>
      <c r="I277" s="2"/>
      <c r="J277" s="2"/>
    </row>
    <row r="278" spans="1:10" ht="13.8" x14ac:dyDescent="0.3">
      <c r="A278" s="177" t="s">
        <v>842</v>
      </c>
      <c r="B278" s="176"/>
      <c r="C278" s="8" t="s">
        <v>386</v>
      </c>
      <c r="D278" s="8" t="s">
        <v>386</v>
      </c>
      <c r="E278" s="2">
        <v>3365</v>
      </c>
      <c r="F278" s="2">
        <v>5000</v>
      </c>
      <c r="G278" s="47">
        <v>5000</v>
      </c>
      <c r="H278" s="47">
        <v>5000</v>
      </c>
      <c r="I278" s="2"/>
      <c r="J278" s="2"/>
    </row>
    <row r="279" spans="1:10" x14ac:dyDescent="0.25">
      <c r="A279" s="176" t="s">
        <v>1673</v>
      </c>
      <c r="B279" s="176"/>
      <c r="C279" s="2"/>
      <c r="D279" s="2">
        <v>4000</v>
      </c>
      <c r="E279" s="2"/>
      <c r="F279" s="2"/>
      <c r="G279" s="47"/>
      <c r="H279" s="47"/>
      <c r="I279" s="2"/>
      <c r="J279" s="2"/>
    </row>
    <row r="280" spans="1:10" ht="15" x14ac:dyDescent="0.4">
      <c r="A280" s="176" t="s">
        <v>1214</v>
      </c>
      <c r="B280" s="176"/>
      <c r="C280" s="11"/>
      <c r="D280" s="11">
        <v>1000</v>
      </c>
      <c r="E280" s="2"/>
      <c r="F280" s="2"/>
      <c r="G280" s="47"/>
      <c r="H280" s="47"/>
      <c r="I280" s="2"/>
      <c r="J280" s="2"/>
    </row>
    <row r="281" spans="1:10" x14ac:dyDescent="0.25">
      <c r="A281" s="176" t="s">
        <v>1182</v>
      </c>
      <c r="B281" s="176"/>
      <c r="C281" s="2"/>
      <c r="D281" s="2">
        <v>5000</v>
      </c>
      <c r="E281" s="2"/>
      <c r="F281" s="2"/>
      <c r="G281" s="47"/>
      <c r="H281" s="47"/>
      <c r="I281" s="2"/>
      <c r="J281" s="2"/>
    </row>
    <row r="282" spans="1:10" x14ac:dyDescent="0.25">
      <c r="A282" s="176"/>
      <c r="B282" s="176"/>
      <c r="C282" s="2"/>
      <c r="D282" s="2"/>
      <c r="E282" s="2"/>
      <c r="F282" s="2"/>
      <c r="G282" s="47"/>
      <c r="H282" s="47"/>
      <c r="I282" s="2"/>
      <c r="J282" s="2"/>
    </row>
    <row r="283" spans="1:10" ht="13.8" x14ac:dyDescent="0.3">
      <c r="A283" s="177" t="s">
        <v>421</v>
      </c>
      <c r="B283" s="176"/>
      <c r="C283" s="19"/>
      <c r="D283" s="19"/>
      <c r="E283" s="2">
        <v>299337</v>
      </c>
      <c r="F283" s="2">
        <v>309630</v>
      </c>
      <c r="G283" s="47">
        <v>328676</v>
      </c>
      <c r="H283" s="47">
        <v>328676</v>
      </c>
      <c r="I283" s="2"/>
      <c r="J283" s="2"/>
    </row>
    <row r="284" spans="1:10" x14ac:dyDescent="0.25">
      <c r="A284" s="176" t="s">
        <v>1674</v>
      </c>
      <c r="B284" s="176"/>
      <c r="C284" s="2"/>
      <c r="D284" s="2">
        <v>282613</v>
      </c>
      <c r="E284" s="2"/>
      <c r="F284" s="2"/>
      <c r="G284" s="47"/>
      <c r="H284" s="47"/>
      <c r="I284" s="2"/>
      <c r="J284" s="2"/>
    </row>
    <row r="285" spans="1:10" x14ac:dyDescent="0.25">
      <c r="A285" s="176" t="s">
        <v>422</v>
      </c>
      <c r="B285" s="176"/>
      <c r="C285" s="2"/>
      <c r="D285" s="2">
        <v>30000</v>
      </c>
      <c r="E285" s="2"/>
      <c r="F285" s="2"/>
      <c r="G285" s="47"/>
      <c r="H285" s="47"/>
      <c r="I285" s="2"/>
      <c r="J285" s="2"/>
    </row>
    <row r="286" spans="1:10" x14ac:dyDescent="0.25">
      <c r="A286" s="176" t="s">
        <v>423</v>
      </c>
      <c r="B286" s="176"/>
      <c r="C286" s="2"/>
      <c r="D286" s="2">
        <v>10000</v>
      </c>
      <c r="E286" s="2"/>
      <c r="F286" s="2"/>
      <c r="G286" s="47"/>
      <c r="H286" s="47"/>
      <c r="I286" s="2"/>
      <c r="J286" s="2"/>
    </row>
    <row r="287" spans="1:10" x14ac:dyDescent="0.25">
      <c r="A287" s="176" t="s">
        <v>1675</v>
      </c>
      <c r="B287" s="176"/>
      <c r="C287" s="2"/>
      <c r="D287" s="2">
        <v>1100</v>
      </c>
      <c r="E287" s="2"/>
      <c r="F287" s="2"/>
      <c r="G287" s="47"/>
      <c r="H287" s="47"/>
      <c r="I287" s="2"/>
      <c r="J287" s="2"/>
    </row>
    <row r="288" spans="1:10" x14ac:dyDescent="0.25">
      <c r="A288" s="176" t="s">
        <v>1676</v>
      </c>
      <c r="B288" s="176"/>
      <c r="C288" s="2"/>
      <c r="D288" s="2">
        <v>175</v>
      </c>
      <c r="E288" s="2"/>
      <c r="F288" s="2"/>
      <c r="G288" s="47"/>
      <c r="H288" s="47"/>
      <c r="I288" s="2"/>
      <c r="J288" s="2"/>
    </row>
    <row r="289" spans="1:10" x14ac:dyDescent="0.25">
      <c r="A289" s="176" t="s">
        <v>172</v>
      </c>
      <c r="B289" s="176"/>
      <c r="C289" s="2"/>
      <c r="D289" s="2">
        <v>138</v>
      </c>
      <c r="E289" s="2"/>
      <c r="F289" s="2"/>
      <c r="G289" s="47"/>
      <c r="H289" s="47"/>
      <c r="I289" s="2"/>
      <c r="J289" s="2"/>
    </row>
    <row r="290" spans="1:10" x14ac:dyDescent="0.25">
      <c r="A290" s="176" t="s">
        <v>1751</v>
      </c>
      <c r="B290" s="176"/>
      <c r="C290" s="2"/>
      <c r="D290" s="2">
        <v>3000</v>
      </c>
      <c r="E290" s="2"/>
      <c r="F290" s="2"/>
      <c r="G290" s="47"/>
      <c r="H290" s="47"/>
      <c r="I290" s="2"/>
      <c r="J290" s="2"/>
    </row>
    <row r="291" spans="1:10" ht="15" x14ac:dyDescent="0.4">
      <c r="A291" s="176" t="s">
        <v>569</v>
      </c>
      <c r="B291" s="176"/>
      <c r="C291" s="11"/>
      <c r="D291" s="11">
        <v>1650</v>
      </c>
      <c r="E291" s="2"/>
      <c r="F291" s="2"/>
      <c r="G291" s="47"/>
      <c r="H291" s="47"/>
      <c r="I291" s="2"/>
      <c r="J291" s="2"/>
    </row>
    <row r="292" spans="1:10" x14ac:dyDescent="0.25">
      <c r="A292" s="176" t="s">
        <v>1182</v>
      </c>
      <c r="B292" s="176"/>
      <c r="C292" s="2"/>
      <c r="D292" s="2">
        <f>SUM(D284:D291)</f>
        <v>328676</v>
      </c>
      <c r="E292" s="2"/>
      <c r="F292" s="2"/>
      <c r="G292" s="47"/>
      <c r="H292" s="47"/>
      <c r="I292" s="2"/>
      <c r="J292" s="2"/>
    </row>
    <row r="293" spans="1:10" x14ac:dyDescent="0.25">
      <c r="A293" s="176"/>
      <c r="B293" s="176"/>
      <c r="C293" s="2"/>
      <c r="D293" s="2"/>
      <c r="E293" s="2"/>
      <c r="F293" s="2"/>
      <c r="G293" s="47"/>
      <c r="H293" s="47"/>
      <c r="I293" s="2"/>
      <c r="J293" s="2"/>
    </row>
    <row r="294" spans="1:10" ht="13.8" x14ac:dyDescent="0.3">
      <c r="A294" s="177" t="s">
        <v>424</v>
      </c>
      <c r="B294" s="176"/>
      <c r="C294" s="2"/>
      <c r="D294" s="2"/>
      <c r="E294" s="2">
        <v>6140</v>
      </c>
      <c r="F294" s="2">
        <v>8000</v>
      </c>
      <c r="G294" s="2">
        <v>8000</v>
      </c>
      <c r="H294" s="2">
        <v>8000</v>
      </c>
      <c r="I294" s="2"/>
      <c r="J294" s="2"/>
    </row>
    <row r="295" spans="1:10" x14ac:dyDescent="0.25">
      <c r="A295" s="23" t="s">
        <v>173</v>
      </c>
      <c r="B295" s="176"/>
      <c r="C295" s="2"/>
      <c r="D295" s="2">
        <v>1000</v>
      </c>
      <c r="E295" s="2"/>
      <c r="F295" s="2"/>
      <c r="G295" s="176"/>
      <c r="H295" s="178"/>
      <c r="I295" s="2"/>
      <c r="J295" s="2"/>
    </row>
    <row r="296" spans="1:10" x14ac:dyDescent="0.25">
      <c r="A296" s="176" t="s">
        <v>425</v>
      </c>
      <c r="B296" s="176"/>
      <c r="C296" s="2"/>
      <c r="D296" s="2">
        <v>2000</v>
      </c>
      <c r="E296" s="2"/>
      <c r="F296" s="2"/>
      <c r="G296" s="176"/>
      <c r="H296" s="178"/>
      <c r="I296" s="2"/>
      <c r="J296" s="2"/>
    </row>
    <row r="297" spans="1:10" ht="15" x14ac:dyDescent="0.4">
      <c r="A297" s="176" t="s">
        <v>1752</v>
      </c>
      <c r="B297" s="176"/>
      <c r="C297" s="11"/>
      <c r="D297" s="11">
        <v>5000</v>
      </c>
      <c r="E297" s="2"/>
      <c r="F297" s="2"/>
      <c r="G297" s="47"/>
      <c r="H297" s="47"/>
      <c r="I297" s="2"/>
      <c r="J297" s="2"/>
    </row>
    <row r="298" spans="1:10" x14ac:dyDescent="0.25">
      <c r="A298" s="176" t="s">
        <v>1182</v>
      </c>
      <c r="B298" s="176"/>
      <c r="C298" s="2"/>
      <c r="D298" s="2">
        <f>SUM(D295:D297)</f>
        <v>8000</v>
      </c>
      <c r="E298" s="2"/>
      <c r="F298" s="2"/>
      <c r="G298" s="47"/>
      <c r="H298" s="47"/>
      <c r="I298" s="2"/>
      <c r="J298" s="2"/>
    </row>
    <row r="299" spans="1:10" x14ac:dyDescent="0.25">
      <c r="A299" s="176"/>
      <c r="B299" s="176"/>
      <c r="C299" s="2"/>
      <c r="D299" s="2"/>
      <c r="E299" s="2"/>
      <c r="F299" s="2"/>
      <c r="G299" s="47"/>
      <c r="H299" s="47"/>
      <c r="I299" s="2"/>
      <c r="J299" s="2"/>
    </row>
    <row r="300" spans="1:10" ht="13.8" x14ac:dyDescent="0.3">
      <c r="A300" s="177" t="s">
        <v>385</v>
      </c>
      <c r="B300" s="176"/>
      <c r="C300" s="2"/>
      <c r="D300" s="2"/>
      <c r="E300" s="2">
        <v>294</v>
      </c>
      <c r="F300" s="2">
        <v>500</v>
      </c>
      <c r="G300" s="47">
        <v>500</v>
      </c>
      <c r="H300" s="47">
        <v>500</v>
      </c>
      <c r="I300" s="2"/>
      <c r="J300" s="2"/>
    </row>
    <row r="301" spans="1:10" x14ac:dyDescent="0.25">
      <c r="A301" s="176" t="s">
        <v>738</v>
      </c>
      <c r="B301" s="176"/>
      <c r="C301" s="2"/>
      <c r="D301" s="2">
        <v>500</v>
      </c>
      <c r="E301" s="2"/>
      <c r="F301" s="2"/>
      <c r="G301" s="47"/>
      <c r="H301" s="47"/>
      <c r="I301" s="2"/>
      <c r="J301" s="2"/>
    </row>
    <row r="302" spans="1:10" s="168" customFormat="1" x14ac:dyDescent="0.25">
      <c r="A302" s="176"/>
      <c r="B302" s="176"/>
      <c r="C302" s="2"/>
      <c r="D302" s="2"/>
      <c r="E302" s="2"/>
      <c r="F302" s="2"/>
      <c r="G302" s="47"/>
      <c r="H302" s="47"/>
      <c r="I302" s="2"/>
      <c r="J302" s="2"/>
    </row>
    <row r="303" spans="1:10" s="168" customFormat="1" ht="13.8" x14ac:dyDescent="0.3">
      <c r="A303" s="177" t="s">
        <v>739</v>
      </c>
      <c r="B303" s="176"/>
      <c r="C303" s="2"/>
      <c r="D303" s="2"/>
      <c r="E303" s="2">
        <v>147</v>
      </c>
      <c r="F303" s="2">
        <v>500</v>
      </c>
      <c r="G303" s="47">
        <v>500</v>
      </c>
      <c r="H303" s="47">
        <v>500</v>
      </c>
      <c r="I303" s="2"/>
      <c r="J303" s="2"/>
    </row>
    <row r="304" spans="1:10" x14ac:dyDescent="0.25">
      <c r="A304" s="176" t="s">
        <v>1677</v>
      </c>
      <c r="B304" s="176"/>
      <c r="C304" s="2"/>
      <c r="D304" s="2">
        <v>500</v>
      </c>
      <c r="E304" s="2"/>
      <c r="F304" s="2"/>
      <c r="G304" s="47"/>
      <c r="H304" s="47"/>
      <c r="I304" s="2"/>
      <c r="J304" s="2"/>
    </row>
    <row r="305" spans="1:10" x14ac:dyDescent="0.25">
      <c r="A305" s="176"/>
      <c r="B305" s="176"/>
      <c r="C305" s="2"/>
      <c r="D305" s="2"/>
      <c r="E305" s="2"/>
      <c r="F305" s="2"/>
      <c r="G305" s="47"/>
      <c r="H305" s="47"/>
      <c r="I305" s="2"/>
      <c r="J305" s="2"/>
    </row>
    <row r="306" spans="1:10" ht="13.8" x14ac:dyDescent="0.3">
      <c r="A306" s="177" t="s">
        <v>1989</v>
      </c>
      <c r="B306" s="176"/>
      <c r="C306" s="19"/>
      <c r="D306" s="19"/>
      <c r="E306" s="2">
        <v>17115</v>
      </c>
      <c r="F306" s="2">
        <v>0</v>
      </c>
      <c r="G306" s="47"/>
      <c r="H306" s="47"/>
      <c r="I306" s="2"/>
      <c r="J306" s="2"/>
    </row>
    <row r="307" spans="1:10" s="168" customFormat="1" x14ac:dyDescent="0.25">
      <c r="A307" s="176"/>
      <c r="B307" s="176"/>
      <c r="C307" s="2"/>
      <c r="D307" s="2"/>
      <c r="E307" s="2"/>
      <c r="F307" s="2"/>
      <c r="G307" s="47"/>
      <c r="H307" s="47"/>
      <c r="I307" s="2"/>
      <c r="J307" s="2"/>
    </row>
    <row r="308" spans="1:10" s="168" customFormat="1" ht="13.8" x14ac:dyDescent="0.3">
      <c r="A308" s="177" t="s">
        <v>241</v>
      </c>
      <c r="B308" s="176"/>
      <c r="C308" s="19"/>
      <c r="D308" s="19"/>
      <c r="E308" s="2">
        <v>6517</v>
      </c>
      <c r="F308" s="2">
        <v>2500</v>
      </c>
      <c r="G308" s="47">
        <v>5000</v>
      </c>
      <c r="H308" s="47">
        <v>5000</v>
      </c>
      <c r="I308" s="2"/>
      <c r="J308" s="2"/>
    </row>
    <row r="309" spans="1:10" x14ac:dyDescent="0.25">
      <c r="A309" s="23" t="s">
        <v>1678</v>
      </c>
      <c r="B309" s="176"/>
      <c r="C309" s="2"/>
      <c r="D309" s="2">
        <v>5000</v>
      </c>
      <c r="E309" s="2"/>
      <c r="F309" s="2"/>
      <c r="G309" s="47"/>
      <c r="H309" s="47"/>
      <c r="I309" s="3"/>
      <c r="J309" s="3"/>
    </row>
    <row r="310" spans="1:10" ht="15" x14ac:dyDescent="0.4">
      <c r="A310" s="23"/>
      <c r="B310" s="176"/>
      <c r="C310" s="2"/>
      <c r="D310" s="31"/>
      <c r="E310" s="2"/>
      <c r="F310" s="2"/>
      <c r="G310" s="47"/>
      <c r="H310" s="47"/>
      <c r="I310" s="2"/>
      <c r="J310" s="2"/>
    </row>
    <row r="311" spans="1:10" ht="15" x14ac:dyDescent="0.4">
      <c r="A311" s="177" t="s">
        <v>1990</v>
      </c>
      <c r="B311" s="176"/>
      <c r="C311" s="2"/>
      <c r="D311" s="2"/>
      <c r="E311" s="3">
        <v>5500</v>
      </c>
      <c r="F311" s="3">
        <v>0</v>
      </c>
      <c r="G311" s="47"/>
      <c r="H311" s="47"/>
      <c r="I311" s="11"/>
      <c r="J311" s="11"/>
    </row>
    <row r="312" spans="1:10" ht="15" x14ac:dyDescent="0.4">
      <c r="A312" s="23"/>
      <c r="B312" s="176"/>
      <c r="C312" s="2"/>
      <c r="D312" s="31"/>
      <c r="E312" s="2"/>
      <c r="F312" s="2"/>
      <c r="G312" s="47"/>
      <c r="H312" s="47"/>
      <c r="I312" s="2"/>
      <c r="J312" s="2"/>
    </row>
    <row r="313" spans="1:10" ht="13.8" x14ac:dyDescent="0.3">
      <c r="A313" s="177" t="s">
        <v>948</v>
      </c>
      <c r="B313" s="176"/>
      <c r="C313" s="2"/>
      <c r="D313" s="2"/>
      <c r="E313" s="3">
        <v>5837</v>
      </c>
      <c r="F313" s="3">
        <v>7000</v>
      </c>
      <c r="G313" s="47">
        <v>15000</v>
      </c>
      <c r="H313" s="47">
        <v>15000</v>
      </c>
      <c r="I313" s="2"/>
      <c r="J313" s="2"/>
    </row>
    <row r="314" spans="1:10" x14ac:dyDescent="0.25">
      <c r="A314" s="23" t="s">
        <v>2117</v>
      </c>
      <c r="B314" s="176"/>
      <c r="C314" s="2"/>
      <c r="D314" s="2">
        <v>5000</v>
      </c>
      <c r="E314" s="3"/>
      <c r="F314" s="2"/>
      <c r="G314" s="176"/>
      <c r="H314" s="178"/>
      <c r="I314" s="2"/>
      <c r="J314" s="2"/>
    </row>
    <row r="315" spans="1:10" x14ac:dyDescent="0.25">
      <c r="A315" s="23" t="s">
        <v>2118</v>
      </c>
      <c r="B315" s="176"/>
      <c r="C315" s="2"/>
      <c r="D315" s="2">
        <v>3000</v>
      </c>
      <c r="E315" s="3"/>
      <c r="F315" s="2"/>
      <c r="G315" s="176"/>
      <c r="H315" s="178"/>
      <c r="I315" s="18"/>
      <c r="J315" s="18"/>
    </row>
    <row r="316" spans="1:10" x14ac:dyDescent="0.25">
      <c r="A316" s="23" t="s">
        <v>2119</v>
      </c>
      <c r="B316" s="176"/>
      <c r="C316" s="2"/>
      <c r="D316" s="2">
        <v>5000</v>
      </c>
      <c r="E316" s="3"/>
      <c r="F316" s="2"/>
      <c r="G316" s="176"/>
      <c r="H316" s="178"/>
      <c r="I316" s="2"/>
      <c r="J316" s="2"/>
    </row>
    <row r="317" spans="1:10" ht="15" x14ac:dyDescent="0.4">
      <c r="A317" s="176" t="s">
        <v>2120</v>
      </c>
      <c r="B317" s="176"/>
      <c r="C317" s="2"/>
      <c r="D317" s="11">
        <v>2000</v>
      </c>
      <c r="E317" s="3"/>
      <c r="F317" s="11"/>
      <c r="G317" s="176"/>
      <c r="H317" s="178"/>
      <c r="I317" s="2"/>
      <c r="J317" s="2"/>
    </row>
    <row r="318" spans="1:10" ht="15" x14ac:dyDescent="0.4">
      <c r="A318" s="176"/>
      <c r="B318" s="176"/>
      <c r="C318" s="2"/>
      <c r="D318" s="2">
        <f>SUM(D314:D317)</f>
        <v>15000</v>
      </c>
      <c r="E318" s="3"/>
      <c r="F318" s="11"/>
      <c r="G318" s="176"/>
      <c r="H318" s="178"/>
      <c r="I318" s="2"/>
      <c r="J318" s="2"/>
    </row>
    <row r="319" spans="1:10" ht="15" x14ac:dyDescent="0.4">
      <c r="A319" s="176"/>
      <c r="B319" s="176"/>
      <c r="C319" s="2"/>
      <c r="D319" s="2"/>
      <c r="E319" s="3"/>
      <c r="F319" s="11"/>
      <c r="G319" s="176"/>
      <c r="H319" s="178"/>
      <c r="I319" s="2"/>
      <c r="J319" s="2"/>
    </row>
    <row r="320" spans="1:10" ht="13.8" x14ac:dyDescent="0.3">
      <c r="A320" s="177" t="s">
        <v>121</v>
      </c>
      <c r="B320" s="176"/>
      <c r="C320" s="176"/>
      <c r="E320" s="3">
        <v>75000</v>
      </c>
      <c r="F320" s="2">
        <v>300000</v>
      </c>
      <c r="G320" s="78">
        <v>300000</v>
      </c>
      <c r="H320" s="78">
        <v>300000</v>
      </c>
      <c r="I320" s="2"/>
      <c r="J320" s="2"/>
    </row>
    <row r="321" spans="1:10" x14ac:dyDescent="0.25">
      <c r="A321" s="176" t="s">
        <v>1679</v>
      </c>
      <c r="B321" s="176"/>
      <c r="C321" s="176"/>
      <c r="D321" s="2">
        <v>300000</v>
      </c>
      <c r="E321" s="2"/>
      <c r="F321" s="2"/>
      <c r="G321" s="47"/>
      <c r="H321" s="47"/>
      <c r="I321" s="2"/>
      <c r="J321" s="2"/>
    </row>
    <row r="322" spans="1:10" x14ac:dyDescent="0.25">
      <c r="A322" s="176"/>
      <c r="B322" s="176"/>
      <c r="C322" s="176"/>
      <c r="D322" s="2"/>
      <c r="E322" s="2"/>
      <c r="F322" s="2"/>
      <c r="G322" s="47"/>
      <c r="H322" s="47"/>
      <c r="I322" s="2"/>
      <c r="J322" s="2"/>
    </row>
    <row r="323" spans="1:10" ht="15" x14ac:dyDescent="0.4">
      <c r="A323" s="177" t="s">
        <v>1258</v>
      </c>
      <c r="B323" s="176"/>
      <c r="C323" s="176"/>
      <c r="D323" s="2"/>
      <c r="E323" s="11">
        <v>136821</v>
      </c>
      <c r="F323" s="18">
        <v>550000</v>
      </c>
      <c r="G323" s="116">
        <v>323315</v>
      </c>
      <c r="H323" s="116">
        <v>298000</v>
      </c>
      <c r="I323" s="116">
        <v>0</v>
      </c>
      <c r="J323" s="116">
        <v>0</v>
      </c>
    </row>
    <row r="324" spans="1:10" x14ac:dyDescent="0.25">
      <c r="A324" s="43"/>
      <c r="B324" s="176"/>
      <c r="C324" s="44"/>
      <c r="D324" s="176"/>
      <c r="E324" s="2"/>
      <c r="F324" s="47"/>
      <c r="G324" s="47"/>
      <c r="H324" s="47"/>
      <c r="I324" s="47"/>
      <c r="J324" s="47"/>
    </row>
    <row r="325" spans="1:10" x14ac:dyDescent="0.25">
      <c r="A325" s="41" t="s">
        <v>1919</v>
      </c>
      <c r="B325" s="176"/>
      <c r="C325" s="3"/>
      <c r="D325" s="73">
        <v>25000</v>
      </c>
      <c r="E325" s="2"/>
      <c r="F325" s="47"/>
      <c r="G325" s="47"/>
      <c r="H325" s="47"/>
      <c r="I325" s="47"/>
      <c r="J325" s="47"/>
    </row>
    <row r="326" spans="1:10" ht="15" x14ac:dyDescent="0.4">
      <c r="A326" s="41" t="s">
        <v>2121</v>
      </c>
      <c r="B326" s="176"/>
      <c r="C326" s="31"/>
      <c r="D326" s="8">
        <v>200000</v>
      </c>
      <c r="E326" s="2"/>
      <c r="F326" s="47"/>
      <c r="G326" s="47"/>
      <c r="H326" s="47"/>
      <c r="I326" s="47"/>
      <c r="J326" s="47"/>
    </row>
    <row r="327" spans="1:10" x14ac:dyDescent="0.25">
      <c r="A327" s="43" t="s">
        <v>2122</v>
      </c>
      <c r="B327" s="176"/>
      <c r="C327" s="47"/>
      <c r="D327" s="73">
        <v>48000</v>
      </c>
      <c r="E327" s="2"/>
      <c r="F327" s="47"/>
      <c r="G327" s="47"/>
      <c r="H327" s="47"/>
      <c r="I327" s="47"/>
      <c r="J327" s="47"/>
    </row>
    <row r="328" spans="1:10" ht="15" x14ac:dyDescent="0.4">
      <c r="A328" s="41" t="s">
        <v>2123</v>
      </c>
      <c r="B328" s="176"/>
      <c r="C328" s="176"/>
      <c r="D328" s="185">
        <v>25000</v>
      </c>
      <c r="E328" s="2"/>
      <c r="F328" s="47"/>
      <c r="G328" s="47"/>
      <c r="H328" s="47"/>
      <c r="I328" s="47"/>
      <c r="J328" s="47"/>
    </row>
    <row r="329" spans="1:10" ht="15" x14ac:dyDescent="0.4">
      <c r="A329" s="41"/>
      <c r="B329" s="176"/>
      <c r="C329" s="176"/>
      <c r="D329" s="31"/>
      <c r="E329" s="2"/>
      <c r="F329" s="47"/>
      <c r="G329" s="47"/>
      <c r="H329" s="47"/>
      <c r="I329" s="47"/>
      <c r="J329" s="47"/>
    </row>
    <row r="330" spans="1:10" x14ac:dyDescent="0.25">
      <c r="A330" s="43" t="s">
        <v>1182</v>
      </c>
      <c r="B330" s="176"/>
      <c r="C330" s="40"/>
      <c r="D330" s="2">
        <f>SUM(D324:D329)</f>
        <v>298000</v>
      </c>
      <c r="E330" s="2"/>
      <c r="F330" s="2"/>
      <c r="G330" s="2"/>
      <c r="I330" s="2"/>
      <c r="J330" s="2"/>
    </row>
    <row r="331" spans="1:10" x14ac:dyDescent="0.25">
      <c r="A331" s="43"/>
      <c r="B331" s="176"/>
      <c r="C331" s="44"/>
      <c r="D331" s="2"/>
      <c r="E331" s="2"/>
      <c r="F331" s="2"/>
      <c r="G331" s="2"/>
      <c r="I331" s="2"/>
      <c r="J331" s="2"/>
    </row>
    <row r="332" spans="1:10" x14ac:dyDescent="0.25">
      <c r="A332" s="176" t="s">
        <v>1267</v>
      </c>
      <c r="B332" s="176"/>
      <c r="C332" s="176"/>
      <c r="D332" s="2"/>
      <c r="E332" s="2">
        <f>SUM(E6:E330)</f>
        <v>3466267</v>
      </c>
      <c r="F332" s="2">
        <f>SUM(F6:F330)</f>
        <v>4385515</v>
      </c>
      <c r="G332" s="2">
        <f>SUM(G6:G330)</f>
        <v>4259515</v>
      </c>
      <c r="H332" s="2">
        <f>SUM(H6:H330)</f>
        <v>4264665</v>
      </c>
      <c r="I332" s="2">
        <f>SUM(I6:I330)</f>
        <v>0</v>
      </c>
      <c r="J332" s="2">
        <f>SUM(J6:J330)</f>
        <v>0</v>
      </c>
    </row>
    <row r="333" spans="1:10" x14ac:dyDescent="0.25">
      <c r="A333" s="176"/>
      <c r="B333" s="176"/>
      <c r="C333" s="176"/>
      <c r="D333" s="176"/>
      <c r="E333" s="2" t="s">
        <v>386</v>
      </c>
      <c r="F333" s="2" t="s">
        <v>386</v>
      </c>
      <c r="G333" s="2" t="s">
        <v>386</v>
      </c>
      <c r="H333" s="2" t="s">
        <v>386</v>
      </c>
      <c r="I333" s="2" t="s">
        <v>386</v>
      </c>
      <c r="J333" s="2" t="s">
        <v>386</v>
      </c>
    </row>
    <row r="334" spans="1:10" x14ac:dyDescent="0.25">
      <c r="A334" s="176" t="s">
        <v>571</v>
      </c>
      <c r="B334" s="176"/>
      <c r="C334" s="176"/>
      <c r="D334" s="176"/>
      <c r="E334" s="2">
        <f>SUM(E5:E117)</f>
        <v>1739446</v>
      </c>
      <c r="F334" s="2">
        <f>SUM(F5:F117)</f>
        <v>1954382</v>
      </c>
      <c r="G334" s="2">
        <f>SUM(G5:G117)</f>
        <v>2012510</v>
      </c>
      <c r="H334" s="2">
        <f>SUM(H5:H117)</f>
        <v>2012975</v>
      </c>
      <c r="I334" s="2">
        <f>SUM(I5:I117)</f>
        <v>0</v>
      </c>
      <c r="J334" s="2">
        <f>SUM(J5:J117)</f>
        <v>0</v>
      </c>
    </row>
    <row r="335" spans="1:10" x14ac:dyDescent="0.25">
      <c r="A335" s="176" t="s">
        <v>895</v>
      </c>
      <c r="B335" s="176"/>
      <c r="C335" s="176"/>
      <c r="D335" s="176"/>
      <c r="E335" s="2">
        <f t="shared" ref="E335:J335" si="5">SUM(E119:E303)</f>
        <v>1480031</v>
      </c>
      <c r="F335" s="2">
        <f t="shared" si="5"/>
        <v>1571633</v>
      </c>
      <c r="G335" s="2">
        <f t="shared" si="5"/>
        <v>1603690</v>
      </c>
      <c r="H335" s="2">
        <f t="shared" si="5"/>
        <v>1633690</v>
      </c>
      <c r="I335" s="2">
        <f t="shared" si="5"/>
        <v>0</v>
      </c>
      <c r="J335" s="2">
        <f t="shared" si="5"/>
        <v>0</v>
      </c>
    </row>
    <row r="336" spans="1:10" ht="15" x14ac:dyDescent="0.4">
      <c r="A336" s="176" t="s">
        <v>896</v>
      </c>
      <c r="B336" s="176"/>
      <c r="C336" s="176"/>
      <c r="D336" s="176"/>
      <c r="E336" s="11">
        <f>SUM(E308:E330)</f>
        <v>229675</v>
      </c>
      <c r="F336" s="11">
        <f>SUM(F308:F330)</f>
        <v>859500</v>
      </c>
      <c r="G336" s="11">
        <f>SUM(G308:G330)</f>
        <v>643315</v>
      </c>
      <c r="H336" s="11">
        <f>SUM(H308:H330)</f>
        <v>618000</v>
      </c>
      <c r="I336" s="11">
        <f>SUM(I308:I330)</f>
        <v>0</v>
      </c>
      <c r="J336" s="11">
        <f>SUM(J308:J330)</f>
        <v>0</v>
      </c>
    </row>
    <row r="337" spans="1:10" x14ac:dyDescent="0.25">
      <c r="A337" s="176" t="s">
        <v>1182</v>
      </c>
      <c r="B337" s="176"/>
      <c r="C337" s="176"/>
      <c r="D337" s="176"/>
      <c r="E337" s="2">
        <f t="shared" ref="E337:J337" si="6">SUM(E334:E336)</f>
        <v>3449152</v>
      </c>
      <c r="F337" s="2">
        <f t="shared" si="6"/>
        <v>4385515</v>
      </c>
      <c r="G337" s="2">
        <f t="shared" si="6"/>
        <v>4259515</v>
      </c>
      <c r="H337" s="2">
        <f t="shared" si="6"/>
        <v>4264665</v>
      </c>
      <c r="I337" s="2">
        <f t="shared" si="6"/>
        <v>0</v>
      </c>
      <c r="J337" s="2">
        <f t="shared" si="6"/>
        <v>0</v>
      </c>
    </row>
    <row r="338" spans="1:10" x14ac:dyDescent="0.25">
      <c r="F338" s="2"/>
      <c r="I338" s="2"/>
      <c r="J338" s="2"/>
    </row>
    <row r="339" spans="1:10" x14ac:dyDescent="0.25">
      <c r="F339" s="2"/>
      <c r="I339" s="2"/>
      <c r="J339" s="2" t="e">
        <f>+J336-J333</f>
        <v>#VALUE!</v>
      </c>
    </row>
    <row r="340" spans="1:10" x14ac:dyDescent="0.25">
      <c r="F340" s="2"/>
      <c r="I340" s="2"/>
      <c r="J340" s="2"/>
    </row>
    <row r="341" spans="1:10" x14ac:dyDescent="0.25">
      <c r="F341" s="2"/>
      <c r="I341" s="2"/>
      <c r="J341" s="2"/>
    </row>
    <row r="342" spans="1:10" x14ac:dyDescent="0.25">
      <c r="F342" s="2"/>
      <c r="I342" s="2"/>
      <c r="J342" s="2"/>
    </row>
    <row r="343" spans="1:10" x14ac:dyDescent="0.25">
      <c r="F343" s="2"/>
      <c r="I343" s="2"/>
      <c r="J343" s="2"/>
    </row>
    <row r="344" spans="1:10" x14ac:dyDescent="0.25">
      <c r="F344" s="2"/>
      <c r="I344" s="2"/>
      <c r="J344" s="2"/>
    </row>
    <row r="345" spans="1:10" x14ac:dyDescent="0.25">
      <c r="F345" s="2"/>
      <c r="I345" s="2"/>
      <c r="J345" s="2"/>
    </row>
    <row r="346" spans="1:10" x14ac:dyDescent="0.25">
      <c r="F346" s="2"/>
      <c r="I346" s="2"/>
      <c r="J346" s="2"/>
    </row>
    <row r="347" spans="1:10" x14ac:dyDescent="0.25">
      <c r="F347" s="2"/>
      <c r="I347" s="2"/>
      <c r="J347" s="2"/>
    </row>
    <row r="348" spans="1:10" x14ac:dyDescent="0.25">
      <c r="I348" s="2"/>
      <c r="J348" s="2"/>
    </row>
    <row r="349" spans="1:10" x14ac:dyDescent="0.25">
      <c r="I349" s="2"/>
      <c r="J349" s="2"/>
    </row>
    <row r="350" spans="1:10" x14ac:dyDescent="0.25">
      <c r="I350" s="2"/>
      <c r="J350" s="2"/>
    </row>
  </sheetData>
  <sortState ref="A22:E34">
    <sortCondition ref="A22:A34"/>
  </sortState>
  <mergeCells count="1">
    <mergeCell ref="A1:J1"/>
  </mergeCells>
  <phoneticPr fontId="0" type="noConversion"/>
  <printOptions gridLines="1"/>
  <pageMargins left="0.75" right="0" top="0.51" bottom="0.22" header="0.5" footer="0"/>
  <pageSetup scale="93" fitToHeight="17" orientation="landscape" r:id="rId1"/>
  <headerFooter alignWithMargins="0"/>
  <rowBreaks count="5" manualBreakCount="5">
    <brk id="43" max="7" man="1"/>
    <brk id="117" max="7" man="1"/>
    <brk id="157" max="7" man="1"/>
    <brk id="199" max="7" man="1"/>
    <brk id="322" max="7"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56"/>
  <sheetViews>
    <sheetView zoomScaleNormal="100" zoomScaleSheetLayoutView="100" workbookViewId="0">
      <selection sqref="A1:J1"/>
    </sheetView>
  </sheetViews>
  <sheetFormatPr defaultColWidth="8.88671875" defaultRowHeight="13.2" x14ac:dyDescent="0.25"/>
  <cols>
    <col min="1" max="1" width="41.5546875" style="7" bestFit="1" customWidth="1"/>
    <col min="2" max="2" width="9.88671875" style="7" customWidth="1"/>
    <col min="3" max="3" width="10.33203125" style="7" customWidth="1"/>
    <col min="4" max="4" width="10.5546875" style="7" customWidth="1"/>
    <col min="5" max="6" width="10.88671875" style="7" customWidth="1"/>
    <col min="7" max="7" width="10.88671875" style="2" customWidth="1"/>
    <col min="8" max="8" width="14" style="7" bestFit="1" customWidth="1"/>
    <col min="9" max="10" width="10.88671875" style="7" customWidth="1"/>
    <col min="11" max="16384" width="8.88671875" style="7"/>
  </cols>
  <sheetData>
    <row r="1" spans="1:10" x14ac:dyDescent="0.25">
      <c r="A1" s="194" t="e">
        <f>#REF!</f>
        <v>#REF!</v>
      </c>
      <c r="B1" s="195"/>
      <c r="C1" s="195"/>
      <c r="D1" s="195"/>
      <c r="E1" s="195"/>
      <c r="F1" s="195"/>
      <c r="G1" s="195"/>
      <c r="H1" s="195"/>
      <c r="I1" s="195"/>
      <c r="J1" s="195"/>
    </row>
    <row r="2" spans="1:10" ht="17.399999999999999" x14ac:dyDescent="0.3">
      <c r="A2" s="153" t="s">
        <v>1967</v>
      </c>
      <c r="B2" s="153"/>
      <c r="C2" s="153"/>
      <c r="D2" s="153"/>
      <c r="E2" s="153"/>
      <c r="F2" s="153"/>
      <c r="G2" s="153"/>
      <c r="H2" s="153"/>
      <c r="I2" s="153"/>
      <c r="J2" s="153"/>
    </row>
    <row r="3" spans="1:10" x14ac:dyDescent="0.25">
      <c r="B3" s="2"/>
      <c r="C3" s="2"/>
      <c r="D3" s="2"/>
      <c r="E3" s="2"/>
      <c r="F3" s="2"/>
    </row>
    <row r="4" spans="1:10" x14ac:dyDescent="0.25">
      <c r="B4" s="2"/>
      <c r="C4" s="2"/>
      <c r="D4" s="2"/>
      <c r="E4" s="167" t="s">
        <v>232</v>
      </c>
      <c r="F4" s="167" t="s">
        <v>233</v>
      </c>
      <c r="G4" s="167" t="s">
        <v>69</v>
      </c>
      <c r="H4" s="167" t="s">
        <v>399</v>
      </c>
      <c r="I4" s="16" t="s">
        <v>303</v>
      </c>
      <c r="J4" s="16" t="s">
        <v>336</v>
      </c>
    </row>
    <row r="5" spans="1:10" ht="15" x14ac:dyDescent="0.4">
      <c r="B5" s="2"/>
      <c r="C5" s="2"/>
      <c r="D5" s="2"/>
      <c r="E5" s="164" t="s">
        <v>1715</v>
      </c>
      <c r="F5" s="164" t="s">
        <v>1766</v>
      </c>
      <c r="G5" s="164" t="s">
        <v>1985</v>
      </c>
      <c r="H5" s="164" t="s">
        <v>1985</v>
      </c>
      <c r="I5" s="164" t="s">
        <v>1985</v>
      </c>
      <c r="J5" s="164" t="s">
        <v>1985</v>
      </c>
    </row>
    <row r="6" spans="1:10" ht="13.8" x14ac:dyDescent="0.3">
      <c r="A6" s="10" t="s">
        <v>709</v>
      </c>
      <c r="B6" s="2"/>
      <c r="C6" s="2"/>
      <c r="D6" s="2"/>
      <c r="E6" s="2">
        <v>64257</v>
      </c>
      <c r="F6" s="2">
        <v>65118</v>
      </c>
      <c r="G6" s="2">
        <v>65118</v>
      </c>
      <c r="H6" s="2">
        <v>65118</v>
      </c>
      <c r="I6" s="2"/>
      <c r="J6" s="2"/>
    </row>
    <row r="7" spans="1:10" x14ac:dyDescent="0.25">
      <c r="A7" s="7" t="s">
        <v>707</v>
      </c>
      <c r="B7" s="2">
        <v>52</v>
      </c>
      <c r="C7" s="2">
        <v>1236</v>
      </c>
      <c r="D7" s="2">
        <f>ROUND(B7*C7,0)</f>
        <v>64272</v>
      </c>
      <c r="E7" s="2"/>
      <c r="F7" s="2"/>
      <c r="H7" s="2"/>
      <c r="I7" s="2"/>
      <c r="J7" s="2"/>
    </row>
    <row r="8" spans="1:10" x14ac:dyDescent="0.25">
      <c r="A8" s="7" t="s">
        <v>912</v>
      </c>
      <c r="B8" s="2"/>
      <c r="C8" s="2"/>
      <c r="D8" s="18">
        <v>846</v>
      </c>
      <c r="E8" s="2"/>
      <c r="F8" s="2"/>
      <c r="H8" s="2"/>
      <c r="I8" s="2"/>
      <c r="J8" s="2"/>
    </row>
    <row r="9" spans="1:10" x14ac:dyDescent="0.25">
      <c r="B9" s="2"/>
      <c r="C9" s="2"/>
      <c r="D9" s="2">
        <f>+D8+D7</f>
        <v>65118</v>
      </c>
      <c r="E9" s="2"/>
      <c r="F9" s="2"/>
      <c r="H9" s="2"/>
      <c r="I9" s="2"/>
      <c r="J9" s="2"/>
    </row>
    <row r="10" spans="1:10" x14ac:dyDescent="0.25">
      <c r="B10" s="2"/>
      <c r="C10" s="2"/>
      <c r="D10" s="2"/>
      <c r="E10" s="2"/>
      <c r="F10" s="2"/>
      <c r="H10" s="2"/>
      <c r="I10" s="2"/>
      <c r="J10" s="2"/>
    </row>
    <row r="11" spans="1:10" ht="13.8" x14ac:dyDescent="0.3">
      <c r="A11" s="10" t="s">
        <v>761</v>
      </c>
      <c r="E11" s="7">
        <v>41149</v>
      </c>
      <c r="F11" s="2">
        <v>41132</v>
      </c>
      <c r="G11" s="2">
        <v>41132</v>
      </c>
      <c r="H11" s="2">
        <v>41132</v>
      </c>
      <c r="I11" s="2"/>
      <c r="J11" s="2"/>
    </row>
    <row r="12" spans="1:10" x14ac:dyDescent="0.25">
      <c r="A12" s="7" t="s">
        <v>708</v>
      </c>
      <c r="B12" s="2">
        <v>52</v>
      </c>
      <c r="C12" s="2">
        <v>791</v>
      </c>
      <c r="D12" s="2">
        <f>ROUND(B12*C12,0)</f>
        <v>41132</v>
      </c>
      <c r="F12" s="2"/>
      <c r="H12" s="2"/>
      <c r="I12" s="2"/>
      <c r="J12" s="2"/>
    </row>
    <row r="13" spans="1:10" x14ac:dyDescent="0.25">
      <c r="D13" s="2"/>
      <c r="E13" s="2"/>
      <c r="F13" s="2"/>
      <c r="H13" s="2"/>
      <c r="I13" s="2"/>
      <c r="J13" s="2"/>
    </row>
    <row r="14" spans="1:10" ht="13.8" x14ac:dyDescent="0.3">
      <c r="A14" s="10" t="s">
        <v>710</v>
      </c>
      <c r="D14" s="2"/>
      <c r="E14" s="2">
        <v>18039</v>
      </c>
      <c r="F14" s="2">
        <v>24763</v>
      </c>
      <c r="G14" s="2">
        <v>24763</v>
      </c>
      <c r="H14" s="2">
        <v>24763</v>
      </c>
      <c r="I14" s="2"/>
      <c r="J14" s="2"/>
    </row>
    <row r="15" spans="1:10" x14ac:dyDescent="0.25">
      <c r="A15" s="7" t="s">
        <v>187</v>
      </c>
      <c r="B15" s="2">
        <v>1325</v>
      </c>
      <c r="C15" s="12">
        <v>17.5</v>
      </c>
      <c r="D15" s="2">
        <f>ROUND(B15*C15,0)</f>
        <v>23188</v>
      </c>
      <c r="E15" s="2"/>
      <c r="F15" s="2"/>
      <c r="H15" s="2"/>
      <c r="I15" s="2"/>
      <c r="J15" s="2"/>
    </row>
    <row r="16" spans="1:10" x14ac:dyDescent="0.25">
      <c r="A16" s="7" t="s">
        <v>186</v>
      </c>
      <c r="B16" s="2">
        <v>0</v>
      </c>
      <c r="C16" s="12">
        <v>0</v>
      </c>
      <c r="D16" s="18">
        <v>1575</v>
      </c>
      <c r="E16" s="2"/>
      <c r="F16" s="2"/>
      <c r="H16" s="2"/>
      <c r="I16" s="2"/>
      <c r="J16" s="2"/>
    </row>
    <row r="17" spans="1:10" x14ac:dyDescent="0.25">
      <c r="B17" s="2"/>
      <c r="C17" s="12"/>
      <c r="D17" s="2">
        <f>SUM(D15:D16)</f>
        <v>24763</v>
      </c>
      <c r="E17" s="2"/>
      <c r="F17" s="2"/>
      <c r="H17" s="2"/>
      <c r="I17" s="2"/>
      <c r="J17" s="2"/>
    </row>
    <row r="18" spans="1:10" x14ac:dyDescent="0.25">
      <c r="D18" s="2"/>
      <c r="E18" s="2"/>
      <c r="F18" s="2"/>
      <c r="H18" s="2"/>
      <c r="I18" s="2"/>
      <c r="J18" s="2"/>
    </row>
    <row r="19" spans="1:10" ht="13.8" x14ac:dyDescent="0.3">
      <c r="A19" s="10" t="s">
        <v>711</v>
      </c>
      <c r="D19" s="2"/>
      <c r="E19" s="2">
        <v>9437</v>
      </c>
      <c r="F19" s="2">
        <v>10023</v>
      </c>
      <c r="G19" s="2">
        <v>10023</v>
      </c>
      <c r="H19" s="2">
        <v>10023</v>
      </c>
      <c r="I19" s="2"/>
      <c r="J19" s="2"/>
    </row>
    <row r="20" spans="1:10" hidden="1" x14ac:dyDescent="0.25">
      <c r="A20" s="13" t="s">
        <v>1406</v>
      </c>
      <c r="B20" s="2">
        <f>+D9</f>
        <v>65118</v>
      </c>
      <c r="C20" s="14">
        <v>7.6499999999999999E-2</v>
      </c>
      <c r="D20" s="2">
        <f>ROUND(B20*C20,0)</f>
        <v>4982</v>
      </c>
      <c r="E20" s="2"/>
      <c r="F20" s="2"/>
      <c r="H20" s="2"/>
      <c r="I20" s="2"/>
      <c r="J20" s="2"/>
    </row>
    <row r="21" spans="1:10" hidden="1" x14ac:dyDescent="0.25">
      <c r="A21" s="13" t="s">
        <v>757</v>
      </c>
      <c r="B21" s="2">
        <f>+D12</f>
        <v>41132</v>
      </c>
      <c r="C21" s="14">
        <v>7.6499999999999999E-2</v>
      </c>
      <c r="D21" s="2">
        <f>ROUND(B21*C21,0)</f>
        <v>3147</v>
      </c>
      <c r="E21" s="2"/>
      <c r="F21" s="2"/>
      <c r="H21" s="2"/>
      <c r="I21" s="2"/>
      <c r="J21" s="2"/>
    </row>
    <row r="22" spans="1:10" ht="15" hidden="1" x14ac:dyDescent="0.4">
      <c r="A22" s="13" t="s">
        <v>183</v>
      </c>
      <c r="B22" s="2">
        <f>+D17</f>
        <v>24763</v>
      </c>
      <c r="C22" s="14">
        <v>7.6499999999999999E-2</v>
      </c>
      <c r="D22" s="11">
        <f>ROUND(B22*C22,0)</f>
        <v>1894</v>
      </c>
      <c r="E22" s="2"/>
      <c r="F22" s="2"/>
      <c r="H22" s="2"/>
      <c r="I22" s="2"/>
      <c r="J22" s="2"/>
    </row>
    <row r="23" spans="1:10" hidden="1" x14ac:dyDescent="0.25">
      <c r="A23" s="7" t="s">
        <v>406</v>
      </c>
      <c r="B23" s="2" t="s">
        <v>386</v>
      </c>
      <c r="D23" s="2">
        <f>SUM(D20:D22)</f>
        <v>10023</v>
      </c>
      <c r="E23" s="2"/>
      <c r="F23" s="2"/>
      <c r="H23" s="2"/>
      <c r="I23" s="2"/>
      <c r="J23" s="2"/>
    </row>
    <row r="24" spans="1:10" x14ac:dyDescent="0.25">
      <c r="D24" s="2"/>
      <c r="E24" s="2"/>
      <c r="F24" s="2"/>
      <c r="H24" s="2"/>
      <c r="I24" s="2"/>
      <c r="J24" s="2"/>
    </row>
    <row r="25" spans="1:10" ht="13.8" x14ac:dyDescent="0.3">
      <c r="A25" s="15" t="s">
        <v>1432</v>
      </c>
      <c r="D25" s="2"/>
      <c r="E25" s="2">
        <v>11778</v>
      </c>
      <c r="F25" s="2">
        <v>12909</v>
      </c>
      <c r="G25" s="2">
        <v>12091</v>
      </c>
      <c r="H25" s="2">
        <v>12091</v>
      </c>
      <c r="I25" s="2"/>
      <c r="J25" s="2"/>
    </row>
    <row r="26" spans="1:10" hidden="1" x14ac:dyDescent="0.25">
      <c r="A26" s="7" t="s">
        <v>406</v>
      </c>
      <c r="B26" s="2">
        <f>+D9+D12</f>
        <v>106250</v>
      </c>
      <c r="C26" s="14">
        <v>0.1138</v>
      </c>
      <c r="D26" s="2">
        <f>ROUND(B26*C26,0)</f>
        <v>12091</v>
      </c>
      <c r="E26" s="2"/>
      <c r="F26" s="2"/>
      <c r="H26" s="2"/>
      <c r="I26" s="2"/>
      <c r="J26" s="2"/>
    </row>
    <row r="27" spans="1:10" x14ac:dyDescent="0.25">
      <c r="D27" s="2"/>
      <c r="E27" s="2"/>
      <c r="F27" s="2"/>
      <c r="H27" s="2"/>
      <c r="I27" s="2"/>
      <c r="J27" s="2"/>
    </row>
    <row r="28" spans="1:10" ht="13.8" x14ac:dyDescent="0.3">
      <c r="A28" s="10" t="s">
        <v>1433</v>
      </c>
      <c r="D28" s="2"/>
      <c r="E28" s="2">
        <v>32374</v>
      </c>
      <c r="F28" s="2">
        <v>34500</v>
      </c>
      <c r="G28" s="2">
        <v>36600</v>
      </c>
      <c r="H28" s="2">
        <v>36600</v>
      </c>
      <c r="I28" s="2"/>
      <c r="J28" s="2"/>
    </row>
    <row r="29" spans="1:10" x14ac:dyDescent="0.25">
      <c r="A29" s="7" t="s">
        <v>406</v>
      </c>
      <c r="B29" s="2">
        <v>2</v>
      </c>
      <c r="C29" s="2">
        <v>18300</v>
      </c>
      <c r="D29" s="2">
        <f>ROUND(B29*C29,0)</f>
        <v>36600</v>
      </c>
      <c r="E29" s="2"/>
      <c r="F29" s="2"/>
      <c r="H29" s="2"/>
      <c r="I29" s="2"/>
      <c r="J29" s="2"/>
    </row>
    <row r="30" spans="1:10" x14ac:dyDescent="0.25">
      <c r="D30" s="2"/>
      <c r="E30" s="2"/>
      <c r="F30" s="2"/>
      <c r="H30" s="2"/>
      <c r="I30" s="2"/>
      <c r="J30" s="2"/>
    </row>
    <row r="31" spans="1:10" ht="13.8" x14ac:dyDescent="0.3">
      <c r="A31" s="10" t="s">
        <v>1434</v>
      </c>
      <c r="D31" s="2"/>
      <c r="E31" s="2">
        <v>2374</v>
      </c>
      <c r="F31" s="2">
        <v>2340</v>
      </c>
      <c r="G31" s="2">
        <v>2340</v>
      </c>
      <c r="H31" s="2">
        <v>2340</v>
      </c>
      <c r="I31" s="2"/>
      <c r="J31" s="2"/>
    </row>
    <row r="32" spans="1:10" x14ac:dyDescent="0.25">
      <c r="A32" s="7" t="s">
        <v>406</v>
      </c>
      <c r="B32" s="2">
        <v>2</v>
      </c>
      <c r="C32" s="2">
        <v>1300</v>
      </c>
      <c r="D32" s="2">
        <f>ROUND(B32*C32,0)</f>
        <v>2600</v>
      </c>
      <c r="E32" s="2"/>
      <c r="F32" s="2"/>
      <c r="H32" s="2"/>
      <c r="I32" s="2"/>
      <c r="J32" s="2"/>
    </row>
    <row r="33" spans="1:10" ht="15" x14ac:dyDescent="0.4">
      <c r="A33" s="7" t="s">
        <v>226</v>
      </c>
      <c r="B33" s="2"/>
      <c r="C33" s="2"/>
      <c r="D33" s="11">
        <f>+C32*0.1*-B32</f>
        <v>-260</v>
      </c>
      <c r="E33" s="2"/>
      <c r="F33" s="2"/>
      <c r="H33" s="2"/>
      <c r="I33" s="2"/>
      <c r="J33" s="2"/>
    </row>
    <row r="34" spans="1:10" x14ac:dyDescent="0.25">
      <c r="A34" s="7" t="s">
        <v>751</v>
      </c>
      <c r="B34" s="2"/>
      <c r="C34" s="2"/>
      <c r="D34" s="2">
        <f>SUM(D32:D33)</f>
        <v>2340</v>
      </c>
      <c r="E34" s="2"/>
      <c r="F34" s="2"/>
      <c r="H34" s="2"/>
      <c r="I34" s="2"/>
      <c r="J34" s="2"/>
    </row>
    <row r="35" spans="1:10" x14ac:dyDescent="0.25">
      <c r="D35" s="2"/>
      <c r="E35" s="2"/>
      <c r="F35" s="2"/>
      <c r="H35" s="2"/>
      <c r="I35" s="2"/>
      <c r="J35" s="2"/>
    </row>
    <row r="36" spans="1:10" ht="13.8" x14ac:dyDescent="0.3">
      <c r="A36" s="10" t="s">
        <v>1435</v>
      </c>
      <c r="D36" s="2"/>
      <c r="E36" s="2">
        <v>227</v>
      </c>
      <c r="F36" s="2">
        <v>270</v>
      </c>
      <c r="G36" s="2">
        <v>270</v>
      </c>
      <c r="H36" s="2">
        <v>270</v>
      </c>
      <c r="I36" s="2"/>
      <c r="J36" s="2"/>
    </row>
    <row r="37" spans="1:10" hidden="1" x14ac:dyDescent="0.25">
      <c r="A37" s="7" t="s">
        <v>406</v>
      </c>
      <c r="B37" s="2">
        <v>2</v>
      </c>
      <c r="C37" s="2">
        <v>135</v>
      </c>
      <c r="D37" s="2">
        <f>ROUND(B37*C37,0)</f>
        <v>270</v>
      </c>
      <c r="E37" s="2"/>
      <c r="F37" s="2"/>
      <c r="H37" s="2"/>
      <c r="I37" s="2"/>
      <c r="J37" s="2"/>
    </row>
    <row r="38" spans="1:10" x14ac:dyDescent="0.25">
      <c r="D38" s="2"/>
      <c r="E38" s="2"/>
      <c r="F38" s="2"/>
      <c r="H38" s="2"/>
      <c r="I38" s="2"/>
      <c r="J38" s="2"/>
    </row>
    <row r="39" spans="1:10" ht="13.8" x14ac:dyDescent="0.3">
      <c r="A39" s="10" t="s">
        <v>1355</v>
      </c>
      <c r="D39" s="2"/>
      <c r="E39" s="2">
        <v>761</v>
      </c>
      <c r="F39" s="2">
        <v>820</v>
      </c>
      <c r="G39" s="2">
        <v>1260</v>
      </c>
      <c r="H39" s="2">
        <v>1260</v>
      </c>
      <c r="I39" s="2"/>
      <c r="J39" s="2"/>
    </row>
    <row r="40" spans="1:10" hidden="1" x14ac:dyDescent="0.25">
      <c r="A40" s="7" t="s">
        <v>406</v>
      </c>
      <c r="B40" s="2">
        <v>2</v>
      </c>
      <c r="C40" s="2">
        <v>630</v>
      </c>
      <c r="D40" s="2">
        <f>ROUND(B40*C40,0)</f>
        <v>1260</v>
      </c>
      <c r="E40" s="2"/>
      <c r="F40" s="2"/>
      <c r="H40" s="2"/>
      <c r="I40" s="2"/>
      <c r="J40" s="2"/>
    </row>
    <row r="41" spans="1:10" x14ac:dyDescent="0.25">
      <c r="D41" s="2"/>
      <c r="E41" s="2"/>
      <c r="F41" s="2"/>
      <c r="H41" s="2"/>
      <c r="I41" s="2"/>
      <c r="J41" s="2"/>
    </row>
    <row r="42" spans="1:10" ht="13.8" x14ac:dyDescent="0.3">
      <c r="A42" s="10" t="s">
        <v>157</v>
      </c>
      <c r="D42" s="2"/>
      <c r="E42" s="2">
        <v>739</v>
      </c>
      <c r="F42" s="2">
        <v>982</v>
      </c>
      <c r="G42" s="2">
        <v>969</v>
      </c>
      <c r="H42" s="2">
        <v>969</v>
      </c>
      <c r="I42" s="2"/>
      <c r="J42" s="2"/>
    </row>
    <row r="43" spans="1:10" hidden="1" x14ac:dyDescent="0.25">
      <c r="A43" s="13" t="s">
        <v>1406</v>
      </c>
      <c r="B43" s="2">
        <f>+D9</f>
        <v>65118</v>
      </c>
      <c r="C43" s="14">
        <v>7.4000000000000003E-3</v>
      </c>
      <c r="D43" s="2">
        <f>ROUND(B43*C43,0)</f>
        <v>482</v>
      </c>
      <c r="E43" s="2"/>
      <c r="F43" s="2"/>
      <c r="H43" s="2"/>
      <c r="I43" s="2"/>
      <c r="J43" s="2"/>
    </row>
    <row r="44" spans="1:10" hidden="1" x14ac:dyDescent="0.25">
      <c r="A44" s="13" t="s">
        <v>757</v>
      </c>
      <c r="B44" s="2">
        <f>+D12</f>
        <v>41132</v>
      </c>
      <c r="C44" s="14">
        <v>7.4000000000000003E-3</v>
      </c>
      <c r="D44" s="2">
        <f>ROUND(B44*C44,0)</f>
        <v>304</v>
      </c>
      <c r="E44" s="2"/>
      <c r="F44" s="2"/>
      <c r="H44" s="2"/>
      <c r="I44" s="2"/>
      <c r="J44" s="2"/>
    </row>
    <row r="45" spans="1:10" ht="15" hidden="1" x14ac:dyDescent="0.4">
      <c r="A45" s="13" t="s">
        <v>183</v>
      </c>
      <c r="B45" s="2">
        <f>+B22</f>
        <v>24763</v>
      </c>
      <c r="C45" s="14">
        <v>7.4000000000000003E-3</v>
      </c>
      <c r="D45" s="11">
        <f>ROUND(B45*C45,0)</f>
        <v>183</v>
      </c>
      <c r="E45" s="2"/>
      <c r="F45" s="2"/>
      <c r="H45" s="2"/>
      <c r="I45" s="2"/>
      <c r="J45" s="2"/>
    </row>
    <row r="46" spans="1:10" hidden="1" x14ac:dyDescent="0.25">
      <c r="A46" s="7" t="s">
        <v>1182</v>
      </c>
      <c r="D46" s="2">
        <f>SUM(D43:D45)</f>
        <v>969</v>
      </c>
      <c r="E46" s="2"/>
      <c r="F46" s="2"/>
      <c r="H46" s="2"/>
      <c r="I46" s="2"/>
      <c r="J46" s="2"/>
    </row>
    <row r="47" spans="1:10" x14ac:dyDescent="0.25">
      <c r="D47" s="2"/>
      <c r="E47" s="2"/>
      <c r="F47" s="2"/>
      <c r="H47" s="2"/>
      <c r="I47" s="2"/>
      <c r="J47" s="2"/>
    </row>
    <row r="48" spans="1:10" ht="13.8" x14ac:dyDescent="0.3">
      <c r="A48" s="10" t="s">
        <v>158</v>
      </c>
      <c r="D48" s="2"/>
      <c r="E48" s="2">
        <v>93</v>
      </c>
      <c r="F48" s="2">
        <v>109</v>
      </c>
      <c r="G48" s="2">
        <v>81</v>
      </c>
      <c r="H48" s="2">
        <v>81</v>
      </c>
      <c r="I48" s="2"/>
      <c r="J48" s="2"/>
    </row>
    <row r="49" spans="1:10" hidden="1" x14ac:dyDescent="0.25">
      <c r="A49" s="13" t="s">
        <v>1406</v>
      </c>
      <c r="B49" s="2">
        <v>1</v>
      </c>
      <c r="C49" s="2">
        <v>26</v>
      </c>
      <c r="D49" s="2">
        <f>ROUND(B49*C49,0)</f>
        <v>26</v>
      </c>
      <c r="E49" s="2"/>
      <c r="F49" s="2"/>
      <c r="H49" s="2"/>
      <c r="I49" s="2"/>
      <c r="J49" s="2"/>
    </row>
    <row r="50" spans="1:10" hidden="1" x14ac:dyDescent="0.25">
      <c r="A50" s="13" t="s">
        <v>757</v>
      </c>
      <c r="B50" s="2">
        <v>1</v>
      </c>
      <c r="C50" s="2">
        <v>26</v>
      </c>
      <c r="D50" s="2">
        <f>ROUND(B50*C50,0)</f>
        <v>26</v>
      </c>
      <c r="E50" s="2"/>
      <c r="F50" s="2"/>
      <c r="H50" s="2"/>
      <c r="I50" s="2"/>
      <c r="J50" s="2"/>
    </row>
    <row r="51" spans="1:10" hidden="1" x14ac:dyDescent="0.25">
      <c r="A51" s="7" t="s">
        <v>1401</v>
      </c>
      <c r="B51" s="2">
        <f>+D16</f>
        <v>1575</v>
      </c>
      <c r="C51" s="14">
        <v>1.8E-3</v>
      </c>
      <c r="D51" s="2">
        <f>ROUND(B51*C51,0)</f>
        <v>3</v>
      </c>
      <c r="E51" s="2"/>
      <c r="F51" s="2"/>
      <c r="H51" s="2"/>
      <c r="I51" s="2"/>
      <c r="J51" s="2"/>
    </row>
    <row r="52" spans="1:10" hidden="1" x14ac:dyDescent="0.25">
      <c r="A52" s="13" t="s">
        <v>183</v>
      </c>
      <c r="B52" s="2">
        <v>1</v>
      </c>
      <c r="C52" s="2">
        <v>26</v>
      </c>
      <c r="D52" s="18">
        <f>ROUND(B52*C52,0)</f>
        <v>26</v>
      </c>
      <c r="E52" s="2"/>
      <c r="F52" s="2"/>
      <c r="H52" s="2"/>
      <c r="I52" s="2"/>
      <c r="J52" s="2"/>
    </row>
    <row r="53" spans="1:10" hidden="1" x14ac:dyDescent="0.25">
      <c r="A53" s="7" t="s">
        <v>1182</v>
      </c>
      <c r="D53" s="2">
        <f>SUM(D49:D52)</f>
        <v>81</v>
      </c>
      <c r="E53" s="2"/>
      <c r="F53" s="2"/>
      <c r="H53" s="2"/>
      <c r="I53" s="2"/>
      <c r="J53" s="2"/>
    </row>
    <row r="54" spans="1:10" s="160" customFormat="1" x14ac:dyDescent="0.25">
      <c r="D54" s="2"/>
      <c r="E54" s="2"/>
      <c r="F54" s="2"/>
      <c r="G54" s="2"/>
      <c r="H54" s="2"/>
      <c r="I54" s="2"/>
      <c r="J54" s="2"/>
    </row>
    <row r="55" spans="1:10" s="160" customFormat="1" ht="13.8" x14ac:dyDescent="0.3">
      <c r="A55" s="53" t="s">
        <v>1979</v>
      </c>
      <c r="D55" s="2">
        <v>0</v>
      </c>
      <c r="E55" s="2">
        <v>0</v>
      </c>
      <c r="F55" s="2">
        <v>0</v>
      </c>
      <c r="G55" s="47">
        <v>0</v>
      </c>
      <c r="H55" s="47">
        <v>0</v>
      </c>
      <c r="I55" s="2"/>
      <c r="J55" s="2"/>
    </row>
    <row r="56" spans="1:10" s="160" customFormat="1" ht="13.8" x14ac:dyDescent="0.3">
      <c r="A56" s="53"/>
      <c r="D56" s="2"/>
      <c r="E56" s="2"/>
      <c r="F56" s="2"/>
      <c r="G56" s="47"/>
      <c r="H56" s="47"/>
      <c r="I56" s="2"/>
      <c r="J56" s="2"/>
    </row>
    <row r="57" spans="1:10" x14ac:dyDescent="0.25">
      <c r="A57" s="81" t="s">
        <v>159</v>
      </c>
      <c r="B57" s="61"/>
      <c r="C57" s="61"/>
      <c r="D57" s="3">
        <v>2500</v>
      </c>
      <c r="E57" s="3">
        <v>960</v>
      </c>
      <c r="F57" s="3">
        <v>2500</v>
      </c>
      <c r="G57" s="3">
        <v>2500</v>
      </c>
      <c r="H57" s="3">
        <v>2500</v>
      </c>
      <c r="I57" s="3"/>
      <c r="J57" s="3"/>
    </row>
    <row r="58" spans="1:10" x14ac:dyDescent="0.25">
      <c r="A58" s="61"/>
      <c r="B58" s="61"/>
      <c r="C58" s="3"/>
      <c r="D58" s="3"/>
      <c r="E58" s="3"/>
      <c r="F58" s="3"/>
      <c r="G58" s="3"/>
      <c r="H58" s="3"/>
      <c r="I58" s="3"/>
      <c r="J58" s="3"/>
    </row>
    <row r="59" spans="1:10" x14ac:dyDescent="0.25">
      <c r="A59" s="81" t="s">
        <v>1167</v>
      </c>
      <c r="B59" s="61"/>
      <c r="C59" s="3"/>
      <c r="D59" s="3">
        <v>0</v>
      </c>
      <c r="E59" s="3">
        <v>0</v>
      </c>
      <c r="F59" s="3">
        <v>0</v>
      </c>
      <c r="G59" s="3">
        <v>0</v>
      </c>
      <c r="H59" s="3">
        <v>0</v>
      </c>
      <c r="I59" s="3"/>
      <c r="J59" s="3"/>
    </row>
    <row r="60" spans="1:10" x14ac:dyDescent="0.25">
      <c r="A60" s="61"/>
      <c r="B60" s="61"/>
      <c r="C60" s="3"/>
      <c r="D60" s="3"/>
      <c r="E60" s="3"/>
      <c r="F60" s="3"/>
      <c r="G60" s="3"/>
      <c r="H60" s="3"/>
      <c r="I60" s="3"/>
      <c r="J60" s="3"/>
    </row>
    <row r="61" spans="1:10" x14ac:dyDescent="0.25">
      <c r="A61" s="81" t="s">
        <v>1168</v>
      </c>
      <c r="B61" s="3"/>
      <c r="C61" s="73" t="s">
        <v>386</v>
      </c>
      <c r="D61" s="73">
        <v>5000</v>
      </c>
      <c r="E61" s="3">
        <v>5051</v>
      </c>
      <c r="F61" s="3">
        <v>3200</v>
      </c>
      <c r="G61" s="3">
        <v>5000</v>
      </c>
      <c r="H61" s="3">
        <v>5000</v>
      </c>
      <c r="I61" s="3"/>
      <c r="J61" s="3"/>
    </row>
    <row r="62" spans="1:10" x14ac:dyDescent="0.25">
      <c r="A62" s="61"/>
      <c r="B62" s="61"/>
      <c r="C62" s="3"/>
      <c r="D62" s="3"/>
      <c r="E62" s="3"/>
      <c r="F62" s="3"/>
      <c r="G62" s="3"/>
      <c r="H62" s="3"/>
      <c r="I62" s="3"/>
      <c r="J62" s="3"/>
    </row>
    <row r="63" spans="1:10" x14ac:dyDescent="0.25">
      <c r="A63" s="81" t="s">
        <v>1169</v>
      </c>
      <c r="B63" s="61"/>
      <c r="C63" s="3"/>
      <c r="D63" s="3">
        <v>3500</v>
      </c>
      <c r="E63" s="3">
        <v>752</v>
      </c>
      <c r="F63" s="3">
        <v>3500</v>
      </c>
      <c r="G63" s="3">
        <v>3500</v>
      </c>
      <c r="H63" s="3">
        <v>3500</v>
      </c>
      <c r="I63" s="3"/>
      <c r="J63" s="3"/>
    </row>
    <row r="64" spans="1:10" x14ac:dyDescent="0.25">
      <c r="A64" s="61"/>
      <c r="B64" s="61"/>
      <c r="C64" s="3"/>
      <c r="D64" s="3"/>
      <c r="E64" s="3"/>
      <c r="F64" s="3"/>
      <c r="G64" s="3"/>
      <c r="H64" s="3"/>
      <c r="I64" s="3"/>
      <c r="J64" s="3"/>
    </row>
    <row r="65" spans="1:10" x14ac:dyDescent="0.25">
      <c r="A65" s="81" t="s">
        <v>1275</v>
      </c>
      <c r="B65" s="61"/>
      <c r="C65" s="3"/>
      <c r="D65" s="3">
        <v>0</v>
      </c>
      <c r="E65" s="3">
        <v>0</v>
      </c>
      <c r="F65" s="3">
        <v>0</v>
      </c>
      <c r="G65" s="3">
        <v>0</v>
      </c>
      <c r="H65" s="3">
        <v>0</v>
      </c>
      <c r="I65" s="3"/>
      <c r="J65" s="3"/>
    </row>
    <row r="66" spans="1:10" x14ac:dyDescent="0.25">
      <c r="A66" s="61"/>
      <c r="B66" s="61"/>
      <c r="C66" s="3"/>
      <c r="D66" s="3"/>
      <c r="E66" s="3"/>
      <c r="F66" s="3"/>
      <c r="G66" s="3"/>
      <c r="H66" s="3"/>
      <c r="I66" s="3"/>
      <c r="J66" s="3"/>
    </row>
    <row r="67" spans="1:10" x14ac:dyDescent="0.25">
      <c r="A67" s="82" t="s">
        <v>1170</v>
      </c>
      <c r="B67" s="61"/>
      <c r="C67" s="3"/>
      <c r="D67" s="3">
        <v>1605</v>
      </c>
      <c r="E67" s="3">
        <v>1459</v>
      </c>
      <c r="F67" s="3">
        <v>2135</v>
      </c>
      <c r="G67" s="3">
        <v>1605</v>
      </c>
      <c r="H67" s="3">
        <v>1605</v>
      </c>
      <c r="I67" s="3"/>
      <c r="J67" s="3"/>
    </row>
    <row r="68" spans="1:10" hidden="1" x14ac:dyDescent="0.25">
      <c r="A68" s="61" t="s">
        <v>1252</v>
      </c>
      <c r="B68" s="61"/>
      <c r="C68" s="3"/>
      <c r="D68" s="61">
        <v>2211</v>
      </c>
      <c r="E68" s="3"/>
      <c r="F68" s="3"/>
      <c r="G68" s="3"/>
      <c r="H68" s="3"/>
      <c r="I68" s="3"/>
      <c r="J68" s="3"/>
    </row>
    <row r="69" spans="1:10" x14ac:dyDescent="0.25">
      <c r="A69" s="61"/>
      <c r="B69" s="61"/>
      <c r="C69" s="3"/>
      <c r="D69" s="3"/>
      <c r="E69" s="3"/>
      <c r="F69" s="3"/>
      <c r="G69" s="3"/>
      <c r="H69" s="3"/>
      <c r="I69" s="3"/>
      <c r="J69" s="3"/>
    </row>
    <row r="70" spans="1:10" x14ac:dyDescent="0.25">
      <c r="A70" s="81" t="s">
        <v>1171</v>
      </c>
      <c r="B70" s="61"/>
      <c r="C70" s="73" t="s">
        <v>386</v>
      </c>
      <c r="D70" s="73">
        <v>1500</v>
      </c>
      <c r="E70" s="3">
        <v>0</v>
      </c>
      <c r="F70" s="3">
        <v>1500</v>
      </c>
      <c r="G70" s="3">
        <v>1500</v>
      </c>
      <c r="H70" s="3">
        <v>1500</v>
      </c>
      <c r="I70" s="3"/>
      <c r="J70" s="3"/>
    </row>
    <row r="71" spans="1:10" x14ac:dyDescent="0.25">
      <c r="A71" s="61"/>
      <c r="B71" s="61"/>
      <c r="C71" s="3"/>
      <c r="D71" s="3"/>
      <c r="E71" s="3"/>
      <c r="F71" s="3"/>
      <c r="G71" s="3"/>
      <c r="H71" s="3"/>
      <c r="I71" s="3"/>
      <c r="J71" s="3"/>
    </row>
    <row r="72" spans="1:10" x14ac:dyDescent="0.25">
      <c r="A72" s="81" t="s">
        <v>1172</v>
      </c>
      <c r="B72" s="61"/>
      <c r="C72" s="3"/>
      <c r="D72" s="3">
        <v>2000</v>
      </c>
      <c r="E72" s="3">
        <v>2297</v>
      </c>
      <c r="F72" s="3">
        <v>2000</v>
      </c>
      <c r="G72" s="3">
        <v>2000</v>
      </c>
      <c r="H72" s="3">
        <v>2000</v>
      </c>
      <c r="I72" s="3"/>
      <c r="J72" s="3"/>
    </row>
    <row r="73" spans="1:10" x14ac:dyDescent="0.25">
      <c r="A73" s="61"/>
      <c r="B73" s="61"/>
      <c r="C73" s="3"/>
      <c r="D73" s="3"/>
      <c r="E73" s="3"/>
      <c r="F73" s="3"/>
      <c r="G73" s="3"/>
      <c r="H73" s="3"/>
      <c r="I73" s="3"/>
      <c r="J73" s="3"/>
    </row>
    <row r="74" spans="1:10" x14ac:dyDescent="0.25">
      <c r="A74" s="81" t="s">
        <v>669</v>
      </c>
      <c r="B74" s="61"/>
      <c r="C74" s="3"/>
      <c r="D74" s="3">
        <v>5000</v>
      </c>
      <c r="E74" s="3">
        <v>1800</v>
      </c>
      <c r="F74" s="3">
        <v>5000</v>
      </c>
      <c r="G74" s="3">
        <v>5000</v>
      </c>
      <c r="H74" s="3">
        <v>5000</v>
      </c>
      <c r="I74" s="3"/>
      <c r="J74" s="3"/>
    </row>
    <row r="75" spans="1:10" x14ac:dyDescent="0.25">
      <c r="A75" s="61"/>
      <c r="B75" s="61"/>
      <c r="C75" s="3"/>
      <c r="D75" s="3"/>
      <c r="E75" s="3"/>
      <c r="F75" s="3"/>
      <c r="G75" s="3"/>
      <c r="H75" s="3"/>
      <c r="I75" s="3"/>
      <c r="J75" s="3"/>
    </row>
    <row r="76" spans="1:10" x14ac:dyDescent="0.25">
      <c r="A76" s="81" t="s">
        <v>1173</v>
      </c>
      <c r="B76" s="61"/>
      <c r="C76" s="3"/>
      <c r="D76" s="3">
        <v>3000</v>
      </c>
      <c r="E76" s="3">
        <v>0</v>
      </c>
      <c r="F76" s="3">
        <v>3000</v>
      </c>
      <c r="G76" s="3">
        <v>3000</v>
      </c>
      <c r="H76" s="3">
        <v>3000</v>
      </c>
      <c r="I76" s="3"/>
      <c r="J76" s="3"/>
    </row>
    <row r="77" spans="1:10" x14ac:dyDescent="0.25">
      <c r="A77" s="61"/>
      <c r="B77" s="61"/>
      <c r="C77" s="3"/>
      <c r="D77" s="3"/>
      <c r="E77" s="3"/>
      <c r="F77" s="3"/>
      <c r="G77" s="3"/>
      <c r="H77" s="3"/>
      <c r="I77" s="3"/>
      <c r="J77" s="3"/>
    </row>
    <row r="78" spans="1:10" x14ac:dyDescent="0.25">
      <c r="A78" s="81" t="s">
        <v>160</v>
      </c>
      <c r="B78" s="61"/>
      <c r="C78" s="3"/>
      <c r="D78" s="3"/>
      <c r="E78" s="3">
        <v>19269</v>
      </c>
      <c r="F78" s="2">
        <v>19369</v>
      </c>
      <c r="G78" s="2">
        <v>18787</v>
      </c>
      <c r="H78" s="2">
        <v>18787</v>
      </c>
      <c r="I78" s="2"/>
      <c r="J78" s="2"/>
    </row>
    <row r="79" spans="1:10" x14ac:dyDescent="0.25">
      <c r="A79" s="41" t="s">
        <v>1274</v>
      </c>
      <c r="B79" s="61"/>
      <c r="C79" s="3"/>
      <c r="D79" s="3">
        <v>16787</v>
      </c>
      <c r="E79" s="3"/>
      <c r="F79" s="3"/>
      <c r="G79" s="3"/>
      <c r="H79" s="3"/>
      <c r="I79" s="3"/>
      <c r="J79" s="3"/>
    </row>
    <row r="80" spans="1:10" ht="15" x14ac:dyDescent="0.4">
      <c r="A80" s="41" t="s">
        <v>1277</v>
      </c>
      <c r="B80" s="61"/>
      <c r="C80" s="3"/>
      <c r="D80" s="31">
        <v>2000</v>
      </c>
      <c r="E80" s="3"/>
      <c r="F80" s="3"/>
      <c r="G80" s="3"/>
      <c r="H80" s="3"/>
      <c r="I80" s="3"/>
      <c r="J80" s="3"/>
    </row>
    <row r="81" spans="1:13" x14ac:dyDescent="0.25">
      <c r="A81" s="41"/>
      <c r="B81" s="61"/>
      <c r="C81" s="3"/>
      <c r="D81" s="3">
        <f>SUM(D79:D80)</f>
        <v>18787</v>
      </c>
      <c r="E81" s="3"/>
      <c r="F81" s="3"/>
      <c r="G81" s="3"/>
      <c r="H81" s="3"/>
      <c r="I81" s="3"/>
      <c r="J81" s="3"/>
    </row>
    <row r="82" spans="1:13" x14ac:dyDescent="0.25">
      <c r="A82" s="61"/>
      <c r="B82" s="61"/>
      <c r="C82" s="3"/>
      <c r="D82" s="3"/>
      <c r="E82" s="3"/>
      <c r="F82" s="3"/>
      <c r="G82" s="3"/>
      <c r="H82" s="3"/>
      <c r="I82" s="3"/>
      <c r="J82" s="3"/>
    </row>
    <row r="83" spans="1:13" x14ac:dyDescent="0.25">
      <c r="A83" s="81" t="s">
        <v>161</v>
      </c>
      <c r="B83" s="61"/>
      <c r="C83" s="3"/>
      <c r="D83" s="3">
        <v>250</v>
      </c>
      <c r="E83" s="3">
        <v>0</v>
      </c>
      <c r="F83" s="3">
        <v>250</v>
      </c>
      <c r="G83" s="3">
        <v>250</v>
      </c>
      <c r="H83" s="3">
        <v>250</v>
      </c>
      <c r="I83" s="3"/>
      <c r="J83" s="3"/>
    </row>
    <row r="84" spans="1:13" x14ac:dyDescent="0.25">
      <c r="A84" s="61"/>
      <c r="B84" s="61"/>
      <c r="C84" s="3"/>
      <c r="D84" s="3"/>
      <c r="E84" s="3"/>
      <c r="F84" s="3"/>
      <c r="G84" s="3"/>
      <c r="H84" s="3"/>
      <c r="I84" s="3"/>
      <c r="J84" s="3"/>
    </row>
    <row r="85" spans="1:13" x14ac:dyDescent="0.25">
      <c r="A85" s="81" t="s">
        <v>1276</v>
      </c>
      <c r="B85" s="61"/>
      <c r="C85" s="3"/>
      <c r="D85" s="3">
        <v>100</v>
      </c>
      <c r="E85" s="3">
        <v>0</v>
      </c>
      <c r="F85" s="3">
        <v>100</v>
      </c>
      <c r="G85" s="3">
        <v>100</v>
      </c>
      <c r="H85" s="3">
        <v>100</v>
      </c>
      <c r="I85" s="3"/>
      <c r="J85" s="3"/>
    </row>
    <row r="86" spans="1:13" x14ac:dyDescent="0.25">
      <c r="A86" s="61"/>
      <c r="B86" s="61"/>
      <c r="C86" s="3"/>
      <c r="D86" s="3"/>
      <c r="E86" s="3"/>
      <c r="F86" s="3"/>
      <c r="G86" s="3"/>
      <c r="H86" s="3"/>
      <c r="I86" s="3"/>
      <c r="J86" s="3"/>
    </row>
    <row r="87" spans="1:13" s="168" customFormat="1" x14ac:dyDescent="0.25">
      <c r="A87" s="81" t="s">
        <v>1991</v>
      </c>
      <c r="B87" s="61"/>
      <c r="C87" s="3"/>
      <c r="D87" s="3"/>
      <c r="E87" s="3">
        <v>13222</v>
      </c>
      <c r="F87" s="3">
        <v>0</v>
      </c>
      <c r="G87" s="3">
        <v>0</v>
      </c>
      <c r="H87" s="3">
        <v>0</v>
      </c>
      <c r="I87" s="3"/>
      <c r="J87" s="3"/>
    </row>
    <row r="88" spans="1:13" s="168" customFormat="1" x14ac:dyDescent="0.25">
      <c r="A88" s="61"/>
      <c r="B88" s="61"/>
      <c r="C88" s="3"/>
      <c r="D88" s="3"/>
      <c r="E88" s="3"/>
      <c r="F88" s="3"/>
      <c r="G88" s="3"/>
      <c r="H88" s="3"/>
      <c r="I88" s="3"/>
      <c r="J88" s="3"/>
    </row>
    <row r="89" spans="1:13" ht="15" x14ac:dyDescent="0.4">
      <c r="A89" s="81" t="s">
        <v>162</v>
      </c>
      <c r="B89" s="164" t="s">
        <v>1715</v>
      </c>
      <c r="C89" s="164" t="s">
        <v>1766</v>
      </c>
      <c r="D89" s="80" t="s">
        <v>1985</v>
      </c>
      <c r="E89" s="31">
        <v>19196</v>
      </c>
      <c r="F89" s="31">
        <v>50000</v>
      </c>
      <c r="G89" s="31">
        <v>60000</v>
      </c>
      <c r="H89" s="31">
        <v>60000</v>
      </c>
      <c r="I89" s="31"/>
      <c r="J89" s="31"/>
    </row>
    <row r="90" spans="1:13" x14ac:dyDescent="0.25">
      <c r="A90" s="83" t="s">
        <v>1068</v>
      </c>
      <c r="B90" s="107">
        <v>10000</v>
      </c>
      <c r="C90" s="107">
        <v>10000</v>
      </c>
      <c r="D90" s="107">
        <v>10000</v>
      </c>
      <c r="F90" s="2"/>
      <c r="H90" s="2"/>
      <c r="I90" s="2"/>
      <c r="J90" s="2"/>
      <c r="M90" s="159"/>
    </row>
    <row r="91" spans="1:13" x14ac:dyDescent="0.25">
      <c r="A91" s="83" t="s">
        <v>1609</v>
      </c>
      <c r="B91" s="107">
        <v>0</v>
      </c>
      <c r="C91" s="107">
        <v>0</v>
      </c>
      <c r="D91" s="107">
        <v>0</v>
      </c>
      <c r="F91" s="2"/>
      <c r="H91" s="2"/>
      <c r="I91" s="2"/>
      <c r="J91" s="2"/>
      <c r="M91" s="159"/>
    </row>
    <row r="92" spans="1:13" x14ac:dyDescent="0.25">
      <c r="A92" s="83" t="s">
        <v>1610</v>
      </c>
      <c r="B92" s="107">
        <v>10000</v>
      </c>
      <c r="C92" s="107">
        <v>0</v>
      </c>
      <c r="D92" s="107">
        <v>0</v>
      </c>
      <c r="G92" s="7"/>
      <c r="H92" s="178"/>
      <c r="I92" s="160"/>
      <c r="J92" s="161"/>
      <c r="M92" s="159"/>
    </row>
    <row r="93" spans="1:13" x14ac:dyDescent="0.25">
      <c r="A93" s="83" t="s">
        <v>1767</v>
      </c>
      <c r="B93" s="107">
        <v>20000</v>
      </c>
      <c r="C93" s="107">
        <v>0</v>
      </c>
      <c r="D93" s="107">
        <v>0</v>
      </c>
      <c r="G93" s="7"/>
      <c r="H93" s="178"/>
      <c r="I93" s="160"/>
      <c r="J93" s="161"/>
      <c r="M93" s="159"/>
    </row>
    <row r="94" spans="1:13" x14ac:dyDescent="0.25">
      <c r="A94" s="83" t="s">
        <v>1768</v>
      </c>
      <c r="B94" s="107">
        <v>10000</v>
      </c>
      <c r="C94" s="107">
        <v>0</v>
      </c>
      <c r="D94" s="107">
        <v>0</v>
      </c>
      <c r="G94" s="7"/>
      <c r="H94" s="178"/>
      <c r="I94" s="160"/>
      <c r="J94" s="161"/>
      <c r="M94" s="159"/>
    </row>
    <row r="95" spans="1:13" x14ac:dyDescent="0.25">
      <c r="A95" s="83" t="s">
        <v>1805</v>
      </c>
      <c r="B95" s="107">
        <v>0</v>
      </c>
      <c r="C95" s="107">
        <v>20000</v>
      </c>
      <c r="D95" s="107">
        <v>0</v>
      </c>
      <c r="G95" s="7"/>
      <c r="H95" s="178"/>
      <c r="I95" s="160"/>
      <c r="J95" s="161"/>
      <c r="M95" s="159"/>
    </row>
    <row r="96" spans="1:13" x14ac:dyDescent="0.25">
      <c r="A96" s="83" t="s">
        <v>1806</v>
      </c>
      <c r="B96" s="107">
        <v>0</v>
      </c>
      <c r="C96" s="107">
        <v>20000</v>
      </c>
      <c r="D96" s="107">
        <v>0</v>
      </c>
      <c r="G96" s="7"/>
      <c r="H96" s="178"/>
      <c r="I96" s="160"/>
      <c r="J96" s="161"/>
      <c r="M96" s="159"/>
    </row>
    <row r="97" spans="1:13" s="176" customFormat="1" x14ac:dyDescent="0.25">
      <c r="A97" s="83" t="s">
        <v>2060</v>
      </c>
      <c r="B97" s="107">
        <v>0</v>
      </c>
      <c r="C97" s="107">
        <v>0</v>
      </c>
      <c r="D97" s="107">
        <v>40000</v>
      </c>
      <c r="H97" s="178"/>
    </row>
    <row r="98" spans="1:13" s="176" customFormat="1" x14ac:dyDescent="0.25">
      <c r="A98" s="83" t="s">
        <v>2059</v>
      </c>
      <c r="B98" s="107">
        <v>0</v>
      </c>
      <c r="C98" s="107">
        <v>0</v>
      </c>
      <c r="D98" s="107">
        <v>10000</v>
      </c>
      <c r="H98" s="178"/>
    </row>
    <row r="99" spans="1:13" x14ac:dyDescent="0.25">
      <c r="A99" s="83" t="s">
        <v>1611</v>
      </c>
      <c r="B99" s="108">
        <v>0</v>
      </c>
      <c r="C99" s="108">
        <v>0</v>
      </c>
      <c r="D99" s="108">
        <v>0</v>
      </c>
      <c r="F99" s="2"/>
      <c r="H99" s="2"/>
      <c r="I99" s="2"/>
      <c r="J99" s="2"/>
      <c r="M99" s="159"/>
    </row>
    <row r="100" spans="1:13" x14ac:dyDescent="0.25">
      <c r="B100" s="47">
        <f>SUM(B90:B99)</f>
        <v>50000</v>
      </c>
      <c r="C100" s="47">
        <f>SUM(C90:C99)</f>
        <v>50000</v>
      </c>
      <c r="D100" s="47">
        <f>SUM(D90:D99)</f>
        <v>60000</v>
      </c>
      <c r="F100" s="2"/>
      <c r="H100" s="2"/>
      <c r="I100" s="2"/>
      <c r="J100" s="2"/>
      <c r="M100" s="159"/>
    </row>
    <row r="101" spans="1:13" x14ac:dyDescent="0.25">
      <c r="F101" s="2"/>
      <c r="H101" s="2"/>
      <c r="I101" s="2"/>
      <c r="J101" s="2"/>
      <c r="M101" s="159"/>
    </row>
    <row r="102" spans="1:13" x14ac:dyDescent="0.25">
      <c r="A102" s="20" t="s">
        <v>1267</v>
      </c>
      <c r="D102" s="2"/>
      <c r="E102" s="2">
        <f t="shared" ref="E102:J102" si="0">SUM(E6:E89)</f>
        <v>245234</v>
      </c>
      <c r="F102" s="2">
        <f t="shared" si="0"/>
        <v>285520</v>
      </c>
      <c r="G102" s="2">
        <f t="shared" si="0"/>
        <v>297889</v>
      </c>
      <c r="H102" s="2">
        <f>SUM(H6:H89)</f>
        <v>297889</v>
      </c>
      <c r="I102" s="2">
        <f t="shared" si="0"/>
        <v>0</v>
      </c>
      <c r="J102" s="2">
        <f t="shared" si="0"/>
        <v>0</v>
      </c>
    </row>
    <row r="103" spans="1:13" x14ac:dyDescent="0.25">
      <c r="G103" s="7"/>
      <c r="H103" s="178"/>
      <c r="I103" s="160"/>
      <c r="J103" s="161"/>
    </row>
    <row r="104" spans="1:13" x14ac:dyDescent="0.25">
      <c r="A104" s="7" t="s">
        <v>571</v>
      </c>
      <c r="E104" s="2">
        <f t="shared" ref="E104:J104" si="1">SUM(E6:E55)</f>
        <v>181228</v>
      </c>
      <c r="F104" s="2">
        <f t="shared" si="1"/>
        <v>192966</v>
      </c>
      <c r="G104" s="2">
        <f t="shared" si="1"/>
        <v>194647</v>
      </c>
      <c r="H104" s="2">
        <f>SUM(H6:H55)</f>
        <v>194647</v>
      </c>
      <c r="I104" s="2">
        <f t="shared" si="1"/>
        <v>0</v>
      </c>
      <c r="J104" s="2">
        <f t="shared" si="1"/>
        <v>0</v>
      </c>
    </row>
    <row r="105" spans="1:13" x14ac:dyDescent="0.25">
      <c r="A105" s="7" t="s">
        <v>895</v>
      </c>
      <c r="E105" s="2">
        <f t="shared" ref="E105:J105" si="2">SUM(E57:E85)</f>
        <v>31588</v>
      </c>
      <c r="F105" s="2">
        <f t="shared" si="2"/>
        <v>42554</v>
      </c>
      <c r="G105" s="2">
        <f t="shared" si="2"/>
        <v>43242</v>
      </c>
      <c r="H105" s="2">
        <f>SUM(H57:H85)</f>
        <v>43242</v>
      </c>
      <c r="I105" s="2">
        <f t="shared" si="2"/>
        <v>0</v>
      </c>
      <c r="J105" s="2">
        <f t="shared" si="2"/>
        <v>0</v>
      </c>
    </row>
    <row r="106" spans="1:13" ht="15" x14ac:dyDescent="0.4">
      <c r="A106" s="7" t="s">
        <v>896</v>
      </c>
      <c r="E106" s="11">
        <f>SUM(E87:E100)</f>
        <v>32418</v>
      </c>
      <c r="F106" s="11">
        <f>SUM(F87:F100)</f>
        <v>50000</v>
      </c>
      <c r="G106" s="11">
        <f>SUM(G89:G100)</f>
        <v>60000</v>
      </c>
      <c r="H106" s="11">
        <f>SUM(H89:H100)</f>
        <v>60000</v>
      </c>
      <c r="I106" s="11">
        <f>SUM(I89:I100)</f>
        <v>0</v>
      </c>
      <c r="J106" s="11">
        <f>SUM(J89:J100)</f>
        <v>0</v>
      </c>
    </row>
    <row r="107" spans="1:13" x14ac:dyDescent="0.25">
      <c r="A107" s="7" t="s">
        <v>1182</v>
      </c>
      <c r="E107" s="2">
        <f t="shared" ref="E107:J107" si="3">SUM(E104:E106)</f>
        <v>245234</v>
      </c>
      <c r="F107" s="2">
        <f t="shared" si="3"/>
        <v>285520</v>
      </c>
      <c r="G107" s="2">
        <f t="shared" si="3"/>
        <v>297889</v>
      </c>
      <c r="H107" s="2">
        <f>SUM(H104:H106)</f>
        <v>297889</v>
      </c>
      <c r="I107" s="2">
        <f t="shared" si="3"/>
        <v>0</v>
      </c>
      <c r="J107" s="2">
        <f t="shared" si="3"/>
        <v>0</v>
      </c>
    </row>
    <row r="108" spans="1:13" x14ac:dyDescent="0.25">
      <c r="A108" s="61"/>
      <c r="E108" s="2"/>
      <c r="F108" s="2"/>
      <c r="H108" s="2"/>
      <c r="I108" s="2"/>
      <c r="J108" s="2"/>
    </row>
    <row r="109" spans="1:13" x14ac:dyDescent="0.25">
      <c r="A109" s="61"/>
      <c r="F109" s="2"/>
      <c r="H109" s="2"/>
      <c r="I109" s="2"/>
      <c r="J109" s="2"/>
    </row>
    <row r="110" spans="1:13" x14ac:dyDescent="0.25">
      <c r="A110" s="61"/>
      <c r="F110" s="2"/>
      <c r="H110" s="2"/>
      <c r="I110" s="2">
        <f>+I107+I109</f>
        <v>0</v>
      </c>
      <c r="J110" s="2">
        <f>+J107+J109</f>
        <v>0</v>
      </c>
    </row>
    <row r="111" spans="1:13" x14ac:dyDescent="0.25">
      <c r="A111" s="61"/>
      <c r="F111" s="2"/>
      <c r="H111" s="2"/>
      <c r="I111" s="2"/>
      <c r="J111" s="2"/>
    </row>
    <row r="112" spans="1:13" x14ac:dyDescent="0.25">
      <c r="A112" s="61"/>
      <c r="F112" s="2"/>
      <c r="H112" s="2"/>
      <c r="I112" s="2">
        <f>+I107-H110</f>
        <v>0</v>
      </c>
      <c r="J112" s="2">
        <f>+J107-I110</f>
        <v>0</v>
      </c>
    </row>
    <row r="113" spans="1:10" x14ac:dyDescent="0.25">
      <c r="A113" s="61"/>
      <c r="F113" s="2"/>
      <c r="H113" s="2"/>
      <c r="I113" s="2"/>
      <c r="J113" s="2"/>
    </row>
    <row r="114" spans="1:10" x14ac:dyDescent="0.25">
      <c r="A114" s="61"/>
      <c r="F114" s="2"/>
      <c r="H114" s="2"/>
      <c r="I114" s="2"/>
      <c r="J114" s="2"/>
    </row>
    <row r="115" spans="1:10" x14ac:dyDescent="0.25">
      <c r="A115" s="61"/>
      <c r="F115" s="2"/>
      <c r="H115" s="2"/>
      <c r="I115" s="2"/>
      <c r="J115" s="2"/>
    </row>
    <row r="116" spans="1:10" x14ac:dyDescent="0.25">
      <c r="A116" s="61"/>
      <c r="F116" s="2"/>
      <c r="H116" s="2"/>
      <c r="I116" s="2"/>
      <c r="J116" s="2"/>
    </row>
    <row r="117" spans="1:10" x14ac:dyDescent="0.25">
      <c r="A117" s="61"/>
      <c r="F117" s="2"/>
      <c r="H117" s="2"/>
      <c r="I117" s="2"/>
      <c r="J117" s="2"/>
    </row>
    <row r="118" spans="1:10" x14ac:dyDescent="0.25">
      <c r="F118" s="2"/>
      <c r="H118" s="2"/>
      <c r="I118" s="2"/>
      <c r="J118" s="2"/>
    </row>
    <row r="119" spans="1:10" x14ac:dyDescent="0.25">
      <c r="F119" s="2"/>
      <c r="H119" s="2"/>
      <c r="I119" s="2"/>
      <c r="J119" s="2">
        <v>285520</v>
      </c>
    </row>
    <row r="120" spans="1:10" x14ac:dyDescent="0.25">
      <c r="F120" s="2"/>
      <c r="H120" s="2"/>
      <c r="I120" s="2"/>
      <c r="J120" s="2"/>
    </row>
    <row r="121" spans="1:10" x14ac:dyDescent="0.25">
      <c r="F121" s="2"/>
      <c r="H121" s="2"/>
      <c r="I121" s="2"/>
      <c r="J121" s="2"/>
    </row>
    <row r="122" spans="1:10" x14ac:dyDescent="0.25">
      <c r="F122" s="2"/>
      <c r="H122" s="2"/>
      <c r="I122" s="2"/>
      <c r="J122" s="2">
        <f>+J110-J119</f>
        <v>-285520</v>
      </c>
    </row>
    <row r="123" spans="1:10" x14ac:dyDescent="0.25">
      <c r="F123" s="2"/>
      <c r="H123" s="2"/>
      <c r="I123" s="2"/>
      <c r="J123" s="2"/>
    </row>
    <row r="124" spans="1:10" x14ac:dyDescent="0.25">
      <c r="F124" s="2"/>
      <c r="H124" s="2"/>
      <c r="I124" s="2"/>
      <c r="J124" s="2"/>
    </row>
    <row r="125" spans="1:10" x14ac:dyDescent="0.25">
      <c r="F125" s="2"/>
      <c r="H125" s="2"/>
      <c r="I125" s="2"/>
      <c r="J125" s="2"/>
    </row>
    <row r="126" spans="1:10" x14ac:dyDescent="0.25">
      <c r="F126" s="2"/>
      <c r="H126" s="2"/>
      <c r="I126" s="2"/>
      <c r="J126" s="2"/>
    </row>
    <row r="127" spans="1:10" x14ac:dyDescent="0.25">
      <c r="F127" s="2"/>
      <c r="H127" s="2"/>
      <c r="I127" s="2"/>
      <c r="J127" s="2"/>
    </row>
    <row r="128" spans="1:10" x14ac:dyDescent="0.25">
      <c r="F128" s="2"/>
      <c r="H128" s="2"/>
      <c r="I128" s="2"/>
      <c r="J128" s="2"/>
    </row>
    <row r="129" spans="6:10" x14ac:dyDescent="0.25">
      <c r="F129" s="2"/>
      <c r="H129" s="2"/>
      <c r="I129" s="2"/>
      <c r="J129" s="2"/>
    </row>
    <row r="130" spans="6:10" x14ac:dyDescent="0.25">
      <c r="F130" s="2"/>
      <c r="H130" s="2"/>
      <c r="I130" s="2"/>
      <c r="J130" s="2"/>
    </row>
    <row r="131" spans="6:10" x14ac:dyDescent="0.25">
      <c r="F131" s="2"/>
      <c r="H131" s="2"/>
      <c r="I131" s="2"/>
      <c r="J131" s="2"/>
    </row>
    <row r="132" spans="6:10" x14ac:dyDescent="0.25">
      <c r="F132" s="2"/>
      <c r="H132" s="2"/>
      <c r="I132" s="2"/>
      <c r="J132" s="2"/>
    </row>
    <row r="133" spans="6:10" x14ac:dyDescent="0.25">
      <c r="F133" s="2"/>
      <c r="H133" s="2"/>
      <c r="I133" s="2"/>
      <c r="J133" s="2"/>
    </row>
    <row r="134" spans="6:10" x14ac:dyDescent="0.25">
      <c r="F134" s="2"/>
      <c r="H134" s="2"/>
      <c r="I134" s="2"/>
      <c r="J134" s="2"/>
    </row>
    <row r="135" spans="6:10" x14ac:dyDescent="0.25">
      <c r="F135" s="2"/>
      <c r="H135" s="2"/>
      <c r="I135" s="2"/>
      <c r="J135" s="2"/>
    </row>
    <row r="136" spans="6:10" x14ac:dyDescent="0.25">
      <c r="F136" s="2"/>
      <c r="H136" s="2"/>
      <c r="I136" s="2"/>
      <c r="J136" s="2"/>
    </row>
    <row r="137" spans="6:10" x14ac:dyDescent="0.25">
      <c r="F137" s="2"/>
      <c r="H137" s="2"/>
      <c r="I137" s="2"/>
      <c r="J137" s="2"/>
    </row>
    <row r="138" spans="6:10" x14ac:dyDescent="0.25">
      <c r="F138" s="2"/>
      <c r="H138" s="2"/>
      <c r="I138" s="2"/>
      <c r="J138" s="2"/>
    </row>
    <row r="139" spans="6:10" x14ac:dyDescent="0.25">
      <c r="F139" s="2"/>
      <c r="H139" s="2"/>
      <c r="I139" s="2"/>
      <c r="J139" s="2"/>
    </row>
    <row r="140" spans="6:10" x14ac:dyDescent="0.25">
      <c r="F140" s="2"/>
      <c r="H140" s="2"/>
      <c r="I140" s="2"/>
      <c r="J140" s="2"/>
    </row>
    <row r="141" spans="6:10" x14ac:dyDescent="0.25">
      <c r="F141" s="2"/>
      <c r="H141" s="2"/>
      <c r="I141" s="2"/>
      <c r="J141" s="2"/>
    </row>
    <row r="142" spans="6:10" x14ac:dyDescent="0.25">
      <c r="F142" s="2"/>
      <c r="H142" s="2"/>
      <c r="I142" s="2"/>
      <c r="J142" s="2"/>
    </row>
    <row r="143" spans="6:10" x14ac:dyDescent="0.25">
      <c r="F143" s="2"/>
      <c r="H143" s="2"/>
      <c r="I143" s="2"/>
      <c r="J143" s="2"/>
    </row>
    <row r="144" spans="6:10" x14ac:dyDescent="0.25">
      <c r="H144" s="2"/>
      <c r="J144" s="161"/>
    </row>
    <row r="145" spans="8:10" x14ac:dyDescent="0.25">
      <c r="H145" s="2"/>
      <c r="J145" s="161"/>
    </row>
    <row r="146" spans="8:10" x14ac:dyDescent="0.25">
      <c r="H146" s="2"/>
      <c r="J146" s="161"/>
    </row>
    <row r="147" spans="8:10" x14ac:dyDescent="0.25">
      <c r="H147" s="2"/>
      <c r="J147" s="161"/>
    </row>
    <row r="148" spans="8:10" x14ac:dyDescent="0.25">
      <c r="H148" s="2"/>
      <c r="J148" s="161"/>
    </row>
    <row r="149" spans="8:10" x14ac:dyDescent="0.25">
      <c r="H149" s="2"/>
    </row>
    <row r="150" spans="8:10" x14ac:dyDescent="0.25">
      <c r="H150" s="2"/>
    </row>
    <row r="151" spans="8:10" x14ac:dyDescent="0.25">
      <c r="H151" s="2"/>
    </row>
    <row r="152" spans="8:10" x14ac:dyDescent="0.25">
      <c r="H152" s="2"/>
    </row>
    <row r="153" spans="8:10" x14ac:dyDescent="0.25">
      <c r="H153" s="2"/>
    </row>
    <row r="154" spans="8:10" x14ac:dyDescent="0.25">
      <c r="H154" s="2"/>
    </row>
    <row r="155" spans="8:10" x14ac:dyDescent="0.25">
      <c r="H155" s="2"/>
    </row>
    <row r="156" spans="8:10" x14ac:dyDescent="0.25">
      <c r="H156" s="2"/>
    </row>
  </sheetData>
  <mergeCells count="1">
    <mergeCell ref="A1:J1"/>
  </mergeCells>
  <phoneticPr fontId="0" type="noConversion"/>
  <printOptions gridLines="1"/>
  <pageMargins left="0.75" right="0.16" top="0.51" bottom="0.22" header="0.5" footer="0"/>
  <pageSetup scale="90" fitToHeight="16" orientation="landscape" r:id="rId1"/>
  <headerFooter alignWithMargins="0"/>
  <rowBreaks count="1" manualBreakCount="1">
    <brk id="6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25"/>
  <sheetViews>
    <sheetView zoomScaleNormal="100" zoomScaleSheetLayoutView="100" workbookViewId="0">
      <selection sqref="A1:J1"/>
    </sheetView>
  </sheetViews>
  <sheetFormatPr defaultColWidth="8.88671875" defaultRowHeight="13.2" x14ac:dyDescent="0.25"/>
  <cols>
    <col min="1" max="1" width="57.109375" style="191" bestFit="1" customWidth="1"/>
    <col min="2" max="3" width="8.88671875" style="191" customWidth="1"/>
    <col min="4" max="4" width="11" style="191" bestFit="1" customWidth="1"/>
    <col min="5" max="5" width="11.33203125" style="191" bestFit="1" customWidth="1"/>
    <col min="6" max="6" width="9" style="191" bestFit="1" customWidth="1"/>
    <col min="7" max="7" width="10.88671875" style="191" bestFit="1" customWidth="1"/>
    <col min="8" max="8" width="14" style="191" bestFit="1" customWidth="1"/>
    <col min="9" max="9" width="9" style="191" bestFit="1" customWidth="1"/>
    <col min="10" max="10" width="8.6640625" style="191" bestFit="1" customWidth="1"/>
    <col min="11" max="16384" width="8.88671875" style="191"/>
  </cols>
  <sheetData>
    <row r="1" spans="1:10" x14ac:dyDescent="0.25">
      <c r="A1" s="194" t="e">
        <f>#REF!</f>
        <v>#REF!</v>
      </c>
      <c r="B1" s="195"/>
      <c r="C1" s="195"/>
      <c r="D1" s="195"/>
      <c r="E1" s="195"/>
      <c r="F1" s="195"/>
      <c r="G1" s="195"/>
      <c r="H1" s="195"/>
      <c r="I1" s="195"/>
      <c r="J1" s="195"/>
    </row>
    <row r="2" spans="1:10" ht="17.399999999999999" x14ac:dyDescent="0.3">
      <c r="A2" s="153" t="s">
        <v>1950</v>
      </c>
      <c r="B2" s="153"/>
      <c r="C2" s="153"/>
      <c r="D2" s="153"/>
      <c r="E2" s="153"/>
      <c r="F2" s="153"/>
    </row>
    <row r="3" spans="1:10" x14ac:dyDescent="0.25">
      <c r="B3" s="2"/>
      <c r="C3" s="2"/>
      <c r="D3" s="2"/>
      <c r="E3" s="2"/>
      <c r="F3" s="2"/>
    </row>
    <row r="4" spans="1:10" x14ac:dyDescent="0.25">
      <c r="B4" s="2"/>
      <c r="C4" s="2"/>
      <c r="D4" s="2"/>
      <c r="E4" s="16" t="s">
        <v>232</v>
      </c>
      <c r="F4" s="16" t="s">
        <v>233</v>
      </c>
      <c r="G4" s="16" t="s">
        <v>69</v>
      </c>
      <c r="H4" s="16" t="s">
        <v>399</v>
      </c>
      <c r="I4" s="16" t="s">
        <v>303</v>
      </c>
      <c r="J4" s="16" t="s">
        <v>336</v>
      </c>
    </row>
    <row r="5" spans="1:10" ht="15" x14ac:dyDescent="0.4">
      <c r="B5" s="2"/>
      <c r="C5" s="2"/>
      <c r="D5" s="2"/>
      <c r="E5" s="192" t="s">
        <v>1715</v>
      </c>
      <c r="F5" s="192" t="s">
        <v>1766</v>
      </c>
      <c r="G5" s="192" t="s">
        <v>1985</v>
      </c>
      <c r="H5" s="192" t="s">
        <v>1985</v>
      </c>
      <c r="I5" s="192" t="s">
        <v>1985</v>
      </c>
      <c r="J5" s="192" t="s">
        <v>1985</v>
      </c>
    </row>
    <row r="6" spans="1:10" ht="13.8" x14ac:dyDescent="0.3">
      <c r="A6" s="193" t="s">
        <v>1467</v>
      </c>
      <c r="B6" s="2"/>
      <c r="C6" s="2"/>
      <c r="D6" s="2"/>
      <c r="E6" s="2">
        <v>55099</v>
      </c>
      <c r="F6" s="2">
        <v>56162</v>
      </c>
      <c r="G6" s="2">
        <v>56162</v>
      </c>
      <c r="H6" s="2">
        <v>56162</v>
      </c>
      <c r="I6" s="2"/>
      <c r="J6" s="2"/>
    </row>
    <row r="7" spans="1:10" x14ac:dyDescent="0.25">
      <c r="A7" s="191" t="s">
        <v>1393</v>
      </c>
      <c r="B7" s="2">
        <v>52</v>
      </c>
      <c r="C7" s="2">
        <v>1061</v>
      </c>
      <c r="D7" s="2">
        <f>ROUND(B7*C7,0)</f>
        <v>55172</v>
      </c>
      <c r="E7" s="2"/>
      <c r="F7" s="2"/>
      <c r="G7" s="2"/>
      <c r="H7" s="2"/>
      <c r="I7" s="2"/>
      <c r="J7" s="2"/>
    </row>
    <row r="8" spans="1:10" ht="15" x14ac:dyDescent="0.4">
      <c r="A8" s="2" t="s">
        <v>912</v>
      </c>
      <c r="B8" s="2"/>
      <c r="C8" s="2"/>
      <c r="D8" s="11">
        <v>990</v>
      </c>
      <c r="E8" s="2"/>
      <c r="F8" s="2"/>
      <c r="G8" s="2"/>
      <c r="H8" s="2"/>
      <c r="I8" s="2"/>
      <c r="J8" s="2"/>
    </row>
    <row r="9" spans="1:10" x14ac:dyDescent="0.25">
      <c r="B9" s="2"/>
      <c r="C9" s="2"/>
      <c r="D9" s="2">
        <f>SUM(D7:D8)</f>
        <v>56162</v>
      </c>
      <c r="E9" s="2"/>
      <c r="F9" s="2"/>
      <c r="G9" s="2"/>
      <c r="H9" s="2"/>
      <c r="I9" s="2"/>
      <c r="J9" s="2"/>
    </row>
    <row r="10" spans="1:10" x14ac:dyDescent="0.25">
      <c r="B10" s="2"/>
      <c r="C10" s="2"/>
      <c r="D10" s="2"/>
      <c r="E10" s="2"/>
      <c r="F10" s="2"/>
      <c r="G10" s="2"/>
      <c r="H10" s="2"/>
      <c r="I10" s="2"/>
      <c r="J10" s="2"/>
    </row>
    <row r="11" spans="1:10" ht="13.8" x14ac:dyDescent="0.3">
      <c r="A11" s="193" t="s">
        <v>302</v>
      </c>
      <c r="B11" s="2"/>
      <c r="C11" s="2"/>
      <c r="D11" s="2"/>
      <c r="E11" s="2">
        <v>94815</v>
      </c>
      <c r="F11" s="2">
        <v>100828</v>
      </c>
      <c r="G11" s="2">
        <v>100828</v>
      </c>
      <c r="H11" s="2">
        <v>100828</v>
      </c>
      <c r="I11" s="2"/>
      <c r="J11" s="2"/>
    </row>
    <row r="12" spans="1:10" x14ac:dyDescent="0.25">
      <c r="A12" s="191" t="s">
        <v>314</v>
      </c>
      <c r="B12" s="2">
        <v>52</v>
      </c>
      <c r="C12" s="2">
        <v>1147</v>
      </c>
      <c r="D12" s="2">
        <f>ROUND(B12*C12,0)</f>
        <v>59644</v>
      </c>
      <c r="E12" s="2"/>
      <c r="F12" s="2"/>
      <c r="G12" s="2"/>
      <c r="H12" s="2"/>
      <c r="I12" s="2"/>
      <c r="J12" s="2"/>
    </row>
    <row r="13" spans="1:10" ht="15" x14ac:dyDescent="0.4">
      <c r="A13" s="191" t="s">
        <v>1468</v>
      </c>
      <c r="B13" s="2">
        <v>52</v>
      </c>
      <c r="C13" s="2">
        <v>792</v>
      </c>
      <c r="D13" s="11">
        <f>ROUND(B13*C13,0)</f>
        <v>41184</v>
      </c>
      <c r="E13" s="2"/>
      <c r="F13" s="11"/>
      <c r="G13" s="11"/>
      <c r="H13" s="11"/>
      <c r="I13" s="11"/>
      <c r="J13" s="11"/>
    </row>
    <row r="14" spans="1:10" x14ac:dyDescent="0.25">
      <c r="A14" s="191" t="s">
        <v>1182</v>
      </c>
      <c r="B14" s="2"/>
      <c r="C14" s="2"/>
      <c r="D14" s="2">
        <f>SUM(D12:D13)</f>
        <v>100828</v>
      </c>
      <c r="E14" s="2"/>
      <c r="F14" s="2"/>
      <c r="G14" s="2"/>
      <c r="H14" s="2"/>
      <c r="I14" s="2"/>
      <c r="J14" s="2"/>
    </row>
    <row r="15" spans="1:10" x14ac:dyDescent="0.25">
      <c r="B15" s="2"/>
      <c r="C15" s="2"/>
      <c r="D15" s="2"/>
      <c r="E15" s="2"/>
      <c r="F15" s="2"/>
      <c r="G15" s="2"/>
      <c r="H15" s="2"/>
      <c r="I15" s="2"/>
      <c r="J15" s="2"/>
    </row>
    <row r="16" spans="1:10" ht="13.8" x14ac:dyDescent="0.3">
      <c r="A16" s="193" t="s">
        <v>138</v>
      </c>
      <c r="D16" s="2"/>
      <c r="E16" s="2">
        <v>11498</v>
      </c>
      <c r="F16" s="2">
        <v>12009</v>
      </c>
      <c r="G16" s="2">
        <v>12009</v>
      </c>
      <c r="H16" s="2">
        <v>12009</v>
      </c>
      <c r="I16" s="2"/>
      <c r="J16" s="2"/>
    </row>
    <row r="17" spans="1:10" hidden="1" x14ac:dyDescent="0.25">
      <c r="A17" s="13" t="s">
        <v>1406</v>
      </c>
      <c r="B17" s="2">
        <f>+D9</f>
        <v>56162</v>
      </c>
      <c r="C17" s="14">
        <v>7.6499999999999999E-2</v>
      </c>
      <c r="D17" s="2">
        <f>ROUND(B17*C17,0)</f>
        <v>4296</v>
      </c>
      <c r="E17" s="2"/>
    </row>
    <row r="18" spans="1:10" ht="15" hidden="1" x14ac:dyDescent="0.4">
      <c r="A18" s="13" t="s">
        <v>757</v>
      </c>
      <c r="B18" s="2">
        <f>+D14</f>
        <v>100828</v>
      </c>
      <c r="C18" s="14">
        <v>7.6499999999999999E-2</v>
      </c>
      <c r="D18" s="11">
        <f>ROUND(B18*C18,0)</f>
        <v>7713</v>
      </c>
      <c r="E18" s="11"/>
      <c r="F18" s="11"/>
      <c r="G18" s="11"/>
      <c r="H18" s="11"/>
      <c r="I18" s="11"/>
      <c r="J18" s="11"/>
    </row>
    <row r="19" spans="1:10" hidden="1" x14ac:dyDescent="0.25">
      <c r="A19" s="191" t="s">
        <v>1182</v>
      </c>
      <c r="B19" s="2"/>
      <c r="D19" s="2">
        <f>SUM(D17:D18)</f>
        <v>12009</v>
      </c>
      <c r="E19" s="2"/>
      <c r="F19" s="2"/>
      <c r="G19" s="2"/>
      <c r="H19" s="2"/>
      <c r="I19" s="2"/>
      <c r="J19" s="2"/>
    </row>
    <row r="20" spans="1:10" x14ac:dyDescent="0.25">
      <c r="B20" s="2"/>
      <c r="D20" s="2"/>
      <c r="E20" s="2"/>
      <c r="F20" s="2"/>
      <c r="G20" s="2"/>
      <c r="H20" s="2"/>
      <c r="I20" s="2"/>
      <c r="J20" s="2"/>
    </row>
    <row r="21" spans="1:10" ht="13.8" x14ac:dyDescent="0.3">
      <c r="A21" s="15" t="s">
        <v>1349</v>
      </c>
      <c r="B21" s="2"/>
      <c r="D21" s="2"/>
      <c r="E21" s="2">
        <v>17187</v>
      </c>
      <c r="F21" s="2">
        <v>19075</v>
      </c>
      <c r="G21" s="2">
        <v>17865</v>
      </c>
      <c r="H21" s="2">
        <v>17865</v>
      </c>
      <c r="I21" s="2"/>
      <c r="J21" s="2"/>
    </row>
    <row r="22" spans="1:10" hidden="1" x14ac:dyDescent="0.25">
      <c r="A22" s="13" t="s">
        <v>1406</v>
      </c>
      <c r="B22" s="2">
        <f>+B17</f>
        <v>56162</v>
      </c>
      <c r="C22" s="14">
        <v>0.1138</v>
      </c>
      <c r="D22" s="2">
        <f>ROUND(B22*C22,0)</f>
        <v>6391</v>
      </c>
      <c r="E22" s="2"/>
      <c r="F22" s="2"/>
      <c r="G22" s="2"/>
      <c r="H22" s="2"/>
      <c r="I22" s="2"/>
      <c r="J22" s="2"/>
    </row>
    <row r="23" spans="1:10" ht="15" hidden="1" x14ac:dyDescent="0.4">
      <c r="A23" s="13" t="s">
        <v>757</v>
      </c>
      <c r="B23" s="2">
        <f>+D14</f>
        <v>100828</v>
      </c>
      <c r="C23" s="14">
        <v>0.1138</v>
      </c>
      <c r="D23" s="11">
        <f>ROUND(B23*C23,0)</f>
        <v>11474</v>
      </c>
      <c r="E23" s="11"/>
      <c r="F23" s="11"/>
      <c r="G23" s="11"/>
      <c r="H23" s="11"/>
      <c r="I23" s="11"/>
      <c r="J23" s="11"/>
    </row>
    <row r="24" spans="1:10" hidden="1" x14ac:dyDescent="0.25">
      <c r="A24" s="191" t="s">
        <v>1182</v>
      </c>
      <c r="D24" s="2">
        <f>SUM(D22:D23)</f>
        <v>17865</v>
      </c>
      <c r="E24" s="2"/>
      <c r="F24" s="2"/>
      <c r="G24" s="2"/>
      <c r="H24" s="2"/>
      <c r="I24" s="2"/>
      <c r="J24" s="2"/>
    </row>
    <row r="25" spans="1:10" x14ac:dyDescent="0.25">
      <c r="D25" s="2"/>
      <c r="E25" s="2"/>
      <c r="F25" s="2"/>
      <c r="G25" s="2"/>
      <c r="H25" s="2"/>
      <c r="I25" s="2"/>
      <c r="J25" s="2"/>
    </row>
    <row r="26" spans="1:10" ht="13.8" x14ac:dyDescent="0.3">
      <c r="A26" s="193" t="s">
        <v>1448</v>
      </c>
      <c r="D26" s="2"/>
      <c r="E26" s="2">
        <v>48561</v>
      </c>
      <c r="F26" s="2">
        <v>51750</v>
      </c>
      <c r="G26" s="2">
        <v>54900</v>
      </c>
      <c r="H26" s="2">
        <v>54900</v>
      </c>
      <c r="I26" s="2"/>
      <c r="J26" s="2"/>
    </row>
    <row r="27" spans="1:10" x14ac:dyDescent="0.25">
      <c r="A27" s="191" t="s">
        <v>406</v>
      </c>
      <c r="B27" s="2">
        <v>3</v>
      </c>
      <c r="C27" s="2">
        <v>18300</v>
      </c>
      <c r="D27" s="2">
        <f>ROUND(B27*C27,0)</f>
        <v>54900</v>
      </c>
      <c r="E27" s="2"/>
      <c r="F27" s="2"/>
      <c r="G27" s="2"/>
      <c r="H27" s="2"/>
      <c r="I27" s="2"/>
      <c r="J27" s="2"/>
    </row>
    <row r="28" spans="1:10" x14ac:dyDescent="0.25">
      <c r="D28" s="2"/>
      <c r="E28" s="2"/>
      <c r="F28" s="2"/>
      <c r="G28" s="2"/>
      <c r="H28" s="2"/>
      <c r="I28" s="2"/>
      <c r="J28" s="2"/>
    </row>
    <row r="29" spans="1:10" ht="13.8" x14ac:dyDescent="0.3">
      <c r="A29" s="193" t="s">
        <v>325</v>
      </c>
      <c r="D29" s="2"/>
      <c r="E29" s="2">
        <v>3561</v>
      </c>
      <c r="F29" s="2">
        <v>3510</v>
      </c>
      <c r="G29" s="2">
        <v>3510</v>
      </c>
      <c r="H29" s="2">
        <v>3510</v>
      </c>
      <c r="I29" s="2"/>
      <c r="J29" s="2"/>
    </row>
    <row r="30" spans="1:10" x14ac:dyDescent="0.25">
      <c r="A30" s="2" t="s">
        <v>406</v>
      </c>
      <c r="B30" s="2">
        <v>3</v>
      </c>
      <c r="C30" s="2">
        <v>1300</v>
      </c>
      <c r="D30" s="2">
        <f>ROUND(B30*C30,0)</f>
        <v>3900</v>
      </c>
      <c r="E30" s="2"/>
      <c r="F30" s="2"/>
      <c r="G30" s="2"/>
      <c r="H30" s="2"/>
      <c r="I30" s="2"/>
      <c r="J30" s="2"/>
    </row>
    <row r="31" spans="1:10" ht="15" x14ac:dyDescent="0.4">
      <c r="A31" s="2" t="s">
        <v>226</v>
      </c>
      <c r="B31" s="2"/>
      <c r="C31" s="2"/>
      <c r="D31" s="11">
        <f>-C30*0.1*B30</f>
        <v>-390</v>
      </c>
      <c r="E31" s="2"/>
      <c r="F31" s="2"/>
      <c r="G31" s="2"/>
      <c r="H31" s="2"/>
      <c r="I31" s="2"/>
      <c r="J31" s="2"/>
    </row>
    <row r="32" spans="1:10" x14ac:dyDescent="0.25">
      <c r="A32" s="191" t="s">
        <v>751</v>
      </c>
      <c r="D32" s="2">
        <f>SUM(D30:D31)</f>
        <v>3510</v>
      </c>
      <c r="E32" s="2"/>
      <c r="F32" s="2"/>
      <c r="G32" s="2"/>
      <c r="H32" s="2"/>
      <c r="I32" s="2"/>
      <c r="J32" s="2"/>
    </row>
    <row r="33" spans="1:10" ht="13.8" x14ac:dyDescent="0.3">
      <c r="A33" s="193" t="s">
        <v>1245</v>
      </c>
      <c r="D33" s="2"/>
      <c r="E33" s="2">
        <v>348</v>
      </c>
      <c r="F33" s="2">
        <v>405</v>
      </c>
      <c r="G33" s="2">
        <v>405</v>
      </c>
      <c r="H33" s="2">
        <v>405</v>
      </c>
      <c r="I33" s="2"/>
      <c r="J33" s="2"/>
    </row>
    <row r="34" spans="1:10" hidden="1" x14ac:dyDescent="0.25">
      <c r="A34" s="191" t="s">
        <v>1346</v>
      </c>
      <c r="B34" s="2">
        <v>3</v>
      </c>
      <c r="C34" s="2">
        <v>135</v>
      </c>
      <c r="D34" s="2">
        <f>ROUND(B34*C34,0)</f>
        <v>405</v>
      </c>
      <c r="E34" s="2"/>
      <c r="F34" s="2"/>
      <c r="G34" s="2"/>
      <c r="H34" s="2"/>
      <c r="I34" s="2"/>
      <c r="J34" s="2"/>
    </row>
    <row r="35" spans="1:10" x14ac:dyDescent="0.25">
      <c r="D35" s="2"/>
      <c r="E35" s="2"/>
      <c r="F35" s="2"/>
      <c r="G35" s="2"/>
      <c r="H35" s="2"/>
      <c r="I35" s="2"/>
      <c r="J35" s="2"/>
    </row>
    <row r="36" spans="1:10" ht="13.8" x14ac:dyDescent="0.3">
      <c r="A36" s="193" t="s">
        <v>1246</v>
      </c>
      <c r="D36" s="2"/>
      <c r="E36" s="2">
        <v>1189</v>
      </c>
      <c r="F36" s="2">
        <v>1230</v>
      </c>
      <c r="G36" s="2">
        <v>1890</v>
      </c>
      <c r="H36" s="2">
        <v>1890</v>
      </c>
      <c r="I36" s="2"/>
      <c r="J36" s="2"/>
    </row>
    <row r="37" spans="1:10" hidden="1" x14ac:dyDescent="0.25">
      <c r="A37" s="191" t="s">
        <v>776</v>
      </c>
      <c r="B37" s="2">
        <v>3</v>
      </c>
      <c r="C37" s="2">
        <v>630</v>
      </c>
      <c r="D37" s="2">
        <f>ROUND(B37*C37,0)</f>
        <v>1890</v>
      </c>
      <c r="E37" s="2"/>
      <c r="F37" s="2"/>
      <c r="G37" s="2"/>
      <c r="H37" s="2"/>
      <c r="I37" s="2"/>
      <c r="J37" s="2"/>
    </row>
    <row r="38" spans="1:10" x14ac:dyDescent="0.25">
      <c r="D38" s="2"/>
      <c r="E38" s="2"/>
      <c r="F38" s="2"/>
      <c r="G38" s="2"/>
      <c r="H38" s="2"/>
      <c r="I38" s="2"/>
      <c r="J38" s="2"/>
    </row>
    <row r="39" spans="1:10" ht="13.8" x14ac:dyDescent="0.3">
      <c r="A39" s="193" t="s">
        <v>1247</v>
      </c>
      <c r="D39" s="2"/>
      <c r="E39" s="2">
        <v>1677</v>
      </c>
      <c r="F39" s="2">
        <v>2142</v>
      </c>
      <c r="G39" s="2">
        <v>2121</v>
      </c>
      <c r="H39" s="2">
        <v>2121</v>
      </c>
      <c r="I39" s="2"/>
      <c r="J39" s="2"/>
    </row>
    <row r="40" spans="1:10" ht="13.8" hidden="1" customHeight="1" x14ac:dyDescent="0.25">
      <c r="A40" s="13" t="s">
        <v>1406</v>
      </c>
      <c r="B40" s="2">
        <f>+D9</f>
        <v>56162</v>
      </c>
      <c r="C40" s="14">
        <v>3.49E-2</v>
      </c>
      <c r="D40" s="2">
        <f>ROUND(B40*C40,0)</f>
        <v>1960</v>
      </c>
      <c r="E40" s="2"/>
      <c r="F40" s="2"/>
      <c r="G40" s="2"/>
      <c r="H40" s="2"/>
      <c r="I40" s="2"/>
      <c r="J40" s="2"/>
    </row>
    <row r="41" spans="1:10" ht="15" hidden="1" x14ac:dyDescent="0.4">
      <c r="A41" s="13" t="s">
        <v>757</v>
      </c>
      <c r="B41" s="2">
        <f>+D14</f>
        <v>100828</v>
      </c>
      <c r="C41" s="14">
        <v>1.6000000000000001E-3</v>
      </c>
      <c r="D41" s="11">
        <f>ROUND(B41*C41,0)</f>
        <v>161</v>
      </c>
      <c r="E41" s="11"/>
      <c r="F41" s="11"/>
      <c r="G41" s="11"/>
      <c r="H41" s="11"/>
      <c r="I41" s="11"/>
      <c r="J41" s="11"/>
    </row>
    <row r="42" spans="1:10" hidden="1" x14ac:dyDescent="0.25">
      <c r="A42" s="191" t="s">
        <v>1182</v>
      </c>
      <c r="D42" s="2">
        <f>SUM(D40:D41)</f>
        <v>2121</v>
      </c>
      <c r="E42" s="2"/>
      <c r="F42" s="2"/>
      <c r="G42" s="2"/>
      <c r="H42" s="2"/>
      <c r="I42" s="2"/>
      <c r="J42" s="2"/>
    </row>
    <row r="43" spans="1:10" x14ac:dyDescent="0.25">
      <c r="D43" s="2"/>
      <c r="E43" s="2"/>
      <c r="F43" s="2"/>
      <c r="G43" s="2"/>
      <c r="H43" s="2"/>
      <c r="I43" s="2"/>
      <c r="J43" s="2"/>
    </row>
    <row r="44" spans="1:10" ht="13.8" x14ac:dyDescent="0.3">
      <c r="A44" s="193" t="s">
        <v>10</v>
      </c>
      <c r="D44" s="2"/>
      <c r="E44" s="2">
        <v>105</v>
      </c>
      <c r="F44" s="2">
        <v>105</v>
      </c>
      <c r="G44" s="2">
        <v>78</v>
      </c>
      <c r="H44" s="2">
        <v>78</v>
      </c>
      <c r="I44" s="2"/>
      <c r="J44" s="2"/>
    </row>
    <row r="45" spans="1:10" hidden="1" x14ac:dyDescent="0.25">
      <c r="A45" s="13" t="s">
        <v>1406</v>
      </c>
      <c r="B45" s="2">
        <v>1</v>
      </c>
      <c r="C45" s="2">
        <v>26</v>
      </c>
      <c r="D45" s="2">
        <f>ROUND(B45*C45,0)</f>
        <v>26</v>
      </c>
      <c r="E45" s="2"/>
      <c r="F45" s="2"/>
      <c r="G45" s="2"/>
      <c r="H45" s="2"/>
      <c r="I45" s="2"/>
      <c r="J45" s="2"/>
    </row>
    <row r="46" spans="1:10" ht="15" hidden="1" x14ac:dyDescent="0.4">
      <c r="A46" s="13" t="s">
        <v>757</v>
      </c>
      <c r="B46" s="2">
        <v>2</v>
      </c>
      <c r="C46" s="2">
        <v>26</v>
      </c>
      <c r="D46" s="11">
        <f>ROUND(B46*C46,0)</f>
        <v>52</v>
      </c>
      <c r="E46" s="11"/>
      <c r="F46" s="11"/>
      <c r="G46" s="11"/>
      <c r="H46" s="11"/>
      <c r="I46" s="11"/>
      <c r="J46" s="11"/>
    </row>
    <row r="47" spans="1:10" hidden="1" x14ac:dyDescent="0.25">
      <c r="A47" s="191" t="s">
        <v>1182</v>
      </c>
      <c r="D47" s="2">
        <f>SUM(D45:D46)</f>
        <v>78</v>
      </c>
      <c r="E47" s="2"/>
      <c r="F47" s="2"/>
      <c r="G47" s="2"/>
      <c r="H47" s="2"/>
      <c r="I47" s="2"/>
      <c r="J47" s="2"/>
    </row>
    <row r="48" spans="1:10" x14ac:dyDescent="0.25">
      <c r="D48" s="2"/>
      <c r="E48" s="2"/>
      <c r="F48" s="2"/>
      <c r="G48" s="2"/>
      <c r="H48" s="2"/>
      <c r="I48" s="2"/>
      <c r="J48" s="2"/>
    </row>
    <row r="49" spans="1:10" ht="13.8" x14ac:dyDescent="0.3">
      <c r="A49" s="193" t="s">
        <v>1144</v>
      </c>
      <c r="D49" s="2"/>
      <c r="E49" s="2">
        <v>804</v>
      </c>
      <c r="F49" s="2">
        <v>1500</v>
      </c>
      <c r="G49" s="2">
        <v>1500</v>
      </c>
      <c r="H49" s="2">
        <v>1500</v>
      </c>
      <c r="I49" s="2"/>
      <c r="J49" s="2"/>
    </row>
    <row r="50" spans="1:10" x14ac:dyDescent="0.25">
      <c r="A50" s="191" t="s">
        <v>1145</v>
      </c>
      <c r="C50" s="2"/>
      <c r="D50" s="2">
        <v>1500</v>
      </c>
      <c r="E50" s="2"/>
      <c r="F50" s="2"/>
      <c r="G50" s="2"/>
      <c r="H50" s="2"/>
      <c r="I50" s="2"/>
      <c r="J50" s="2"/>
    </row>
    <row r="51" spans="1:10" x14ac:dyDescent="0.25">
      <c r="C51" s="2"/>
      <c r="D51" s="2"/>
      <c r="E51" s="2"/>
      <c r="F51" s="2"/>
      <c r="G51" s="2"/>
      <c r="H51" s="2"/>
      <c r="I51" s="2"/>
      <c r="J51" s="2"/>
    </row>
    <row r="52" spans="1:10" ht="13.8" x14ac:dyDescent="0.3">
      <c r="A52" s="193" t="s">
        <v>11</v>
      </c>
      <c r="C52" s="8"/>
      <c r="D52" s="8" t="s">
        <v>386</v>
      </c>
      <c r="E52" s="2">
        <v>0</v>
      </c>
      <c r="F52" s="2">
        <v>300</v>
      </c>
      <c r="G52" s="2">
        <v>300</v>
      </c>
      <c r="H52" s="2">
        <v>300</v>
      </c>
      <c r="I52" s="2"/>
      <c r="J52" s="2"/>
    </row>
    <row r="53" spans="1:10" x14ac:dyDescent="0.25">
      <c r="A53" s="6" t="s">
        <v>1368</v>
      </c>
      <c r="B53" s="6"/>
      <c r="C53" s="2"/>
      <c r="D53" s="2">
        <v>300</v>
      </c>
      <c r="E53" s="2"/>
      <c r="F53" s="2"/>
      <c r="G53" s="2"/>
      <c r="H53" s="2"/>
      <c r="I53" s="2"/>
      <c r="J53" s="2"/>
    </row>
    <row r="54" spans="1:10" ht="15" x14ac:dyDescent="0.4">
      <c r="A54" s="191" t="s">
        <v>386</v>
      </c>
      <c r="C54" s="11"/>
      <c r="D54" s="11" t="s">
        <v>386</v>
      </c>
      <c r="E54" s="11"/>
      <c r="F54" s="11"/>
      <c r="G54" s="11"/>
      <c r="H54" s="11"/>
      <c r="I54" s="11"/>
      <c r="J54" s="11"/>
    </row>
    <row r="55" spans="1:10" x14ac:dyDescent="0.25">
      <c r="A55" s="191" t="s">
        <v>1182</v>
      </c>
      <c r="C55" s="2"/>
      <c r="D55" s="2">
        <f>SUM(D53:D54)</f>
        <v>300</v>
      </c>
      <c r="E55" s="2"/>
      <c r="F55" s="2"/>
      <c r="G55" s="2"/>
      <c r="H55" s="2"/>
      <c r="I55" s="2"/>
      <c r="J55" s="2"/>
    </row>
    <row r="56" spans="1:10" x14ac:dyDescent="0.25">
      <c r="C56" s="2"/>
      <c r="D56" s="2"/>
      <c r="E56" s="2"/>
      <c r="F56" s="2"/>
      <c r="G56" s="2"/>
      <c r="H56" s="2"/>
      <c r="I56" s="2"/>
      <c r="J56" s="2"/>
    </row>
    <row r="57" spans="1:10" ht="13.8" x14ac:dyDescent="0.3">
      <c r="A57" s="193" t="s">
        <v>12</v>
      </c>
      <c r="C57" s="2"/>
      <c r="D57" s="2"/>
      <c r="E57" s="2">
        <v>235</v>
      </c>
      <c r="F57" s="2">
        <v>200</v>
      </c>
      <c r="G57" s="2">
        <v>300</v>
      </c>
      <c r="H57" s="2">
        <v>300</v>
      </c>
      <c r="I57" s="2"/>
      <c r="J57" s="2"/>
    </row>
    <row r="58" spans="1:10" x14ac:dyDescent="0.25">
      <c r="A58" s="191" t="s">
        <v>1075</v>
      </c>
      <c r="C58" s="2"/>
      <c r="D58" s="2">
        <v>300</v>
      </c>
      <c r="E58" s="2"/>
      <c r="F58" s="2"/>
      <c r="G58" s="2"/>
      <c r="H58" s="2"/>
      <c r="I58" s="2"/>
      <c r="J58" s="2"/>
    </row>
    <row r="59" spans="1:10" x14ac:dyDescent="0.25">
      <c r="C59" s="2"/>
      <c r="D59" s="2"/>
      <c r="E59" s="2"/>
      <c r="F59" s="2"/>
      <c r="G59" s="2"/>
      <c r="H59" s="2"/>
      <c r="I59" s="2"/>
      <c r="J59" s="2"/>
    </row>
    <row r="60" spans="1:10" ht="13.8" x14ac:dyDescent="0.3">
      <c r="A60" s="193" t="s">
        <v>1428</v>
      </c>
      <c r="C60" s="2"/>
      <c r="D60" s="2"/>
      <c r="E60" s="2">
        <v>770</v>
      </c>
      <c r="F60" s="2">
        <v>750</v>
      </c>
      <c r="G60" s="2">
        <v>775</v>
      </c>
      <c r="H60" s="2">
        <v>775</v>
      </c>
      <c r="I60" s="2"/>
      <c r="J60" s="2"/>
    </row>
    <row r="61" spans="1:10" x14ac:dyDescent="0.25">
      <c r="A61" s="191" t="s">
        <v>691</v>
      </c>
      <c r="B61" s="2"/>
      <c r="C61" s="2"/>
      <c r="D61" s="2">
        <v>775</v>
      </c>
      <c r="E61" s="2"/>
      <c r="F61" s="2"/>
      <c r="G61" s="2"/>
      <c r="H61" s="2"/>
      <c r="I61" s="2"/>
      <c r="J61" s="2"/>
    </row>
    <row r="62" spans="1:10" x14ac:dyDescent="0.25">
      <c r="B62" s="2"/>
      <c r="C62" s="2"/>
      <c r="D62" s="2"/>
      <c r="E62" s="2"/>
      <c r="F62" s="2"/>
      <c r="G62" s="2"/>
      <c r="H62" s="2"/>
      <c r="I62" s="2"/>
      <c r="J62" s="2"/>
    </row>
    <row r="63" spans="1:10" ht="13.8" x14ac:dyDescent="0.3">
      <c r="A63" s="193" t="s">
        <v>692</v>
      </c>
      <c r="B63" s="2"/>
      <c r="C63" s="2"/>
      <c r="D63" s="2"/>
      <c r="E63" s="2">
        <v>160</v>
      </c>
      <c r="F63" s="2">
        <v>300</v>
      </c>
      <c r="G63" s="2">
        <v>300</v>
      </c>
      <c r="H63" s="2">
        <v>300</v>
      </c>
      <c r="I63" s="2"/>
      <c r="J63" s="2"/>
    </row>
    <row r="64" spans="1:10" x14ac:dyDescent="0.25">
      <c r="A64" s="191" t="s">
        <v>693</v>
      </c>
      <c r="B64" s="2">
        <v>120</v>
      </c>
      <c r="C64" s="12">
        <v>2.5</v>
      </c>
      <c r="D64" s="2">
        <f>+B64*C64</f>
        <v>300</v>
      </c>
    </row>
    <row r="65" spans="1:10" x14ac:dyDescent="0.25">
      <c r="C65" s="2"/>
      <c r="D65" s="2"/>
      <c r="E65" s="2"/>
      <c r="F65" s="2"/>
      <c r="G65" s="2"/>
      <c r="H65" s="2"/>
      <c r="I65" s="2"/>
      <c r="J65" s="2"/>
    </row>
    <row r="66" spans="1:10" ht="13.8" x14ac:dyDescent="0.3">
      <c r="A66" s="193" t="s">
        <v>694</v>
      </c>
      <c r="C66" s="2"/>
      <c r="D66" s="2"/>
      <c r="E66" s="2">
        <v>1458</v>
      </c>
      <c r="F66" s="2">
        <v>1250</v>
      </c>
      <c r="G66" s="2">
        <v>1250</v>
      </c>
      <c r="H66" s="2">
        <v>1250</v>
      </c>
      <c r="I66" s="2"/>
      <c r="J66" s="2"/>
    </row>
    <row r="67" spans="1:10" x14ac:dyDescent="0.25">
      <c r="A67" s="191" t="s">
        <v>897</v>
      </c>
      <c r="C67" s="2"/>
      <c r="D67" s="2">
        <v>1250</v>
      </c>
      <c r="E67" s="2"/>
      <c r="F67" s="2"/>
      <c r="G67" s="2"/>
      <c r="H67" s="2"/>
      <c r="I67" s="2"/>
      <c r="J67" s="2"/>
    </row>
    <row r="68" spans="1:10" ht="15" x14ac:dyDescent="0.4">
      <c r="A68" s="191" t="s">
        <v>213</v>
      </c>
      <c r="C68" s="11"/>
      <c r="D68" s="11">
        <v>0</v>
      </c>
      <c r="E68" s="11"/>
      <c r="F68" s="11"/>
      <c r="G68" s="11"/>
      <c r="H68" s="11"/>
      <c r="I68" s="11"/>
      <c r="J68" s="11"/>
    </row>
    <row r="69" spans="1:10" x14ac:dyDescent="0.25">
      <c r="A69" s="191" t="s">
        <v>1182</v>
      </c>
      <c r="B69" s="2"/>
      <c r="C69" s="2"/>
      <c r="D69" s="2">
        <f>SUM(D67:D68)</f>
        <v>1250</v>
      </c>
      <c r="E69" s="2"/>
      <c r="F69" s="2"/>
      <c r="G69" s="2"/>
      <c r="H69" s="2"/>
      <c r="I69" s="2"/>
      <c r="J69" s="2"/>
    </row>
    <row r="70" spans="1:10" x14ac:dyDescent="0.25">
      <c r="C70" s="2"/>
      <c r="D70" s="2"/>
      <c r="E70" s="2"/>
      <c r="F70" s="2"/>
      <c r="G70" s="2"/>
      <c r="H70" s="2"/>
      <c r="I70" s="2"/>
      <c r="J70" s="2"/>
    </row>
    <row r="71" spans="1:10" ht="13.8" x14ac:dyDescent="0.3">
      <c r="A71" s="193" t="s">
        <v>918</v>
      </c>
      <c r="C71" s="8"/>
      <c r="D71" s="8" t="s">
        <v>386</v>
      </c>
      <c r="E71" s="2">
        <v>50</v>
      </c>
      <c r="F71" s="2">
        <v>200</v>
      </c>
      <c r="G71" s="2">
        <v>200</v>
      </c>
      <c r="H71" s="2">
        <v>200</v>
      </c>
      <c r="I71" s="2"/>
      <c r="J71" s="2"/>
    </row>
    <row r="72" spans="1:10" x14ac:dyDescent="0.25">
      <c r="A72" s="191" t="s">
        <v>919</v>
      </c>
      <c r="B72" s="2"/>
      <c r="C72" s="2"/>
      <c r="D72" s="2">
        <v>140</v>
      </c>
      <c r="E72" s="2"/>
      <c r="F72" s="2"/>
      <c r="G72" s="2"/>
      <c r="H72" s="2"/>
      <c r="I72" s="2"/>
      <c r="J72" s="2"/>
    </row>
    <row r="73" spans="1:10" ht="15" x14ac:dyDescent="0.4">
      <c r="A73" s="191" t="s">
        <v>1136</v>
      </c>
      <c r="C73" s="11"/>
      <c r="D73" s="11">
        <v>60</v>
      </c>
      <c r="E73" s="11"/>
      <c r="F73" s="11"/>
      <c r="G73" s="11"/>
      <c r="H73" s="11"/>
      <c r="I73" s="11"/>
      <c r="J73" s="11"/>
    </row>
    <row r="74" spans="1:10" x14ac:dyDescent="0.25">
      <c r="A74" s="191" t="s">
        <v>1182</v>
      </c>
      <c r="C74" s="2"/>
      <c r="D74" s="2">
        <f>SUM(D72:D73)</f>
        <v>200</v>
      </c>
      <c r="E74" s="2"/>
      <c r="F74" s="2"/>
      <c r="G74" s="2"/>
      <c r="H74" s="2"/>
      <c r="I74" s="2"/>
      <c r="J74" s="2"/>
    </row>
    <row r="75" spans="1:10" x14ac:dyDescent="0.25">
      <c r="C75" s="2"/>
      <c r="D75" s="2"/>
      <c r="E75" s="2"/>
      <c r="F75" s="2"/>
      <c r="G75" s="2"/>
      <c r="H75" s="2"/>
      <c r="I75" s="2"/>
      <c r="J75" s="2"/>
    </row>
    <row r="76" spans="1:10" ht="13.8" x14ac:dyDescent="0.3">
      <c r="A76" s="17" t="s">
        <v>920</v>
      </c>
      <c r="C76" s="2"/>
      <c r="D76" s="2"/>
      <c r="E76" s="2">
        <v>1890</v>
      </c>
      <c r="F76" s="2">
        <v>2222</v>
      </c>
      <c r="G76" s="2">
        <v>2079</v>
      </c>
      <c r="H76" s="2">
        <v>2079</v>
      </c>
      <c r="I76" s="2"/>
      <c r="J76" s="2"/>
    </row>
    <row r="77" spans="1:10" x14ac:dyDescent="0.25">
      <c r="A77" s="191" t="s">
        <v>695</v>
      </c>
      <c r="C77" s="2"/>
      <c r="D77" s="2">
        <v>2079</v>
      </c>
      <c r="E77" s="2"/>
      <c r="F77" s="2"/>
      <c r="G77" s="2"/>
      <c r="H77" s="2"/>
      <c r="I77" s="2"/>
      <c r="J77" s="2"/>
    </row>
    <row r="78" spans="1:10" x14ac:dyDescent="0.25">
      <c r="C78" s="2"/>
      <c r="D78" s="2"/>
      <c r="E78" s="2"/>
      <c r="F78" s="2"/>
      <c r="G78" s="2"/>
      <c r="H78" s="2"/>
      <c r="I78" s="2"/>
      <c r="J78" s="2"/>
    </row>
    <row r="79" spans="1:10" ht="13.8" x14ac:dyDescent="0.3">
      <c r="A79" s="193" t="s">
        <v>564</v>
      </c>
      <c r="C79" s="2"/>
      <c r="D79" s="2"/>
      <c r="E79" s="2">
        <v>35</v>
      </c>
      <c r="F79" s="2">
        <v>150</v>
      </c>
      <c r="G79" s="2">
        <v>150</v>
      </c>
      <c r="H79" s="2">
        <v>150</v>
      </c>
      <c r="I79" s="2"/>
      <c r="J79" s="2"/>
    </row>
    <row r="80" spans="1:10" x14ac:dyDescent="0.25">
      <c r="A80" s="191" t="s">
        <v>1550</v>
      </c>
      <c r="C80" s="2"/>
      <c r="D80" s="2" t="s">
        <v>386</v>
      </c>
      <c r="E80" s="2"/>
      <c r="F80" s="2"/>
      <c r="G80" s="2"/>
      <c r="H80" s="2"/>
      <c r="I80" s="2"/>
      <c r="J80" s="2"/>
    </row>
    <row r="81" spans="1:10" x14ac:dyDescent="0.25">
      <c r="A81" s="191" t="s">
        <v>1364</v>
      </c>
      <c r="C81" s="2"/>
      <c r="D81" s="2">
        <v>150</v>
      </c>
      <c r="E81" s="2"/>
      <c r="F81" s="2"/>
      <c r="G81" s="2"/>
      <c r="H81" s="2"/>
      <c r="I81" s="2"/>
      <c r="J81" s="2"/>
    </row>
    <row r="82" spans="1:10" x14ac:dyDescent="0.25">
      <c r="C82" s="2"/>
      <c r="D82" s="2"/>
      <c r="E82" s="2"/>
      <c r="F82" s="2"/>
      <c r="G82" s="2"/>
      <c r="H82" s="2"/>
      <c r="I82" s="2"/>
      <c r="J82" s="2"/>
    </row>
    <row r="83" spans="1:10" ht="13.8" x14ac:dyDescent="0.3">
      <c r="A83" s="193" t="s">
        <v>1402</v>
      </c>
      <c r="C83" s="2"/>
      <c r="D83" s="2"/>
      <c r="E83" s="2">
        <v>0</v>
      </c>
      <c r="F83" s="2">
        <v>120</v>
      </c>
      <c r="G83" s="2">
        <v>120</v>
      </c>
      <c r="H83" s="2">
        <v>120</v>
      </c>
      <c r="I83" s="2"/>
      <c r="J83" s="2"/>
    </row>
    <row r="84" spans="1:10" x14ac:dyDescent="0.25">
      <c r="A84" s="191" t="s">
        <v>705</v>
      </c>
      <c r="C84" s="2"/>
      <c r="D84" s="2">
        <v>120</v>
      </c>
      <c r="E84" s="2"/>
      <c r="F84" s="2"/>
      <c r="G84" s="2"/>
      <c r="H84" s="2"/>
      <c r="I84" s="2"/>
      <c r="J84" s="2"/>
    </row>
    <row r="85" spans="1:10" x14ac:dyDescent="0.25">
      <c r="C85" s="2"/>
      <c r="D85" s="2"/>
      <c r="E85" s="2"/>
      <c r="F85" s="2"/>
      <c r="G85" s="2"/>
      <c r="H85" s="2"/>
      <c r="I85" s="2"/>
      <c r="J85" s="2"/>
    </row>
    <row r="86" spans="1:10" ht="13.8" x14ac:dyDescent="0.3">
      <c r="A86" s="193" t="s">
        <v>805</v>
      </c>
      <c r="C86" s="8"/>
      <c r="D86" s="8" t="s">
        <v>386</v>
      </c>
      <c r="E86" s="2">
        <v>10691</v>
      </c>
      <c r="F86" s="2">
        <v>12000</v>
      </c>
      <c r="G86" s="2">
        <v>12000</v>
      </c>
      <c r="H86" s="2">
        <v>12000</v>
      </c>
      <c r="I86" s="2"/>
      <c r="J86" s="2"/>
    </row>
    <row r="87" spans="1:10" x14ac:dyDescent="0.25">
      <c r="A87" s="191" t="s">
        <v>1076</v>
      </c>
      <c r="C87" s="2">
        <v>300</v>
      </c>
      <c r="D87" s="2">
        <v>300</v>
      </c>
      <c r="E87" s="2"/>
      <c r="F87" s="2"/>
      <c r="G87" s="2"/>
      <c r="H87" s="2"/>
      <c r="I87" s="2"/>
      <c r="J87" s="2"/>
    </row>
    <row r="88" spans="1:10" x14ac:dyDescent="0.25">
      <c r="A88" s="191" t="s">
        <v>806</v>
      </c>
      <c r="C88" s="2">
        <v>284</v>
      </c>
      <c r="D88" s="2">
        <v>284</v>
      </c>
      <c r="E88" s="2"/>
      <c r="F88" s="2"/>
      <c r="G88" s="2"/>
      <c r="H88" s="2"/>
      <c r="I88" s="2"/>
      <c r="J88" s="2"/>
    </row>
    <row r="89" spans="1:10" x14ac:dyDescent="0.25">
      <c r="A89" s="191" t="s">
        <v>1137</v>
      </c>
      <c r="C89" s="2">
        <f>1296+10120</f>
        <v>11416</v>
      </c>
      <c r="D89" s="2">
        <f>1296+10120</f>
        <v>11416</v>
      </c>
      <c r="E89" s="2"/>
      <c r="F89" s="2"/>
      <c r="G89" s="2"/>
      <c r="H89" s="2"/>
      <c r="I89" s="2"/>
      <c r="J89" s="2"/>
    </row>
    <row r="90" spans="1:10" ht="15" x14ac:dyDescent="0.4">
      <c r="A90" s="191" t="s">
        <v>807</v>
      </c>
      <c r="C90" s="11">
        <v>0</v>
      </c>
      <c r="D90" s="11">
        <v>0</v>
      </c>
      <c r="E90" s="2"/>
      <c r="F90" s="11"/>
      <c r="G90" s="11"/>
      <c r="H90" s="11"/>
      <c r="I90" s="11"/>
      <c r="J90" s="11"/>
    </row>
    <row r="91" spans="1:10" x14ac:dyDescent="0.25">
      <c r="A91" s="191" t="s">
        <v>1182</v>
      </c>
      <c r="C91" s="2">
        <f>SUM(C87:C90)</f>
        <v>12000</v>
      </c>
      <c r="D91" s="2">
        <f>SUM(D87:D90)</f>
        <v>12000</v>
      </c>
      <c r="E91" s="2"/>
      <c r="F91" s="2"/>
      <c r="G91" s="2"/>
      <c r="H91" s="2"/>
      <c r="I91" s="2"/>
      <c r="J91" s="2"/>
    </row>
    <row r="92" spans="1:10" x14ac:dyDescent="0.25">
      <c r="C92" s="2"/>
      <c r="D92" s="2"/>
      <c r="E92" s="2"/>
    </row>
    <row r="93" spans="1:10" ht="13.8" x14ac:dyDescent="0.3">
      <c r="A93" s="193" t="s">
        <v>808</v>
      </c>
      <c r="C93" s="8"/>
      <c r="D93" s="8" t="s">
        <v>386</v>
      </c>
      <c r="E93" s="2">
        <v>150</v>
      </c>
      <c r="F93" s="2">
        <v>1500</v>
      </c>
      <c r="G93" s="2">
        <v>1500</v>
      </c>
      <c r="H93" s="2">
        <v>1500</v>
      </c>
      <c r="I93" s="2"/>
      <c r="J93" s="2"/>
    </row>
    <row r="94" spans="1:10" x14ac:dyDescent="0.25">
      <c r="A94" s="191" t="s">
        <v>809</v>
      </c>
      <c r="C94" s="2"/>
      <c r="D94" s="2">
        <v>175</v>
      </c>
    </row>
    <row r="95" spans="1:10" x14ac:dyDescent="0.25">
      <c r="A95" s="191" t="s">
        <v>1546</v>
      </c>
      <c r="C95" s="2"/>
      <c r="D95" s="2">
        <v>175</v>
      </c>
    </row>
    <row r="96" spans="1:10" x14ac:dyDescent="0.25">
      <c r="A96" s="191" t="s">
        <v>1469</v>
      </c>
      <c r="C96" s="2"/>
      <c r="D96" s="2">
        <v>200</v>
      </c>
    </row>
    <row r="97" spans="1:10" ht="15" x14ac:dyDescent="0.4">
      <c r="A97" s="191" t="s">
        <v>1122</v>
      </c>
      <c r="C97" s="2"/>
      <c r="D97" s="11">
        <v>950</v>
      </c>
    </row>
    <row r="98" spans="1:10" x14ac:dyDescent="0.25">
      <c r="A98" s="191" t="s">
        <v>1182</v>
      </c>
      <c r="C98" s="2"/>
      <c r="D98" s="2">
        <f>SUM(D94:D97)</f>
        <v>1500</v>
      </c>
      <c r="F98" s="2"/>
      <c r="G98" s="2"/>
      <c r="H98" s="2"/>
      <c r="I98" s="2"/>
      <c r="J98" s="2"/>
    </row>
    <row r="99" spans="1:10" x14ac:dyDescent="0.25">
      <c r="C99" s="2"/>
      <c r="D99" s="2"/>
      <c r="E99" s="2"/>
    </row>
    <row r="100" spans="1:10" ht="13.8" x14ac:dyDescent="0.3">
      <c r="A100" s="193" t="s">
        <v>346</v>
      </c>
      <c r="C100" s="8"/>
      <c r="D100" s="8"/>
      <c r="E100" s="2">
        <v>36255</v>
      </c>
      <c r="F100" s="2">
        <v>36000</v>
      </c>
      <c r="G100" s="191">
        <v>36000</v>
      </c>
      <c r="H100" s="191">
        <v>36000</v>
      </c>
      <c r="I100" s="2"/>
      <c r="J100" s="2"/>
    </row>
    <row r="101" spans="1:10" x14ac:dyDescent="0.25">
      <c r="A101" s="191" t="s">
        <v>347</v>
      </c>
      <c r="C101" s="2"/>
      <c r="D101" s="2">
        <v>2000</v>
      </c>
      <c r="E101" s="3"/>
      <c r="F101" s="3"/>
      <c r="G101" s="2"/>
      <c r="H101" s="2"/>
      <c r="I101" s="3"/>
      <c r="J101" s="3"/>
    </row>
    <row r="102" spans="1:10" ht="15" x14ac:dyDescent="0.4">
      <c r="A102" s="191" t="s">
        <v>348</v>
      </c>
      <c r="C102" s="11"/>
      <c r="D102" s="11">
        <v>34000</v>
      </c>
      <c r="E102" s="2"/>
      <c r="F102" s="2"/>
      <c r="G102" s="2"/>
      <c r="H102" s="2"/>
      <c r="I102" s="2"/>
      <c r="J102" s="2"/>
    </row>
    <row r="103" spans="1:10" x14ac:dyDescent="0.25">
      <c r="A103" s="191" t="s">
        <v>1182</v>
      </c>
      <c r="C103" s="2"/>
      <c r="D103" s="2">
        <f>SUM(D101:D102)</f>
        <v>36000</v>
      </c>
      <c r="E103" s="2"/>
      <c r="F103" s="2"/>
      <c r="G103" s="2"/>
      <c r="H103" s="2"/>
      <c r="I103" s="2"/>
      <c r="J103" s="2"/>
    </row>
    <row r="104" spans="1:10" x14ac:dyDescent="0.25">
      <c r="C104" s="2"/>
      <c r="D104" s="2"/>
      <c r="E104" s="2"/>
      <c r="F104" s="2"/>
      <c r="G104" s="2"/>
      <c r="H104" s="2"/>
      <c r="I104" s="2"/>
      <c r="J104" s="2"/>
    </row>
    <row r="105" spans="1:10" ht="13.8" hidden="1" x14ac:dyDescent="0.3">
      <c r="A105" s="193" t="s">
        <v>1109</v>
      </c>
      <c r="C105" s="2"/>
      <c r="D105" s="2"/>
      <c r="E105" s="2"/>
      <c r="F105" s="2"/>
      <c r="G105" s="2"/>
      <c r="H105" s="2"/>
      <c r="I105" s="2"/>
      <c r="J105" s="2"/>
    </row>
    <row r="106" spans="1:10" hidden="1" x14ac:dyDescent="0.25">
      <c r="A106" s="191" t="s">
        <v>217</v>
      </c>
      <c r="C106" s="2"/>
      <c r="D106" s="2">
        <v>0</v>
      </c>
      <c r="E106" s="2"/>
      <c r="F106" s="2"/>
      <c r="G106" s="2"/>
      <c r="H106" s="2"/>
      <c r="I106" s="2"/>
      <c r="J106" s="2"/>
    </row>
    <row r="107" spans="1:10" x14ac:dyDescent="0.25">
      <c r="C107" s="2"/>
      <c r="D107" s="2"/>
      <c r="E107" s="2"/>
      <c r="F107" s="2"/>
      <c r="G107" s="2"/>
      <c r="H107" s="2"/>
      <c r="I107" s="2"/>
      <c r="J107" s="2"/>
    </row>
    <row r="108" spans="1:10" ht="13.8" x14ac:dyDescent="0.3">
      <c r="A108" s="193" t="s">
        <v>1110</v>
      </c>
      <c r="C108" s="2"/>
      <c r="D108" s="2"/>
      <c r="E108" s="2">
        <v>0</v>
      </c>
      <c r="F108" s="2">
        <v>1000</v>
      </c>
      <c r="G108" s="2">
        <v>1000</v>
      </c>
      <c r="H108" s="2">
        <v>1000</v>
      </c>
      <c r="I108" s="2"/>
      <c r="J108" s="2"/>
    </row>
    <row r="109" spans="1:10" x14ac:dyDescent="0.25">
      <c r="A109" s="6" t="s">
        <v>1207</v>
      </c>
      <c r="C109" s="2"/>
      <c r="D109" s="2">
        <v>1000</v>
      </c>
    </row>
    <row r="110" spans="1:10" x14ac:dyDescent="0.25">
      <c r="A110" s="6"/>
      <c r="C110" s="2"/>
      <c r="D110" s="2"/>
    </row>
    <row r="111" spans="1:10" ht="13.8" x14ac:dyDescent="0.3">
      <c r="A111" s="53" t="s">
        <v>1138</v>
      </c>
      <c r="B111" s="53"/>
      <c r="C111" s="19"/>
      <c r="D111" s="19"/>
      <c r="E111" s="8">
        <v>15000</v>
      </c>
      <c r="F111" s="2">
        <v>15000</v>
      </c>
      <c r="G111" s="2">
        <v>15000</v>
      </c>
      <c r="H111" s="2">
        <v>15000</v>
      </c>
      <c r="I111" s="2"/>
      <c r="J111" s="2"/>
    </row>
    <row r="112" spans="1:10" x14ac:dyDescent="0.25">
      <c r="A112" s="6" t="s">
        <v>116</v>
      </c>
      <c r="C112" s="2"/>
      <c r="D112" s="2"/>
    </row>
    <row r="113" spans="1:10" x14ac:dyDescent="0.25">
      <c r="A113" s="6"/>
      <c r="C113" s="2"/>
      <c r="D113" s="2"/>
    </row>
    <row r="114" spans="1:10" ht="15" x14ac:dyDescent="0.4">
      <c r="A114" s="53" t="s">
        <v>1760</v>
      </c>
      <c r="B114" s="2"/>
      <c r="C114" s="2"/>
      <c r="D114" s="2"/>
      <c r="E114" s="31">
        <v>37125</v>
      </c>
      <c r="F114" s="11">
        <v>0</v>
      </c>
      <c r="G114" s="11">
        <v>0</v>
      </c>
      <c r="H114" s="11">
        <v>0</v>
      </c>
      <c r="I114" s="11">
        <v>0</v>
      </c>
      <c r="J114" s="11">
        <v>0</v>
      </c>
    </row>
    <row r="115" spans="1:10" x14ac:dyDescent="0.25">
      <c r="A115" s="6" t="s">
        <v>1761</v>
      </c>
      <c r="C115" s="2"/>
      <c r="D115" s="2">
        <v>0</v>
      </c>
    </row>
    <row r="116" spans="1:10" x14ac:dyDescent="0.25">
      <c r="D116" s="2"/>
      <c r="E116" s="2"/>
      <c r="F116" s="2"/>
      <c r="G116" s="2"/>
      <c r="H116" s="2"/>
      <c r="I116" s="2"/>
      <c r="J116" s="2"/>
    </row>
    <row r="117" spans="1:10" x14ac:dyDescent="0.25">
      <c r="A117" s="191" t="s">
        <v>1267</v>
      </c>
      <c r="D117" s="2"/>
      <c r="E117" s="2">
        <f t="shared" ref="E117:J117" si="0">SUM(E6:E114)</f>
        <v>338663</v>
      </c>
      <c r="F117" s="2">
        <f t="shared" si="0"/>
        <v>319708</v>
      </c>
      <c r="G117" s="2">
        <f t="shared" si="0"/>
        <v>322242</v>
      </c>
      <c r="H117" s="2">
        <f>SUM(H6:H114)</f>
        <v>322242</v>
      </c>
      <c r="I117" s="2">
        <f t="shared" si="0"/>
        <v>0</v>
      </c>
      <c r="J117" s="2">
        <f t="shared" si="0"/>
        <v>0</v>
      </c>
    </row>
    <row r="119" spans="1:10" x14ac:dyDescent="0.25">
      <c r="A119" s="191" t="s">
        <v>571</v>
      </c>
      <c r="E119" s="2">
        <f t="shared" ref="E119:J119" si="1">SUM(E6:E47)</f>
        <v>234040</v>
      </c>
      <c r="F119" s="2">
        <f t="shared" si="1"/>
        <v>247216</v>
      </c>
      <c r="G119" s="2">
        <f t="shared" si="1"/>
        <v>249768</v>
      </c>
      <c r="H119" s="2">
        <f>SUM(H6:H47)</f>
        <v>249768</v>
      </c>
      <c r="I119" s="2">
        <f t="shared" si="1"/>
        <v>0</v>
      </c>
      <c r="J119" s="2">
        <f t="shared" si="1"/>
        <v>0</v>
      </c>
    </row>
    <row r="120" spans="1:10" x14ac:dyDescent="0.25">
      <c r="A120" s="191" t="s">
        <v>895</v>
      </c>
      <c r="E120" s="2">
        <f t="shared" ref="E120:J120" si="2">SUM(E49:E107)</f>
        <v>52498</v>
      </c>
      <c r="F120" s="2">
        <f t="shared" si="2"/>
        <v>56492</v>
      </c>
      <c r="G120" s="2">
        <f t="shared" si="2"/>
        <v>56474</v>
      </c>
      <c r="H120" s="2">
        <f>SUM(H49:H107)</f>
        <v>56474</v>
      </c>
      <c r="I120" s="2">
        <f t="shared" si="2"/>
        <v>0</v>
      </c>
      <c r="J120" s="2">
        <f t="shared" si="2"/>
        <v>0</v>
      </c>
    </row>
    <row r="121" spans="1:10" ht="15" x14ac:dyDescent="0.4">
      <c r="A121" s="191" t="s">
        <v>896</v>
      </c>
      <c r="E121" s="11">
        <f t="shared" ref="E121:J121" si="3">SUM(E108:E114)</f>
        <v>52125</v>
      </c>
      <c r="F121" s="11">
        <f t="shared" si="3"/>
        <v>16000</v>
      </c>
      <c r="G121" s="11">
        <f t="shared" si="3"/>
        <v>16000</v>
      </c>
      <c r="H121" s="11">
        <f>SUM(H108:H114)</f>
        <v>16000</v>
      </c>
      <c r="I121" s="11">
        <f t="shared" si="3"/>
        <v>0</v>
      </c>
      <c r="J121" s="11">
        <f t="shared" si="3"/>
        <v>0</v>
      </c>
    </row>
    <row r="122" spans="1:10" x14ac:dyDescent="0.25">
      <c r="A122" s="191" t="s">
        <v>1182</v>
      </c>
      <c r="E122" s="2">
        <f t="shared" ref="E122:J122" si="4">SUM(E119:E121)</f>
        <v>338663</v>
      </c>
      <c r="F122" s="2">
        <f t="shared" si="4"/>
        <v>319708</v>
      </c>
      <c r="G122" s="2">
        <f t="shared" si="4"/>
        <v>322242</v>
      </c>
      <c r="H122" s="2">
        <f>SUM(H119:H121)</f>
        <v>322242</v>
      </c>
      <c r="I122" s="2">
        <f t="shared" si="4"/>
        <v>0</v>
      </c>
      <c r="J122" s="2">
        <f t="shared" si="4"/>
        <v>0</v>
      </c>
    </row>
    <row r="125" spans="1:10" x14ac:dyDescent="0.25">
      <c r="F125" s="2"/>
    </row>
  </sheetData>
  <mergeCells count="1">
    <mergeCell ref="A1:J1"/>
  </mergeCells>
  <phoneticPr fontId="0" type="noConversion"/>
  <printOptions gridLines="1"/>
  <pageMargins left="0.75" right="0.16" top="0.51" bottom="0.22" header="0.5" footer="0.37"/>
  <pageSetup scale="95" fitToHeight="11" orientation="landscape" r:id="rId1"/>
  <headerFooter alignWithMargins="0"/>
  <rowBreaks count="2" manualBreakCount="2">
    <brk id="59" max="7" man="1"/>
    <brk id="99"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23"/>
  <sheetViews>
    <sheetView zoomScaleNormal="100" zoomScaleSheetLayoutView="100" workbookViewId="0">
      <selection sqref="A1:J1"/>
    </sheetView>
  </sheetViews>
  <sheetFormatPr defaultColWidth="8.88671875" defaultRowHeight="13.2" x14ac:dyDescent="0.25"/>
  <cols>
    <col min="1" max="1" width="44.44140625" style="7" customWidth="1"/>
    <col min="2" max="3" width="9" style="7" bestFit="1" customWidth="1"/>
    <col min="4" max="4" width="11.6640625" style="7" bestFit="1" customWidth="1"/>
    <col min="5" max="7" width="10.88671875" style="7" customWidth="1"/>
    <col min="8" max="8" width="14.33203125" style="7" customWidth="1"/>
    <col min="9" max="10" width="10.88671875" style="7" customWidth="1"/>
    <col min="11" max="12" width="14.33203125" style="7" customWidth="1"/>
    <col min="13" max="16384" width="8.88671875" style="7"/>
  </cols>
  <sheetData>
    <row r="1" spans="1:10" x14ac:dyDescent="0.25">
      <c r="A1" s="194" t="e">
        <f>#REF!</f>
        <v>#REF!</v>
      </c>
      <c r="B1" s="195"/>
      <c r="C1" s="195"/>
      <c r="D1" s="195"/>
      <c r="E1" s="195"/>
      <c r="F1" s="195"/>
      <c r="G1" s="195"/>
      <c r="H1" s="195"/>
      <c r="I1" s="195"/>
      <c r="J1" s="195"/>
    </row>
    <row r="2" spans="1:10" ht="17.399999999999999" x14ac:dyDescent="0.3">
      <c r="A2" s="153" t="s">
        <v>1968</v>
      </c>
      <c r="B2" s="153"/>
      <c r="C2" s="153"/>
      <c r="D2" s="153"/>
      <c r="E2" s="153"/>
      <c r="F2" s="153"/>
    </row>
    <row r="3" spans="1:10" x14ac:dyDescent="0.25">
      <c r="B3" s="8"/>
      <c r="C3" s="8"/>
      <c r="D3" s="8"/>
      <c r="E3" s="167" t="s">
        <v>232</v>
      </c>
      <c r="F3" s="167" t="s">
        <v>233</v>
      </c>
      <c r="G3" s="167" t="s">
        <v>69</v>
      </c>
      <c r="H3" s="167" t="s">
        <v>399</v>
      </c>
      <c r="I3" s="16" t="s">
        <v>303</v>
      </c>
      <c r="J3" s="16" t="s">
        <v>336</v>
      </c>
    </row>
    <row r="4" spans="1:10" ht="15" x14ac:dyDescent="0.4">
      <c r="B4" s="9"/>
      <c r="C4" s="9"/>
      <c r="D4" s="9"/>
      <c r="E4" s="164" t="s">
        <v>1715</v>
      </c>
      <c r="F4" s="164" t="s">
        <v>1766</v>
      </c>
      <c r="G4" s="164" t="s">
        <v>1985</v>
      </c>
      <c r="H4" s="164" t="s">
        <v>1985</v>
      </c>
      <c r="I4" s="164" t="s">
        <v>1985</v>
      </c>
      <c r="J4" s="164" t="s">
        <v>1985</v>
      </c>
    </row>
    <row r="6" spans="1:10" ht="15" x14ac:dyDescent="0.4">
      <c r="A6" s="10" t="s">
        <v>1710</v>
      </c>
      <c r="B6" s="9" t="s">
        <v>1715</v>
      </c>
      <c r="C6" s="9" t="s">
        <v>1766</v>
      </c>
      <c r="D6" s="9" t="s">
        <v>1985</v>
      </c>
      <c r="E6" s="2">
        <v>84449</v>
      </c>
      <c r="F6" s="2">
        <v>99811</v>
      </c>
      <c r="G6" s="2">
        <v>99811</v>
      </c>
      <c r="H6" s="2">
        <v>99811</v>
      </c>
      <c r="I6" s="2"/>
      <c r="J6" s="2"/>
    </row>
    <row r="7" spans="1:10" x14ac:dyDescent="0.25">
      <c r="A7" s="7" t="s">
        <v>726</v>
      </c>
      <c r="B7" s="2" t="s">
        <v>386</v>
      </c>
      <c r="C7" s="2" t="s">
        <v>386</v>
      </c>
      <c r="D7" s="2" t="s">
        <v>386</v>
      </c>
      <c r="F7" s="163"/>
      <c r="J7" s="161"/>
    </row>
    <row r="8" spans="1:10" x14ac:dyDescent="0.25">
      <c r="A8" s="7" t="s">
        <v>611</v>
      </c>
      <c r="B8" s="2">
        <v>86063</v>
      </c>
      <c r="C8" s="2">
        <v>99811</v>
      </c>
      <c r="D8" s="2">
        <v>99811</v>
      </c>
      <c r="F8" s="163"/>
      <c r="J8" s="161"/>
    </row>
    <row r="9" spans="1:10" x14ac:dyDescent="0.25">
      <c r="F9" s="163"/>
      <c r="J9" s="161"/>
    </row>
    <row r="10" spans="1:10" ht="15" x14ac:dyDescent="0.4">
      <c r="E10" s="11">
        <v>0</v>
      </c>
      <c r="F10" s="11">
        <v>0</v>
      </c>
      <c r="G10" s="11">
        <v>0</v>
      </c>
      <c r="H10" s="11">
        <v>0</v>
      </c>
      <c r="I10" s="11">
        <v>0</v>
      </c>
      <c r="J10" s="11">
        <v>0</v>
      </c>
    </row>
    <row r="11" spans="1:10" x14ac:dyDescent="0.25">
      <c r="E11" s="2"/>
      <c r="J11" s="161"/>
    </row>
    <row r="12" spans="1:10" x14ac:dyDescent="0.25">
      <c r="A12" s="20" t="s">
        <v>1267</v>
      </c>
      <c r="D12" s="2"/>
      <c r="E12" s="2">
        <f t="shared" ref="E12:J12" si="0">SUM(E6:E11)</f>
        <v>84449</v>
      </c>
      <c r="F12" s="2">
        <f t="shared" si="0"/>
        <v>99811</v>
      </c>
      <c r="G12" s="2">
        <f t="shared" si="0"/>
        <v>99811</v>
      </c>
      <c r="H12" s="2">
        <f t="shared" si="0"/>
        <v>99811</v>
      </c>
      <c r="I12" s="2">
        <f t="shared" si="0"/>
        <v>0</v>
      </c>
      <c r="J12" s="2">
        <f t="shared" si="0"/>
        <v>0</v>
      </c>
    </row>
    <row r="13" spans="1:10" x14ac:dyDescent="0.25">
      <c r="J13" s="161"/>
    </row>
    <row r="14" spans="1:10" x14ac:dyDescent="0.25">
      <c r="J14" s="161"/>
    </row>
    <row r="15" spans="1:10" x14ac:dyDescent="0.25">
      <c r="A15" s="7" t="s">
        <v>571</v>
      </c>
      <c r="E15" s="2">
        <v>0</v>
      </c>
      <c r="F15" s="2">
        <v>0</v>
      </c>
      <c r="G15" s="2">
        <v>0</v>
      </c>
      <c r="H15" s="2">
        <v>0</v>
      </c>
      <c r="I15" s="2">
        <v>0</v>
      </c>
      <c r="J15" s="2">
        <v>0</v>
      </c>
    </row>
    <row r="16" spans="1:10" x14ac:dyDescent="0.25">
      <c r="A16" s="7" t="s">
        <v>895</v>
      </c>
      <c r="E16" s="2">
        <f t="shared" ref="E16:J16" si="1">+E6</f>
        <v>84449</v>
      </c>
      <c r="F16" s="2">
        <f t="shared" si="1"/>
        <v>99811</v>
      </c>
      <c r="G16" s="2">
        <f t="shared" si="1"/>
        <v>99811</v>
      </c>
      <c r="H16" s="2">
        <f t="shared" si="1"/>
        <v>99811</v>
      </c>
      <c r="I16" s="2">
        <f t="shared" si="1"/>
        <v>0</v>
      </c>
      <c r="J16" s="2">
        <f t="shared" si="1"/>
        <v>0</v>
      </c>
    </row>
    <row r="17" spans="1:10" ht="15" x14ac:dyDescent="0.4">
      <c r="A17" s="7" t="s">
        <v>896</v>
      </c>
      <c r="E17" s="11">
        <v>0</v>
      </c>
      <c r="F17" s="11">
        <v>0</v>
      </c>
      <c r="G17" s="11">
        <v>0</v>
      </c>
      <c r="H17" s="11">
        <v>0</v>
      </c>
      <c r="I17" s="11">
        <v>0</v>
      </c>
      <c r="J17" s="11">
        <v>0</v>
      </c>
    </row>
    <row r="18" spans="1:10" x14ac:dyDescent="0.25">
      <c r="A18" s="7" t="s">
        <v>1182</v>
      </c>
      <c r="E18" s="2">
        <f t="shared" ref="E18:J18" si="2">SUM(E15:E17)</f>
        <v>84449</v>
      </c>
      <c r="F18" s="2">
        <f t="shared" si="2"/>
        <v>99811</v>
      </c>
      <c r="G18" s="2">
        <f t="shared" si="2"/>
        <v>99811</v>
      </c>
      <c r="H18" s="2">
        <f t="shared" si="2"/>
        <v>99811</v>
      </c>
      <c r="I18" s="2">
        <f t="shared" si="2"/>
        <v>0</v>
      </c>
      <c r="J18" s="2">
        <f t="shared" si="2"/>
        <v>0</v>
      </c>
    </row>
    <row r="22" spans="1:10" x14ac:dyDescent="0.25">
      <c r="H22" s="2"/>
    </row>
    <row r="23" spans="1:10" x14ac:dyDescent="0.25">
      <c r="H23" s="12"/>
    </row>
  </sheetData>
  <mergeCells count="1">
    <mergeCell ref="A1:J1"/>
  </mergeCells>
  <phoneticPr fontId="5" type="noConversion"/>
  <printOptions gridLines="1"/>
  <pageMargins left="0.75" right="0.16" top="0.51" bottom="0.16" header="0.5" footer="0"/>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zoomScaleSheetLayoutView="100" workbookViewId="0">
      <selection sqref="A1:J1"/>
    </sheetView>
  </sheetViews>
  <sheetFormatPr defaultColWidth="8.88671875" defaultRowHeight="13.2" x14ac:dyDescent="0.25"/>
  <cols>
    <col min="1" max="1" width="44.44140625" style="161" customWidth="1"/>
    <col min="2" max="2" width="9" style="161" bestFit="1" customWidth="1"/>
    <col min="3" max="3" width="10.21875" style="161" bestFit="1" customWidth="1"/>
    <col min="4" max="4" width="11.6640625" style="161" bestFit="1" customWidth="1"/>
    <col min="5" max="7" width="10.88671875" style="161" customWidth="1"/>
    <col min="8" max="8" width="14.33203125" style="161" customWidth="1"/>
    <col min="9" max="9" width="10.88671875" style="161" customWidth="1"/>
    <col min="10" max="10" width="11.33203125" style="161" bestFit="1" customWidth="1"/>
    <col min="11" max="12" width="14.33203125" style="161" customWidth="1"/>
    <col min="13" max="16384" width="8.88671875" style="161"/>
  </cols>
  <sheetData>
    <row r="1" spans="1:10" x14ac:dyDescent="0.25">
      <c r="A1" s="194" t="e">
        <f>#REF!</f>
        <v>#REF!</v>
      </c>
      <c r="B1" s="195"/>
      <c r="C1" s="195"/>
      <c r="D1" s="195"/>
      <c r="E1" s="195"/>
      <c r="F1" s="195"/>
      <c r="G1" s="195"/>
      <c r="H1" s="195"/>
      <c r="I1" s="195"/>
      <c r="J1" s="195"/>
    </row>
    <row r="2" spans="1:10" ht="17.399999999999999" x14ac:dyDescent="0.3">
      <c r="A2" s="153" t="s">
        <v>2165</v>
      </c>
      <c r="B2" s="153"/>
      <c r="C2" s="153"/>
      <c r="D2" s="153"/>
      <c r="E2" s="153"/>
      <c r="F2" s="153"/>
    </row>
    <row r="3" spans="1:10" x14ac:dyDescent="0.25">
      <c r="B3" s="8"/>
      <c r="C3" s="8"/>
      <c r="D3" s="8"/>
      <c r="E3" s="167" t="s">
        <v>232</v>
      </c>
      <c r="F3" s="167" t="s">
        <v>233</v>
      </c>
      <c r="G3" s="167" t="s">
        <v>69</v>
      </c>
      <c r="H3" s="167" t="s">
        <v>399</v>
      </c>
      <c r="I3" s="16" t="s">
        <v>303</v>
      </c>
      <c r="J3" s="16" t="s">
        <v>336</v>
      </c>
    </row>
    <row r="4" spans="1:10" ht="15" x14ac:dyDescent="0.4">
      <c r="B4" s="9"/>
      <c r="C4" s="9"/>
      <c r="D4" s="9"/>
      <c r="E4" s="164" t="s">
        <v>1715</v>
      </c>
      <c r="F4" s="164" t="s">
        <v>1766</v>
      </c>
      <c r="G4" s="164" t="s">
        <v>1985</v>
      </c>
      <c r="H4" s="164" t="s">
        <v>1985</v>
      </c>
      <c r="I4" s="164" t="s">
        <v>1985</v>
      </c>
      <c r="J4" s="164" t="s">
        <v>1985</v>
      </c>
    </row>
    <row r="6" spans="1:10" ht="15" x14ac:dyDescent="0.4">
      <c r="A6" s="162" t="s">
        <v>1992</v>
      </c>
      <c r="B6" s="9" t="s">
        <v>1715</v>
      </c>
      <c r="C6" s="9" t="s">
        <v>1766</v>
      </c>
      <c r="D6" s="9" t="s">
        <v>1985</v>
      </c>
      <c r="E6" s="2">
        <v>13175</v>
      </c>
      <c r="F6" s="2">
        <v>3300000</v>
      </c>
      <c r="G6" s="2">
        <v>0</v>
      </c>
      <c r="H6" s="2">
        <v>0</v>
      </c>
      <c r="I6" s="2"/>
      <c r="J6" s="2">
        <v>0</v>
      </c>
    </row>
    <row r="7" spans="1:10" x14ac:dyDescent="0.25">
      <c r="B7" s="2" t="s">
        <v>386</v>
      </c>
      <c r="C7" s="2" t="s">
        <v>386</v>
      </c>
      <c r="D7" s="2" t="s">
        <v>386</v>
      </c>
      <c r="F7" s="163"/>
    </row>
    <row r="8" spans="1:10" x14ac:dyDescent="0.25">
      <c r="A8" s="161" t="s">
        <v>1986</v>
      </c>
      <c r="B8" s="2"/>
      <c r="C8" s="2">
        <v>3300000</v>
      </c>
      <c r="D8" s="2">
        <v>0</v>
      </c>
    </row>
    <row r="10" spans="1:10" ht="15" x14ac:dyDescent="0.4">
      <c r="E10" s="11">
        <v>0</v>
      </c>
      <c r="F10" s="11">
        <v>0</v>
      </c>
      <c r="G10" s="11">
        <v>0</v>
      </c>
      <c r="H10" s="11">
        <v>0</v>
      </c>
      <c r="I10" s="11">
        <v>0</v>
      </c>
      <c r="J10" s="11">
        <v>0</v>
      </c>
    </row>
    <row r="11" spans="1:10" x14ac:dyDescent="0.25">
      <c r="E11" s="2"/>
    </row>
    <row r="12" spans="1:10" x14ac:dyDescent="0.25">
      <c r="A12" s="20" t="s">
        <v>1267</v>
      </c>
      <c r="D12" s="2"/>
      <c r="E12" s="2">
        <f t="shared" ref="E12:J12" si="0">SUM(E6:E11)</f>
        <v>13175</v>
      </c>
      <c r="F12" s="2">
        <f t="shared" si="0"/>
        <v>3300000</v>
      </c>
      <c r="G12" s="2">
        <f t="shared" si="0"/>
        <v>0</v>
      </c>
      <c r="H12" s="2">
        <f t="shared" si="0"/>
        <v>0</v>
      </c>
      <c r="I12" s="2">
        <f t="shared" si="0"/>
        <v>0</v>
      </c>
      <c r="J12" s="2">
        <f t="shared" si="0"/>
        <v>0</v>
      </c>
    </row>
    <row r="15" spans="1:10" x14ac:dyDescent="0.25">
      <c r="A15" s="161" t="s">
        <v>571</v>
      </c>
      <c r="E15" s="2">
        <v>0</v>
      </c>
      <c r="F15" s="2">
        <v>0</v>
      </c>
      <c r="G15" s="2">
        <v>0</v>
      </c>
      <c r="H15" s="2">
        <v>0</v>
      </c>
      <c r="I15" s="2">
        <v>0</v>
      </c>
      <c r="J15" s="2">
        <v>0</v>
      </c>
    </row>
    <row r="16" spans="1:10" x14ac:dyDescent="0.25">
      <c r="A16" s="161" t="s">
        <v>895</v>
      </c>
      <c r="E16" s="2">
        <f>+E6</f>
        <v>13175</v>
      </c>
      <c r="F16" s="2">
        <f>+F6</f>
        <v>3300000</v>
      </c>
      <c r="G16" s="2">
        <f>+G6</f>
        <v>0</v>
      </c>
      <c r="H16" s="2">
        <f>+H6</f>
        <v>0</v>
      </c>
      <c r="I16" s="2">
        <f>+I6</f>
        <v>0</v>
      </c>
      <c r="J16" s="2">
        <v>0</v>
      </c>
    </row>
    <row r="17" spans="1:10" ht="15" x14ac:dyDescent="0.4">
      <c r="A17" s="161" t="s">
        <v>896</v>
      </c>
      <c r="E17" s="11">
        <v>0</v>
      </c>
      <c r="F17" s="11">
        <v>0</v>
      </c>
      <c r="G17" s="11">
        <v>0</v>
      </c>
      <c r="H17" s="11">
        <v>0</v>
      </c>
      <c r="I17" s="11">
        <v>0</v>
      </c>
      <c r="J17" s="11">
        <f>+J12</f>
        <v>0</v>
      </c>
    </row>
    <row r="18" spans="1:10" x14ac:dyDescent="0.25">
      <c r="A18" s="161" t="s">
        <v>1182</v>
      </c>
      <c r="E18" s="2">
        <f t="shared" ref="E18:J18" si="1">SUM(E15:E17)</f>
        <v>13175</v>
      </c>
      <c r="F18" s="2">
        <f t="shared" si="1"/>
        <v>3300000</v>
      </c>
      <c r="G18" s="2">
        <f t="shared" si="1"/>
        <v>0</v>
      </c>
      <c r="H18" s="2">
        <f t="shared" si="1"/>
        <v>0</v>
      </c>
      <c r="I18" s="2">
        <f t="shared" si="1"/>
        <v>0</v>
      </c>
      <c r="J18" s="2">
        <f t="shared" si="1"/>
        <v>0</v>
      </c>
    </row>
    <row r="22" spans="1:10" x14ac:dyDescent="0.25">
      <c r="H22" s="2"/>
    </row>
    <row r="23" spans="1:10" x14ac:dyDescent="0.25">
      <c r="H23" s="12"/>
    </row>
  </sheetData>
  <mergeCells count="1">
    <mergeCell ref="A1:J1"/>
  </mergeCells>
  <printOptions gridLines="1"/>
  <pageMargins left="0.75" right="0.16" top="0.51" bottom="0.16" header="0.5" footer="0"/>
  <pageSetup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0"/>
  <sheetViews>
    <sheetView zoomScaleNormal="100" zoomScaleSheetLayoutView="100" workbookViewId="0">
      <selection sqref="A1:I1"/>
    </sheetView>
  </sheetViews>
  <sheetFormatPr defaultColWidth="8.88671875" defaultRowHeight="13.2" x14ac:dyDescent="0.25"/>
  <cols>
    <col min="1" max="1" width="41.44140625" style="7" bestFit="1" customWidth="1"/>
    <col min="2" max="3" width="9" style="7" bestFit="1" customWidth="1"/>
    <col min="4" max="4" width="11.6640625" style="7" bestFit="1" customWidth="1"/>
    <col min="5" max="6" width="11.33203125" style="7" bestFit="1" customWidth="1"/>
    <col min="7" max="7" width="11.6640625" style="7" bestFit="1" customWidth="1"/>
    <col min="8" max="8" width="13.5546875" style="7" bestFit="1" customWidth="1"/>
    <col min="9" max="10" width="11.33203125" style="7" bestFit="1" customWidth="1"/>
    <col min="11" max="11" width="0" style="7" hidden="1" customWidth="1"/>
    <col min="12" max="16384" width="8.88671875" style="7"/>
  </cols>
  <sheetData>
    <row r="1" spans="1:10" x14ac:dyDescent="0.25">
      <c r="A1" s="194" t="e">
        <f>#REF!</f>
        <v>#REF!</v>
      </c>
      <c r="B1" s="195"/>
      <c r="C1" s="195"/>
      <c r="D1" s="195"/>
      <c r="E1" s="195"/>
      <c r="F1" s="195"/>
      <c r="G1" s="195"/>
      <c r="H1" s="195"/>
      <c r="I1" s="195"/>
    </row>
    <row r="2" spans="1:10" ht="17.399999999999999" x14ac:dyDescent="0.3">
      <c r="A2" s="153" t="s">
        <v>1969</v>
      </c>
      <c r="B2" s="153"/>
      <c r="C2" s="153"/>
      <c r="D2" s="153"/>
      <c r="E2" s="153"/>
      <c r="F2" s="153"/>
    </row>
    <row r="3" spans="1:10" x14ac:dyDescent="0.25">
      <c r="B3" s="8"/>
      <c r="C3" s="8"/>
      <c r="D3" s="8"/>
      <c r="E3" s="167" t="s">
        <v>232</v>
      </c>
      <c r="F3" s="167" t="s">
        <v>233</v>
      </c>
      <c r="G3" s="167" t="s">
        <v>69</v>
      </c>
      <c r="H3" s="167" t="s">
        <v>399</v>
      </c>
      <c r="I3" s="16" t="s">
        <v>303</v>
      </c>
      <c r="J3" s="16" t="s">
        <v>336</v>
      </c>
    </row>
    <row r="4" spans="1:10" ht="15" x14ac:dyDescent="0.4">
      <c r="B4" s="9"/>
      <c r="C4" s="9"/>
      <c r="D4" s="9"/>
      <c r="E4" s="164" t="s">
        <v>1715</v>
      </c>
      <c r="F4" s="164" t="s">
        <v>1766</v>
      </c>
      <c r="G4" s="164" t="s">
        <v>1985</v>
      </c>
      <c r="H4" s="164" t="s">
        <v>1985</v>
      </c>
      <c r="I4" s="164" t="s">
        <v>1985</v>
      </c>
      <c r="J4" s="164" t="s">
        <v>1985</v>
      </c>
    </row>
    <row r="5" spans="1:10" ht="13.8" x14ac:dyDescent="0.3">
      <c r="A5" s="198"/>
      <c r="B5" s="198"/>
      <c r="C5" s="198"/>
      <c r="D5" s="198"/>
      <c r="E5" s="198"/>
      <c r="F5" s="198"/>
    </row>
    <row r="9" spans="1:10" ht="13.8" x14ac:dyDescent="0.3">
      <c r="A9" s="10" t="s">
        <v>562</v>
      </c>
      <c r="B9" s="4" t="s">
        <v>574</v>
      </c>
      <c r="C9" s="4" t="s">
        <v>575</v>
      </c>
      <c r="D9" s="4" t="s">
        <v>573</v>
      </c>
      <c r="E9" s="2">
        <f>10558</f>
        <v>10558</v>
      </c>
      <c r="F9" s="2">
        <v>10026</v>
      </c>
      <c r="G9" s="2">
        <v>10026</v>
      </c>
      <c r="H9" s="2">
        <v>10026</v>
      </c>
      <c r="I9" s="2"/>
      <c r="J9" s="2"/>
    </row>
    <row r="10" spans="1:10" x14ac:dyDescent="0.25">
      <c r="A10" s="7" t="s">
        <v>71</v>
      </c>
      <c r="B10" s="7">
        <v>189</v>
      </c>
      <c r="C10" s="14">
        <v>53.05</v>
      </c>
      <c r="D10" s="2">
        <f>+B10*C10</f>
        <v>10026.449999999999</v>
      </c>
      <c r="F10" s="163"/>
      <c r="G10" s="169"/>
      <c r="H10" s="178"/>
      <c r="I10" s="160"/>
      <c r="J10" s="161"/>
    </row>
    <row r="11" spans="1:10" x14ac:dyDescent="0.25">
      <c r="F11" s="163"/>
      <c r="G11" s="169"/>
      <c r="H11" s="178"/>
      <c r="I11" s="160"/>
      <c r="J11" s="161"/>
    </row>
    <row r="12" spans="1:10" ht="15" x14ac:dyDescent="0.4">
      <c r="A12" s="15" t="s">
        <v>563</v>
      </c>
      <c r="B12" s="9"/>
      <c r="C12" s="9"/>
      <c r="D12" s="9"/>
      <c r="E12" s="2">
        <v>610369</v>
      </c>
      <c r="F12" s="2">
        <v>416516</v>
      </c>
      <c r="G12" s="2">
        <v>413886</v>
      </c>
      <c r="H12" s="2">
        <v>413886</v>
      </c>
      <c r="I12" s="2"/>
      <c r="J12" s="2"/>
    </row>
    <row r="13" spans="1:10" x14ac:dyDescent="0.25">
      <c r="A13" s="7" t="s">
        <v>71</v>
      </c>
      <c r="B13" s="2">
        <v>5700</v>
      </c>
      <c r="C13" s="12">
        <v>64.180000000000007</v>
      </c>
      <c r="D13" s="2">
        <f>ROUND(B13*C13,0)</f>
        <v>365826</v>
      </c>
      <c r="F13" s="163"/>
      <c r="H13" s="178"/>
      <c r="I13" s="160"/>
      <c r="J13" s="161"/>
    </row>
    <row r="14" spans="1:10" x14ac:dyDescent="0.25">
      <c r="A14" s="7" t="s">
        <v>928</v>
      </c>
      <c r="B14" s="2"/>
      <c r="C14" s="12"/>
      <c r="D14" s="174">
        <v>48060</v>
      </c>
      <c r="H14" s="178"/>
      <c r="I14" s="160"/>
      <c r="J14" s="161"/>
    </row>
    <row r="15" spans="1:10" x14ac:dyDescent="0.25">
      <c r="A15" s="7" t="s">
        <v>1226</v>
      </c>
      <c r="C15" s="12" t="s">
        <v>386</v>
      </c>
      <c r="D15" s="2">
        <f>SUM(D13:D14)</f>
        <v>413886</v>
      </c>
      <c r="H15" s="178"/>
      <c r="I15" s="160"/>
      <c r="J15" s="161"/>
    </row>
    <row r="16" spans="1:10" x14ac:dyDescent="0.25">
      <c r="C16" s="12"/>
      <c r="H16" s="178"/>
      <c r="I16" s="160"/>
      <c r="J16" s="161"/>
    </row>
    <row r="17" spans="1:10" ht="13.8" x14ac:dyDescent="0.3">
      <c r="A17" s="10" t="s">
        <v>1843</v>
      </c>
      <c r="C17" s="12"/>
      <c r="D17" s="2"/>
      <c r="E17" s="2">
        <v>186473</v>
      </c>
      <c r="F17" s="2">
        <v>0</v>
      </c>
      <c r="G17" s="2">
        <v>0</v>
      </c>
      <c r="H17" s="2">
        <v>0</v>
      </c>
      <c r="I17" s="2">
        <v>0</v>
      </c>
      <c r="J17" s="2">
        <v>0</v>
      </c>
    </row>
    <row r="18" spans="1:10" x14ac:dyDescent="0.25">
      <c r="A18" s="2"/>
      <c r="B18" s="2"/>
      <c r="C18" s="2"/>
      <c r="D18" s="2"/>
      <c r="E18" s="2"/>
      <c r="F18" s="2"/>
      <c r="G18" s="2"/>
      <c r="H18" s="2"/>
      <c r="I18" s="2"/>
      <c r="J18" s="2"/>
    </row>
    <row r="19" spans="1:10" ht="17.399999999999999" x14ac:dyDescent="0.3">
      <c r="A19" s="158" t="s">
        <v>1972</v>
      </c>
      <c r="B19" s="2"/>
      <c r="C19" s="2"/>
      <c r="D19" s="2"/>
      <c r="E19" s="2">
        <f>+E17+E12+E9+'33-Fire Protection -other'!E12+'32-Media'!E102+'10-wastewater'!E325+'27-debt svc'!B31+'27-debt svc'!B66+'45- capital Projects fund'!E18+3500</f>
        <v>27906869.609999999</v>
      </c>
      <c r="F19" s="2">
        <f>+F17+F12+F9+'33-Fire Protection -other'!F12+'32-Media'!F102+'10-wastewater'!F325+'27-debt svc'!C31+'27-debt svc'!C66+'45- capital Projects fund'!F18+3500</f>
        <v>33816857.859999999</v>
      </c>
      <c r="G19" s="2">
        <f>+G17+G12+G9+'33-Fire Protection -other'!G12+'32-Media'!G102+'10-wastewater'!G325+'27-debt svc'!D31+'27-debt svc'!D66+'45- capital Projects fund'!G18+3500</f>
        <v>31060481.270307828</v>
      </c>
      <c r="H19" s="2">
        <f>+H17+H12+H9+'33-Fire Protection -other'!H12+'32-Media'!H102+'10-wastewater'!H325+'27-debt svc'!E31+'27-debt svc'!E66+'45- capital Projects fund'!H18+3500</f>
        <v>30284206</v>
      </c>
      <c r="I19" s="2">
        <f>+I17+I12+I9+'33-Fire Protection -other'!I12+'32-Media'!I102+'10-wastewater'!I325+'27-debt svc'!F31+'27-debt svc'!F66+'45- capital Projects fund'!I18+3500</f>
        <v>3500</v>
      </c>
      <c r="J19" s="2">
        <f>+J17+J12+J9+'33-Fire Protection -other'!J12+'32-Media'!J102+'10-wastewater'!J325+'27-debt svc'!G31+'27-debt svc'!G66+'45- capital Projects fund'!J18+3500</f>
        <v>3500</v>
      </c>
    </row>
    <row r="20" spans="1:10" x14ac:dyDescent="0.25">
      <c r="A20" s="1" t="s">
        <v>1267</v>
      </c>
      <c r="B20" s="2"/>
      <c r="C20" s="2"/>
      <c r="D20" s="2"/>
      <c r="E20" s="2">
        <f>SUM(E1:E17)</f>
        <v>807400</v>
      </c>
      <c r="F20" s="2">
        <f>SUM(F1:F18)</f>
        <v>426542</v>
      </c>
      <c r="G20" s="2">
        <f>SUM(G1:G18)</f>
        <v>423912</v>
      </c>
      <c r="H20" s="2">
        <f>SUM(H1:H18)</f>
        <v>423912</v>
      </c>
      <c r="I20" s="2">
        <f>SUM(I1:I18)</f>
        <v>0</v>
      </c>
      <c r="J20" s="2">
        <f>SUM(J1:J18)</f>
        <v>0</v>
      </c>
    </row>
  </sheetData>
  <mergeCells count="2">
    <mergeCell ref="A5:F5"/>
    <mergeCell ref="A1:I1"/>
  </mergeCells>
  <phoneticPr fontId="5" type="noConversion"/>
  <printOptions gridLines="1"/>
  <pageMargins left="0.75" right="0.16" top="0.51" bottom="0.22" header="0.5" footer="0"/>
  <pageSetup scale="92" fitToHeight="7" orientation="landscape" r:id="rId1"/>
  <headerFooter alignWithMargins="0"/>
  <rowBreaks count="2" manualBreakCount="2">
    <brk id="11" max="7" man="1"/>
    <brk id="15" max="7" man="1"/>
  </rowBreaks>
  <colBreaks count="1" manualBreakCount="1">
    <brk id="10" max="1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3"/>
  <sheetViews>
    <sheetView zoomScaleNormal="100" zoomScaleSheetLayoutView="100" workbookViewId="0">
      <selection sqref="A1:J1"/>
    </sheetView>
  </sheetViews>
  <sheetFormatPr defaultColWidth="8.88671875" defaultRowHeight="13.2" x14ac:dyDescent="0.25"/>
  <cols>
    <col min="1" max="1" width="61.6640625" style="7" bestFit="1" customWidth="1"/>
    <col min="2" max="2" width="15.33203125" style="7" bestFit="1" customWidth="1"/>
    <col min="3" max="3" width="7.88671875" style="7" bestFit="1" customWidth="1"/>
    <col min="4" max="4" width="8.6640625" style="47" bestFit="1" customWidth="1"/>
    <col min="5" max="5" width="7.44140625" style="7" bestFit="1" customWidth="1"/>
    <col min="6" max="7" width="9" style="7" bestFit="1" customWidth="1"/>
    <col min="8" max="8" width="10.88671875" style="7" customWidth="1"/>
    <col min="9" max="9" width="13.5546875" style="7" bestFit="1" customWidth="1"/>
    <col min="10" max="11" width="10.88671875" style="7" customWidth="1"/>
    <col min="12" max="12" width="0" style="7" hidden="1" customWidth="1"/>
    <col min="13" max="16384" width="8.88671875" style="7"/>
  </cols>
  <sheetData>
    <row r="1" spans="1:11" x14ac:dyDescent="0.25">
      <c r="A1" s="194" t="e">
        <f>#REF!</f>
        <v>#REF!</v>
      </c>
      <c r="B1" s="195"/>
      <c r="C1" s="195"/>
      <c r="D1" s="195"/>
      <c r="E1" s="195"/>
      <c r="F1" s="195"/>
      <c r="G1" s="195"/>
      <c r="H1" s="195"/>
      <c r="I1" s="195"/>
      <c r="J1" s="195"/>
    </row>
    <row r="2" spans="1:11" ht="17.399999999999999" x14ac:dyDescent="0.3">
      <c r="A2" s="153" t="s">
        <v>1971</v>
      </c>
      <c r="B2" s="153"/>
      <c r="C2" s="153"/>
      <c r="D2" s="153"/>
      <c r="E2" s="153"/>
      <c r="F2" s="153"/>
      <c r="G2" s="153"/>
      <c r="H2" s="88"/>
      <c r="I2" s="88"/>
    </row>
    <row r="3" spans="1:11" x14ac:dyDescent="0.25">
      <c r="A3" s="5"/>
      <c r="D3" s="7"/>
    </row>
    <row r="4" spans="1:11" x14ac:dyDescent="0.25">
      <c r="B4" s="8"/>
      <c r="C4" s="8"/>
      <c r="D4" s="133"/>
      <c r="E4" s="8"/>
      <c r="F4" s="167" t="s">
        <v>232</v>
      </c>
      <c r="G4" s="167" t="s">
        <v>233</v>
      </c>
      <c r="H4" s="167" t="s">
        <v>69</v>
      </c>
      <c r="I4" s="167" t="s">
        <v>399</v>
      </c>
      <c r="J4" s="16" t="s">
        <v>303</v>
      </c>
      <c r="K4" s="16" t="s">
        <v>336</v>
      </c>
    </row>
    <row r="5" spans="1:11" ht="15" x14ac:dyDescent="0.4">
      <c r="B5" s="9"/>
      <c r="C5" s="9"/>
      <c r="D5" s="134"/>
      <c r="E5" s="9"/>
      <c r="F5" s="164" t="s">
        <v>1715</v>
      </c>
      <c r="G5" s="164" t="s">
        <v>1766</v>
      </c>
      <c r="H5" s="164" t="s">
        <v>1985</v>
      </c>
      <c r="I5" s="164" t="s">
        <v>1985</v>
      </c>
      <c r="J5" s="164" t="s">
        <v>1985</v>
      </c>
      <c r="K5" s="164" t="s">
        <v>1985</v>
      </c>
    </row>
    <row r="6" spans="1:11" ht="13.8" x14ac:dyDescent="0.3">
      <c r="A6" s="198"/>
      <c r="B6" s="198"/>
      <c r="C6" s="198"/>
      <c r="D6" s="198"/>
      <c r="E6" s="198"/>
      <c r="F6" s="198"/>
      <c r="G6" s="198"/>
      <c r="J6" s="161"/>
      <c r="K6" s="161"/>
    </row>
    <row r="7" spans="1:11" x14ac:dyDescent="0.25">
      <c r="A7" s="7" t="s">
        <v>2009</v>
      </c>
      <c r="J7" s="161"/>
      <c r="K7" s="161"/>
    </row>
    <row r="8" spans="1:11" x14ac:dyDescent="0.25">
      <c r="G8" s="2"/>
      <c r="H8" s="2"/>
      <c r="I8" s="2"/>
      <c r="J8" s="161"/>
      <c r="K8" s="161"/>
    </row>
    <row r="9" spans="1:11" ht="13.8" x14ac:dyDescent="0.3">
      <c r="A9" s="177" t="s">
        <v>1804</v>
      </c>
      <c r="B9" s="176"/>
      <c r="C9" s="12"/>
      <c r="E9" s="2"/>
      <c r="F9" s="2">
        <f>47148+2998+1910+575-91+88</f>
        <v>52628</v>
      </c>
      <c r="G9" s="125">
        <v>189721.47</v>
      </c>
      <c r="H9" s="125">
        <v>167607</v>
      </c>
      <c r="I9" s="125">
        <v>167607</v>
      </c>
      <c r="J9" s="125"/>
      <c r="K9" s="125"/>
    </row>
    <row r="10" spans="1:11" ht="13.8" x14ac:dyDescent="0.3">
      <c r="A10" s="102" t="s">
        <v>1804</v>
      </c>
      <c r="B10" s="176"/>
      <c r="C10" s="12"/>
      <c r="D10" s="2"/>
      <c r="E10" s="2"/>
      <c r="F10" s="2"/>
      <c r="G10" s="2"/>
      <c r="H10" s="2"/>
      <c r="I10" s="2"/>
      <c r="J10" s="2"/>
      <c r="K10" s="2"/>
    </row>
    <row r="11" spans="1:11" x14ac:dyDescent="0.25">
      <c r="A11" s="2" t="s">
        <v>1809</v>
      </c>
      <c r="B11" s="2">
        <v>400</v>
      </c>
      <c r="C11" s="12">
        <v>18</v>
      </c>
      <c r="D11" s="2">
        <f>+B11*C11</f>
        <v>7200</v>
      </c>
      <c r="E11" s="2"/>
      <c r="F11" s="2"/>
      <c r="G11" s="2"/>
      <c r="H11" s="2"/>
      <c r="I11" s="2"/>
      <c r="J11" s="2"/>
      <c r="K11" s="2"/>
    </row>
    <row r="12" spans="1:11" x14ac:dyDescent="0.25">
      <c r="A12" s="2" t="s">
        <v>1810</v>
      </c>
      <c r="B12" s="2">
        <v>330</v>
      </c>
      <c r="C12" s="12">
        <v>11.56</v>
      </c>
      <c r="D12" s="2">
        <f t="shared" ref="D12:D23" si="0">+B12*C12</f>
        <v>3814.8</v>
      </c>
      <c r="E12" s="2"/>
      <c r="F12" s="2"/>
      <c r="G12" s="2"/>
      <c r="H12" s="2"/>
      <c r="I12" s="2"/>
      <c r="J12" s="2"/>
      <c r="K12" s="2"/>
    </row>
    <row r="13" spans="1:11" x14ac:dyDescent="0.25">
      <c r="A13" s="2" t="s">
        <v>2065</v>
      </c>
      <c r="B13" s="2">
        <v>320</v>
      </c>
      <c r="C13" s="12">
        <v>16.32</v>
      </c>
      <c r="D13" s="2">
        <f t="shared" si="0"/>
        <v>5222.3999999999996</v>
      </c>
      <c r="E13" s="2"/>
      <c r="F13" s="2"/>
      <c r="G13" s="2"/>
      <c r="H13" s="2"/>
      <c r="I13" s="2"/>
      <c r="J13" s="2"/>
      <c r="K13" s="2"/>
    </row>
    <row r="14" spans="1:11" x14ac:dyDescent="0.25">
      <c r="A14" s="2" t="s">
        <v>1811</v>
      </c>
      <c r="B14" s="2">
        <v>320</v>
      </c>
      <c r="C14" s="12">
        <v>13.26</v>
      </c>
      <c r="D14" s="2">
        <f t="shared" si="0"/>
        <v>4243.2</v>
      </c>
      <c r="E14" s="2"/>
      <c r="F14" s="2"/>
      <c r="G14" s="2"/>
      <c r="H14" s="2"/>
      <c r="I14" s="2"/>
      <c r="J14" s="2"/>
      <c r="K14" s="2"/>
    </row>
    <row r="15" spans="1:11" x14ac:dyDescent="0.25">
      <c r="A15" s="2" t="s">
        <v>1812</v>
      </c>
      <c r="B15" s="2">
        <v>320</v>
      </c>
      <c r="C15" s="12">
        <v>9</v>
      </c>
      <c r="D15" s="2">
        <f t="shared" si="0"/>
        <v>2880</v>
      </c>
      <c r="E15" s="2"/>
      <c r="F15" s="2"/>
      <c r="G15" s="2"/>
      <c r="H15" s="2"/>
      <c r="I15" s="2"/>
      <c r="J15" s="2"/>
      <c r="K15" s="2"/>
    </row>
    <row r="16" spans="1:11" x14ac:dyDescent="0.25">
      <c r="A16" s="2" t="s">
        <v>1813</v>
      </c>
      <c r="B16" s="2">
        <v>180</v>
      </c>
      <c r="C16" s="12">
        <v>13.98</v>
      </c>
      <c r="D16" s="2">
        <f t="shared" si="0"/>
        <v>2516.4</v>
      </c>
      <c r="E16" s="2"/>
      <c r="F16" s="2"/>
      <c r="G16" s="2"/>
      <c r="H16" s="2"/>
      <c r="I16" s="2"/>
      <c r="J16" s="2"/>
      <c r="K16" s="2"/>
    </row>
    <row r="17" spans="1:11" x14ac:dyDescent="0.25">
      <c r="A17" s="2" t="s">
        <v>2066</v>
      </c>
      <c r="B17" s="2">
        <v>960</v>
      </c>
      <c r="C17" s="12">
        <v>11</v>
      </c>
      <c r="D17" s="2">
        <f t="shared" si="0"/>
        <v>10560</v>
      </c>
      <c r="E17" s="2"/>
      <c r="F17" s="2"/>
      <c r="G17" s="2"/>
      <c r="H17" s="2"/>
      <c r="I17" s="2"/>
      <c r="J17" s="2"/>
      <c r="K17" s="2"/>
    </row>
    <row r="18" spans="1:11" x14ac:dyDescent="0.25">
      <c r="A18" s="2" t="s">
        <v>2067</v>
      </c>
      <c r="B18" s="2">
        <v>320</v>
      </c>
      <c r="C18" s="12">
        <v>10</v>
      </c>
      <c r="D18" s="2">
        <f t="shared" si="0"/>
        <v>3200</v>
      </c>
      <c r="E18" s="2"/>
      <c r="F18" s="2"/>
      <c r="G18" s="2"/>
      <c r="H18" s="2"/>
      <c r="I18" s="2"/>
      <c r="J18" s="2"/>
      <c r="K18" s="2"/>
    </row>
    <row r="19" spans="1:11" x14ac:dyDescent="0.25">
      <c r="A19" s="2" t="s">
        <v>1814</v>
      </c>
      <c r="B19" s="2">
        <v>3840</v>
      </c>
      <c r="C19" s="12">
        <v>8</v>
      </c>
      <c r="D19" s="2">
        <f t="shared" si="0"/>
        <v>30720</v>
      </c>
      <c r="E19" s="2"/>
      <c r="F19" s="2"/>
      <c r="G19" s="2"/>
      <c r="H19" s="2"/>
      <c r="I19" s="2"/>
      <c r="J19" s="2"/>
      <c r="K19" s="2"/>
    </row>
    <row r="20" spans="1:11" x14ac:dyDescent="0.25">
      <c r="A20" s="2" t="s">
        <v>2068</v>
      </c>
      <c r="B20" s="2">
        <v>1280</v>
      </c>
      <c r="C20" s="12">
        <v>7.25</v>
      </c>
      <c r="D20" s="2">
        <f t="shared" si="0"/>
        <v>9280</v>
      </c>
      <c r="E20" s="2"/>
      <c r="F20" s="2"/>
      <c r="G20" s="2"/>
      <c r="H20" s="2"/>
      <c r="I20" s="2"/>
      <c r="J20" s="2"/>
      <c r="K20" s="2"/>
    </row>
    <row r="21" spans="1:11" x14ac:dyDescent="0.25">
      <c r="A21" s="2" t="s">
        <v>1815</v>
      </c>
      <c r="B21" s="2">
        <v>640</v>
      </c>
      <c r="C21" s="12">
        <v>10</v>
      </c>
      <c r="D21" s="2">
        <f t="shared" si="0"/>
        <v>6400</v>
      </c>
      <c r="E21" s="2"/>
      <c r="F21" s="2"/>
      <c r="G21" s="2"/>
      <c r="H21" s="2"/>
      <c r="I21" s="2"/>
      <c r="J21" s="2"/>
      <c r="K21" s="2"/>
    </row>
    <row r="22" spans="1:11" x14ac:dyDescent="0.25">
      <c r="A22" s="2" t="s">
        <v>1816</v>
      </c>
      <c r="B22" s="2">
        <v>1600</v>
      </c>
      <c r="C22" s="12">
        <v>9</v>
      </c>
      <c r="D22" s="2">
        <f t="shared" si="0"/>
        <v>14400</v>
      </c>
      <c r="E22" s="2"/>
      <c r="F22" s="2"/>
      <c r="G22" s="2"/>
      <c r="H22" s="2"/>
      <c r="I22" s="2"/>
      <c r="J22" s="2"/>
      <c r="K22" s="2"/>
    </row>
    <row r="23" spans="1:11" x14ac:dyDescent="0.25">
      <c r="A23" s="2" t="s">
        <v>2069</v>
      </c>
      <c r="B23" s="2">
        <v>320</v>
      </c>
      <c r="C23" s="12">
        <v>10</v>
      </c>
      <c r="D23" s="2">
        <f t="shared" si="0"/>
        <v>3200</v>
      </c>
      <c r="E23" s="2"/>
      <c r="F23" s="2"/>
      <c r="G23" s="2"/>
      <c r="H23" s="2"/>
      <c r="I23" s="2"/>
      <c r="J23" s="2"/>
      <c r="K23" s="2"/>
    </row>
    <row r="24" spans="1:11" ht="15" x14ac:dyDescent="0.4">
      <c r="A24" s="1" t="s">
        <v>1614</v>
      </c>
      <c r="B24" s="1"/>
      <c r="C24" s="126"/>
      <c r="D24" s="2">
        <f>SUM(D11:D23)</f>
        <v>103636.8</v>
      </c>
      <c r="E24" s="11"/>
      <c r="F24" s="2"/>
      <c r="G24" s="2"/>
      <c r="H24" s="2"/>
      <c r="I24" s="2"/>
      <c r="J24" s="2"/>
      <c r="K24" s="2"/>
    </row>
    <row r="25" spans="1:11" x14ac:dyDescent="0.25">
      <c r="A25" s="2" t="s">
        <v>613</v>
      </c>
      <c r="B25" s="2">
        <f>+D24:D24</f>
        <v>103636.8</v>
      </c>
      <c r="C25" s="14">
        <v>7.6499999999999999E-2</v>
      </c>
      <c r="D25" s="2">
        <f>ROUND(B25*C25,0)</f>
        <v>7928</v>
      </c>
      <c r="E25" s="2"/>
      <c r="F25" s="2"/>
      <c r="G25" s="2"/>
      <c r="H25" s="2"/>
      <c r="I25" s="2"/>
      <c r="J25" s="2"/>
      <c r="K25" s="2"/>
    </row>
    <row r="26" spans="1:11" x14ac:dyDescent="0.25">
      <c r="A26" s="2" t="s">
        <v>614</v>
      </c>
      <c r="B26" s="2">
        <f>+D24</f>
        <v>103636.8</v>
      </c>
      <c r="C26" s="14">
        <v>2.47E-2</v>
      </c>
      <c r="D26" s="2">
        <f>ROUND(B26*C26,0)</f>
        <v>2560</v>
      </c>
      <c r="E26" s="2"/>
      <c r="F26" s="2"/>
      <c r="G26" s="2"/>
      <c r="H26" s="2"/>
      <c r="I26" s="2"/>
      <c r="J26" s="2"/>
      <c r="K26" s="2"/>
    </row>
    <row r="27" spans="1:11" x14ac:dyDescent="0.25">
      <c r="A27" s="2" t="s">
        <v>615</v>
      </c>
      <c r="B27" s="2">
        <f>+D24</f>
        <v>103636.8</v>
      </c>
      <c r="C27" s="14">
        <v>1.8E-3</v>
      </c>
      <c r="D27" s="2">
        <f>ROUND(B27*C27,0)</f>
        <v>187</v>
      </c>
      <c r="E27" s="2"/>
      <c r="F27" s="2"/>
      <c r="G27" s="2"/>
      <c r="H27" s="2"/>
      <c r="I27" s="2"/>
      <c r="J27" s="2"/>
      <c r="K27" s="2"/>
    </row>
    <row r="28" spans="1:11" x14ac:dyDescent="0.25">
      <c r="A28" s="2" t="s">
        <v>1615</v>
      </c>
      <c r="B28" s="2"/>
      <c r="C28" s="12"/>
      <c r="D28" s="2">
        <v>29415</v>
      </c>
      <c r="E28" s="2"/>
      <c r="F28" s="2"/>
      <c r="G28" s="2"/>
      <c r="H28" s="2"/>
      <c r="I28" s="2"/>
      <c r="J28" s="2"/>
      <c r="K28" s="2"/>
    </row>
    <row r="29" spans="1:11" x14ac:dyDescent="0.25">
      <c r="A29" s="2" t="s">
        <v>1817</v>
      </c>
      <c r="B29" s="2"/>
      <c r="C29"/>
      <c r="D29" s="2">
        <v>11500</v>
      </c>
      <c r="E29" s="2"/>
      <c r="F29" s="2"/>
      <c r="G29" s="2"/>
      <c r="H29" s="2"/>
      <c r="I29" s="2"/>
      <c r="J29" s="2"/>
      <c r="K29" s="2"/>
    </row>
    <row r="30" spans="1:11" x14ac:dyDescent="0.25">
      <c r="A30" s="2" t="s">
        <v>1818</v>
      </c>
      <c r="B30" s="2"/>
      <c r="C30" s="2"/>
      <c r="D30" s="2">
        <v>3000</v>
      </c>
      <c r="E30" s="2"/>
      <c r="F30" s="2"/>
      <c r="G30" s="2"/>
      <c r="H30" s="2"/>
      <c r="I30" s="2"/>
      <c r="J30" s="2"/>
      <c r="K30" s="2"/>
    </row>
    <row r="31" spans="1:11" x14ac:dyDescent="0.25">
      <c r="A31" s="2" t="s">
        <v>1819</v>
      </c>
      <c r="B31" s="2"/>
      <c r="C31" s="2"/>
      <c r="D31" s="2">
        <v>400</v>
      </c>
      <c r="E31" s="2"/>
      <c r="F31" s="2"/>
      <c r="G31" s="2"/>
      <c r="H31" s="2"/>
      <c r="I31" s="2"/>
      <c r="J31" s="2"/>
      <c r="K31" s="2"/>
    </row>
    <row r="32" spans="1:11" x14ac:dyDescent="0.25">
      <c r="A32" s="2" t="s">
        <v>2070</v>
      </c>
      <c r="B32" s="2"/>
      <c r="C32" s="2"/>
      <c r="D32" s="2">
        <v>800</v>
      </c>
      <c r="E32" s="2"/>
      <c r="F32" s="2"/>
      <c r="G32" s="2"/>
      <c r="H32" s="2"/>
      <c r="I32" s="2"/>
      <c r="J32" s="2"/>
      <c r="K32" s="2"/>
    </row>
    <row r="33" spans="1:11" x14ac:dyDescent="0.25">
      <c r="A33" s="2" t="s">
        <v>1820</v>
      </c>
      <c r="B33" s="2"/>
      <c r="C33" s="2"/>
      <c r="D33" s="2">
        <v>400</v>
      </c>
      <c r="E33" s="2"/>
      <c r="F33" s="2"/>
      <c r="G33" s="2"/>
      <c r="H33" s="2"/>
      <c r="I33" s="2"/>
      <c r="J33" s="2"/>
      <c r="K33" s="2"/>
    </row>
    <row r="34" spans="1:11" x14ac:dyDescent="0.25">
      <c r="A34" s="2" t="s">
        <v>784</v>
      </c>
      <c r="B34" s="2"/>
      <c r="C34" s="2"/>
      <c r="D34" s="2">
        <v>1780</v>
      </c>
      <c r="E34" s="2"/>
      <c r="F34" s="2"/>
      <c r="G34" s="2"/>
      <c r="H34" s="2"/>
      <c r="I34" s="2"/>
      <c r="J34" s="2"/>
      <c r="K34" s="2"/>
    </row>
    <row r="35" spans="1:11" ht="15" x14ac:dyDescent="0.4">
      <c r="A35" s="2" t="s">
        <v>72</v>
      </c>
      <c r="B35" s="2"/>
      <c r="C35" s="2"/>
      <c r="D35" s="2">
        <v>1500</v>
      </c>
      <c r="E35" s="11"/>
      <c r="F35" s="2"/>
      <c r="G35" s="2"/>
      <c r="H35" s="2"/>
      <c r="I35" s="2"/>
      <c r="J35" s="2"/>
      <c r="K35" s="2"/>
    </row>
    <row r="36" spans="1:11" x14ac:dyDescent="0.25">
      <c r="A36" s="2" t="s">
        <v>2071</v>
      </c>
      <c r="B36" s="2"/>
      <c r="C36" s="2"/>
      <c r="D36" s="2">
        <v>1700</v>
      </c>
      <c r="E36" s="2"/>
      <c r="F36" s="2"/>
      <c r="G36" s="2"/>
      <c r="H36" s="2"/>
      <c r="I36" s="2"/>
      <c r="J36" s="2"/>
      <c r="K36" s="2"/>
    </row>
    <row r="37" spans="1:11" x14ac:dyDescent="0.25">
      <c r="A37" s="2" t="s">
        <v>1727</v>
      </c>
      <c r="B37" s="2"/>
      <c r="C37" s="2"/>
      <c r="D37" s="2">
        <v>2600</v>
      </c>
      <c r="E37" s="2"/>
      <c r="F37" s="2"/>
      <c r="G37" s="2"/>
      <c r="H37" s="2"/>
      <c r="I37" s="2"/>
      <c r="J37" s="2"/>
      <c r="K37" s="2"/>
    </row>
    <row r="38" spans="1:11" ht="15" x14ac:dyDescent="0.4">
      <c r="A38" s="2" t="s">
        <v>600</v>
      </c>
      <c r="B38" s="2"/>
      <c r="C38" s="2"/>
      <c r="D38" s="11">
        <v>200</v>
      </c>
      <c r="E38" s="2"/>
      <c r="F38" s="2"/>
      <c r="G38" s="2"/>
      <c r="H38" s="2"/>
      <c r="I38" s="2"/>
      <c r="J38" s="2"/>
      <c r="K38" s="2"/>
    </row>
    <row r="39" spans="1:11" x14ac:dyDescent="0.25">
      <c r="A39" s="1" t="s">
        <v>1182</v>
      </c>
      <c r="B39" s="1"/>
      <c r="C39" s="1"/>
      <c r="D39" s="2"/>
      <c r="E39" s="47">
        <f>SUM(D24:D38)</f>
        <v>167606.79999999999</v>
      </c>
      <c r="F39" s="2"/>
      <c r="G39" s="2"/>
      <c r="H39" s="2"/>
      <c r="I39" s="2"/>
      <c r="J39" s="2"/>
      <c r="K39" s="2"/>
    </row>
    <row r="40" spans="1:11" x14ac:dyDescent="0.25">
      <c r="A40" s="1"/>
      <c r="B40" s="1"/>
      <c r="C40" s="1"/>
      <c r="E40" s="2"/>
      <c r="F40" s="2"/>
      <c r="G40" s="2"/>
      <c r="H40" s="2"/>
      <c r="I40" s="2"/>
      <c r="J40" s="2"/>
      <c r="K40" s="2"/>
    </row>
    <row r="41" spans="1:11" x14ac:dyDescent="0.25">
      <c r="A41" s="2"/>
      <c r="B41" s="2"/>
      <c r="C41" s="2"/>
      <c r="E41" s="2"/>
      <c r="F41" s="2"/>
      <c r="G41" s="2"/>
      <c r="H41" s="2"/>
      <c r="I41" s="2"/>
      <c r="J41" s="2"/>
      <c r="K41" s="2"/>
    </row>
    <row r="42" spans="1:11" ht="16.8" x14ac:dyDescent="0.55000000000000004">
      <c r="A42" s="79" t="s">
        <v>2072</v>
      </c>
      <c r="B42" s="2"/>
      <c r="C42" s="2"/>
      <c r="E42" s="2"/>
      <c r="F42" s="2"/>
      <c r="G42" s="2">
        <v>6986</v>
      </c>
      <c r="H42" s="2">
        <v>6977</v>
      </c>
      <c r="I42" s="2">
        <v>6977</v>
      </c>
      <c r="J42" s="2"/>
      <c r="K42" s="2"/>
    </row>
    <row r="43" spans="1:11" x14ac:dyDescent="0.25">
      <c r="A43" s="2" t="s">
        <v>2073</v>
      </c>
      <c r="B43" s="2">
        <v>80</v>
      </c>
      <c r="C43" s="127">
        <v>17</v>
      </c>
      <c r="D43" s="47">
        <f>ROUND(B43*C43,0)</f>
        <v>1360</v>
      </c>
      <c r="E43" s="2"/>
      <c r="F43" s="2"/>
      <c r="G43" s="2"/>
      <c r="H43" s="2"/>
      <c r="I43" s="2"/>
      <c r="J43" s="2"/>
      <c r="K43" s="2"/>
    </row>
    <row r="44" spans="1:11" x14ac:dyDescent="0.25">
      <c r="A44" s="2" t="s">
        <v>2074</v>
      </c>
      <c r="B44" s="2">
        <v>320</v>
      </c>
      <c r="C44" s="127">
        <v>8</v>
      </c>
      <c r="D44" s="67">
        <f>ROUND(B44*C44,0)</f>
        <v>2560</v>
      </c>
      <c r="E44" s="2"/>
      <c r="F44" s="2"/>
      <c r="G44" s="2"/>
      <c r="H44" s="2"/>
      <c r="I44" s="2"/>
      <c r="J44" s="2"/>
      <c r="K44" s="2"/>
    </row>
    <row r="45" spans="1:11" ht="13.8" x14ac:dyDescent="0.3">
      <c r="A45" s="1" t="s">
        <v>1614</v>
      </c>
      <c r="B45" s="2"/>
      <c r="C45" s="2"/>
      <c r="D45" s="179">
        <f>SUM(D43:D44)</f>
        <v>3920</v>
      </c>
      <c r="E45" s="2"/>
      <c r="F45" s="2"/>
      <c r="G45" s="2"/>
      <c r="H45" s="2"/>
      <c r="I45" s="2"/>
      <c r="J45" s="2"/>
      <c r="K45" s="2"/>
    </row>
    <row r="46" spans="1:11" x14ac:dyDescent="0.25">
      <c r="A46" s="2" t="s">
        <v>613</v>
      </c>
      <c r="B46" s="2">
        <f>+D45:D45</f>
        <v>3920</v>
      </c>
      <c r="C46" s="14">
        <v>7.6499999999999999E-2</v>
      </c>
      <c r="D46" s="47">
        <f>ROUND(B46*C46,0)</f>
        <v>300</v>
      </c>
      <c r="E46" s="2"/>
      <c r="F46" s="2"/>
      <c r="G46" s="2"/>
      <c r="H46" s="2"/>
      <c r="I46" s="2"/>
      <c r="J46" s="2"/>
      <c r="K46" s="2"/>
    </row>
    <row r="47" spans="1:11" x14ac:dyDescent="0.25">
      <c r="A47" s="2" t="s">
        <v>614</v>
      </c>
      <c r="B47" s="2">
        <f>+D45</f>
        <v>3920</v>
      </c>
      <c r="C47" s="14">
        <v>2.47E-2</v>
      </c>
      <c r="D47" s="47">
        <f>ROUND(B47*C47,0)</f>
        <v>97</v>
      </c>
      <c r="E47" s="2"/>
      <c r="F47" s="2"/>
      <c r="G47" s="2"/>
      <c r="H47" s="2"/>
      <c r="I47" s="2"/>
      <c r="J47" s="18"/>
      <c r="K47" s="18"/>
    </row>
    <row r="48" spans="1:11" x14ac:dyDescent="0.25">
      <c r="A48" s="2" t="s">
        <v>615</v>
      </c>
      <c r="B48" s="2">
        <f>+D45</f>
        <v>3920</v>
      </c>
      <c r="C48" s="14">
        <v>1.8E-3</v>
      </c>
      <c r="D48" s="47">
        <f>ROUND(B48*C48,0)</f>
        <v>7</v>
      </c>
      <c r="E48" s="2"/>
      <c r="F48" s="2"/>
      <c r="G48" s="2"/>
      <c r="H48" s="2"/>
      <c r="I48" s="2"/>
      <c r="J48" s="2"/>
      <c r="K48" s="2"/>
    </row>
    <row r="49" spans="1:11" ht="13.8" x14ac:dyDescent="0.3">
      <c r="A49" s="2" t="s">
        <v>1615</v>
      </c>
      <c r="B49" s="2"/>
      <c r="C49" s="2"/>
      <c r="D49" s="136">
        <v>1128.26</v>
      </c>
      <c r="E49" s="2"/>
      <c r="F49" s="2"/>
      <c r="G49" s="2"/>
      <c r="H49" s="2"/>
      <c r="I49" s="2"/>
      <c r="J49" s="2"/>
      <c r="K49" s="2"/>
    </row>
    <row r="50" spans="1:11" ht="13.8" x14ac:dyDescent="0.3">
      <c r="A50" s="2" t="s">
        <v>1821</v>
      </c>
      <c r="B50" s="2"/>
      <c r="C50" s="2"/>
      <c r="D50" s="136">
        <v>500</v>
      </c>
      <c r="E50" s="123"/>
      <c r="F50" s="2"/>
      <c r="G50" s="2"/>
      <c r="H50" s="2"/>
      <c r="I50" s="2"/>
      <c r="J50" s="2"/>
      <c r="K50" s="2"/>
    </row>
    <row r="51" spans="1:11" ht="13.8" x14ac:dyDescent="0.3">
      <c r="A51" s="2" t="s">
        <v>2075</v>
      </c>
      <c r="B51" s="2"/>
      <c r="C51" s="2"/>
      <c r="D51" s="136">
        <v>800</v>
      </c>
      <c r="E51" s="123"/>
      <c r="F51" s="2"/>
      <c r="G51" s="2"/>
      <c r="H51" s="2"/>
      <c r="I51" s="2"/>
      <c r="J51" s="2"/>
      <c r="K51" s="2"/>
    </row>
    <row r="52" spans="1:11" ht="13.8" x14ac:dyDescent="0.3">
      <c r="A52" s="2" t="s">
        <v>1727</v>
      </c>
      <c r="B52" s="2"/>
      <c r="C52" s="2"/>
      <c r="D52" s="135">
        <v>225</v>
      </c>
      <c r="E52" s="123"/>
      <c r="F52" s="2"/>
      <c r="G52" s="2"/>
      <c r="H52" s="2"/>
      <c r="I52" s="2"/>
      <c r="J52" s="2"/>
      <c r="K52" s="2"/>
    </row>
    <row r="53" spans="1:11" ht="14.4" x14ac:dyDescent="0.3">
      <c r="A53" s="129" t="s">
        <v>1182</v>
      </c>
      <c r="B53"/>
      <c r="C53"/>
      <c r="E53" s="150">
        <f>SUM(D45:D52)</f>
        <v>6977.26</v>
      </c>
      <c r="F53" s="2"/>
      <c r="G53" s="2"/>
      <c r="H53" s="2"/>
      <c r="I53" s="2"/>
      <c r="J53" s="2"/>
      <c r="K53" s="2"/>
    </row>
    <row r="54" spans="1:11" ht="14.4" x14ac:dyDescent="0.3">
      <c r="A54" s="129"/>
      <c r="B54"/>
      <c r="C54"/>
      <c r="D54" s="150"/>
      <c r="E54" s="123"/>
      <c r="F54" s="2"/>
      <c r="G54" s="2"/>
      <c r="H54" s="2"/>
      <c r="I54" s="2"/>
      <c r="J54" s="2"/>
      <c r="K54" s="2"/>
    </row>
    <row r="55" spans="1:11" ht="16.8" x14ac:dyDescent="0.55000000000000004">
      <c r="A55" s="79" t="s">
        <v>1824</v>
      </c>
      <c r="B55" s="2"/>
      <c r="C55" s="12"/>
      <c r="D55" s="67"/>
      <c r="E55" s="123"/>
      <c r="F55" s="2"/>
      <c r="G55" s="2">
        <v>36985</v>
      </c>
      <c r="H55" s="2">
        <v>36965</v>
      </c>
      <c r="I55" s="2">
        <v>36965</v>
      </c>
      <c r="J55" s="2"/>
      <c r="K55" s="2"/>
    </row>
    <row r="56" spans="1:11" x14ac:dyDescent="0.25">
      <c r="A56" s="2" t="s">
        <v>1825</v>
      </c>
      <c r="B56" s="2">
        <v>320</v>
      </c>
      <c r="C56" s="127">
        <v>10</v>
      </c>
      <c r="D56" s="47">
        <f>ROUND(B56*C56,0)</f>
        <v>3200</v>
      </c>
      <c r="E56" s="123"/>
      <c r="F56" s="2"/>
      <c r="G56" s="2"/>
      <c r="H56" s="2"/>
      <c r="I56" s="2"/>
      <c r="J56" s="2"/>
      <c r="K56" s="2"/>
    </row>
    <row r="57" spans="1:11" x14ac:dyDescent="0.25">
      <c r="A57" s="2" t="s">
        <v>1826</v>
      </c>
      <c r="B57" s="2">
        <v>640</v>
      </c>
      <c r="C57" s="127">
        <v>8</v>
      </c>
      <c r="D57" s="67">
        <f>ROUND(B57*C57,0)</f>
        <v>5120</v>
      </c>
      <c r="E57" s="123"/>
      <c r="F57" s="2"/>
      <c r="G57" s="2"/>
      <c r="H57" s="2"/>
      <c r="I57" s="2"/>
      <c r="J57" s="2"/>
      <c r="K57" s="2"/>
    </row>
    <row r="58" spans="1:11" ht="13.8" x14ac:dyDescent="0.3">
      <c r="A58" s="1" t="s">
        <v>1614</v>
      </c>
      <c r="B58" s="2"/>
      <c r="C58" s="2"/>
      <c r="D58" s="179">
        <f>SUM(D56:D57)</f>
        <v>8320</v>
      </c>
      <c r="E58" s="123"/>
      <c r="F58" s="2"/>
      <c r="G58" s="2"/>
      <c r="H58" s="2"/>
      <c r="I58" s="2"/>
      <c r="J58" s="2"/>
      <c r="K58" s="2"/>
    </row>
    <row r="59" spans="1:11" x14ac:dyDescent="0.25">
      <c r="A59" s="2" t="s">
        <v>613</v>
      </c>
      <c r="B59" s="2">
        <f>+D58:D58</f>
        <v>8320</v>
      </c>
      <c r="C59" s="14">
        <v>7.6499999999999999E-2</v>
      </c>
      <c r="D59" s="47">
        <f>ROUND(B59*C59,0)</f>
        <v>636</v>
      </c>
      <c r="E59" s="123"/>
      <c r="F59" s="2"/>
      <c r="G59" s="2"/>
      <c r="H59" s="2"/>
      <c r="I59" s="2"/>
      <c r="J59" s="2"/>
      <c r="K59" s="2"/>
    </row>
    <row r="60" spans="1:11" x14ac:dyDescent="0.25">
      <c r="A60" s="2" t="s">
        <v>614</v>
      </c>
      <c r="B60" s="2">
        <f>+D58</f>
        <v>8320</v>
      </c>
      <c r="C60" s="14">
        <v>2.47E-2</v>
      </c>
      <c r="D60" s="47">
        <f>ROUND(B60*C60,0)</f>
        <v>206</v>
      </c>
      <c r="E60" s="123"/>
      <c r="F60" s="2"/>
      <c r="G60" s="2"/>
      <c r="H60" s="2"/>
      <c r="I60" s="2"/>
      <c r="J60" s="2"/>
      <c r="K60" s="2"/>
    </row>
    <row r="61" spans="1:11" x14ac:dyDescent="0.25">
      <c r="A61" s="2" t="s">
        <v>615</v>
      </c>
      <c r="B61" s="2">
        <f>+D58</f>
        <v>8320</v>
      </c>
      <c r="C61" s="14">
        <v>1.8E-3</v>
      </c>
      <c r="D61" s="47">
        <f>ROUND(B61*C61,0)</f>
        <v>15</v>
      </c>
      <c r="E61" s="123"/>
      <c r="F61" s="2"/>
      <c r="G61" s="2"/>
      <c r="H61" s="2"/>
      <c r="I61" s="2"/>
      <c r="J61" s="2"/>
      <c r="K61" s="2"/>
    </row>
    <row r="62" spans="1:11" ht="13.8" x14ac:dyDescent="0.3">
      <c r="A62" s="2" t="s">
        <v>1615</v>
      </c>
      <c r="B62" s="2"/>
      <c r="C62" s="2"/>
      <c r="D62" s="136">
        <v>6487.5</v>
      </c>
      <c r="E62" s="123"/>
      <c r="F62" s="2"/>
      <c r="G62" s="2"/>
      <c r="H62" s="2"/>
      <c r="I62" s="2"/>
      <c r="J62" s="2"/>
      <c r="K62" s="2"/>
    </row>
    <row r="63" spans="1:11" ht="13.8" x14ac:dyDescent="0.3">
      <c r="A63" s="2" t="s">
        <v>1827</v>
      </c>
      <c r="B63" s="2"/>
      <c r="C63" s="2"/>
      <c r="D63" s="136">
        <v>10000</v>
      </c>
      <c r="E63" s="123"/>
      <c r="F63" s="2"/>
      <c r="G63" s="2"/>
      <c r="H63" s="2"/>
      <c r="I63" s="2"/>
      <c r="J63" s="2"/>
      <c r="K63" s="2"/>
    </row>
    <row r="64" spans="1:11" ht="13.8" x14ac:dyDescent="0.3">
      <c r="A64" s="2" t="s">
        <v>1828</v>
      </c>
      <c r="B64" s="130"/>
      <c r="C64" s="130"/>
      <c r="D64" s="136">
        <v>10000</v>
      </c>
      <c r="E64" s="123"/>
      <c r="F64" s="2"/>
      <c r="G64" s="2"/>
      <c r="H64" s="2"/>
      <c r="I64" s="2"/>
      <c r="J64" s="2"/>
      <c r="K64" s="2"/>
    </row>
    <row r="65" spans="1:11" ht="13.8" x14ac:dyDescent="0.3">
      <c r="A65" s="2" t="s">
        <v>1819</v>
      </c>
      <c r="B65" s="2"/>
      <c r="C65" s="2"/>
      <c r="D65" s="136">
        <v>25</v>
      </c>
      <c r="E65" s="123"/>
      <c r="F65" s="2"/>
      <c r="G65" s="2"/>
      <c r="H65" s="2"/>
      <c r="I65" s="2"/>
      <c r="J65" s="2"/>
      <c r="K65" s="2"/>
    </row>
    <row r="66" spans="1:11" ht="13.8" x14ac:dyDescent="0.3">
      <c r="A66" s="2" t="s">
        <v>1823</v>
      </c>
      <c r="B66" s="2"/>
      <c r="C66" s="2"/>
      <c r="D66" s="136">
        <v>75</v>
      </c>
      <c r="E66" s="123"/>
      <c r="F66" s="2"/>
      <c r="G66" s="2"/>
      <c r="H66" s="2"/>
      <c r="I66" s="2"/>
      <c r="J66" s="2"/>
      <c r="K66" s="2"/>
    </row>
    <row r="67" spans="1:11" ht="13.8" x14ac:dyDescent="0.3">
      <c r="A67" s="2" t="s">
        <v>1822</v>
      </c>
      <c r="B67" s="130"/>
      <c r="C67" s="130"/>
      <c r="D67" s="136">
        <v>450</v>
      </c>
      <c r="E67" s="123"/>
      <c r="F67" s="2"/>
      <c r="G67" s="2"/>
      <c r="H67" s="2"/>
      <c r="I67" s="2"/>
      <c r="J67" s="2"/>
      <c r="K67" s="2"/>
    </row>
    <row r="68" spans="1:11" ht="13.8" x14ac:dyDescent="0.3">
      <c r="A68" s="2" t="s">
        <v>1820</v>
      </c>
      <c r="B68" s="2"/>
      <c r="C68" s="2"/>
      <c r="D68" s="136">
        <v>300</v>
      </c>
      <c r="E68" s="123"/>
      <c r="F68" s="2"/>
      <c r="G68" s="2"/>
      <c r="H68" s="2"/>
      <c r="I68" s="2"/>
      <c r="J68" s="2"/>
      <c r="K68" s="2"/>
    </row>
    <row r="69" spans="1:11" ht="13.8" x14ac:dyDescent="0.3">
      <c r="A69" s="2" t="s">
        <v>1727</v>
      </c>
      <c r="B69" s="2"/>
      <c r="C69" s="2"/>
      <c r="D69" s="135">
        <v>450</v>
      </c>
      <c r="E69" s="123"/>
      <c r="F69" s="2"/>
      <c r="G69" s="2"/>
      <c r="H69" s="2"/>
      <c r="I69" s="2"/>
      <c r="J69" s="2"/>
      <c r="K69" s="2"/>
    </row>
    <row r="70" spans="1:11" ht="13.8" x14ac:dyDescent="0.3">
      <c r="A70" s="131" t="s">
        <v>1484</v>
      </c>
      <c r="B70" s="130"/>
      <c r="C70" s="130"/>
      <c r="E70" s="136">
        <f>SUM(D58:D69)</f>
        <v>36964.5</v>
      </c>
      <c r="F70" s="2"/>
      <c r="G70" s="2"/>
      <c r="H70" s="2"/>
      <c r="I70" s="2"/>
      <c r="J70" s="2"/>
      <c r="K70" s="2"/>
    </row>
    <row r="71" spans="1:11" x14ac:dyDescent="0.25">
      <c r="A71" s="2"/>
      <c r="B71" s="2"/>
      <c r="C71" s="12"/>
      <c r="D71" s="67"/>
      <c r="E71" s="123"/>
      <c r="F71" s="2"/>
      <c r="G71" s="2"/>
      <c r="H71" s="2"/>
      <c r="I71" s="2"/>
      <c r="J71" s="2"/>
      <c r="K71" s="2"/>
    </row>
    <row r="72" spans="1:11" ht="16.8" x14ac:dyDescent="0.55000000000000004">
      <c r="A72" s="79" t="s">
        <v>1829</v>
      </c>
      <c r="B72" s="2"/>
      <c r="C72" s="12"/>
      <c r="D72" s="67"/>
      <c r="E72" s="123"/>
      <c r="F72" s="2"/>
      <c r="G72" s="2">
        <v>3041</v>
      </c>
      <c r="H72" s="2">
        <v>3036</v>
      </c>
      <c r="I72" s="2">
        <v>3036</v>
      </c>
      <c r="J72" s="2"/>
      <c r="K72" s="2"/>
    </row>
    <row r="73" spans="1:11" x14ac:dyDescent="0.25">
      <c r="A73" s="2" t="s">
        <v>2076</v>
      </c>
      <c r="B73" s="2">
        <v>50</v>
      </c>
      <c r="C73" s="127">
        <v>17.510000000000002</v>
      </c>
      <c r="D73" s="47">
        <f>ROUND(B73*C73,0)</f>
        <v>876</v>
      </c>
      <c r="E73" s="123"/>
      <c r="F73" s="2"/>
      <c r="G73" s="2"/>
      <c r="H73" s="2"/>
      <c r="I73" s="2"/>
      <c r="J73" s="2"/>
      <c r="K73" s="2"/>
    </row>
    <row r="74" spans="1:11" x14ac:dyDescent="0.25">
      <c r="A74" s="2" t="s">
        <v>2077</v>
      </c>
      <c r="B74" s="2">
        <v>90</v>
      </c>
      <c r="C74" s="127">
        <v>9.18</v>
      </c>
      <c r="D74" s="47">
        <f>ROUND(B74*C74,0)</f>
        <v>826</v>
      </c>
      <c r="E74" s="123"/>
      <c r="F74" s="2"/>
      <c r="G74" s="2"/>
      <c r="H74" s="2"/>
      <c r="I74" s="2"/>
      <c r="J74" s="2"/>
      <c r="K74" s="2"/>
    </row>
    <row r="75" spans="1:11" ht="13.8" x14ac:dyDescent="0.3">
      <c r="A75" s="1" t="s">
        <v>1614</v>
      </c>
      <c r="B75" s="2"/>
      <c r="C75" s="2"/>
      <c r="D75" s="136">
        <f>SUM(D73:D74)</f>
        <v>1702</v>
      </c>
      <c r="E75" s="123"/>
      <c r="F75" s="2"/>
      <c r="G75" s="2"/>
      <c r="H75" s="2"/>
      <c r="I75" s="2"/>
      <c r="J75" s="2"/>
      <c r="K75" s="2"/>
    </row>
    <row r="76" spans="1:11" x14ac:dyDescent="0.25">
      <c r="A76" s="2" t="s">
        <v>613</v>
      </c>
      <c r="B76" s="2">
        <f>+D75:D75</f>
        <v>1702</v>
      </c>
      <c r="C76" s="14">
        <v>7.6499999999999999E-2</v>
      </c>
      <c r="D76" s="47">
        <f>ROUND(B76*C76,0)</f>
        <v>130</v>
      </c>
      <c r="E76" s="123"/>
      <c r="F76" s="2"/>
      <c r="G76" s="2"/>
      <c r="H76" s="2"/>
      <c r="I76" s="2"/>
      <c r="J76" s="2"/>
      <c r="K76" s="2"/>
    </row>
    <row r="77" spans="1:11" x14ac:dyDescent="0.25">
      <c r="A77" s="2" t="s">
        <v>614</v>
      </c>
      <c r="B77" s="2">
        <f>+D75</f>
        <v>1702</v>
      </c>
      <c r="C77" s="14">
        <v>2.47E-2</v>
      </c>
      <c r="D77" s="47">
        <f>ROUND(B77*C77,0)</f>
        <v>42</v>
      </c>
      <c r="E77" s="123"/>
      <c r="F77" s="2"/>
      <c r="G77" s="2"/>
      <c r="H77" s="2"/>
      <c r="I77" s="2"/>
      <c r="J77" s="2"/>
      <c r="K77" s="2"/>
    </row>
    <row r="78" spans="1:11" x14ac:dyDescent="0.25">
      <c r="A78" s="2" t="s">
        <v>615</v>
      </c>
      <c r="B78" s="2">
        <f>+D75</f>
        <v>1702</v>
      </c>
      <c r="C78" s="14">
        <v>1.8E-3</v>
      </c>
      <c r="D78" s="47">
        <f>ROUND(B78*C78,0)</f>
        <v>3</v>
      </c>
      <c r="E78" s="123"/>
      <c r="F78" s="2"/>
      <c r="G78" s="2"/>
      <c r="H78" s="2"/>
      <c r="I78" s="2"/>
      <c r="J78" s="2"/>
      <c r="K78" s="2"/>
    </row>
    <row r="79" spans="1:11" ht="13.8" x14ac:dyDescent="0.3">
      <c r="A79" s="2" t="s">
        <v>1615</v>
      </c>
      <c r="B79" s="2"/>
      <c r="C79" s="2"/>
      <c r="D79" s="136">
        <v>523.84</v>
      </c>
      <c r="E79" s="123"/>
      <c r="F79" s="2"/>
      <c r="G79" s="2"/>
      <c r="H79" s="2"/>
      <c r="I79" s="2"/>
      <c r="J79" s="2"/>
      <c r="K79" s="2"/>
    </row>
    <row r="80" spans="1:11" ht="13.8" x14ac:dyDescent="0.3">
      <c r="A80" s="2" t="s">
        <v>1821</v>
      </c>
      <c r="B80" s="2" t="s">
        <v>1830</v>
      </c>
      <c r="C80" s="2"/>
      <c r="D80" s="136">
        <v>500</v>
      </c>
      <c r="E80" s="123"/>
      <c r="F80" s="2"/>
      <c r="G80" s="2"/>
      <c r="H80" s="2"/>
      <c r="I80" s="2"/>
      <c r="J80" s="2"/>
      <c r="K80" s="2"/>
    </row>
    <row r="81" spans="1:11" ht="13.8" x14ac:dyDescent="0.3">
      <c r="A81" s="2" t="s">
        <v>1823</v>
      </c>
      <c r="B81" s="2"/>
      <c r="C81" s="2"/>
      <c r="D81" s="136">
        <v>75</v>
      </c>
      <c r="E81" s="2"/>
      <c r="F81" s="2"/>
      <c r="G81" s="2"/>
      <c r="H81" s="2"/>
      <c r="I81" s="2"/>
      <c r="J81" s="2"/>
      <c r="K81" s="2"/>
    </row>
    <row r="82" spans="1:11" ht="13.8" x14ac:dyDescent="0.3">
      <c r="A82" s="2" t="s">
        <v>1727</v>
      </c>
      <c r="B82" s="2"/>
      <c r="C82" s="2"/>
      <c r="D82" s="135">
        <v>60</v>
      </c>
      <c r="E82" s="2"/>
      <c r="F82" s="2"/>
      <c r="G82" s="2"/>
      <c r="H82" s="2"/>
      <c r="I82" s="2"/>
      <c r="J82" s="2"/>
      <c r="K82" s="2"/>
    </row>
    <row r="83" spans="1:11" ht="14.4" x14ac:dyDescent="0.3">
      <c r="A83" s="129" t="s">
        <v>1484</v>
      </c>
      <c r="B83"/>
      <c r="C83"/>
      <c r="E83" s="150">
        <f>SUM(D75:D82)</f>
        <v>3035.84</v>
      </c>
      <c r="F83" s="2"/>
      <c r="G83" s="2"/>
      <c r="H83" s="2"/>
      <c r="I83" s="2"/>
      <c r="J83" s="2"/>
      <c r="K83" s="2"/>
    </row>
    <row r="84" spans="1:11" ht="14.4" x14ac:dyDescent="0.3">
      <c r="A84" s="129"/>
      <c r="B84"/>
      <c r="C84"/>
      <c r="D84" s="150"/>
      <c r="E84" s="2"/>
      <c r="F84" s="2"/>
      <c r="G84" s="2"/>
      <c r="H84" s="2"/>
      <c r="I84" s="2"/>
      <c r="J84" s="2"/>
      <c r="K84" s="2"/>
    </row>
    <row r="85" spans="1:11" ht="13.8" x14ac:dyDescent="0.3">
      <c r="A85" s="177" t="s">
        <v>1831</v>
      </c>
      <c r="B85" s="2"/>
      <c r="C85" s="14"/>
      <c r="E85" s="2"/>
      <c r="F85" s="2"/>
      <c r="G85" s="2"/>
      <c r="H85" s="2"/>
      <c r="I85" s="2"/>
      <c r="J85" s="2"/>
      <c r="K85" s="2"/>
    </row>
    <row r="86" spans="1:11" ht="16.8" x14ac:dyDescent="0.55000000000000004">
      <c r="A86" s="79" t="s">
        <v>1832</v>
      </c>
      <c r="B86" s="2"/>
      <c r="C86" s="2"/>
      <c r="D86" s="136"/>
      <c r="E86" s="2"/>
      <c r="F86" s="2">
        <v>11417</v>
      </c>
      <c r="G86" s="2">
        <v>2328</v>
      </c>
      <c r="H86" s="2">
        <v>2325</v>
      </c>
      <c r="I86" s="2">
        <v>2325</v>
      </c>
      <c r="J86" s="2"/>
      <c r="K86" s="2"/>
    </row>
    <row r="87" spans="1:11" x14ac:dyDescent="0.25">
      <c r="A87" s="2" t="s">
        <v>2078</v>
      </c>
      <c r="B87" s="2">
        <v>120</v>
      </c>
      <c r="C87" s="127">
        <v>11</v>
      </c>
      <c r="D87" s="67">
        <f>ROUND(B87*C87,0)</f>
        <v>1320</v>
      </c>
      <c r="E87" s="2"/>
      <c r="F87" s="2"/>
      <c r="G87" s="2"/>
      <c r="H87" s="2"/>
      <c r="I87" s="2"/>
      <c r="J87" s="2"/>
      <c r="K87" s="2"/>
    </row>
    <row r="88" spans="1:11" ht="13.8" x14ac:dyDescent="0.3">
      <c r="A88" s="1" t="s">
        <v>1614</v>
      </c>
      <c r="B88" s="2"/>
      <c r="C88" s="2"/>
      <c r="D88" s="179">
        <f>SUM(D87:D87)</f>
        <v>1320</v>
      </c>
      <c r="E88" s="123"/>
      <c r="F88" s="2"/>
      <c r="G88" s="2"/>
      <c r="H88" s="2"/>
      <c r="I88" s="2"/>
      <c r="J88" s="2"/>
      <c r="K88" s="2"/>
    </row>
    <row r="89" spans="1:11" x14ac:dyDescent="0.25">
      <c r="A89" s="2" t="s">
        <v>613</v>
      </c>
      <c r="B89" s="2">
        <f>+D88:D88</f>
        <v>1320</v>
      </c>
      <c r="C89" s="14">
        <v>7.6499999999999999E-2</v>
      </c>
      <c r="D89" s="47">
        <f>ROUND(B89*C89,0)</f>
        <v>101</v>
      </c>
      <c r="E89" s="2"/>
      <c r="F89" s="2"/>
      <c r="G89" s="2"/>
      <c r="H89" s="2"/>
      <c r="I89" s="2"/>
      <c r="J89" s="2"/>
      <c r="K89" s="2"/>
    </row>
    <row r="90" spans="1:11" x14ac:dyDescent="0.25">
      <c r="A90" s="2" t="s">
        <v>614</v>
      </c>
      <c r="B90" s="2">
        <f>+D88</f>
        <v>1320</v>
      </c>
      <c r="C90" s="14">
        <v>2.47E-2</v>
      </c>
      <c r="D90" s="47">
        <f>ROUND(B90*C90,0)</f>
        <v>33</v>
      </c>
      <c r="E90" s="2"/>
      <c r="F90" s="2"/>
      <c r="G90" s="2"/>
      <c r="H90" s="2"/>
      <c r="I90" s="2"/>
      <c r="J90" s="2"/>
      <c r="K90" s="2"/>
    </row>
    <row r="91" spans="1:11" x14ac:dyDescent="0.25">
      <c r="A91" s="2" t="s">
        <v>615</v>
      </c>
      <c r="B91" s="2">
        <f>+D88</f>
        <v>1320</v>
      </c>
      <c r="C91" s="14">
        <v>1.8E-3</v>
      </c>
      <c r="D91" s="47">
        <f>ROUND(B91*C91,0)</f>
        <v>2</v>
      </c>
      <c r="E91" s="2"/>
      <c r="F91" s="2"/>
      <c r="G91" s="2"/>
      <c r="H91" s="2"/>
      <c r="I91" s="2"/>
      <c r="J91" s="2"/>
      <c r="K91" s="2"/>
    </row>
    <row r="92" spans="1:11" ht="13.8" x14ac:dyDescent="0.3">
      <c r="A92" s="2" t="s">
        <v>1615</v>
      </c>
      <c r="B92" s="2"/>
      <c r="C92" s="2"/>
      <c r="D92" s="136">
        <v>402.94</v>
      </c>
      <c r="E92" s="2"/>
      <c r="F92" s="2"/>
      <c r="G92" s="2"/>
      <c r="H92" s="2"/>
      <c r="I92" s="2"/>
      <c r="J92" s="2"/>
      <c r="K92" s="2"/>
    </row>
    <row r="93" spans="1:11" ht="13.8" x14ac:dyDescent="0.3">
      <c r="A93" s="2" t="s">
        <v>1833</v>
      </c>
      <c r="B93" s="2"/>
      <c r="C93" s="2"/>
      <c r="D93" s="136">
        <v>300</v>
      </c>
      <c r="E93" s="2"/>
      <c r="F93" s="2"/>
      <c r="G93" s="2"/>
      <c r="H93" s="2"/>
      <c r="I93" s="2"/>
      <c r="J93" s="2"/>
      <c r="K93" s="2"/>
    </row>
    <row r="94" spans="1:11" x14ac:dyDescent="0.25">
      <c r="A94" s="2" t="s">
        <v>1834</v>
      </c>
      <c r="B94"/>
      <c r="C94"/>
      <c r="D94" s="180">
        <v>25</v>
      </c>
      <c r="E94" s="2"/>
      <c r="F94" s="2"/>
      <c r="G94" s="2"/>
      <c r="H94" s="2"/>
      <c r="I94" s="2"/>
      <c r="J94" s="2"/>
      <c r="K94" s="2"/>
    </row>
    <row r="95" spans="1:11" ht="13.8" x14ac:dyDescent="0.3">
      <c r="A95" s="2" t="s">
        <v>1835</v>
      </c>
      <c r="B95" s="2"/>
      <c r="C95" s="2"/>
      <c r="D95" s="136">
        <v>25</v>
      </c>
      <c r="E95" s="2"/>
      <c r="F95" s="2"/>
      <c r="G95" s="2"/>
      <c r="H95" s="2"/>
      <c r="I95" s="2"/>
      <c r="J95" s="2"/>
      <c r="K95" s="2"/>
    </row>
    <row r="96" spans="1:11" ht="13.8" x14ac:dyDescent="0.3">
      <c r="A96" s="2" t="s">
        <v>1820</v>
      </c>
      <c r="B96" s="2"/>
      <c r="C96" s="2"/>
      <c r="D96" s="136">
        <v>20</v>
      </c>
      <c r="E96" s="2"/>
      <c r="F96" s="2"/>
      <c r="G96" s="2"/>
      <c r="H96" s="2"/>
      <c r="I96" s="2"/>
      <c r="J96" s="2"/>
      <c r="K96" s="2"/>
    </row>
    <row r="97" spans="1:11" ht="13.8" x14ac:dyDescent="0.3">
      <c r="A97" s="2" t="s">
        <v>1727</v>
      </c>
      <c r="B97" s="2"/>
      <c r="C97" s="2"/>
      <c r="D97" s="135">
        <v>96</v>
      </c>
      <c r="E97" s="2"/>
      <c r="F97" s="2"/>
      <c r="G97" s="2"/>
      <c r="H97" s="2"/>
      <c r="I97" s="2"/>
      <c r="J97" s="2"/>
      <c r="K97" s="2"/>
    </row>
    <row r="98" spans="1:11" ht="14.4" x14ac:dyDescent="0.3">
      <c r="A98" s="129" t="s">
        <v>1484</v>
      </c>
      <c r="B98"/>
      <c r="C98"/>
      <c r="E98" s="150">
        <f>SUM(D88:D97)</f>
        <v>2324.94</v>
      </c>
      <c r="F98" s="2"/>
      <c r="G98" s="2"/>
      <c r="H98" s="2"/>
      <c r="I98" s="2"/>
      <c r="J98" s="2"/>
      <c r="K98" s="2"/>
    </row>
    <row r="99" spans="1:11" x14ac:dyDescent="0.25">
      <c r="A99" s="2"/>
      <c r="B99" s="2"/>
      <c r="C99" s="12"/>
      <c r="E99" s="123"/>
      <c r="F99" s="2"/>
      <c r="G99" s="2"/>
      <c r="H99" s="2"/>
      <c r="I99" s="2"/>
      <c r="J99" s="2"/>
      <c r="K99" s="2"/>
    </row>
    <row r="100" spans="1:11" x14ac:dyDescent="0.25">
      <c r="A100" s="1"/>
      <c r="B100" s="2"/>
      <c r="C100" s="2"/>
      <c r="E100" s="2"/>
      <c r="F100" s="2"/>
      <c r="G100" s="2"/>
      <c r="H100" s="2"/>
      <c r="I100" s="2"/>
      <c r="J100" s="2"/>
      <c r="K100" s="2"/>
    </row>
    <row r="101" spans="1:11" ht="16.8" x14ac:dyDescent="0.55000000000000004">
      <c r="A101" s="79" t="s">
        <v>1836</v>
      </c>
      <c r="B101" s="2"/>
      <c r="C101" s="2"/>
      <c r="D101" s="136"/>
      <c r="E101" s="2"/>
      <c r="F101" s="2"/>
      <c r="G101" s="2">
        <v>2330</v>
      </c>
      <c r="H101" s="2">
        <v>2327</v>
      </c>
      <c r="I101" s="2">
        <v>2327</v>
      </c>
      <c r="J101" s="2"/>
      <c r="K101" s="2"/>
    </row>
    <row r="102" spans="1:11" x14ac:dyDescent="0.25">
      <c r="A102" s="2" t="s">
        <v>1837</v>
      </c>
      <c r="B102" s="2">
        <v>160</v>
      </c>
      <c r="C102" s="127">
        <v>9.5</v>
      </c>
      <c r="D102" s="47">
        <f>ROUND(B102*C102,0)</f>
        <v>1520</v>
      </c>
      <c r="E102" s="2"/>
      <c r="F102" s="2"/>
      <c r="G102" s="2"/>
      <c r="H102" s="2"/>
      <c r="I102" s="2"/>
      <c r="J102" s="2"/>
      <c r="K102" s="2"/>
    </row>
    <row r="103" spans="1:11" ht="13.8" x14ac:dyDescent="0.3">
      <c r="A103" s="1" t="s">
        <v>1614</v>
      </c>
      <c r="B103" s="2"/>
      <c r="C103" s="2"/>
      <c r="D103" s="179">
        <f>SUM(D102:D102)</f>
        <v>1520</v>
      </c>
      <c r="E103" s="2"/>
      <c r="F103" s="2"/>
      <c r="G103" s="2"/>
      <c r="H103" s="2"/>
      <c r="I103" s="2"/>
      <c r="J103" s="2"/>
      <c r="K103" s="2"/>
    </row>
    <row r="104" spans="1:11" x14ac:dyDescent="0.25">
      <c r="A104" s="2" t="s">
        <v>613</v>
      </c>
      <c r="B104" s="2">
        <f>+D103:D103</f>
        <v>1520</v>
      </c>
      <c r="C104" s="14">
        <v>7.6499999999999999E-2</v>
      </c>
      <c r="D104" s="47">
        <f>ROUND(B104*C104,0)</f>
        <v>116</v>
      </c>
      <c r="E104" s="2"/>
      <c r="F104" s="2"/>
      <c r="G104" s="2"/>
      <c r="H104" s="2"/>
      <c r="I104" s="2"/>
      <c r="J104" s="2"/>
      <c r="K104" s="2"/>
    </row>
    <row r="105" spans="1:11" x14ac:dyDescent="0.25">
      <c r="A105" s="2" t="s">
        <v>614</v>
      </c>
      <c r="B105" s="2">
        <f>+D103</f>
        <v>1520</v>
      </c>
      <c r="C105" s="14">
        <v>2.47E-2</v>
      </c>
      <c r="D105" s="47">
        <f>ROUND(B105*C105,0)</f>
        <v>38</v>
      </c>
      <c r="E105" s="2"/>
      <c r="F105" s="2"/>
      <c r="G105" s="2"/>
      <c r="H105" s="2"/>
      <c r="I105" s="2"/>
      <c r="J105" s="2"/>
      <c r="K105" s="2"/>
    </row>
    <row r="106" spans="1:11" x14ac:dyDescent="0.25">
      <c r="A106" s="2" t="s">
        <v>615</v>
      </c>
      <c r="B106" s="2">
        <f>+D103</f>
        <v>1520</v>
      </c>
      <c r="C106" s="14">
        <v>1.8E-3</v>
      </c>
      <c r="D106" s="47">
        <f>ROUND(B106*C106,0)</f>
        <v>3</v>
      </c>
      <c r="E106" s="2"/>
      <c r="F106" s="2"/>
      <c r="G106" s="2"/>
      <c r="H106" s="2"/>
      <c r="I106" s="2"/>
      <c r="J106" s="2"/>
      <c r="K106" s="2"/>
    </row>
    <row r="107" spans="1:11" ht="13.8" x14ac:dyDescent="0.3">
      <c r="A107" s="2" t="s">
        <v>1615</v>
      </c>
      <c r="B107" s="2"/>
      <c r="C107" s="2"/>
      <c r="D107" s="136">
        <v>402.95</v>
      </c>
      <c r="E107" s="2"/>
      <c r="F107" s="2"/>
      <c r="G107" s="2"/>
      <c r="H107" s="2"/>
      <c r="I107" s="2"/>
      <c r="J107" s="2"/>
      <c r="K107" s="2"/>
    </row>
    <row r="108" spans="1:11" ht="13.8" x14ac:dyDescent="0.3">
      <c r="A108" s="2" t="s">
        <v>1821</v>
      </c>
      <c r="B108" s="2"/>
      <c r="C108" s="2"/>
      <c r="D108" s="136">
        <v>150</v>
      </c>
      <c r="E108" s="2"/>
      <c r="F108" s="2"/>
      <c r="G108" s="2"/>
      <c r="H108" s="2"/>
      <c r="I108" s="2"/>
      <c r="J108" s="2"/>
      <c r="K108" s="2"/>
    </row>
    <row r="109" spans="1:11" ht="13.8" x14ac:dyDescent="0.3">
      <c r="A109" s="2" t="s">
        <v>1838</v>
      </c>
      <c r="B109" s="2"/>
      <c r="C109" s="2"/>
      <c r="D109" s="136">
        <v>25</v>
      </c>
      <c r="E109" s="2"/>
      <c r="F109" s="2"/>
      <c r="G109" s="2"/>
      <c r="H109" s="2"/>
      <c r="I109" s="2"/>
      <c r="J109" s="2"/>
      <c r="K109" s="2"/>
    </row>
    <row r="110" spans="1:11" ht="13.8" x14ac:dyDescent="0.3">
      <c r="A110" s="2" t="s">
        <v>1727</v>
      </c>
      <c r="B110" s="2"/>
      <c r="C110" s="2"/>
      <c r="D110" s="135">
        <v>72</v>
      </c>
      <c r="E110" s="2"/>
      <c r="F110" s="2"/>
      <c r="G110" s="2"/>
      <c r="H110" s="2"/>
      <c r="I110" s="2"/>
      <c r="J110" s="2"/>
      <c r="K110" s="2"/>
    </row>
    <row r="111" spans="1:11" ht="14.4" x14ac:dyDescent="0.3">
      <c r="A111" s="129" t="s">
        <v>1484</v>
      </c>
      <c r="B111"/>
      <c r="C111"/>
      <c r="E111" s="150">
        <f>SUM(D103:D110)</f>
        <v>2326.9499999999998</v>
      </c>
      <c r="F111" s="2"/>
      <c r="G111" s="2"/>
      <c r="H111" s="2"/>
      <c r="I111" s="2"/>
      <c r="J111" s="2"/>
      <c r="K111" s="2"/>
    </row>
    <row r="112" spans="1:11" x14ac:dyDescent="0.25">
      <c r="A112" s="2"/>
      <c r="B112" s="2"/>
      <c r="C112" s="14"/>
      <c r="E112" s="2"/>
      <c r="F112" s="2"/>
      <c r="G112" s="2"/>
      <c r="H112" s="2"/>
      <c r="I112" s="2"/>
      <c r="J112" s="2"/>
      <c r="K112" s="2"/>
    </row>
    <row r="113" spans="1:11" ht="16.8" x14ac:dyDescent="0.55000000000000004">
      <c r="A113" s="79" t="s">
        <v>1839</v>
      </c>
      <c r="B113" s="2"/>
      <c r="C113" s="2"/>
      <c r="D113" s="136"/>
      <c r="E113" s="2"/>
      <c r="F113" s="2"/>
      <c r="G113" s="2">
        <v>10979</v>
      </c>
      <c r="H113" s="2">
        <v>10961</v>
      </c>
      <c r="I113" s="2">
        <v>10961</v>
      </c>
      <c r="J113" s="2"/>
      <c r="K113" s="2"/>
    </row>
    <row r="114" spans="1:11" x14ac:dyDescent="0.25">
      <c r="A114" s="2" t="s">
        <v>1840</v>
      </c>
      <c r="B114" s="2">
        <v>135</v>
      </c>
      <c r="C114" s="127">
        <v>17</v>
      </c>
      <c r="D114" s="47">
        <f>ROUND(B114*C114,0)</f>
        <v>2295</v>
      </c>
      <c r="E114" s="2"/>
      <c r="F114" s="2"/>
      <c r="G114" s="2"/>
      <c r="H114" s="2"/>
      <c r="I114" s="2"/>
      <c r="J114" s="2"/>
      <c r="K114" s="2"/>
    </row>
    <row r="115" spans="1:11" x14ac:dyDescent="0.25">
      <c r="A115" s="128" t="s">
        <v>2079</v>
      </c>
      <c r="B115">
        <v>480</v>
      </c>
      <c r="C115" s="132">
        <v>8</v>
      </c>
      <c r="D115" s="47">
        <f>ROUND(B115*C115,0)</f>
        <v>3840</v>
      </c>
      <c r="E115" s="2"/>
      <c r="F115" s="2"/>
      <c r="G115" s="2"/>
      <c r="H115" s="2"/>
      <c r="I115" s="2"/>
      <c r="J115" s="2"/>
      <c r="K115" s="2"/>
    </row>
    <row r="116" spans="1:11" x14ac:dyDescent="0.25">
      <c r="A116" s="128" t="s">
        <v>2080</v>
      </c>
      <c r="B116">
        <v>60</v>
      </c>
      <c r="C116" s="132">
        <v>13</v>
      </c>
      <c r="D116" s="47">
        <f>ROUND(B116*C116,0)</f>
        <v>780</v>
      </c>
      <c r="E116" s="2"/>
      <c r="F116" s="2"/>
      <c r="G116" s="2"/>
      <c r="H116" s="2"/>
      <c r="I116" s="2"/>
      <c r="J116" s="2"/>
      <c r="K116" s="2"/>
    </row>
    <row r="117" spans="1:11" ht="13.8" x14ac:dyDescent="0.3">
      <c r="A117" s="1" t="s">
        <v>1614</v>
      </c>
      <c r="B117" s="2"/>
      <c r="C117" s="2"/>
      <c r="D117" s="136">
        <f>SUM(D114:D116)</f>
        <v>6915</v>
      </c>
      <c r="E117" s="2"/>
      <c r="F117" s="2"/>
      <c r="G117" s="2"/>
      <c r="H117" s="2"/>
      <c r="I117" s="2"/>
      <c r="J117" s="2"/>
      <c r="K117" s="2"/>
    </row>
    <row r="118" spans="1:11" x14ac:dyDescent="0.25">
      <c r="A118" s="2" t="s">
        <v>613</v>
      </c>
      <c r="B118" s="2">
        <f>+D117:D117</f>
        <v>6915</v>
      </c>
      <c r="C118" s="14">
        <v>7.6499999999999999E-2</v>
      </c>
      <c r="D118" s="47">
        <f>ROUND(B118*C118,0)</f>
        <v>529</v>
      </c>
      <c r="E118" s="2"/>
      <c r="F118" s="2"/>
      <c r="G118" s="2"/>
      <c r="H118" s="2"/>
      <c r="I118" s="2"/>
      <c r="J118" s="2"/>
      <c r="K118" s="2"/>
    </row>
    <row r="119" spans="1:11" x14ac:dyDescent="0.25">
      <c r="A119" s="2" t="s">
        <v>614</v>
      </c>
      <c r="B119" s="2">
        <f>+D117</f>
        <v>6915</v>
      </c>
      <c r="C119" s="14">
        <v>2.47E-2</v>
      </c>
      <c r="D119" s="47">
        <f>ROUND(B119*C119,0)</f>
        <v>171</v>
      </c>
      <c r="E119" s="2"/>
      <c r="F119" s="2"/>
      <c r="G119" s="2"/>
      <c r="H119" s="2"/>
      <c r="I119" s="2"/>
      <c r="J119" s="2"/>
      <c r="K119" s="2"/>
    </row>
    <row r="120" spans="1:11" x14ac:dyDescent="0.25">
      <c r="A120" s="2" t="s">
        <v>615</v>
      </c>
      <c r="B120" s="2">
        <f>+D117</f>
        <v>6915</v>
      </c>
      <c r="C120" s="14">
        <v>1.8E-3</v>
      </c>
      <c r="D120" s="47">
        <f>ROUND(B120*C120,0)</f>
        <v>12</v>
      </c>
      <c r="E120" s="2"/>
      <c r="F120" s="2"/>
      <c r="G120" s="2"/>
      <c r="H120" s="2"/>
      <c r="I120" s="2"/>
      <c r="J120" s="2"/>
      <c r="K120" s="2"/>
    </row>
    <row r="121" spans="1:11" ht="13.8" x14ac:dyDescent="0.3">
      <c r="A121" s="2" t="s">
        <v>1615</v>
      </c>
      <c r="B121" s="2"/>
      <c r="C121" s="2"/>
      <c r="D121" s="136">
        <v>1934.16</v>
      </c>
      <c r="E121" s="2"/>
      <c r="F121" s="2"/>
      <c r="G121" s="2"/>
      <c r="H121" s="2"/>
      <c r="I121" s="2"/>
      <c r="J121" s="2"/>
      <c r="K121" s="2"/>
    </row>
    <row r="122" spans="1:11" ht="13.8" x14ac:dyDescent="0.3">
      <c r="A122" s="2" t="s">
        <v>1821</v>
      </c>
      <c r="B122" s="2"/>
      <c r="C122" s="2"/>
      <c r="D122" s="136">
        <v>200</v>
      </c>
      <c r="E122" s="2"/>
      <c r="F122" s="2"/>
      <c r="G122" s="2"/>
      <c r="H122" s="2"/>
      <c r="I122" s="2"/>
      <c r="J122" s="2"/>
      <c r="K122" s="2"/>
    </row>
    <row r="123" spans="1:11" ht="13.8" x14ac:dyDescent="0.3">
      <c r="A123" s="2" t="s">
        <v>2081</v>
      </c>
      <c r="B123" s="2"/>
      <c r="C123" s="2"/>
      <c r="D123" s="136">
        <v>125</v>
      </c>
      <c r="E123" s="2"/>
      <c r="F123" s="2"/>
      <c r="G123" s="2"/>
      <c r="H123" s="2"/>
      <c r="I123" s="2"/>
      <c r="J123" s="2"/>
      <c r="K123" s="2"/>
    </row>
    <row r="124" spans="1:11" ht="13.8" x14ac:dyDescent="0.3">
      <c r="A124" s="2" t="s">
        <v>1842</v>
      </c>
      <c r="B124"/>
      <c r="C124"/>
      <c r="D124" s="136">
        <v>800</v>
      </c>
      <c r="E124" s="2"/>
      <c r="F124" s="2"/>
      <c r="G124" s="2"/>
      <c r="H124" s="2"/>
      <c r="I124" s="2"/>
      <c r="J124" s="2"/>
      <c r="K124" s="2"/>
    </row>
    <row r="125" spans="1:11" ht="13.8" x14ac:dyDescent="0.3">
      <c r="A125" s="2" t="s">
        <v>1820</v>
      </c>
      <c r="B125" s="2"/>
      <c r="C125" s="2"/>
      <c r="D125" s="136">
        <v>50</v>
      </c>
      <c r="E125" s="123"/>
      <c r="F125" s="2"/>
      <c r="G125" s="2"/>
      <c r="H125" s="2"/>
      <c r="I125" s="2"/>
      <c r="J125" s="2"/>
      <c r="K125" s="2"/>
    </row>
    <row r="126" spans="1:11" ht="13.8" x14ac:dyDescent="0.3">
      <c r="A126" s="2" t="s">
        <v>1727</v>
      </c>
      <c r="B126" s="2"/>
      <c r="C126" s="2"/>
      <c r="D126" s="135">
        <v>225</v>
      </c>
      <c r="E126" s="176"/>
      <c r="F126" s="2"/>
      <c r="G126" s="2"/>
      <c r="H126" s="2"/>
      <c r="I126" s="2"/>
      <c r="J126" s="2"/>
      <c r="K126" s="2"/>
    </row>
    <row r="127" spans="1:11" ht="14.4" x14ac:dyDescent="0.3">
      <c r="A127" s="129" t="s">
        <v>1484</v>
      </c>
      <c r="B127"/>
      <c r="C127"/>
      <c r="E127" s="150">
        <f>SUM(D117:D126)</f>
        <v>10961.16</v>
      </c>
      <c r="F127" s="2"/>
      <c r="G127" s="2">
        <v>0</v>
      </c>
      <c r="H127" s="2">
        <v>0</v>
      </c>
      <c r="I127" s="2">
        <v>0</v>
      </c>
      <c r="J127" s="2"/>
      <c r="K127" s="2"/>
    </row>
    <row r="128" spans="1:11" ht="14.4" x14ac:dyDescent="0.3">
      <c r="A128" s="129"/>
      <c r="B128"/>
      <c r="C128"/>
      <c r="E128" s="150"/>
      <c r="F128" s="2"/>
      <c r="G128" s="2"/>
      <c r="H128" s="2"/>
      <c r="I128" s="2"/>
      <c r="J128" s="2"/>
      <c r="K128" s="2"/>
    </row>
    <row r="129" spans="1:11" ht="14.4" x14ac:dyDescent="0.3">
      <c r="A129" s="129"/>
      <c r="B129"/>
      <c r="C129"/>
      <c r="E129" s="150"/>
      <c r="F129" s="2"/>
      <c r="G129" s="2"/>
      <c r="H129" s="2"/>
      <c r="I129" s="2"/>
      <c r="J129" s="2"/>
      <c r="K129" s="2"/>
    </row>
    <row r="130" spans="1:11" ht="14.4" x14ac:dyDescent="0.3">
      <c r="A130" s="177" t="s">
        <v>1993</v>
      </c>
      <c r="B130"/>
      <c r="C130"/>
      <c r="E130" s="150"/>
      <c r="F130" s="2">
        <v>20</v>
      </c>
      <c r="G130" s="2">
        <v>0</v>
      </c>
      <c r="H130" s="2"/>
      <c r="I130" s="2"/>
      <c r="J130" s="2"/>
      <c r="K130" s="2"/>
    </row>
    <row r="131" spans="1:11" ht="14.4" x14ac:dyDescent="0.3">
      <c r="A131" s="129"/>
      <c r="B131"/>
      <c r="C131"/>
      <c r="E131" s="150"/>
      <c r="F131" s="2"/>
      <c r="G131" s="2"/>
      <c r="H131" s="2"/>
      <c r="I131" s="2"/>
      <c r="J131" s="2"/>
      <c r="K131" s="2"/>
    </row>
    <row r="132" spans="1:11" ht="14.4" x14ac:dyDescent="0.3">
      <c r="A132" s="177" t="s">
        <v>1994</v>
      </c>
      <c r="B132"/>
      <c r="C132"/>
      <c r="E132" s="150"/>
      <c r="F132" s="2">
        <v>49</v>
      </c>
      <c r="G132" s="2">
        <v>0</v>
      </c>
      <c r="H132" s="2"/>
      <c r="I132" s="2"/>
      <c r="J132" s="2"/>
      <c r="K132" s="2"/>
    </row>
    <row r="133" spans="1:11" ht="14.4" x14ac:dyDescent="0.3">
      <c r="A133" s="129"/>
      <c r="B133"/>
      <c r="C133"/>
      <c r="E133" s="150"/>
      <c r="F133" s="2"/>
      <c r="G133" s="2"/>
      <c r="H133" s="2"/>
      <c r="I133" s="2"/>
      <c r="J133" s="2"/>
      <c r="K133" s="2"/>
    </row>
    <row r="134" spans="1:11" ht="15.6" x14ac:dyDescent="0.4">
      <c r="A134" s="177" t="s">
        <v>1995</v>
      </c>
      <c r="B134"/>
      <c r="C134"/>
      <c r="E134" s="150"/>
      <c r="F134" s="11">
        <v>3130</v>
      </c>
      <c r="G134" s="11">
        <v>0</v>
      </c>
      <c r="H134" s="11">
        <v>2657</v>
      </c>
      <c r="I134" s="11">
        <v>2657</v>
      </c>
      <c r="J134" s="2"/>
      <c r="K134" s="2"/>
    </row>
    <row r="135" spans="1:11" x14ac:dyDescent="0.25">
      <c r="A135" s="2" t="s">
        <v>614</v>
      </c>
      <c r="B135" s="2">
        <f>+D133</f>
        <v>0</v>
      </c>
      <c r="C135" s="14">
        <v>2.47E-2</v>
      </c>
      <c r="D135" s="47">
        <f>ROUND(B135*C135,0)</f>
        <v>0</v>
      </c>
      <c r="E135" s="2"/>
      <c r="F135" s="2"/>
      <c r="G135" s="2"/>
      <c r="H135" s="2"/>
      <c r="I135" s="2"/>
      <c r="J135" s="2"/>
      <c r="K135" s="2"/>
    </row>
    <row r="136" spans="1:11" x14ac:dyDescent="0.25">
      <c r="A136" s="2" t="s">
        <v>615</v>
      </c>
      <c r="B136" s="2">
        <f>+D133</f>
        <v>0</v>
      </c>
      <c r="C136" s="14">
        <v>1.8E-3</v>
      </c>
      <c r="D136" s="47">
        <f>ROUND(B136*C136,0)</f>
        <v>0</v>
      </c>
      <c r="E136" s="2"/>
      <c r="F136" s="2"/>
      <c r="G136" s="2"/>
      <c r="H136" s="2"/>
      <c r="I136" s="2"/>
      <c r="J136" s="2"/>
      <c r="K136" s="2"/>
    </row>
    <row r="137" spans="1:11" ht="13.8" x14ac:dyDescent="0.3">
      <c r="A137" s="2" t="s">
        <v>1615</v>
      </c>
      <c r="B137" s="2"/>
      <c r="C137" s="2"/>
      <c r="D137" s="136">
        <v>1331.89</v>
      </c>
      <c r="E137" s="2"/>
      <c r="F137" s="2"/>
      <c r="G137" s="2"/>
      <c r="H137" s="2"/>
      <c r="I137" s="2"/>
      <c r="J137" s="2"/>
      <c r="K137" s="2"/>
    </row>
    <row r="138" spans="1:11" ht="13.8" x14ac:dyDescent="0.3">
      <c r="A138" s="2" t="s">
        <v>1821</v>
      </c>
      <c r="B138" s="2"/>
      <c r="C138" s="2"/>
      <c r="D138" s="136">
        <v>150</v>
      </c>
      <c r="E138" s="2"/>
      <c r="F138" s="2"/>
      <c r="G138" s="2"/>
      <c r="H138" s="2"/>
      <c r="I138" s="2"/>
      <c r="J138" s="2"/>
      <c r="K138" s="2"/>
    </row>
    <row r="139" spans="1:11" ht="13.8" x14ac:dyDescent="0.3">
      <c r="A139" s="2" t="s">
        <v>1841</v>
      </c>
      <c r="B139" s="2"/>
      <c r="C139" s="2"/>
      <c r="D139" s="136">
        <v>100</v>
      </c>
      <c r="E139" s="2"/>
      <c r="F139" s="2"/>
      <c r="G139" s="2"/>
      <c r="H139" s="2"/>
      <c r="I139" s="2"/>
      <c r="J139" s="2"/>
      <c r="K139" s="2"/>
    </row>
    <row r="140" spans="1:11" ht="13.8" x14ac:dyDescent="0.3">
      <c r="A140" s="2" t="s">
        <v>1842</v>
      </c>
      <c r="B140"/>
      <c r="C140"/>
      <c r="D140" s="136">
        <v>800</v>
      </c>
      <c r="E140" s="2"/>
      <c r="F140" s="2"/>
      <c r="G140" s="2"/>
      <c r="H140" s="2"/>
      <c r="I140" s="2"/>
      <c r="J140" s="2"/>
      <c r="K140" s="2"/>
    </row>
    <row r="141" spans="1:11" ht="13.8" x14ac:dyDescent="0.3">
      <c r="A141" s="2" t="s">
        <v>1820</v>
      </c>
      <c r="B141" s="2"/>
      <c r="C141" s="2"/>
      <c r="D141" s="136">
        <v>50</v>
      </c>
      <c r="E141" s="123"/>
      <c r="F141" s="2"/>
      <c r="G141" s="2"/>
      <c r="H141" s="2"/>
      <c r="I141" s="2"/>
      <c r="J141" s="2"/>
      <c r="K141" s="2"/>
    </row>
    <row r="142" spans="1:11" ht="13.8" x14ac:dyDescent="0.3">
      <c r="A142" s="2" t="s">
        <v>1727</v>
      </c>
      <c r="B142" s="2"/>
      <c r="C142" s="2"/>
      <c r="D142" s="135">
        <v>225</v>
      </c>
      <c r="F142" s="2"/>
      <c r="G142" s="2"/>
      <c r="H142" s="2"/>
      <c r="I142" s="2"/>
      <c r="J142" s="2"/>
      <c r="K142" s="2"/>
    </row>
    <row r="143" spans="1:11" ht="14.4" x14ac:dyDescent="0.3">
      <c r="A143" s="129" t="s">
        <v>1484</v>
      </c>
      <c r="B143"/>
      <c r="C143"/>
      <c r="E143" s="150">
        <f>SUM(D133:D142)</f>
        <v>2656.8900000000003</v>
      </c>
      <c r="F143" s="2"/>
      <c r="G143" s="2">
        <v>0</v>
      </c>
      <c r="H143" s="2">
        <v>0</v>
      </c>
      <c r="I143" s="2">
        <v>0</v>
      </c>
      <c r="J143" s="2">
        <v>0</v>
      </c>
      <c r="K143" s="2">
        <v>0</v>
      </c>
    </row>
    <row r="144" spans="1:11" s="168" customFormat="1" ht="14.4" x14ac:dyDescent="0.3">
      <c r="A144" s="129"/>
      <c r="B144"/>
      <c r="C144"/>
      <c r="D144" s="47"/>
      <c r="E144" s="150"/>
      <c r="F144" s="2"/>
      <c r="G144" s="2"/>
      <c r="H144" s="2"/>
      <c r="I144" s="2"/>
      <c r="J144" s="2"/>
      <c r="K144" s="2"/>
    </row>
    <row r="145" spans="1:11" s="168" customFormat="1" ht="14.4" x14ac:dyDescent="0.3">
      <c r="A145" s="129"/>
      <c r="B145"/>
      <c r="C145"/>
      <c r="D145" s="47"/>
      <c r="E145" s="150"/>
      <c r="F145" s="2"/>
      <c r="G145" s="2"/>
      <c r="H145" s="2"/>
      <c r="I145" s="2"/>
      <c r="J145" s="2"/>
      <c r="K145" s="2"/>
    </row>
    <row r="146" spans="1:11" s="168" customFormat="1" ht="14.4" x14ac:dyDescent="0.3">
      <c r="A146" s="129"/>
      <c r="B146"/>
      <c r="C146"/>
      <c r="D146" s="47"/>
      <c r="E146" s="150"/>
      <c r="F146" s="2"/>
      <c r="G146" s="2"/>
      <c r="H146" s="2"/>
      <c r="I146" s="2"/>
      <c r="J146" s="2"/>
      <c r="K146" s="2"/>
    </row>
    <row r="147" spans="1:11" s="168" customFormat="1" ht="14.4" x14ac:dyDescent="0.3">
      <c r="A147" s="129"/>
      <c r="B147"/>
      <c r="C147"/>
      <c r="D147" s="47"/>
      <c r="E147" s="150"/>
      <c r="F147" s="2"/>
      <c r="G147" s="2"/>
      <c r="H147" s="2"/>
      <c r="I147" s="2"/>
      <c r="J147" s="2"/>
      <c r="K147" s="2"/>
    </row>
    <row r="148" spans="1:11" x14ac:dyDescent="0.25">
      <c r="A148" s="2"/>
      <c r="B148" s="2"/>
      <c r="C148" s="12"/>
      <c r="E148" s="2"/>
      <c r="F148" s="2"/>
      <c r="G148" s="163"/>
      <c r="I148" s="178"/>
      <c r="J148" s="161"/>
      <c r="K148" s="161"/>
    </row>
    <row r="149" spans="1:11" x14ac:dyDescent="0.25">
      <c r="A149" s="2" t="s">
        <v>1844</v>
      </c>
      <c r="B149" s="2"/>
      <c r="C149" s="12"/>
      <c r="E149" s="2"/>
      <c r="F149" s="2">
        <f t="shared" ref="F149:K149" si="1">SUM(F9:F147)</f>
        <v>67244</v>
      </c>
      <c r="G149" s="2">
        <f t="shared" si="1"/>
        <v>252370.47</v>
      </c>
      <c r="H149" s="2">
        <f t="shared" si="1"/>
        <v>232855</v>
      </c>
      <c r="I149" s="2">
        <f>SUM(I9:I147)</f>
        <v>232855</v>
      </c>
      <c r="J149" s="2">
        <f t="shared" si="1"/>
        <v>0</v>
      </c>
      <c r="K149" s="2">
        <f t="shared" si="1"/>
        <v>0</v>
      </c>
    </row>
    <row r="150" spans="1:11" x14ac:dyDescent="0.25">
      <c r="F150" s="2"/>
      <c r="G150" s="2"/>
      <c r="H150" s="2"/>
      <c r="I150" s="2"/>
      <c r="J150" s="2"/>
      <c r="K150" s="2"/>
    </row>
    <row r="151" spans="1:11" x14ac:dyDescent="0.25">
      <c r="I151" s="178"/>
      <c r="J151" s="161"/>
      <c r="K151" s="161"/>
    </row>
    <row r="152" spans="1:11" x14ac:dyDescent="0.25">
      <c r="I152" s="178"/>
      <c r="J152" s="161"/>
      <c r="K152" s="161"/>
    </row>
    <row r="153" spans="1:11" x14ac:dyDescent="0.25">
      <c r="I153" s="178"/>
      <c r="J153" s="161"/>
      <c r="K153" s="161"/>
    </row>
    <row r="154" spans="1:11" x14ac:dyDescent="0.25">
      <c r="I154" s="178"/>
      <c r="J154" s="161"/>
      <c r="K154" s="161"/>
    </row>
    <row r="155" spans="1:11" x14ac:dyDescent="0.25">
      <c r="I155" s="178"/>
      <c r="J155" s="161"/>
      <c r="K155" s="161"/>
    </row>
    <row r="156" spans="1:11" x14ac:dyDescent="0.25">
      <c r="I156" s="178"/>
      <c r="J156" s="161"/>
      <c r="K156" s="161"/>
    </row>
    <row r="157" spans="1:11" x14ac:dyDescent="0.25">
      <c r="I157" s="178"/>
      <c r="J157" s="161"/>
      <c r="K157" s="161"/>
    </row>
    <row r="158" spans="1:11" x14ac:dyDescent="0.25">
      <c r="I158" s="178"/>
      <c r="J158" s="161"/>
      <c r="K158" s="161"/>
    </row>
    <row r="159" spans="1:11" x14ac:dyDescent="0.25">
      <c r="I159" s="178"/>
      <c r="J159" s="161"/>
      <c r="K159" s="161"/>
    </row>
    <row r="160" spans="1:11" x14ac:dyDescent="0.25">
      <c r="I160" s="178"/>
      <c r="J160" s="161"/>
      <c r="K160" s="161"/>
    </row>
    <row r="161" spans="9:11" x14ac:dyDescent="0.25">
      <c r="I161" s="178"/>
      <c r="J161" s="161"/>
      <c r="K161" s="161"/>
    </row>
    <row r="162" spans="9:11" x14ac:dyDescent="0.25">
      <c r="I162" s="178"/>
      <c r="J162" s="161"/>
      <c r="K162" s="161"/>
    </row>
    <row r="163" spans="9:11" x14ac:dyDescent="0.25">
      <c r="I163" s="178"/>
      <c r="J163" s="161"/>
      <c r="K163" s="161"/>
    </row>
    <row r="164" spans="9:11" x14ac:dyDescent="0.25">
      <c r="I164" s="178"/>
      <c r="J164" s="161"/>
      <c r="K164" s="161"/>
    </row>
    <row r="165" spans="9:11" x14ac:dyDescent="0.25">
      <c r="I165" s="178"/>
      <c r="J165" s="161"/>
      <c r="K165" s="161"/>
    </row>
    <row r="166" spans="9:11" x14ac:dyDescent="0.25">
      <c r="I166" s="178"/>
      <c r="J166" s="161"/>
      <c r="K166" s="161"/>
    </row>
    <row r="167" spans="9:11" x14ac:dyDescent="0.25">
      <c r="I167" s="178"/>
      <c r="J167" s="161"/>
      <c r="K167" s="161"/>
    </row>
    <row r="168" spans="9:11" x14ac:dyDescent="0.25">
      <c r="I168" s="178"/>
      <c r="J168" s="161"/>
      <c r="K168" s="161"/>
    </row>
    <row r="169" spans="9:11" x14ac:dyDescent="0.25">
      <c r="I169" s="178"/>
      <c r="J169" s="161"/>
      <c r="K169" s="161"/>
    </row>
    <row r="170" spans="9:11" x14ac:dyDescent="0.25">
      <c r="I170" s="178"/>
      <c r="J170" s="161"/>
      <c r="K170" s="161"/>
    </row>
    <row r="171" spans="9:11" x14ac:dyDescent="0.25">
      <c r="I171" s="178"/>
      <c r="J171" s="161"/>
      <c r="K171" s="161"/>
    </row>
    <row r="172" spans="9:11" x14ac:dyDescent="0.25">
      <c r="I172" s="178"/>
      <c r="J172" s="161"/>
      <c r="K172" s="161"/>
    </row>
    <row r="173" spans="9:11" x14ac:dyDescent="0.25">
      <c r="I173" s="178"/>
      <c r="J173" s="161"/>
      <c r="K173" s="161"/>
    </row>
    <row r="174" spans="9:11" x14ac:dyDescent="0.25">
      <c r="I174" s="178"/>
      <c r="J174" s="161"/>
      <c r="K174" s="161"/>
    </row>
    <row r="175" spans="9:11" x14ac:dyDescent="0.25">
      <c r="I175" s="178"/>
      <c r="J175" s="161"/>
      <c r="K175" s="161"/>
    </row>
    <row r="176" spans="9:11" x14ac:dyDescent="0.25">
      <c r="I176" s="178"/>
      <c r="J176" s="161"/>
      <c r="K176" s="161"/>
    </row>
    <row r="177" spans="9:11" x14ac:dyDescent="0.25">
      <c r="I177" s="178"/>
      <c r="J177" s="161"/>
      <c r="K177" s="161"/>
    </row>
    <row r="178" spans="9:11" x14ac:dyDescent="0.25">
      <c r="I178" s="178"/>
      <c r="J178" s="161"/>
      <c r="K178" s="161"/>
    </row>
    <row r="179" spans="9:11" x14ac:dyDescent="0.25">
      <c r="I179" s="178"/>
      <c r="J179" s="161"/>
      <c r="K179" s="161"/>
    </row>
    <row r="180" spans="9:11" x14ac:dyDescent="0.25">
      <c r="I180" s="178"/>
      <c r="J180" s="161"/>
      <c r="K180" s="161"/>
    </row>
    <row r="181" spans="9:11" x14ac:dyDescent="0.25">
      <c r="I181" s="178"/>
      <c r="J181" s="161"/>
      <c r="K181" s="161"/>
    </row>
    <row r="182" spans="9:11" x14ac:dyDescent="0.25">
      <c r="I182" s="178"/>
      <c r="J182" s="161"/>
      <c r="K182" s="161"/>
    </row>
    <row r="183" spans="9:11" x14ac:dyDescent="0.25">
      <c r="I183" s="178"/>
      <c r="J183" s="161"/>
      <c r="K183" s="161"/>
    </row>
    <row r="184" spans="9:11" x14ac:dyDescent="0.25">
      <c r="I184" s="178"/>
      <c r="J184" s="161"/>
      <c r="K184" s="161"/>
    </row>
    <row r="185" spans="9:11" x14ac:dyDescent="0.25">
      <c r="I185" s="178"/>
      <c r="J185" s="161"/>
      <c r="K185" s="161"/>
    </row>
    <row r="186" spans="9:11" x14ac:dyDescent="0.25">
      <c r="I186" s="178"/>
    </row>
    <row r="187" spans="9:11" x14ac:dyDescent="0.25">
      <c r="I187" s="178"/>
    </row>
    <row r="188" spans="9:11" x14ac:dyDescent="0.25">
      <c r="I188" s="178"/>
    </row>
    <row r="189" spans="9:11" x14ac:dyDescent="0.25">
      <c r="I189" s="178"/>
    </row>
    <row r="190" spans="9:11" x14ac:dyDescent="0.25">
      <c r="I190" s="178"/>
    </row>
    <row r="191" spans="9:11" x14ac:dyDescent="0.25">
      <c r="I191" s="178"/>
    </row>
    <row r="192" spans="9:11" x14ac:dyDescent="0.25">
      <c r="I192" s="178"/>
    </row>
    <row r="193" spans="9:9" x14ac:dyDescent="0.25">
      <c r="I193" s="178"/>
    </row>
  </sheetData>
  <mergeCells count="2">
    <mergeCell ref="A1:J1"/>
    <mergeCell ref="A6:G6"/>
  </mergeCells>
  <printOptions gridLines="1"/>
  <pageMargins left="0.75" right="0.16" top="0.51" bottom="0.22" header="0.5" footer="0"/>
  <pageSetup scale="79" fitToHeight="7" orientation="landscape" r:id="rId1"/>
  <headerFooter alignWithMargins="0"/>
  <rowBreaks count="3" manualBreakCount="3">
    <brk id="43" max="8" man="1"/>
    <brk id="80" max="8" man="1"/>
    <brk id="113"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509"/>
  <sheetViews>
    <sheetView view="pageBreakPreview" topLeftCell="A420" zoomScaleNormal="100" zoomScaleSheetLayoutView="100" workbookViewId="0">
      <selection activeCell="B415" sqref="B415"/>
    </sheetView>
  </sheetViews>
  <sheetFormatPr defaultColWidth="44.5546875" defaultRowHeight="13.2" x14ac:dyDescent="0.25"/>
  <cols>
    <col min="1" max="1" width="59.88671875" style="2" customWidth="1"/>
    <col min="2" max="6" width="10.33203125" style="2" bestFit="1" customWidth="1"/>
    <col min="7" max="7" width="11.6640625" style="2" bestFit="1" customWidth="1"/>
    <col min="8" max="8" width="13.5546875" style="2" bestFit="1" customWidth="1"/>
    <col min="9" max="10" width="10.33203125" style="2" bestFit="1" customWidth="1"/>
    <col min="11" max="16384" width="44.5546875" style="2"/>
  </cols>
  <sheetData>
    <row r="1" spans="1:10" x14ac:dyDescent="0.25">
      <c r="A1" s="194" t="s">
        <v>1791</v>
      </c>
      <c r="B1" s="195"/>
      <c r="C1" s="195"/>
      <c r="D1" s="195"/>
      <c r="E1" s="195"/>
      <c r="F1" s="195"/>
      <c r="G1" s="195"/>
      <c r="H1" s="195"/>
    </row>
    <row r="2" spans="1:10" ht="17.399999999999999" x14ac:dyDescent="0.3">
      <c r="A2" s="155" t="s">
        <v>1951</v>
      </c>
      <c r="B2" s="155"/>
      <c r="C2" s="155"/>
      <c r="D2" s="155"/>
      <c r="E2" s="155"/>
      <c r="F2" s="155"/>
    </row>
    <row r="4" spans="1:10" x14ac:dyDescent="0.25">
      <c r="B4" s="4"/>
      <c r="C4" s="4"/>
      <c r="D4" s="4"/>
      <c r="E4" s="16" t="s">
        <v>232</v>
      </c>
      <c r="F4" s="167" t="s">
        <v>233</v>
      </c>
      <c r="G4" s="16" t="s">
        <v>69</v>
      </c>
      <c r="H4" s="167" t="s">
        <v>399</v>
      </c>
      <c r="I4" s="16" t="s">
        <v>303</v>
      </c>
      <c r="J4" s="16" t="s">
        <v>336</v>
      </c>
    </row>
    <row r="5" spans="1:10" ht="15" x14ac:dyDescent="0.4">
      <c r="E5" s="192" t="s">
        <v>1715</v>
      </c>
      <c r="F5" s="192" t="s">
        <v>1766</v>
      </c>
      <c r="G5" s="192" t="s">
        <v>1985</v>
      </c>
      <c r="H5" s="192" t="s">
        <v>1985</v>
      </c>
      <c r="I5" s="192" t="s">
        <v>1985</v>
      </c>
      <c r="J5" s="192" t="s">
        <v>1985</v>
      </c>
    </row>
    <row r="6" spans="1:10" ht="13.8" x14ac:dyDescent="0.3">
      <c r="A6" s="53" t="s">
        <v>1111</v>
      </c>
      <c r="E6" s="2">
        <v>46702</v>
      </c>
      <c r="F6" s="2">
        <v>46693</v>
      </c>
      <c r="G6" s="2">
        <v>46712</v>
      </c>
      <c r="H6" s="2">
        <v>46712</v>
      </c>
    </row>
    <row r="7" spans="1:10" x14ac:dyDescent="0.25">
      <c r="A7" s="2" t="s">
        <v>434</v>
      </c>
      <c r="B7" s="139">
        <v>52</v>
      </c>
      <c r="C7" s="2">
        <v>881</v>
      </c>
      <c r="D7" s="2">
        <f>+B7*C7</f>
        <v>45812</v>
      </c>
    </row>
    <row r="8" spans="1:10" ht="15" x14ac:dyDescent="0.4">
      <c r="A8" s="2" t="s">
        <v>912</v>
      </c>
      <c r="D8" s="11">
        <v>900</v>
      </c>
    </row>
    <row r="9" spans="1:10" x14ac:dyDescent="0.25">
      <c r="A9" s="2" t="s">
        <v>1182</v>
      </c>
      <c r="D9" s="2">
        <f>SUM(D7:D8)</f>
        <v>46712</v>
      </c>
    </row>
    <row r="11" spans="1:10" ht="13.8" x14ac:dyDescent="0.3">
      <c r="A11" s="53" t="s">
        <v>435</v>
      </c>
      <c r="E11" s="2">
        <v>926593</v>
      </c>
      <c r="F11" s="2">
        <v>946656</v>
      </c>
      <c r="G11" s="2">
        <v>976169</v>
      </c>
      <c r="H11" s="2">
        <v>976169</v>
      </c>
    </row>
    <row r="12" spans="1:10" x14ac:dyDescent="0.25">
      <c r="A12" s="2" t="s">
        <v>436</v>
      </c>
      <c r="B12" s="139">
        <v>52</v>
      </c>
      <c r="C12" s="2">
        <v>2007</v>
      </c>
      <c r="D12" s="2">
        <f>+C12*B12</f>
        <v>104364</v>
      </c>
    </row>
    <row r="13" spans="1:10" x14ac:dyDescent="0.25">
      <c r="A13" s="2" t="s">
        <v>437</v>
      </c>
      <c r="B13" s="139">
        <v>52</v>
      </c>
      <c r="C13" s="2">
        <v>1736</v>
      </c>
      <c r="D13" s="2">
        <f t="shared" ref="D13:D24" si="0">+C13*B13</f>
        <v>90272</v>
      </c>
    </row>
    <row r="14" spans="1:10" x14ac:dyDescent="0.25">
      <c r="A14" s="2" t="s">
        <v>1575</v>
      </c>
      <c r="B14" s="139">
        <v>52</v>
      </c>
      <c r="C14" s="2">
        <v>1648</v>
      </c>
      <c r="D14" s="2">
        <f t="shared" si="0"/>
        <v>85696</v>
      </c>
    </row>
    <row r="15" spans="1:10" x14ac:dyDescent="0.25">
      <c r="A15" s="2" t="s">
        <v>1163</v>
      </c>
      <c r="B15" s="139">
        <v>52</v>
      </c>
      <c r="C15" s="2">
        <v>1421</v>
      </c>
      <c r="D15" s="2">
        <f t="shared" si="0"/>
        <v>73892</v>
      </c>
    </row>
    <row r="16" spans="1:10" x14ac:dyDescent="0.25">
      <c r="A16" s="2" t="s">
        <v>2036</v>
      </c>
      <c r="B16" s="140">
        <v>0</v>
      </c>
      <c r="C16" s="2">
        <v>1578</v>
      </c>
      <c r="D16" s="2">
        <f t="shared" si="0"/>
        <v>0</v>
      </c>
    </row>
    <row r="17" spans="1:10" x14ac:dyDescent="0.25">
      <c r="A17" s="2" t="s">
        <v>438</v>
      </c>
      <c r="B17" s="139">
        <v>52</v>
      </c>
      <c r="C17" s="2">
        <v>1463.7587999999998</v>
      </c>
      <c r="D17" s="2">
        <f t="shared" si="0"/>
        <v>76115.457599999994</v>
      </c>
    </row>
    <row r="18" spans="1:10" x14ac:dyDescent="0.25">
      <c r="A18" s="2" t="s">
        <v>438</v>
      </c>
      <c r="B18" s="139">
        <v>52</v>
      </c>
      <c r="C18" s="2">
        <v>1457.8788</v>
      </c>
      <c r="D18" s="2">
        <f t="shared" si="0"/>
        <v>75809.6976</v>
      </c>
    </row>
    <row r="19" spans="1:10" x14ac:dyDescent="0.25">
      <c r="A19" s="2" t="s">
        <v>438</v>
      </c>
      <c r="B19" s="139">
        <v>52</v>
      </c>
      <c r="C19" s="2">
        <v>1463.7587999999998</v>
      </c>
      <c r="D19" s="2">
        <f t="shared" si="0"/>
        <v>76115.457599999994</v>
      </c>
    </row>
    <row r="20" spans="1:10" x14ac:dyDescent="0.25">
      <c r="A20" s="2" t="s">
        <v>438</v>
      </c>
      <c r="B20" s="139">
        <v>52</v>
      </c>
      <c r="C20" s="2">
        <v>1449.4787999999999</v>
      </c>
      <c r="D20" s="2">
        <f t="shared" si="0"/>
        <v>75372.897599999997</v>
      </c>
    </row>
    <row r="21" spans="1:10" x14ac:dyDescent="0.25">
      <c r="A21" s="2" t="s">
        <v>439</v>
      </c>
      <c r="B21" s="139">
        <v>52</v>
      </c>
      <c r="C21" s="2">
        <v>1334.2601999999999</v>
      </c>
      <c r="D21" s="2">
        <f t="shared" si="0"/>
        <v>69381.530400000003</v>
      </c>
    </row>
    <row r="22" spans="1:10" x14ac:dyDescent="0.25">
      <c r="A22" s="2" t="s">
        <v>439</v>
      </c>
      <c r="B22" s="139">
        <v>52</v>
      </c>
      <c r="C22" s="2">
        <v>1329.2202</v>
      </c>
      <c r="D22" s="2">
        <f t="shared" si="0"/>
        <v>69119.450400000002</v>
      </c>
    </row>
    <row r="23" spans="1:10" x14ac:dyDescent="0.25">
      <c r="A23" s="2" t="s">
        <v>439</v>
      </c>
      <c r="B23" s="139">
        <v>52</v>
      </c>
      <c r="C23" s="2">
        <v>1318.7202</v>
      </c>
      <c r="D23" s="2">
        <f t="shared" si="0"/>
        <v>68573.450400000002</v>
      </c>
    </row>
    <row r="24" spans="1:10" x14ac:dyDescent="0.25">
      <c r="A24" s="2" t="s">
        <v>439</v>
      </c>
      <c r="B24" s="139">
        <v>52</v>
      </c>
      <c r="C24" s="2">
        <v>1318.7202</v>
      </c>
      <c r="D24" s="2">
        <f t="shared" si="0"/>
        <v>68573.450400000002</v>
      </c>
    </row>
    <row r="25" spans="1:10" x14ac:dyDescent="0.25">
      <c r="A25" s="2" t="s">
        <v>440</v>
      </c>
    </row>
    <row r="26" spans="1:10" x14ac:dyDescent="0.25">
      <c r="A26" s="2" t="s">
        <v>2045</v>
      </c>
    </row>
    <row r="27" spans="1:10" x14ac:dyDescent="0.25">
      <c r="A27" s="2" t="s">
        <v>2166</v>
      </c>
      <c r="B27" s="2">
        <v>900</v>
      </c>
      <c r="C27" s="12">
        <f>ROUND(((SUM(D15:D25))/2184)/9,2)</f>
        <v>33.22</v>
      </c>
      <c r="D27" s="2">
        <f>+C27*B27</f>
        <v>29898</v>
      </c>
    </row>
    <row r="28" spans="1:10" ht="15" x14ac:dyDescent="0.4">
      <c r="A28" s="2" t="s">
        <v>912</v>
      </c>
      <c r="D28" s="11">
        <v>12986</v>
      </c>
    </row>
    <row r="29" spans="1:10" x14ac:dyDescent="0.25">
      <c r="A29" s="2" t="s">
        <v>1182</v>
      </c>
      <c r="D29" s="2">
        <f>SUM(D12:D28)</f>
        <v>976169.39199999999</v>
      </c>
    </row>
    <row r="31" spans="1:10" ht="13.8" x14ac:dyDescent="0.3">
      <c r="A31" s="53" t="s">
        <v>1060</v>
      </c>
      <c r="E31" s="2">
        <v>1263162</v>
      </c>
      <c r="F31" s="2">
        <v>1619959</v>
      </c>
      <c r="G31" s="2">
        <v>1681110</v>
      </c>
      <c r="H31" s="2">
        <v>1689327</v>
      </c>
    </row>
    <row r="32" spans="1:10" x14ac:dyDescent="0.25">
      <c r="A32" s="172" t="s">
        <v>1558</v>
      </c>
      <c r="B32" s="139">
        <v>52</v>
      </c>
      <c r="C32" s="140">
        <v>1095</v>
      </c>
      <c r="D32" s="2">
        <f t="shared" ref="D32:D55" si="1">+C32*B32</f>
        <v>56940</v>
      </c>
      <c r="F32" s="139"/>
      <c r="G32" s="140"/>
      <c r="H32" s="140"/>
      <c r="J32" s="139"/>
    </row>
    <row r="33" spans="1:10" x14ac:dyDescent="0.25">
      <c r="A33" s="172" t="s">
        <v>1558</v>
      </c>
      <c r="B33" s="139">
        <v>52</v>
      </c>
      <c r="C33" s="140">
        <v>1094.94</v>
      </c>
      <c r="D33" s="2">
        <f t="shared" si="1"/>
        <v>56936.880000000005</v>
      </c>
      <c r="F33" s="139"/>
      <c r="G33" s="140"/>
      <c r="H33" s="140"/>
      <c r="J33" s="139"/>
    </row>
    <row r="34" spans="1:10" x14ac:dyDescent="0.25">
      <c r="A34" s="172" t="s">
        <v>1558</v>
      </c>
      <c r="B34" s="139">
        <v>52</v>
      </c>
      <c r="C34" s="140">
        <v>1094.94</v>
      </c>
      <c r="D34" s="2">
        <f t="shared" si="1"/>
        <v>56936.880000000005</v>
      </c>
      <c r="F34" s="139"/>
      <c r="G34" s="140"/>
      <c r="H34" s="140"/>
      <c r="J34" s="139"/>
    </row>
    <row r="35" spans="1:10" x14ac:dyDescent="0.25">
      <c r="A35" s="172" t="s">
        <v>1558</v>
      </c>
      <c r="B35" s="139">
        <v>52</v>
      </c>
      <c r="C35" s="140">
        <v>1101.6600000000001</v>
      </c>
      <c r="D35" s="2">
        <f t="shared" si="1"/>
        <v>57286.320000000007</v>
      </c>
      <c r="F35" s="139"/>
      <c r="G35" s="140"/>
      <c r="H35" s="140"/>
      <c r="J35" s="139"/>
    </row>
    <row r="36" spans="1:10" x14ac:dyDescent="0.25">
      <c r="A36" s="172" t="s">
        <v>1559</v>
      </c>
      <c r="B36" s="139">
        <v>52</v>
      </c>
      <c r="C36" s="140">
        <v>1005.9</v>
      </c>
      <c r="D36" s="2">
        <f t="shared" si="1"/>
        <v>52306.799999999996</v>
      </c>
      <c r="F36" s="139"/>
      <c r="G36" s="140"/>
      <c r="H36" s="140"/>
      <c r="J36" s="139"/>
    </row>
    <row r="37" spans="1:10" x14ac:dyDescent="0.25">
      <c r="A37" s="172" t="s">
        <v>1559</v>
      </c>
      <c r="B37" s="139">
        <v>52</v>
      </c>
      <c r="C37" s="140">
        <v>1113.8399999999999</v>
      </c>
      <c r="D37" s="2">
        <f t="shared" si="1"/>
        <v>57919.679999999993</v>
      </c>
      <c r="F37" s="139"/>
      <c r="G37" s="140"/>
      <c r="H37" s="140"/>
      <c r="J37" s="139"/>
    </row>
    <row r="38" spans="1:10" x14ac:dyDescent="0.25">
      <c r="A38" s="172" t="s">
        <v>1559</v>
      </c>
      <c r="B38" s="139">
        <v>52</v>
      </c>
      <c r="C38" s="140">
        <v>1005.9</v>
      </c>
      <c r="D38" s="2">
        <f t="shared" si="1"/>
        <v>52306.799999999996</v>
      </c>
      <c r="F38" s="139"/>
      <c r="G38" s="140"/>
      <c r="H38" s="140"/>
      <c r="J38" s="139"/>
    </row>
    <row r="39" spans="1:10" x14ac:dyDescent="0.25">
      <c r="A39" s="172" t="s">
        <v>1559</v>
      </c>
      <c r="B39" s="139">
        <v>52</v>
      </c>
      <c r="C39" s="140">
        <v>1078.98</v>
      </c>
      <c r="D39" s="2">
        <f t="shared" si="1"/>
        <v>56106.96</v>
      </c>
      <c r="F39" s="139"/>
      <c r="G39" s="140"/>
      <c r="H39" s="140"/>
      <c r="J39" s="139"/>
    </row>
    <row r="40" spans="1:10" x14ac:dyDescent="0.25">
      <c r="A40" s="172" t="s">
        <v>1559</v>
      </c>
      <c r="B40" s="139">
        <v>52</v>
      </c>
      <c r="C40" s="140">
        <v>1005.9</v>
      </c>
      <c r="D40" s="2">
        <f t="shared" si="1"/>
        <v>52306.799999999996</v>
      </c>
      <c r="F40" s="139"/>
      <c r="G40" s="140"/>
      <c r="H40" s="140"/>
      <c r="J40" s="139"/>
    </row>
    <row r="41" spans="1:10" x14ac:dyDescent="0.25">
      <c r="A41" s="172" t="s">
        <v>1559</v>
      </c>
      <c r="B41" s="139">
        <v>52</v>
      </c>
      <c r="C41" s="140">
        <v>1005.9</v>
      </c>
      <c r="D41" s="2">
        <f t="shared" si="1"/>
        <v>52306.799999999996</v>
      </c>
      <c r="F41" s="139"/>
      <c r="G41" s="140"/>
      <c r="H41" s="140"/>
      <c r="J41" s="139"/>
    </row>
    <row r="42" spans="1:10" x14ac:dyDescent="0.25">
      <c r="A42" s="172" t="s">
        <v>1559</v>
      </c>
      <c r="B42" s="139">
        <v>52</v>
      </c>
      <c r="C42" s="140">
        <v>1068.8999999999999</v>
      </c>
      <c r="D42" s="2">
        <f t="shared" si="1"/>
        <v>55582.799999999996</v>
      </c>
      <c r="F42" s="139"/>
      <c r="G42" s="140"/>
      <c r="H42" s="140"/>
      <c r="J42" s="139"/>
    </row>
    <row r="43" spans="1:10" x14ac:dyDescent="0.25">
      <c r="A43" s="172" t="s">
        <v>1559</v>
      </c>
      <c r="B43" s="139">
        <v>52</v>
      </c>
      <c r="C43" s="140">
        <v>1095</v>
      </c>
      <c r="D43" s="2">
        <f t="shared" si="1"/>
        <v>56940</v>
      </c>
      <c r="F43" s="139"/>
      <c r="G43" s="140"/>
      <c r="H43" s="140"/>
      <c r="J43" s="139"/>
    </row>
    <row r="44" spans="1:10" x14ac:dyDescent="0.25">
      <c r="A44" s="172" t="s">
        <v>1559</v>
      </c>
      <c r="B44" s="139">
        <v>52</v>
      </c>
      <c r="C44" s="140">
        <v>1050.8399999999999</v>
      </c>
      <c r="D44" s="2">
        <f t="shared" si="1"/>
        <v>54643.679999999993</v>
      </c>
      <c r="F44" s="139"/>
      <c r="G44" s="140"/>
      <c r="H44" s="140"/>
      <c r="J44" s="139"/>
    </row>
    <row r="45" spans="1:10" x14ac:dyDescent="0.25">
      <c r="A45" s="172" t="s">
        <v>1559</v>
      </c>
      <c r="B45" s="139">
        <v>52</v>
      </c>
      <c r="C45" s="140">
        <v>1005.9</v>
      </c>
      <c r="D45" s="2">
        <f t="shared" si="1"/>
        <v>52306.799999999996</v>
      </c>
      <c r="F45" s="139"/>
      <c r="G45" s="140"/>
      <c r="H45" s="140"/>
      <c r="J45" s="139"/>
    </row>
    <row r="46" spans="1:10" x14ac:dyDescent="0.25">
      <c r="A46" s="172" t="s">
        <v>1559</v>
      </c>
      <c r="B46" s="139">
        <v>52</v>
      </c>
      <c r="C46" s="140">
        <v>1005.9</v>
      </c>
      <c r="D46" s="2">
        <f t="shared" si="1"/>
        <v>52306.799999999996</v>
      </c>
      <c r="F46" s="139"/>
      <c r="G46" s="140"/>
      <c r="H46" s="140"/>
      <c r="J46" s="139"/>
    </row>
    <row r="47" spans="1:10" x14ac:dyDescent="0.25">
      <c r="A47" s="172" t="s">
        <v>1559</v>
      </c>
      <c r="B47" s="139">
        <v>52</v>
      </c>
      <c r="C47" s="140">
        <v>1005.9</v>
      </c>
      <c r="D47" s="2">
        <f t="shared" si="1"/>
        <v>52306.799999999996</v>
      </c>
      <c r="F47" s="139"/>
      <c r="G47" s="140"/>
      <c r="H47" s="140"/>
      <c r="J47" s="139"/>
    </row>
    <row r="48" spans="1:10" x14ac:dyDescent="0.25">
      <c r="A48" s="172" t="s">
        <v>1559</v>
      </c>
      <c r="B48" s="139">
        <v>52</v>
      </c>
      <c r="C48" s="140">
        <v>1050.42</v>
      </c>
      <c r="D48" s="2">
        <f t="shared" si="1"/>
        <v>54621.840000000004</v>
      </c>
      <c r="F48" s="139"/>
      <c r="G48" s="140"/>
      <c r="H48" s="140"/>
      <c r="J48" s="139"/>
    </row>
    <row r="49" spans="1:10" x14ac:dyDescent="0.25">
      <c r="A49" s="172" t="s">
        <v>1559</v>
      </c>
      <c r="B49" s="139">
        <v>52</v>
      </c>
      <c r="C49" s="140">
        <v>1005.9</v>
      </c>
      <c r="D49" s="2">
        <f t="shared" si="1"/>
        <v>52306.799999999996</v>
      </c>
      <c r="F49" s="139"/>
      <c r="G49" s="140"/>
      <c r="H49" s="140"/>
      <c r="J49" s="139"/>
    </row>
    <row r="50" spans="1:10" x14ac:dyDescent="0.25">
      <c r="A50" s="172" t="s">
        <v>1557</v>
      </c>
      <c r="B50" s="139">
        <v>52</v>
      </c>
      <c r="C50" s="140">
        <v>1208.76</v>
      </c>
      <c r="D50" s="2">
        <f t="shared" si="1"/>
        <v>62855.519999999997</v>
      </c>
      <c r="F50" s="139"/>
      <c r="G50" s="140"/>
      <c r="H50" s="140"/>
      <c r="J50" s="139"/>
    </row>
    <row r="51" spans="1:10" x14ac:dyDescent="0.25">
      <c r="A51" s="172" t="s">
        <v>1557</v>
      </c>
      <c r="B51" s="139">
        <v>52</v>
      </c>
      <c r="C51" s="2">
        <v>1200.78</v>
      </c>
      <c r="D51" s="2">
        <f t="shared" si="1"/>
        <v>62440.56</v>
      </c>
      <c r="F51" s="139"/>
      <c r="G51" s="140"/>
      <c r="H51" s="140"/>
      <c r="J51" s="139"/>
    </row>
    <row r="52" spans="1:10" x14ac:dyDescent="0.25">
      <c r="A52" s="172" t="s">
        <v>1557</v>
      </c>
      <c r="B52" s="139">
        <v>52</v>
      </c>
      <c r="C52" s="140">
        <v>1202.8800000000001</v>
      </c>
      <c r="D52" s="2">
        <f t="shared" si="1"/>
        <v>62549.760000000009</v>
      </c>
      <c r="F52" s="139"/>
      <c r="G52" s="140"/>
      <c r="H52" s="140"/>
      <c r="J52" s="139"/>
    </row>
    <row r="53" spans="1:10" x14ac:dyDescent="0.25">
      <c r="A53" s="172" t="s">
        <v>1557</v>
      </c>
      <c r="B53" s="139">
        <v>52</v>
      </c>
      <c r="C53" s="140">
        <v>1155</v>
      </c>
      <c r="D53" s="2">
        <f t="shared" si="1"/>
        <v>60060</v>
      </c>
      <c r="F53" s="139"/>
      <c r="G53" s="140"/>
      <c r="H53" s="140"/>
      <c r="J53" s="139"/>
    </row>
    <row r="54" spans="1:10" x14ac:dyDescent="0.25">
      <c r="A54" s="172" t="s">
        <v>1557</v>
      </c>
      <c r="B54" s="139">
        <v>52</v>
      </c>
      <c r="C54" s="140">
        <v>1199.94</v>
      </c>
      <c r="D54" s="2">
        <f t="shared" si="1"/>
        <v>62396.880000000005</v>
      </c>
      <c r="F54" s="139"/>
      <c r="G54" s="140"/>
      <c r="H54" s="140"/>
      <c r="J54" s="139"/>
    </row>
    <row r="55" spans="1:10" x14ac:dyDescent="0.25">
      <c r="A55" s="172" t="s">
        <v>1557</v>
      </c>
      <c r="B55" s="139">
        <v>52</v>
      </c>
      <c r="C55" s="140">
        <v>1190.28</v>
      </c>
      <c r="D55" s="2">
        <f t="shared" si="1"/>
        <v>61894.559999999998</v>
      </c>
      <c r="F55" s="8"/>
      <c r="G55" s="8"/>
      <c r="H55" s="8"/>
      <c r="J55" s="8"/>
    </row>
    <row r="56" spans="1:10" x14ac:dyDescent="0.25">
      <c r="A56" s="172" t="s">
        <v>1557</v>
      </c>
      <c r="B56" s="139">
        <v>52</v>
      </c>
      <c r="C56" s="140">
        <v>1217.58</v>
      </c>
      <c r="D56" s="2">
        <f>+C56*B56</f>
        <v>63314.159999999996</v>
      </c>
      <c r="F56" s="8"/>
      <c r="G56" s="8"/>
      <c r="H56" s="8"/>
      <c r="J56" s="8"/>
    </row>
    <row r="57" spans="1:10" x14ac:dyDescent="0.25">
      <c r="A57" s="172" t="s">
        <v>1557</v>
      </c>
      <c r="B57" s="139">
        <v>52</v>
      </c>
      <c r="C57" s="140">
        <v>1180</v>
      </c>
      <c r="D57" s="2">
        <f>+C57*B57</f>
        <v>61360</v>
      </c>
      <c r="F57" s="8"/>
      <c r="G57" s="8"/>
      <c r="H57" s="8"/>
      <c r="J57" s="8"/>
    </row>
    <row r="58" spans="1:10" x14ac:dyDescent="0.25">
      <c r="A58" s="172" t="s">
        <v>1784</v>
      </c>
      <c r="B58" s="139">
        <v>52</v>
      </c>
      <c r="C58" s="140">
        <v>1252.02</v>
      </c>
      <c r="D58" s="2">
        <f>+C58*B58</f>
        <v>65105.04</v>
      </c>
      <c r="F58" s="8"/>
      <c r="G58" s="8"/>
      <c r="H58" s="8"/>
      <c r="J58" s="8"/>
    </row>
    <row r="59" spans="1:10" x14ac:dyDescent="0.25">
      <c r="A59" s="172" t="s">
        <v>1784</v>
      </c>
      <c r="B59" s="139">
        <v>52</v>
      </c>
      <c r="C59" s="140">
        <v>1264.2</v>
      </c>
      <c r="D59" s="2">
        <f>+C59*B59</f>
        <v>65738.400000000009</v>
      </c>
      <c r="F59" s="8"/>
      <c r="G59" s="8"/>
      <c r="H59" s="8"/>
      <c r="J59" s="8"/>
    </row>
    <row r="60" spans="1:10" x14ac:dyDescent="0.25">
      <c r="A60" s="2" t="s">
        <v>1981</v>
      </c>
      <c r="B60" s="2">
        <v>2800</v>
      </c>
      <c r="C60" s="12">
        <f>(AVERAGE(D32:D59))/2184</f>
        <v>26.329217687074831</v>
      </c>
      <c r="D60" s="2">
        <f>+C60*B60</f>
        <v>73721.809523809527</v>
      </c>
    </row>
    <row r="61" spans="1:10" ht="15" x14ac:dyDescent="0.4">
      <c r="A61" s="2" t="s">
        <v>912</v>
      </c>
      <c r="D61" s="11">
        <v>5521</v>
      </c>
    </row>
    <row r="62" spans="1:10" x14ac:dyDescent="0.25">
      <c r="A62" s="2" t="s">
        <v>1174</v>
      </c>
    </row>
    <row r="63" spans="1:10" x14ac:dyDescent="0.25">
      <c r="A63" s="2" t="s">
        <v>1182</v>
      </c>
      <c r="C63" s="12"/>
      <c r="D63" s="2">
        <f>SUM(D32:D62)</f>
        <v>1689327.1295238095</v>
      </c>
    </row>
    <row r="64" spans="1:10" x14ac:dyDescent="0.25">
      <c r="C64" s="12"/>
    </row>
    <row r="65" spans="1:8" ht="13.8" x14ac:dyDescent="0.3">
      <c r="A65" s="62" t="s">
        <v>911</v>
      </c>
      <c r="B65" s="2" t="s">
        <v>574</v>
      </c>
      <c r="C65" s="12" t="s">
        <v>575</v>
      </c>
      <c r="D65" s="2" t="s">
        <v>573</v>
      </c>
      <c r="E65" s="2">
        <v>227436</v>
      </c>
      <c r="F65" s="2">
        <v>178397</v>
      </c>
      <c r="G65" s="2">
        <v>251875.99670634919</v>
      </c>
      <c r="H65" s="2">
        <v>197197</v>
      </c>
    </row>
    <row r="66" spans="1:8" x14ac:dyDescent="0.25">
      <c r="A66" s="2" t="s">
        <v>1585</v>
      </c>
      <c r="B66" s="2">
        <v>800</v>
      </c>
      <c r="C66" s="12">
        <f>+SUM(D15:D25)/2184*1.5/9</f>
        <v>49.828555555555553</v>
      </c>
      <c r="D66" s="2">
        <f>C66*B66</f>
        <v>39862.844444444439</v>
      </c>
    </row>
    <row r="67" spans="1:8" x14ac:dyDescent="0.25">
      <c r="A67" s="2" t="s">
        <v>1738</v>
      </c>
      <c r="B67" s="2">
        <f>64.5+2417</f>
        <v>2481.5</v>
      </c>
      <c r="C67" s="12">
        <f>+C66</f>
        <v>49.828555555555553</v>
      </c>
      <c r="D67" s="2">
        <f>C67*B67</f>
        <v>123649.56061111111</v>
      </c>
    </row>
    <row r="68" spans="1:8" x14ac:dyDescent="0.25">
      <c r="A68" s="2" t="s">
        <v>2014</v>
      </c>
      <c r="B68" s="2">
        <v>0</v>
      </c>
      <c r="C68" s="12">
        <f>+C67</f>
        <v>49.828555555555553</v>
      </c>
      <c r="D68" s="2">
        <f>C68*B68</f>
        <v>0</v>
      </c>
    </row>
    <row r="69" spans="1:8" x14ac:dyDescent="0.25">
      <c r="A69" s="142" t="s">
        <v>1869</v>
      </c>
      <c r="B69" s="142">
        <v>0</v>
      </c>
      <c r="C69" s="12">
        <f>+C67</f>
        <v>49.828555555555553</v>
      </c>
      <c r="D69" s="138">
        <f t="shared" ref="D69:D71" si="2">C69*B69</f>
        <v>0</v>
      </c>
    </row>
    <row r="70" spans="1:8" x14ac:dyDescent="0.25">
      <c r="A70" s="138" t="s">
        <v>1870</v>
      </c>
      <c r="B70" s="138">
        <v>96</v>
      </c>
      <c r="C70" s="12">
        <f>+C69</f>
        <v>49.828555555555553</v>
      </c>
      <c r="D70" s="138">
        <f t="shared" si="2"/>
        <v>4783.5413333333327</v>
      </c>
    </row>
    <row r="71" spans="1:8" x14ac:dyDescent="0.25">
      <c r="A71" s="2" t="s">
        <v>1871</v>
      </c>
      <c r="B71" s="2">
        <v>0</v>
      </c>
      <c r="C71" s="12">
        <f>+C70</f>
        <v>49.828555555555553</v>
      </c>
      <c r="D71" s="2">
        <f t="shared" si="2"/>
        <v>0</v>
      </c>
    </row>
    <row r="72" spans="1:8" x14ac:dyDescent="0.25">
      <c r="A72" s="2" t="s">
        <v>1586</v>
      </c>
      <c r="B72" s="2">
        <v>480</v>
      </c>
      <c r="C72" s="12">
        <f>+C66</f>
        <v>49.828555555555553</v>
      </c>
      <c r="D72" s="2">
        <f>+B72*C72</f>
        <v>23917.706666666665</v>
      </c>
    </row>
    <row r="73" spans="1:8" ht="15" x14ac:dyDescent="0.4">
      <c r="A73" s="2" t="s">
        <v>1507</v>
      </c>
      <c r="B73" s="2">
        <v>100</v>
      </c>
      <c r="C73" s="12">
        <f>+C66</f>
        <v>49.828555555555553</v>
      </c>
      <c r="D73" s="11">
        <f>+B73*C73</f>
        <v>4982.8555555555549</v>
      </c>
    </row>
    <row r="74" spans="1:8" x14ac:dyDescent="0.25">
      <c r="A74" s="2" t="s">
        <v>1182</v>
      </c>
      <c r="C74" s="12"/>
      <c r="D74" s="2">
        <f>SUM(D66:D73)</f>
        <v>197196.50861111109</v>
      </c>
    </row>
    <row r="75" spans="1:8" x14ac:dyDescent="0.25">
      <c r="C75" s="12"/>
    </row>
    <row r="76" spans="1:8" ht="13.8" x14ac:dyDescent="0.3">
      <c r="A76" s="62" t="s">
        <v>480</v>
      </c>
      <c r="B76" s="2" t="s">
        <v>574</v>
      </c>
      <c r="C76" s="12" t="s">
        <v>575</v>
      </c>
      <c r="D76" s="2" t="s">
        <v>573</v>
      </c>
      <c r="E76" s="2">
        <v>112187</v>
      </c>
      <c r="F76" s="2">
        <v>154155</v>
      </c>
      <c r="G76" s="2">
        <v>154155</v>
      </c>
      <c r="H76" s="2">
        <v>154155</v>
      </c>
    </row>
    <row r="77" spans="1:8" x14ac:dyDescent="0.25">
      <c r="A77" s="2" t="s">
        <v>1576</v>
      </c>
      <c r="B77" s="2">
        <v>2080</v>
      </c>
      <c r="C77" s="12">
        <v>16</v>
      </c>
      <c r="D77" s="2">
        <f>+B77*C77</f>
        <v>33280</v>
      </c>
    </row>
    <row r="78" spans="1:8" x14ac:dyDescent="0.25">
      <c r="A78" s="2" t="s">
        <v>1577</v>
      </c>
      <c r="B78" s="2">
        <v>2080</v>
      </c>
      <c r="C78" s="12">
        <v>16</v>
      </c>
      <c r="D78" s="2">
        <f t="shared" ref="D78:D83" si="3">+B78*C78</f>
        <v>33280</v>
      </c>
    </row>
    <row r="79" spans="1:8" x14ac:dyDescent="0.25">
      <c r="A79" s="2" t="s">
        <v>1578</v>
      </c>
      <c r="B79" s="16">
        <v>832</v>
      </c>
      <c r="C79" s="38">
        <v>16</v>
      </c>
      <c r="D79" s="2">
        <f t="shared" si="3"/>
        <v>13312</v>
      </c>
    </row>
    <row r="80" spans="1:8" x14ac:dyDescent="0.25">
      <c r="A80" s="2" t="s">
        <v>1579</v>
      </c>
      <c r="B80" s="2">
        <v>832</v>
      </c>
      <c r="C80" s="22">
        <v>16</v>
      </c>
      <c r="D80" s="2">
        <f t="shared" si="3"/>
        <v>13312</v>
      </c>
    </row>
    <row r="81" spans="1:8" x14ac:dyDescent="0.25">
      <c r="A81" s="2" t="s">
        <v>1580</v>
      </c>
      <c r="B81" s="2">
        <v>0</v>
      </c>
      <c r="C81" s="12">
        <v>16</v>
      </c>
      <c r="D81" s="2">
        <f t="shared" si="3"/>
        <v>0</v>
      </c>
    </row>
    <row r="82" spans="1:8" x14ac:dyDescent="0.25">
      <c r="A82" s="2" t="s">
        <v>1581</v>
      </c>
      <c r="B82" s="2">
        <v>192</v>
      </c>
      <c r="C82" s="22">
        <v>16</v>
      </c>
      <c r="D82" s="2">
        <f t="shared" si="3"/>
        <v>3072</v>
      </c>
    </row>
    <row r="83" spans="1:8" x14ac:dyDescent="0.25">
      <c r="A83" s="2" t="s">
        <v>1582</v>
      </c>
      <c r="B83" s="2">
        <v>1248</v>
      </c>
      <c r="C83" s="22">
        <v>21.79</v>
      </c>
      <c r="D83" s="2">
        <f t="shared" si="3"/>
        <v>27193.919999999998</v>
      </c>
    </row>
    <row r="84" spans="1:8" x14ac:dyDescent="0.25">
      <c r="A84" s="4" t="s">
        <v>1316</v>
      </c>
      <c r="B84" s="16"/>
      <c r="C84" s="38"/>
    </row>
    <row r="85" spans="1:8" x14ac:dyDescent="0.25">
      <c r="A85" s="2" t="s">
        <v>320</v>
      </c>
      <c r="B85" s="2">
        <v>1200</v>
      </c>
      <c r="C85" s="22">
        <v>11.7</v>
      </c>
      <c r="D85" s="2">
        <f>+B85*C85</f>
        <v>14040</v>
      </c>
    </row>
    <row r="86" spans="1:8" x14ac:dyDescent="0.25">
      <c r="A86" s="52" t="s">
        <v>584</v>
      </c>
      <c r="B86" s="2">
        <v>200</v>
      </c>
      <c r="C86" s="22">
        <v>17.55</v>
      </c>
      <c r="D86" s="2">
        <f>+B86*C86</f>
        <v>3510</v>
      </c>
    </row>
    <row r="87" spans="1:8" x14ac:dyDescent="0.25">
      <c r="A87" s="24"/>
      <c r="B87" s="16"/>
      <c r="C87" s="38"/>
    </row>
    <row r="88" spans="1:8" ht="15" x14ac:dyDescent="0.4">
      <c r="A88" s="2" t="s">
        <v>1508</v>
      </c>
      <c r="B88" s="2">
        <v>877</v>
      </c>
      <c r="C88" s="12">
        <v>15</v>
      </c>
      <c r="D88" s="11">
        <f>+B88*C88</f>
        <v>13155</v>
      </c>
    </row>
    <row r="89" spans="1:8" ht="13.8" x14ac:dyDescent="0.3">
      <c r="A89" s="54" t="s">
        <v>1182</v>
      </c>
      <c r="C89" s="12"/>
      <c r="D89" s="2">
        <f>SUM(D77:D88)</f>
        <v>154154.91999999998</v>
      </c>
    </row>
    <row r="90" spans="1:8" x14ac:dyDescent="0.25">
      <c r="C90" s="12"/>
    </row>
    <row r="91" spans="1:8" ht="13.8" x14ac:dyDescent="0.3">
      <c r="A91" s="62" t="s">
        <v>1442</v>
      </c>
      <c r="B91" s="2" t="s">
        <v>574</v>
      </c>
      <c r="C91" s="12" t="s">
        <v>575</v>
      </c>
      <c r="D91" s="2" t="s">
        <v>573</v>
      </c>
      <c r="E91" s="2">
        <v>452466</v>
      </c>
      <c r="F91" s="2">
        <v>350048</v>
      </c>
      <c r="G91" s="2">
        <v>349461.47193746734</v>
      </c>
      <c r="H91" s="2">
        <v>358306</v>
      </c>
    </row>
    <row r="92" spans="1:8" x14ac:dyDescent="0.25">
      <c r="A92" s="2" t="s">
        <v>1936</v>
      </c>
      <c r="B92" s="2">
        <v>1700</v>
      </c>
      <c r="C92" s="12">
        <f>+C60*1.5</f>
        <v>39.493826530612246</v>
      </c>
      <c r="D92" s="2">
        <f>ROUND(B92*C92,0)</f>
        <v>67140</v>
      </c>
      <c r="E92" s="12"/>
    </row>
    <row r="93" spans="1:8" x14ac:dyDescent="0.25">
      <c r="A93" s="2" t="s">
        <v>1937</v>
      </c>
      <c r="B93" s="2">
        <f>-137+4900</f>
        <v>4763</v>
      </c>
      <c r="C93" s="12">
        <f>+C92</f>
        <v>39.493826530612246</v>
      </c>
      <c r="D93" s="2">
        <f>ROUND(B93*C93,0)</f>
        <v>188109</v>
      </c>
      <c r="E93" s="12"/>
    </row>
    <row r="94" spans="1:8" x14ac:dyDescent="0.25">
      <c r="A94" s="2" t="s">
        <v>1872</v>
      </c>
      <c r="B94" s="2">
        <v>0</v>
      </c>
      <c r="C94" s="12">
        <f>+C92</f>
        <v>39.493826530612246</v>
      </c>
      <c r="D94" s="2">
        <f>C94*B94</f>
        <v>0</v>
      </c>
      <c r="E94" s="12"/>
    </row>
    <row r="95" spans="1:8" x14ac:dyDescent="0.25">
      <c r="A95" s="2" t="s">
        <v>1980</v>
      </c>
      <c r="B95" s="2">
        <v>1680</v>
      </c>
      <c r="C95" s="12">
        <f>+C92</f>
        <v>39.493826530612246</v>
      </c>
      <c r="D95" s="2">
        <f>+B95*C95</f>
        <v>66349.628571428577</v>
      </c>
      <c r="E95" s="12"/>
    </row>
    <row r="96" spans="1:8" ht="13.8" x14ac:dyDescent="0.3">
      <c r="A96" s="148" t="s">
        <v>1873</v>
      </c>
      <c r="C96" s="12"/>
      <c r="E96" s="12"/>
    </row>
    <row r="97" spans="1:8" x14ac:dyDescent="0.25">
      <c r="A97" s="2" t="s">
        <v>1874</v>
      </c>
      <c r="B97" s="2">
        <v>192</v>
      </c>
      <c r="C97" s="12">
        <f>+C93</f>
        <v>39.493826530612246</v>
      </c>
      <c r="D97" s="2">
        <f>+B97*C97</f>
        <v>7582.8146938775517</v>
      </c>
      <c r="E97" s="12"/>
    </row>
    <row r="98" spans="1:8" x14ac:dyDescent="0.25">
      <c r="A98" s="2" t="s">
        <v>1583</v>
      </c>
      <c r="B98" s="2">
        <v>96</v>
      </c>
      <c r="C98" s="12">
        <f>+C92</f>
        <v>39.493826530612246</v>
      </c>
      <c r="D98" s="2">
        <f>C98*B98</f>
        <v>3791.4073469387758</v>
      </c>
      <c r="E98" s="12"/>
    </row>
    <row r="99" spans="1:8" x14ac:dyDescent="0.25">
      <c r="A99" s="138" t="s">
        <v>1875</v>
      </c>
      <c r="B99" s="138">
        <v>216</v>
      </c>
      <c r="C99" s="141">
        <f>+C98</f>
        <v>39.493826530612246</v>
      </c>
      <c r="D99" s="138">
        <v>7916.5102040816309</v>
      </c>
      <c r="E99" s="12"/>
    </row>
    <row r="100" spans="1:8" x14ac:dyDescent="0.25">
      <c r="A100" s="52" t="s">
        <v>1449</v>
      </c>
      <c r="B100" s="52">
        <v>192</v>
      </c>
      <c r="C100" s="12">
        <f>+C92</f>
        <v>39.493826530612246</v>
      </c>
      <c r="D100" s="2">
        <f>+B100*C100</f>
        <v>7582.8146938775517</v>
      </c>
      <c r="E100" s="12"/>
    </row>
    <row r="101" spans="1:8" x14ac:dyDescent="0.25">
      <c r="A101" s="52" t="s">
        <v>1584</v>
      </c>
      <c r="B101" s="52">
        <v>169</v>
      </c>
      <c r="C101" s="12">
        <f>+C93</f>
        <v>39.493826530612246</v>
      </c>
      <c r="D101" s="2">
        <f>+B101*C101</f>
        <v>6674.4566836734693</v>
      </c>
      <c r="E101" s="12"/>
    </row>
    <row r="102" spans="1:8" ht="15" x14ac:dyDescent="0.4">
      <c r="A102" s="51" t="s">
        <v>1876</v>
      </c>
      <c r="B102" s="2">
        <v>80</v>
      </c>
      <c r="C102" s="141">
        <f>+C101</f>
        <v>39.493826530612246</v>
      </c>
      <c r="D102" s="11">
        <f>+B102*C102</f>
        <v>3159.5061224489796</v>
      </c>
      <c r="E102" s="12"/>
    </row>
    <row r="103" spans="1:8" x14ac:dyDescent="0.25">
      <c r="A103" s="51" t="s">
        <v>1182</v>
      </c>
      <c r="C103" s="14"/>
      <c r="D103" s="2">
        <f>SUM(D92:D102)</f>
        <v>358306.1383163266</v>
      </c>
    </row>
    <row r="104" spans="1:8" x14ac:dyDescent="0.25">
      <c r="A104" s="51"/>
      <c r="C104" s="14"/>
    </row>
    <row r="105" spans="1:8" ht="12.6" customHeight="1" x14ac:dyDescent="0.4">
      <c r="A105" s="62" t="s">
        <v>843</v>
      </c>
      <c r="C105" s="14"/>
      <c r="D105" s="11"/>
      <c r="E105" s="2">
        <v>54685</v>
      </c>
      <c r="F105" s="2">
        <v>60262</v>
      </c>
      <c r="G105" s="2">
        <v>64295.383917430576</v>
      </c>
      <c r="H105" s="2">
        <v>62071</v>
      </c>
    </row>
    <row r="106" spans="1:8" ht="12.6" hidden="1" customHeight="1" x14ac:dyDescent="0.25">
      <c r="A106" s="2" t="s">
        <v>844</v>
      </c>
      <c r="B106" s="2">
        <f>+D9</f>
        <v>46712</v>
      </c>
      <c r="C106" s="84">
        <v>7.6499999999999999E-2</v>
      </c>
      <c r="D106" s="2">
        <f t="shared" ref="D106:D111" si="4">+C106*B106</f>
        <v>3573.4679999999998</v>
      </c>
    </row>
    <row r="107" spans="1:8" ht="12.6" hidden="1" customHeight="1" x14ac:dyDescent="0.25">
      <c r="A107" s="2" t="s">
        <v>1406</v>
      </c>
      <c r="B107" s="2">
        <f>+D29</f>
        <v>976169.39199999999</v>
      </c>
      <c r="C107" s="84">
        <v>1.4500000000000001E-2</v>
      </c>
      <c r="D107" s="2">
        <f t="shared" si="4"/>
        <v>14154.456184000001</v>
      </c>
    </row>
    <row r="108" spans="1:8" ht="12.6" hidden="1" customHeight="1" x14ac:dyDescent="0.25">
      <c r="A108" s="149" t="s">
        <v>757</v>
      </c>
      <c r="B108" s="2">
        <f>+D63</f>
        <v>1689327.1295238095</v>
      </c>
      <c r="C108" s="84">
        <v>1.4500000000000001E-2</v>
      </c>
      <c r="D108" s="2">
        <f t="shared" si="4"/>
        <v>24495.243378095238</v>
      </c>
    </row>
    <row r="109" spans="1:8" ht="12.6" hidden="1" customHeight="1" x14ac:dyDescent="0.25">
      <c r="A109" s="51" t="s">
        <v>845</v>
      </c>
      <c r="B109" s="2">
        <f>+D74</f>
        <v>197196.50861111109</v>
      </c>
      <c r="C109" s="84">
        <v>1.4500000000000001E-2</v>
      </c>
      <c r="D109" s="2">
        <f t="shared" si="4"/>
        <v>2859.3493748611108</v>
      </c>
    </row>
    <row r="110" spans="1:8" ht="12.6" hidden="1" customHeight="1" x14ac:dyDescent="0.25">
      <c r="A110" s="51" t="s">
        <v>183</v>
      </c>
      <c r="B110" s="2">
        <f>+D89</f>
        <v>154154.91999999998</v>
      </c>
      <c r="C110" s="84">
        <v>7.6499999999999999E-2</v>
      </c>
      <c r="D110" s="2">
        <f t="shared" si="4"/>
        <v>11792.851379999998</v>
      </c>
    </row>
    <row r="111" spans="1:8" ht="12.6" hidden="1" customHeight="1" x14ac:dyDescent="0.4">
      <c r="A111" s="51" t="s">
        <v>184</v>
      </c>
      <c r="B111" s="2">
        <f>+D103</f>
        <v>358306.1383163266</v>
      </c>
      <c r="C111" s="84">
        <v>1.4500000000000001E-2</v>
      </c>
      <c r="D111" s="11">
        <f t="shared" si="4"/>
        <v>5195.4390055867361</v>
      </c>
    </row>
    <row r="112" spans="1:8" ht="12.6" hidden="1" customHeight="1" x14ac:dyDescent="0.25">
      <c r="A112" s="51" t="s">
        <v>1182</v>
      </c>
      <c r="C112" s="84"/>
      <c r="D112" s="2">
        <f>SUM(D106:D111)</f>
        <v>62070.807322543085</v>
      </c>
    </row>
    <row r="113" spans="1:8" ht="12.6" customHeight="1" x14ac:dyDescent="0.25">
      <c r="A113" s="51"/>
      <c r="C113" s="84"/>
      <c r="D113" s="18"/>
    </row>
    <row r="114" spans="1:8" ht="12.6" customHeight="1" x14ac:dyDescent="0.3">
      <c r="A114" s="86" t="s">
        <v>846</v>
      </c>
      <c r="C114" s="84"/>
      <c r="E114" s="2">
        <v>847284</v>
      </c>
      <c r="F114" s="2">
        <v>992688</v>
      </c>
      <c r="G114" s="2">
        <v>1076793.7714644559</v>
      </c>
      <c r="H114" s="2">
        <v>1032492</v>
      </c>
    </row>
    <row r="115" spans="1:8" ht="12.6" hidden="1" customHeight="1" x14ac:dyDescent="0.25">
      <c r="A115" s="2" t="s">
        <v>844</v>
      </c>
      <c r="B115" s="2">
        <f>+B106</f>
        <v>46712</v>
      </c>
      <c r="C115" s="84">
        <v>0.1138</v>
      </c>
      <c r="D115" s="2">
        <f>+C115*B115</f>
        <v>5315.8256000000001</v>
      </c>
    </row>
    <row r="116" spans="1:8" ht="12.6" hidden="1" customHeight="1" x14ac:dyDescent="0.25">
      <c r="A116" s="2" t="s">
        <v>847</v>
      </c>
      <c r="B116" s="2">
        <f>+B107</f>
        <v>976169.39199999999</v>
      </c>
      <c r="C116" s="84">
        <v>0.31890000000000002</v>
      </c>
      <c r="D116" s="2">
        <f>+C116*B116</f>
        <v>311300.41910880001</v>
      </c>
    </row>
    <row r="117" spans="1:8" ht="12.6" hidden="1" customHeight="1" x14ac:dyDescent="0.25">
      <c r="A117" s="2" t="s">
        <v>848</v>
      </c>
      <c r="B117" s="2">
        <f>+B108</f>
        <v>1689327.1295238095</v>
      </c>
      <c r="C117" s="84">
        <v>0.31890000000000002</v>
      </c>
      <c r="D117" s="2">
        <f>+C117*B117</f>
        <v>538726.42160514288</v>
      </c>
    </row>
    <row r="118" spans="1:8" ht="12.6" hidden="1" customHeight="1" x14ac:dyDescent="0.25">
      <c r="A118" s="2" t="s">
        <v>849</v>
      </c>
      <c r="B118" s="2">
        <f>+B109</f>
        <v>197196.50861111109</v>
      </c>
      <c r="C118" s="84">
        <v>0.31890000000000002</v>
      </c>
      <c r="D118" s="2">
        <f>+C118*B118</f>
        <v>62885.96659608333</v>
      </c>
    </row>
    <row r="119" spans="1:8" ht="12.6" hidden="1" customHeight="1" x14ac:dyDescent="0.25">
      <c r="A119" s="2" t="s">
        <v>498</v>
      </c>
      <c r="B119" s="2">
        <f>+B111</f>
        <v>358306.1383163266</v>
      </c>
      <c r="C119" s="84">
        <v>0.31890000000000002</v>
      </c>
      <c r="D119" s="18">
        <f>+C119*B119</f>
        <v>114263.82750907655</v>
      </c>
    </row>
    <row r="120" spans="1:8" ht="12.6" hidden="1" customHeight="1" x14ac:dyDescent="0.25">
      <c r="A120" s="2" t="s">
        <v>1182</v>
      </c>
      <c r="C120" s="84"/>
      <c r="D120" s="2">
        <f>SUM(D115:D119)</f>
        <v>1032492.4604191028</v>
      </c>
    </row>
    <row r="121" spans="1:8" ht="12.6" customHeight="1" x14ac:dyDescent="0.25">
      <c r="C121" s="84"/>
    </row>
    <row r="122" spans="1:8" ht="12.6" customHeight="1" x14ac:dyDescent="0.3">
      <c r="A122" s="53" t="s">
        <v>921</v>
      </c>
      <c r="C122" s="84"/>
      <c r="E122" s="2">
        <v>597919</v>
      </c>
      <c r="F122" s="2">
        <v>736500</v>
      </c>
      <c r="G122" s="2">
        <v>824600</v>
      </c>
      <c r="H122" s="2">
        <v>800700</v>
      </c>
    </row>
    <row r="123" spans="1:8" ht="12.6" customHeight="1" x14ac:dyDescent="0.25">
      <c r="A123" s="2" t="s">
        <v>1934</v>
      </c>
      <c r="B123" s="2">
        <v>28</v>
      </c>
      <c r="C123" s="2">
        <v>18300</v>
      </c>
      <c r="D123" s="2">
        <f>+B123*C123</f>
        <v>512400</v>
      </c>
    </row>
    <row r="124" spans="1:8" ht="12.6" customHeight="1" x14ac:dyDescent="0.25">
      <c r="A124" s="2" t="s">
        <v>1935</v>
      </c>
      <c r="B124" s="2">
        <v>9</v>
      </c>
      <c r="C124" s="2">
        <v>23900</v>
      </c>
      <c r="D124" s="2">
        <f>+B124*C124</f>
        <v>215100</v>
      </c>
    </row>
    <row r="125" spans="1:8" ht="12.6" customHeight="1" x14ac:dyDescent="0.4">
      <c r="A125" s="2" t="s">
        <v>298</v>
      </c>
      <c r="B125" s="2">
        <v>4</v>
      </c>
      <c r="C125" s="2">
        <v>18300</v>
      </c>
      <c r="D125" s="11">
        <f>+B125*C125</f>
        <v>73200</v>
      </c>
    </row>
    <row r="126" spans="1:8" ht="12.6" customHeight="1" x14ac:dyDescent="0.25">
      <c r="A126" s="2" t="s">
        <v>751</v>
      </c>
      <c r="D126" s="2">
        <f>SUM(D123:D125)</f>
        <v>800700</v>
      </c>
    </row>
    <row r="127" spans="1:8" ht="12.6" customHeight="1" x14ac:dyDescent="0.25"/>
    <row r="128" spans="1:8" ht="12.6" customHeight="1" x14ac:dyDescent="0.3">
      <c r="A128" s="53" t="s">
        <v>922</v>
      </c>
      <c r="E128" s="2">
        <v>38672</v>
      </c>
      <c r="F128" s="2">
        <v>45890</v>
      </c>
      <c r="G128" s="2">
        <v>51090</v>
      </c>
      <c r="H128" s="2">
        <v>48490</v>
      </c>
    </row>
    <row r="129" spans="1:8" ht="12.6" customHeight="1" x14ac:dyDescent="0.25">
      <c r="A129" s="2" t="s">
        <v>297</v>
      </c>
      <c r="B129" s="2">
        <v>37</v>
      </c>
      <c r="C129" s="2">
        <v>1300</v>
      </c>
      <c r="D129" s="2">
        <f>+B129*C129</f>
        <v>48100</v>
      </c>
    </row>
    <row r="130" spans="1:8" ht="12.6" customHeight="1" x14ac:dyDescent="0.25">
      <c r="A130" s="2" t="s">
        <v>298</v>
      </c>
      <c r="B130" s="2">
        <v>4</v>
      </c>
      <c r="C130" s="2">
        <v>1300</v>
      </c>
      <c r="D130" s="2">
        <f>+B130*C130</f>
        <v>5200</v>
      </c>
    </row>
    <row r="131" spans="1:8" ht="12.6" customHeight="1" x14ac:dyDescent="0.25">
      <c r="A131" s="2" t="s">
        <v>226</v>
      </c>
      <c r="D131" s="18">
        <f>+C130*-0.1*37</f>
        <v>-4810</v>
      </c>
    </row>
    <row r="132" spans="1:8" ht="12.6" customHeight="1" x14ac:dyDescent="0.25">
      <c r="A132" s="191" t="s">
        <v>751</v>
      </c>
      <c r="D132" s="2">
        <f>SUM(D129:D131)</f>
        <v>48490</v>
      </c>
    </row>
    <row r="133" spans="1:8" ht="12.6" customHeight="1" x14ac:dyDescent="0.25"/>
    <row r="134" spans="1:8" ht="12.6" customHeight="1" x14ac:dyDescent="0.3">
      <c r="A134" s="53" t="s">
        <v>923</v>
      </c>
      <c r="E134" s="2">
        <v>2679</v>
      </c>
      <c r="F134" s="2">
        <v>2665</v>
      </c>
      <c r="G134" s="2">
        <v>2870</v>
      </c>
      <c r="H134" s="2">
        <v>2735</v>
      </c>
    </row>
    <row r="135" spans="1:8" ht="12.6" hidden="1" customHeight="1" x14ac:dyDescent="0.25">
      <c r="A135" s="2" t="s">
        <v>222</v>
      </c>
      <c r="B135" s="2">
        <v>4</v>
      </c>
      <c r="C135" s="2">
        <v>135</v>
      </c>
      <c r="D135" s="2">
        <f>+C135*B135</f>
        <v>540</v>
      </c>
    </row>
    <row r="136" spans="1:8" ht="12.6" hidden="1" customHeight="1" x14ac:dyDescent="0.25">
      <c r="A136" s="2" t="s">
        <v>1798</v>
      </c>
      <c r="B136" s="2">
        <v>9</v>
      </c>
      <c r="C136" s="2">
        <v>135</v>
      </c>
      <c r="D136" s="2">
        <f>+C136*B136</f>
        <v>1215</v>
      </c>
    </row>
    <row r="137" spans="1:8" ht="12.6" hidden="1" customHeight="1" x14ac:dyDescent="0.4">
      <c r="A137" s="2" t="s">
        <v>1348</v>
      </c>
      <c r="B137" s="2">
        <v>28</v>
      </c>
      <c r="C137" s="2">
        <v>35</v>
      </c>
      <c r="D137" s="11">
        <f>+B137*C137</f>
        <v>980</v>
      </c>
    </row>
    <row r="138" spans="1:8" ht="12.6" hidden="1" customHeight="1" x14ac:dyDescent="0.25">
      <c r="A138" s="2" t="s">
        <v>1182</v>
      </c>
      <c r="D138" s="2">
        <f>SUM(D135:D137)</f>
        <v>2735</v>
      </c>
    </row>
    <row r="139" spans="1:8" ht="12.6" customHeight="1" x14ac:dyDescent="0.25"/>
    <row r="140" spans="1:8" ht="12.6" customHeight="1" x14ac:dyDescent="0.3">
      <c r="A140" s="53" t="s">
        <v>210</v>
      </c>
      <c r="E140" s="2">
        <v>14744</v>
      </c>
      <c r="F140" s="2">
        <v>16810</v>
      </c>
      <c r="G140" s="2">
        <v>26460</v>
      </c>
      <c r="H140" s="2">
        <v>25830</v>
      </c>
    </row>
    <row r="141" spans="1:8" ht="12.6" hidden="1" customHeight="1" x14ac:dyDescent="0.25">
      <c r="A141" s="2" t="s">
        <v>222</v>
      </c>
      <c r="B141" s="2">
        <v>4</v>
      </c>
      <c r="C141" s="2">
        <v>630</v>
      </c>
      <c r="D141" s="2">
        <f>+C141*B141</f>
        <v>2520</v>
      </c>
    </row>
    <row r="142" spans="1:8" ht="12.6" hidden="1" customHeight="1" x14ac:dyDescent="0.4">
      <c r="A142" s="2" t="s">
        <v>1348</v>
      </c>
      <c r="B142" s="2">
        <v>37</v>
      </c>
      <c r="C142" s="2">
        <v>630</v>
      </c>
      <c r="D142" s="11">
        <f>+C142*B142</f>
        <v>23310</v>
      </c>
    </row>
    <row r="143" spans="1:8" ht="12.6" hidden="1" customHeight="1" x14ac:dyDescent="0.25">
      <c r="A143" s="2" t="s">
        <v>1182</v>
      </c>
      <c r="D143" s="2">
        <f>SUM(D141:D142)</f>
        <v>25830</v>
      </c>
    </row>
    <row r="144" spans="1:8" ht="12.6" customHeight="1" x14ac:dyDescent="0.25"/>
    <row r="145" spans="1:8" ht="12.6" customHeight="1" x14ac:dyDescent="0.3">
      <c r="A145" s="53" t="s">
        <v>284</v>
      </c>
      <c r="E145" s="2">
        <v>94793</v>
      </c>
      <c r="F145" s="2">
        <v>117538</v>
      </c>
      <c r="G145" s="2">
        <v>149441.64628212413</v>
      </c>
      <c r="H145" s="2">
        <v>138946</v>
      </c>
    </row>
    <row r="146" spans="1:8" ht="12.6" hidden="1" customHeight="1" x14ac:dyDescent="0.25">
      <c r="A146" s="51" t="s">
        <v>844</v>
      </c>
      <c r="B146" s="2">
        <f>+D9</f>
        <v>46712</v>
      </c>
      <c r="C146" s="14">
        <v>1.6999999999999999E-3</v>
      </c>
      <c r="D146" s="2">
        <f t="shared" ref="D146:D151" si="5">+C146*B146</f>
        <v>79.410399999999996</v>
      </c>
    </row>
    <row r="147" spans="1:8" ht="12.6" hidden="1" customHeight="1" x14ac:dyDescent="0.25">
      <c r="A147" s="51" t="s">
        <v>1406</v>
      </c>
      <c r="B147" s="2">
        <f>+D29</f>
        <v>976169.39199999999</v>
      </c>
      <c r="C147" s="14">
        <v>4.1099999999999998E-2</v>
      </c>
      <c r="D147" s="2">
        <f t="shared" si="5"/>
        <v>40120.562011199996</v>
      </c>
    </row>
    <row r="148" spans="1:8" ht="12.6" hidden="1" customHeight="1" x14ac:dyDescent="0.25">
      <c r="A148" s="51" t="s">
        <v>757</v>
      </c>
      <c r="B148" s="2">
        <f>+D63</f>
        <v>1689327.1295238095</v>
      </c>
      <c r="C148" s="14">
        <v>4.1099999999999998E-2</v>
      </c>
      <c r="D148" s="2">
        <f t="shared" si="5"/>
        <v>69431.34502342857</v>
      </c>
    </row>
    <row r="149" spans="1:8" ht="12.6" hidden="1" customHeight="1" x14ac:dyDescent="0.25">
      <c r="A149" s="51" t="s">
        <v>1997</v>
      </c>
      <c r="B149" s="2">
        <f>+B118</f>
        <v>197196.50861111109</v>
      </c>
      <c r="C149" s="14">
        <v>4.1099999999999998E-2</v>
      </c>
      <c r="D149" s="2">
        <f t="shared" si="5"/>
        <v>8104.7765039166652</v>
      </c>
    </row>
    <row r="150" spans="1:8" ht="12.6" hidden="1" customHeight="1" x14ac:dyDescent="0.25">
      <c r="A150" s="51" t="s">
        <v>183</v>
      </c>
      <c r="B150" s="2">
        <f>+D89</f>
        <v>154154.91999999998</v>
      </c>
      <c r="C150" s="14">
        <v>4.1099999999999998E-2</v>
      </c>
      <c r="D150" s="2">
        <f t="shared" si="5"/>
        <v>6335.7672119999988</v>
      </c>
    </row>
    <row r="151" spans="1:8" ht="12.6" hidden="1" customHeight="1" x14ac:dyDescent="0.4">
      <c r="A151" s="51" t="s">
        <v>1998</v>
      </c>
      <c r="B151" s="2">
        <f>+B119</f>
        <v>358306.1383163266</v>
      </c>
      <c r="C151" s="14">
        <v>4.1099999999999998E-2</v>
      </c>
      <c r="D151" s="11">
        <f t="shared" si="5"/>
        <v>14726.382284801022</v>
      </c>
    </row>
    <row r="152" spans="1:8" ht="12.6" hidden="1" customHeight="1" x14ac:dyDescent="0.25">
      <c r="A152" s="2" t="s">
        <v>1182</v>
      </c>
      <c r="C152" s="14"/>
      <c r="D152" s="2">
        <f>SUM(D146:D151)</f>
        <v>138798.24343534626</v>
      </c>
    </row>
    <row r="153" spans="1:8" ht="12.6" customHeight="1" x14ac:dyDescent="0.25"/>
    <row r="154" spans="1:8" ht="12.6" customHeight="1" x14ac:dyDescent="0.3">
      <c r="A154" s="53" t="s">
        <v>147</v>
      </c>
      <c r="E154" s="2">
        <v>1435</v>
      </c>
      <c r="F154" s="2">
        <v>1927</v>
      </c>
      <c r="G154" s="2">
        <v>1965</v>
      </c>
      <c r="H154" s="2">
        <v>1422</v>
      </c>
    </row>
    <row r="155" spans="1:8" ht="12.6" hidden="1" customHeight="1" x14ac:dyDescent="0.25">
      <c r="A155" s="51" t="s">
        <v>321</v>
      </c>
      <c r="B155" s="2">
        <v>1</v>
      </c>
      <c r="C155" s="2">
        <v>26</v>
      </c>
      <c r="D155" s="2">
        <f>ROUND(B155*C155,0)</f>
        <v>26</v>
      </c>
    </row>
    <row r="156" spans="1:8" ht="12.6" hidden="1" customHeight="1" x14ac:dyDescent="0.25">
      <c r="A156" s="51" t="s">
        <v>322</v>
      </c>
      <c r="B156" s="2">
        <v>12</v>
      </c>
      <c r="C156" s="2">
        <v>26</v>
      </c>
      <c r="D156" s="2">
        <f t="shared" ref="D156:D161" si="6">ROUND(B156*C156,0)</f>
        <v>312</v>
      </c>
    </row>
    <row r="157" spans="1:8" ht="12.6" hidden="1" customHeight="1" x14ac:dyDescent="0.25">
      <c r="A157" s="51" t="s">
        <v>323</v>
      </c>
      <c r="B157" s="2">
        <v>28</v>
      </c>
      <c r="C157" s="2">
        <v>26</v>
      </c>
      <c r="D157" s="2">
        <f t="shared" si="6"/>
        <v>728</v>
      </c>
    </row>
    <row r="158" spans="1:8" ht="12.6" hidden="1" customHeight="1" x14ac:dyDescent="0.25">
      <c r="A158" s="2" t="s">
        <v>324</v>
      </c>
      <c r="B158" s="2">
        <v>2</v>
      </c>
      <c r="C158" s="2">
        <v>26</v>
      </c>
      <c r="D158" s="2">
        <f t="shared" si="6"/>
        <v>52</v>
      </c>
    </row>
    <row r="159" spans="1:8" ht="12.6" hidden="1" customHeight="1" x14ac:dyDescent="0.25">
      <c r="A159" s="2" t="s">
        <v>786</v>
      </c>
      <c r="B159" s="2">
        <v>1</v>
      </c>
      <c r="C159" s="2">
        <v>26</v>
      </c>
      <c r="D159" s="2">
        <f t="shared" si="6"/>
        <v>26</v>
      </c>
    </row>
    <row r="160" spans="1:8" ht="12.6" hidden="1" customHeight="1" x14ac:dyDescent="0.25">
      <c r="A160" s="51" t="s">
        <v>108</v>
      </c>
      <c r="B160" s="2">
        <v>1</v>
      </c>
      <c r="C160" s="2">
        <v>26</v>
      </c>
      <c r="D160" s="2">
        <f t="shared" si="6"/>
        <v>26</v>
      </c>
    </row>
    <row r="161" spans="1:8" ht="12.6" hidden="1" customHeight="1" x14ac:dyDescent="0.4">
      <c r="A161" s="51" t="s">
        <v>1445</v>
      </c>
      <c r="B161" s="2">
        <f>+D89-D85</f>
        <v>140114.91999999998</v>
      </c>
      <c r="C161" s="14">
        <v>1.8E-3</v>
      </c>
      <c r="D161" s="11">
        <f t="shared" si="6"/>
        <v>252</v>
      </c>
    </row>
    <row r="162" spans="1:8" ht="12.6" hidden="1" customHeight="1" x14ac:dyDescent="0.25">
      <c r="A162" s="2" t="s">
        <v>1182</v>
      </c>
      <c r="D162" s="2">
        <f>SUM(D155:D161)</f>
        <v>1422</v>
      </c>
    </row>
    <row r="163" spans="1:8" ht="12.6" customHeight="1" x14ac:dyDescent="0.25">
      <c r="G163" s="3"/>
      <c r="H163" s="3"/>
    </row>
    <row r="164" spans="1:8" ht="13.8" x14ac:dyDescent="0.3">
      <c r="A164" s="53" t="s">
        <v>1446</v>
      </c>
      <c r="E164" s="2">
        <v>5236</v>
      </c>
      <c r="F164" s="2">
        <v>5070</v>
      </c>
      <c r="G164" s="3">
        <v>5300</v>
      </c>
      <c r="H164" s="3">
        <v>5300</v>
      </c>
    </row>
    <row r="165" spans="1:8" x14ac:dyDescent="0.25">
      <c r="A165" s="2" t="s">
        <v>1359</v>
      </c>
      <c r="G165" s="3"/>
      <c r="H165" s="3"/>
    </row>
    <row r="166" spans="1:8" x14ac:dyDescent="0.25">
      <c r="A166" s="2" t="s">
        <v>1014</v>
      </c>
      <c r="D166" s="2">
        <v>4500</v>
      </c>
      <c r="G166" s="3"/>
      <c r="H166" s="3"/>
    </row>
    <row r="167" spans="1:8" ht="15" x14ac:dyDescent="0.4">
      <c r="A167" s="2" t="s">
        <v>2047</v>
      </c>
      <c r="D167" s="11">
        <v>800</v>
      </c>
      <c r="G167" s="3"/>
      <c r="H167" s="3"/>
    </row>
    <row r="168" spans="1:8" x14ac:dyDescent="0.25">
      <c r="A168" s="24" t="s">
        <v>1182</v>
      </c>
      <c r="D168" s="2">
        <f>SUM(D166:D167)</f>
        <v>5300</v>
      </c>
      <c r="G168" s="3"/>
      <c r="H168" s="3"/>
    </row>
    <row r="169" spans="1:8" x14ac:dyDescent="0.25">
      <c r="G169" s="3"/>
      <c r="H169" s="3"/>
    </row>
    <row r="170" spans="1:8" ht="13.8" x14ac:dyDescent="0.3">
      <c r="A170" s="53" t="s">
        <v>1360</v>
      </c>
      <c r="E170" s="2">
        <v>4809</v>
      </c>
      <c r="F170" s="2">
        <v>5000</v>
      </c>
      <c r="G170" s="3">
        <v>5000</v>
      </c>
      <c r="H170" s="3">
        <v>5000</v>
      </c>
    </row>
    <row r="171" spans="1:8" x14ac:dyDescent="0.25">
      <c r="A171" s="2" t="s">
        <v>612</v>
      </c>
      <c r="D171" s="2">
        <v>3500</v>
      </c>
      <c r="G171" s="3"/>
      <c r="H171" s="3"/>
    </row>
    <row r="172" spans="1:8" x14ac:dyDescent="0.25">
      <c r="A172" s="2" t="s">
        <v>1375</v>
      </c>
      <c r="D172" s="2">
        <v>200</v>
      </c>
      <c r="G172" s="3"/>
      <c r="H172" s="3"/>
    </row>
    <row r="173" spans="1:8" x14ac:dyDescent="0.25">
      <c r="A173" s="2" t="s">
        <v>1376</v>
      </c>
      <c r="D173" s="2">
        <v>200</v>
      </c>
      <c r="G173" s="3"/>
      <c r="H173" s="3"/>
    </row>
    <row r="174" spans="1:8" ht="15" x14ac:dyDescent="0.4">
      <c r="A174" s="2" t="s">
        <v>1377</v>
      </c>
      <c r="C174" s="11"/>
      <c r="D174" s="2">
        <v>100</v>
      </c>
      <c r="G174" s="3"/>
      <c r="H174" s="3"/>
    </row>
    <row r="175" spans="1:8" ht="15" x14ac:dyDescent="0.4">
      <c r="A175" s="2" t="s">
        <v>1378</v>
      </c>
      <c r="C175" s="11"/>
      <c r="D175" s="11">
        <v>1000</v>
      </c>
      <c r="G175" s="3"/>
      <c r="H175" s="3"/>
    </row>
    <row r="176" spans="1:8" x14ac:dyDescent="0.25">
      <c r="A176" s="24" t="s">
        <v>1182</v>
      </c>
      <c r="D176" s="2">
        <f>SUM(D171:D175)</f>
        <v>5000</v>
      </c>
      <c r="G176" s="3"/>
      <c r="H176" s="3"/>
    </row>
    <row r="177" spans="1:8" x14ac:dyDescent="0.25">
      <c r="G177" s="3"/>
      <c r="H177" s="3"/>
    </row>
    <row r="178" spans="1:8" ht="15" x14ac:dyDescent="0.4">
      <c r="A178" s="53" t="s">
        <v>216</v>
      </c>
      <c r="D178" s="11"/>
      <c r="E178" s="2">
        <v>28952</v>
      </c>
      <c r="F178" s="2">
        <v>31030</v>
      </c>
      <c r="G178" s="3">
        <v>31030</v>
      </c>
      <c r="H178" s="3">
        <v>33030</v>
      </c>
    </row>
    <row r="179" spans="1:8" x14ac:dyDescent="0.25">
      <c r="A179" s="2" t="s">
        <v>1450</v>
      </c>
      <c r="B179" s="2">
        <v>12</v>
      </c>
      <c r="C179" s="2">
        <v>1300</v>
      </c>
      <c r="D179" s="2">
        <f t="shared" ref="D179:D185" si="7">C179*B179</f>
        <v>15600</v>
      </c>
      <c r="G179" s="3"/>
      <c r="H179" s="3"/>
    </row>
    <row r="180" spans="1:8" x14ac:dyDescent="0.25">
      <c r="A180" s="138" t="s">
        <v>1877</v>
      </c>
      <c r="B180" s="138">
        <v>12</v>
      </c>
      <c r="C180" s="138">
        <v>240</v>
      </c>
      <c r="D180" s="138">
        <f t="shared" si="7"/>
        <v>2880</v>
      </c>
      <c r="G180" s="3"/>
      <c r="H180" s="3"/>
    </row>
    <row r="181" spans="1:8" x14ac:dyDescent="0.25">
      <c r="A181" s="138" t="s">
        <v>1878</v>
      </c>
      <c r="B181" s="138">
        <v>25</v>
      </c>
      <c r="C181" s="138">
        <v>120</v>
      </c>
      <c r="D181" s="138">
        <f t="shared" si="7"/>
        <v>3000</v>
      </c>
      <c r="G181" s="3"/>
      <c r="H181" s="3"/>
    </row>
    <row r="182" spans="1:8" x14ac:dyDescent="0.25">
      <c r="A182" s="138" t="s">
        <v>1879</v>
      </c>
      <c r="B182" s="138">
        <v>9</v>
      </c>
      <c r="C182" s="138">
        <v>400</v>
      </c>
      <c r="D182" s="138">
        <f t="shared" si="7"/>
        <v>3600</v>
      </c>
      <c r="G182" s="3"/>
      <c r="H182" s="3"/>
    </row>
    <row r="183" spans="1:8" x14ac:dyDescent="0.25">
      <c r="A183" s="2" t="s">
        <v>1587</v>
      </c>
      <c r="B183" s="2">
        <v>1</v>
      </c>
      <c r="C183" s="2">
        <v>550</v>
      </c>
      <c r="D183" s="138">
        <f t="shared" si="7"/>
        <v>550</v>
      </c>
      <c r="G183" s="3"/>
      <c r="H183" s="3"/>
    </row>
    <row r="184" spans="1:8" x14ac:dyDescent="0.25">
      <c r="A184" s="2" t="s">
        <v>2015</v>
      </c>
      <c r="B184" s="2">
        <v>10</v>
      </c>
      <c r="C184" s="2">
        <v>80</v>
      </c>
      <c r="D184" s="138">
        <f t="shared" si="7"/>
        <v>800</v>
      </c>
      <c r="G184" s="3"/>
      <c r="H184" s="3"/>
    </row>
    <row r="185" spans="1:8" x14ac:dyDescent="0.25">
      <c r="A185" s="2" t="s">
        <v>2177</v>
      </c>
      <c r="B185" s="2">
        <v>2</v>
      </c>
      <c r="C185" s="2">
        <v>400</v>
      </c>
      <c r="D185" s="138">
        <f t="shared" si="7"/>
        <v>800</v>
      </c>
      <c r="G185" s="3"/>
      <c r="H185" s="3"/>
    </row>
    <row r="186" spans="1:8" x14ac:dyDescent="0.25">
      <c r="A186" s="2" t="s">
        <v>1451</v>
      </c>
      <c r="D186" s="2">
        <v>5700</v>
      </c>
      <c r="G186" s="3"/>
      <c r="H186" s="3"/>
    </row>
    <row r="187" spans="1:8" ht="15" x14ac:dyDescent="0.4">
      <c r="A187" s="2" t="s">
        <v>1588</v>
      </c>
      <c r="C187" s="11"/>
      <c r="D187" s="35">
        <v>100</v>
      </c>
      <c r="G187" s="3"/>
      <c r="H187" s="3"/>
    </row>
    <row r="188" spans="1:8" x14ac:dyDescent="0.25">
      <c r="A188" s="24" t="s">
        <v>1182</v>
      </c>
      <c r="D188" s="2">
        <f>SUM(D179:D187)</f>
        <v>33030</v>
      </c>
      <c r="G188" s="3"/>
      <c r="H188" s="3"/>
    </row>
    <row r="189" spans="1:8" x14ac:dyDescent="0.25">
      <c r="G189" s="3"/>
      <c r="H189" s="3"/>
    </row>
    <row r="190" spans="1:8" ht="13.8" x14ac:dyDescent="0.3">
      <c r="A190" s="53" t="s">
        <v>787</v>
      </c>
      <c r="E190" s="2">
        <v>45016</v>
      </c>
      <c r="F190" s="2">
        <v>73010</v>
      </c>
      <c r="G190" s="3">
        <v>77915</v>
      </c>
      <c r="H190" s="3">
        <v>76815</v>
      </c>
    </row>
    <row r="191" spans="1:8" x14ac:dyDescent="0.25">
      <c r="A191" s="1" t="s">
        <v>892</v>
      </c>
      <c r="B191" s="8" t="s">
        <v>243</v>
      </c>
      <c r="C191" s="8" t="s">
        <v>1589</v>
      </c>
      <c r="D191" s="8"/>
      <c r="G191" s="3"/>
      <c r="H191" s="3"/>
    </row>
    <row r="192" spans="1:8" x14ac:dyDescent="0.25">
      <c r="A192" s="2" t="s">
        <v>244</v>
      </c>
      <c r="B192" s="2">
        <v>3</v>
      </c>
      <c r="C192" s="2">
        <v>900</v>
      </c>
      <c r="D192" s="2">
        <f>C192*B192</f>
        <v>2700</v>
      </c>
      <c r="G192" s="3"/>
      <c r="H192" s="3"/>
    </row>
    <row r="193" spans="1:8" x14ac:dyDescent="0.25">
      <c r="A193" s="2" t="s">
        <v>1938</v>
      </c>
      <c r="B193" s="2">
        <v>9</v>
      </c>
      <c r="C193" s="2">
        <v>900</v>
      </c>
      <c r="D193" s="138">
        <f t="shared" ref="D193:D203" si="8">C193*B193</f>
        <v>8100</v>
      </c>
      <c r="E193" s="1"/>
      <c r="G193" s="3"/>
      <c r="H193" s="3"/>
    </row>
    <row r="194" spans="1:8" x14ac:dyDescent="0.25">
      <c r="A194" s="2" t="s">
        <v>2048</v>
      </c>
      <c r="B194" s="2">
        <v>28</v>
      </c>
      <c r="C194" s="2">
        <v>850</v>
      </c>
      <c r="D194" s="138">
        <f t="shared" si="8"/>
        <v>23800</v>
      </c>
      <c r="G194" s="3"/>
      <c r="H194" s="3"/>
    </row>
    <row r="195" spans="1:8" x14ac:dyDescent="0.25">
      <c r="A195" s="2" t="s">
        <v>2012</v>
      </c>
      <c r="B195" s="2">
        <v>5</v>
      </c>
      <c r="C195" s="2">
        <v>300</v>
      </c>
      <c r="D195" s="138">
        <f t="shared" si="8"/>
        <v>1500</v>
      </c>
      <c r="G195" s="3"/>
      <c r="H195" s="3"/>
    </row>
    <row r="196" spans="1:8" x14ac:dyDescent="0.25">
      <c r="A196" s="52" t="s">
        <v>245</v>
      </c>
      <c r="B196" s="2">
        <v>6</v>
      </c>
      <c r="C196" s="2">
        <v>250</v>
      </c>
      <c r="D196" s="138">
        <f t="shared" si="8"/>
        <v>1500</v>
      </c>
      <c r="G196" s="3"/>
      <c r="H196" s="3"/>
    </row>
    <row r="197" spans="1:8" x14ac:dyDescent="0.25">
      <c r="A197" s="2" t="s">
        <v>2017</v>
      </c>
      <c r="B197" s="2">
        <v>9</v>
      </c>
      <c r="C197" s="2">
        <v>645</v>
      </c>
      <c r="D197" s="138">
        <f t="shared" si="8"/>
        <v>5805</v>
      </c>
      <c r="G197" s="3"/>
      <c r="H197" s="3"/>
    </row>
    <row r="198" spans="1:8" x14ac:dyDescent="0.25">
      <c r="A198" s="2" t="s">
        <v>2016</v>
      </c>
      <c r="B198" s="2">
        <v>12</v>
      </c>
      <c r="C198" s="2">
        <v>2200</v>
      </c>
      <c r="D198" s="138">
        <f t="shared" si="8"/>
        <v>26400</v>
      </c>
      <c r="G198" s="3"/>
      <c r="H198" s="3"/>
    </row>
    <row r="199" spans="1:8" x14ac:dyDescent="0.25">
      <c r="A199" s="138" t="s">
        <v>2018</v>
      </c>
      <c r="B199" s="138">
        <v>0</v>
      </c>
      <c r="C199" s="138">
        <v>1100</v>
      </c>
      <c r="D199" s="138">
        <f t="shared" si="8"/>
        <v>0</v>
      </c>
      <c r="G199" s="3"/>
      <c r="H199" s="3"/>
    </row>
    <row r="200" spans="1:8" x14ac:dyDescent="0.25">
      <c r="A200" s="2" t="s">
        <v>1509</v>
      </c>
      <c r="B200" s="2">
        <v>15</v>
      </c>
      <c r="C200" s="2">
        <v>250</v>
      </c>
      <c r="D200" s="138">
        <f t="shared" si="8"/>
        <v>3750</v>
      </c>
      <c r="G200" s="3"/>
      <c r="H200" s="3"/>
    </row>
    <row r="201" spans="1:8" x14ac:dyDescent="0.25">
      <c r="A201" s="2" t="s">
        <v>354</v>
      </c>
      <c r="B201" s="2">
        <v>1</v>
      </c>
      <c r="C201" s="2">
        <v>1760</v>
      </c>
      <c r="D201" s="138">
        <f t="shared" si="8"/>
        <v>1760</v>
      </c>
      <c r="G201" s="3"/>
      <c r="H201" s="3"/>
    </row>
    <row r="202" spans="1:8" x14ac:dyDescent="0.25">
      <c r="A202" s="2" t="s">
        <v>2013</v>
      </c>
      <c r="B202" s="2">
        <v>2</v>
      </c>
      <c r="C202" s="2">
        <v>500</v>
      </c>
      <c r="D202" s="138">
        <f t="shared" si="8"/>
        <v>1000</v>
      </c>
      <c r="G202" s="3"/>
      <c r="H202" s="3"/>
    </row>
    <row r="203" spans="1:8" ht="15" x14ac:dyDescent="0.4">
      <c r="A203" s="2" t="s">
        <v>355</v>
      </c>
      <c r="B203" s="2">
        <v>1</v>
      </c>
      <c r="C203" s="2">
        <v>500</v>
      </c>
      <c r="D203" s="144">
        <f t="shared" si="8"/>
        <v>500</v>
      </c>
      <c r="G203" s="3"/>
      <c r="H203" s="3"/>
    </row>
    <row r="204" spans="1:8" x14ac:dyDescent="0.25">
      <c r="A204" s="24" t="s">
        <v>1182</v>
      </c>
      <c r="D204" s="2">
        <f>SUM(D192:D203)</f>
        <v>76815</v>
      </c>
      <c r="G204" s="3"/>
      <c r="H204" s="3"/>
    </row>
    <row r="205" spans="1:8" x14ac:dyDescent="0.25">
      <c r="G205" s="3"/>
      <c r="H205" s="3"/>
    </row>
    <row r="206" spans="1:8" ht="13.8" x14ac:dyDescent="0.3">
      <c r="A206" s="53" t="s">
        <v>893</v>
      </c>
      <c r="E206" s="2">
        <v>181</v>
      </c>
      <c r="F206" s="2">
        <v>500</v>
      </c>
      <c r="G206" s="3">
        <v>500</v>
      </c>
      <c r="H206" s="3">
        <v>500</v>
      </c>
    </row>
    <row r="207" spans="1:8" x14ac:dyDescent="0.25">
      <c r="A207" s="2" t="s">
        <v>1590</v>
      </c>
      <c r="D207" s="2">
        <v>400</v>
      </c>
    </row>
    <row r="208" spans="1:8" ht="15" x14ac:dyDescent="0.4">
      <c r="A208" s="2" t="s">
        <v>356</v>
      </c>
      <c r="D208" s="11">
        <v>100</v>
      </c>
      <c r="G208" s="3"/>
      <c r="H208" s="3"/>
    </row>
    <row r="209" spans="1:8" x14ac:dyDescent="0.25">
      <c r="A209" s="24" t="s">
        <v>1182</v>
      </c>
      <c r="D209" s="2">
        <f>SUM(D207:D208)</f>
        <v>500</v>
      </c>
      <c r="G209" s="3"/>
      <c r="H209" s="3"/>
    </row>
    <row r="210" spans="1:8" ht="13.8" x14ac:dyDescent="0.3">
      <c r="A210" s="53" t="s">
        <v>608</v>
      </c>
      <c r="E210" s="2">
        <v>159</v>
      </c>
      <c r="F210" s="2">
        <v>175</v>
      </c>
      <c r="G210" s="3">
        <v>185</v>
      </c>
      <c r="H210" s="3">
        <v>185</v>
      </c>
    </row>
    <row r="211" spans="1:8" x14ac:dyDescent="0.25">
      <c r="A211" s="2" t="s">
        <v>1478</v>
      </c>
      <c r="B211" s="2" t="s">
        <v>386</v>
      </c>
      <c r="D211" s="2">
        <v>185</v>
      </c>
      <c r="G211" s="3"/>
      <c r="H211" s="3"/>
    </row>
    <row r="212" spans="1:8" x14ac:dyDescent="0.25">
      <c r="G212" s="3"/>
      <c r="H212" s="3"/>
    </row>
    <row r="213" spans="1:8" ht="13.8" x14ac:dyDescent="0.3">
      <c r="A213" s="53" t="s">
        <v>908</v>
      </c>
      <c r="C213" s="4"/>
      <c r="E213" s="2">
        <v>23508</v>
      </c>
      <c r="F213" s="2">
        <v>27875</v>
      </c>
      <c r="G213" s="3">
        <v>25700</v>
      </c>
      <c r="H213" s="3">
        <v>25700</v>
      </c>
    </row>
    <row r="214" spans="1:8" x14ac:dyDescent="0.25">
      <c r="A214" s="2" t="s">
        <v>357</v>
      </c>
      <c r="C214" s="12"/>
      <c r="D214" s="2">
        <v>1300</v>
      </c>
      <c r="G214" s="3"/>
      <c r="H214" s="3"/>
    </row>
    <row r="215" spans="1:8" x14ac:dyDescent="0.25">
      <c r="A215" s="2" t="s">
        <v>111</v>
      </c>
      <c r="C215" s="12"/>
      <c r="D215" s="2">
        <v>5150</v>
      </c>
      <c r="G215" s="3"/>
      <c r="H215" s="3"/>
    </row>
    <row r="216" spans="1:8" ht="15" x14ac:dyDescent="0.4">
      <c r="A216" s="2" t="s">
        <v>112</v>
      </c>
      <c r="B216" s="11"/>
      <c r="C216" s="12"/>
      <c r="D216" s="11">
        <v>19250</v>
      </c>
      <c r="G216" s="3"/>
      <c r="H216" s="3"/>
    </row>
    <row r="217" spans="1:8" x14ac:dyDescent="0.25">
      <c r="A217" s="24" t="s">
        <v>1182</v>
      </c>
      <c r="B217" s="1"/>
      <c r="C217" s="12"/>
      <c r="D217" s="2">
        <f>SUM(D214:D216)</f>
        <v>25700</v>
      </c>
      <c r="G217" s="3"/>
      <c r="H217" s="3"/>
    </row>
    <row r="218" spans="1:8" x14ac:dyDescent="0.25">
      <c r="C218" s="12"/>
      <c r="G218" s="3"/>
      <c r="H218" s="3"/>
    </row>
    <row r="219" spans="1:8" ht="13.8" x14ac:dyDescent="0.3">
      <c r="A219" s="53" t="s">
        <v>976</v>
      </c>
      <c r="C219" s="36"/>
      <c r="E219" s="2">
        <v>13150</v>
      </c>
      <c r="F219" s="2">
        <v>15800</v>
      </c>
      <c r="G219" s="3">
        <v>13750</v>
      </c>
      <c r="H219" s="3">
        <v>13750</v>
      </c>
    </row>
    <row r="220" spans="1:8" x14ac:dyDescent="0.25">
      <c r="A220" s="2" t="s">
        <v>357</v>
      </c>
      <c r="C220" s="12"/>
      <c r="D220" s="2">
        <v>2400</v>
      </c>
      <c r="G220" s="3"/>
      <c r="H220" s="3"/>
    </row>
    <row r="221" spans="1:8" x14ac:dyDescent="0.25">
      <c r="A221" s="2" t="s">
        <v>111</v>
      </c>
      <c r="C221" s="12"/>
      <c r="D221" s="2">
        <v>2400</v>
      </c>
      <c r="G221" s="3"/>
      <c r="H221" s="3"/>
    </row>
    <row r="222" spans="1:8" ht="15" x14ac:dyDescent="0.4">
      <c r="A222" s="2" t="s">
        <v>112</v>
      </c>
      <c r="C222" s="12"/>
      <c r="D222" s="11">
        <v>8950</v>
      </c>
      <c r="G222" s="3"/>
      <c r="H222" s="3"/>
    </row>
    <row r="223" spans="1:8" x14ac:dyDescent="0.25">
      <c r="A223" s="24" t="s">
        <v>1182</v>
      </c>
      <c r="D223" s="2">
        <f>SUM(D220:D222)</f>
        <v>13750</v>
      </c>
      <c r="G223" s="3"/>
      <c r="H223" s="3"/>
    </row>
    <row r="224" spans="1:8" x14ac:dyDescent="0.25">
      <c r="C224" s="12"/>
      <c r="G224" s="3"/>
      <c r="H224" s="3"/>
    </row>
    <row r="225" spans="1:8" ht="13.8" x14ac:dyDescent="0.3">
      <c r="A225" s="53" t="s">
        <v>1215</v>
      </c>
      <c r="C225" s="12"/>
      <c r="E225" s="2">
        <v>2175</v>
      </c>
      <c r="F225" s="2">
        <v>2830</v>
      </c>
      <c r="G225" s="3">
        <v>2650</v>
      </c>
      <c r="H225" s="3">
        <v>2650</v>
      </c>
    </row>
    <row r="226" spans="1:8" x14ac:dyDescent="0.25">
      <c r="A226" s="2" t="s">
        <v>318</v>
      </c>
      <c r="C226" s="12"/>
      <c r="D226" s="2">
        <v>2650</v>
      </c>
      <c r="G226" s="3"/>
      <c r="H226" s="3"/>
    </row>
    <row r="227" spans="1:8" x14ac:dyDescent="0.25">
      <c r="C227" s="12"/>
      <c r="G227" s="3"/>
      <c r="H227" s="3"/>
    </row>
    <row r="228" spans="1:8" ht="13.8" x14ac:dyDescent="0.3">
      <c r="A228" s="53" t="s">
        <v>1216</v>
      </c>
      <c r="C228" s="12"/>
      <c r="E228" s="2">
        <v>565</v>
      </c>
      <c r="F228" s="2">
        <v>726</v>
      </c>
      <c r="G228" s="3">
        <v>726</v>
      </c>
      <c r="H228" s="3">
        <v>726</v>
      </c>
    </row>
    <row r="229" spans="1:8" x14ac:dyDescent="0.25">
      <c r="A229" s="2" t="s">
        <v>357</v>
      </c>
      <c r="C229" s="12"/>
      <c r="D229" s="2">
        <v>242</v>
      </c>
      <c r="G229" s="3"/>
      <c r="H229" s="3"/>
    </row>
    <row r="230" spans="1:8" x14ac:dyDescent="0.25">
      <c r="A230" s="2" t="s">
        <v>111</v>
      </c>
      <c r="C230" s="12"/>
      <c r="D230" s="2">
        <v>242</v>
      </c>
      <c r="G230" s="3"/>
      <c r="H230" s="3"/>
    </row>
    <row r="231" spans="1:8" ht="15" x14ac:dyDescent="0.4">
      <c r="A231" s="2" t="s">
        <v>112</v>
      </c>
      <c r="C231" s="12"/>
      <c r="D231" s="11">
        <v>242</v>
      </c>
      <c r="G231" s="3"/>
      <c r="H231" s="3"/>
    </row>
    <row r="232" spans="1:8" x14ac:dyDescent="0.25">
      <c r="A232" s="24" t="s">
        <v>1182</v>
      </c>
      <c r="C232" s="12"/>
      <c r="D232" s="2">
        <f>SUM(D229:D231)</f>
        <v>726</v>
      </c>
      <c r="G232" s="3"/>
      <c r="H232" s="3"/>
    </row>
    <row r="233" spans="1:8" x14ac:dyDescent="0.25">
      <c r="C233" s="12"/>
      <c r="G233" s="3"/>
      <c r="H233" s="3"/>
    </row>
    <row r="234" spans="1:8" ht="13.8" x14ac:dyDescent="0.3">
      <c r="A234" s="53" t="s">
        <v>1217</v>
      </c>
      <c r="B234" s="4" t="s">
        <v>576</v>
      </c>
      <c r="C234" s="36" t="s">
        <v>577</v>
      </c>
      <c r="D234" s="4" t="s">
        <v>1182</v>
      </c>
      <c r="E234" s="2">
        <v>26895</v>
      </c>
      <c r="F234" s="2">
        <v>36958</v>
      </c>
      <c r="G234" s="3">
        <v>37855</v>
      </c>
      <c r="H234" s="3">
        <v>37855</v>
      </c>
    </row>
    <row r="235" spans="1:8" x14ac:dyDescent="0.25">
      <c r="A235" s="2" t="s">
        <v>1218</v>
      </c>
      <c r="B235" s="2">
        <f>1901+9614</f>
        <v>11515</v>
      </c>
      <c r="C235" s="12">
        <v>2.8</v>
      </c>
      <c r="D235" s="2">
        <f>+C235*B235</f>
        <v>32241.999999999996</v>
      </c>
      <c r="G235" s="3"/>
      <c r="H235" s="3"/>
    </row>
    <row r="236" spans="1:8" ht="15" x14ac:dyDescent="0.4">
      <c r="A236" s="2" t="s">
        <v>319</v>
      </c>
      <c r="B236" s="2">
        <v>2245</v>
      </c>
      <c r="C236" s="12">
        <v>2.5</v>
      </c>
      <c r="D236" s="11">
        <f>+C236*B236</f>
        <v>5612.5</v>
      </c>
      <c r="G236" s="3"/>
      <c r="H236" s="3"/>
    </row>
    <row r="237" spans="1:8" x14ac:dyDescent="0.25">
      <c r="A237" s="24" t="s">
        <v>1182</v>
      </c>
      <c r="C237" s="12"/>
      <c r="D237" s="2">
        <f>SUM(D235:D236)</f>
        <v>37854.5</v>
      </c>
      <c r="G237" s="3"/>
      <c r="H237" s="3"/>
    </row>
    <row r="238" spans="1:8" x14ac:dyDescent="0.25">
      <c r="A238" s="24"/>
      <c r="C238" s="12"/>
      <c r="G238" s="3"/>
      <c r="H238" s="3"/>
    </row>
    <row r="239" spans="1:8" x14ac:dyDescent="0.25">
      <c r="G239" s="3"/>
      <c r="H239" s="3"/>
    </row>
    <row r="240" spans="1:8" ht="13.8" x14ac:dyDescent="0.3">
      <c r="A240" s="53" t="s">
        <v>508</v>
      </c>
      <c r="E240" s="2">
        <v>13670</v>
      </c>
      <c r="F240" s="2">
        <v>15801</v>
      </c>
      <c r="G240" s="3">
        <v>15531</v>
      </c>
      <c r="H240" s="3">
        <v>15531</v>
      </c>
    </row>
    <row r="241" spans="1:8" x14ac:dyDescent="0.25">
      <c r="A241" s="2" t="s">
        <v>1739</v>
      </c>
      <c r="D241" s="2">
        <v>4650</v>
      </c>
    </row>
    <row r="242" spans="1:8" x14ac:dyDescent="0.25">
      <c r="A242" s="2" t="s">
        <v>1591</v>
      </c>
      <c r="B242" s="2">
        <v>2</v>
      </c>
      <c r="C242" s="2">
        <v>165</v>
      </c>
      <c r="D242" s="2">
        <f>C242*B242</f>
        <v>330</v>
      </c>
    </row>
    <row r="243" spans="1:8" x14ac:dyDescent="0.25">
      <c r="A243" s="2" t="s">
        <v>1592</v>
      </c>
      <c r="B243" s="2">
        <v>1</v>
      </c>
      <c r="C243" s="2">
        <v>1161</v>
      </c>
      <c r="D243" s="2">
        <f>C243*B243</f>
        <v>1161</v>
      </c>
    </row>
    <row r="244" spans="1:8" x14ac:dyDescent="0.25">
      <c r="A244" s="2" t="s">
        <v>1465</v>
      </c>
      <c r="B244" s="2">
        <v>1</v>
      </c>
      <c r="C244" s="2">
        <v>1020</v>
      </c>
      <c r="D244" s="2">
        <f t="shared" ref="D244:D253" si="9">C244*B244</f>
        <v>1020</v>
      </c>
    </row>
    <row r="245" spans="1:8" x14ac:dyDescent="0.25">
      <c r="A245" s="2" t="s">
        <v>1466</v>
      </c>
      <c r="B245" s="2">
        <v>2</v>
      </c>
      <c r="C245" s="2">
        <v>1020</v>
      </c>
      <c r="D245" s="2">
        <f t="shared" si="9"/>
        <v>2040</v>
      </c>
    </row>
    <row r="246" spans="1:8" x14ac:dyDescent="0.25">
      <c r="A246" s="2" t="s">
        <v>1740</v>
      </c>
      <c r="B246" s="2">
        <v>0</v>
      </c>
      <c r="C246" s="2">
        <v>480</v>
      </c>
      <c r="D246" s="2">
        <f t="shared" si="9"/>
        <v>0</v>
      </c>
    </row>
    <row r="247" spans="1:8" x14ac:dyDescent="0.25">
      <c r="A247" s="2" t="s">
        <v>831</v>
      </c>
      <c r="B247" s="2">
        <v>1</v>
      </c>
      <c r="C247" s="2">
        <v>480</v>
      </c>
      <c r="D247" s="2">
        <f t="shared" si="9"/>
        <v>480</v>
      </c>
    </row>
    <row r="248" spans="1:8" x14ac:dyDescent="0.25">
      <c r="A248" s="2" t="s">
        <v>832</v>
      </c>
      <c r="B248" s="2">
        <v>1</v>
      </c>
      <c r="C248" s="2">
        <v>480</v>
      </c>
      <c r="D248" s="2">
        <f t="shared" si="9"/>
        <v>480</v>
      </c>
    </row>
    <row r="249" spans="1:8" x14ac:dyDescent="0.25">
      <c r="A249" s="2" t="s">
        <v>1593</v>
      </c>
      <c r="B249" s="2">
        <v>3</v>
      </c>
      <c r="C249" s="2">
        <v>630</v>
      </c>
      <c r="D249" s="2">
        <f t="shared" si="9"/>
        <v>1890</v>
      </c>
    </row>
    <row r="250" spans="1:8" x14ac:dyDescent="0.25">
      <c r="A250" s="2" t="s">
        <v>1594</v>
      </c>
      <c r="B250" s="2">
        <v>2</v>
      </c>
      <c r="C250" s="2">
        <v>1020</v>
      </c>
      <c r="D250" s="2">
        <f t="shared" si="9"/>
        <v>2040</v>
      </c>
    </row>
    <row r="251" spans="1:8" x14ac:dyDescent="0.25">
      <c r="A251" s="2" t="s">
        <v>1595</v>
      </c>
      <c r="B251" s="2">
        <v>1</v>
      </c>
      <c r="C251" s="2">
        <v>480</v>
      </c>
      <c r="D251" s="2">
        <f t="shared" si="9"/>
        <v>480</v>
      </c>
    </row>
    <row r="252" spans="1:8" x14ac:dyDescent="0.25">
      <c r="A252" s="2" t="s">
        <v>1596</v>
      </c>
      <c r="B252" s="2">
        <v>1</v>
      </c>
      <c r="C252" s="2">
        <v>480</v>
      </c>
      <c r="D252" s="2">
        <f t="shared" si="9"/>
        <v>480</v>
      </c>
      <c r="G252" s="3"/>
      <c r="H252" s="3"/>
    </row>
    <row r="253" spans="1:8" ht="15" x14ac:dyDescent="0.4">
      <c r="A253" s="2" t="s">
        <v>1597</v>
      </c>
      <c r="B253" s="2">
        <v>1</v>
      </c>
      <c r="C253" s="2">
        <v>480</v>
      </c>
      <c r="D253" s="11">
        <f t="shared" si="9"/>
        <v>480</v>
      </c>
      <c r="G253" s="3"/>
      <c r="H253" s="3"/>
    </row>
    <row r="254" spans="1:8" x14ac:dyDescent="0.25">
      <c r="A254" s="24" t="s">
        <v>1182</v>
      </c>
      <c r="D254" s="2">
        <f>SUM(D241:D253)</f>
        <v>15531</v>
      </c>
      <c r="G254" s="3"/>
      <c r="H254" s="3"/>
    </row>
    <row r="255" spans="1:8" x14ac:dyDescent="0.25">
      <c r="G255" s="3"/>
      <c r="H255" s="3"/>
    </row>
    <row r="256" spans="1:8" ht="13.8" x14ac:dyDescent="0.3">
      <c r="A256" s="53" t="s">
        <v>1013</v>
      </c>
      <c r="B256" s="8"/>
      <c r="C256" s="8"/>
      <c r="D256" s="8"/>
      <c r="E256" s="2">
        <v>6172</v>
      </c>
      <c r="F256" s="2">
        <v>7715</v>
      </c>
      <c r="G256" s="3">
        <v>7565</v>
      </c>
      <c r="H256" s="3">
        <v>7565</v>
      </c>
    </row>
    <row r="257" spans="1:8" x14ac:dyDescent="0.25">
      <c r="A257" s="2" t="s">
        <v>1436</v>
      </c>
      <c r="B257" s="2">
        <v>65</v>
      </c>
      <c r="C257" s="2">
        <v>15</v>
      </c>
      <c r="D257" s="2">
        <f>C257*B257</f>
        <v>975</v>
      </c>
      <c r="G257" s="3"/>
      <c r="H257" s="3"/>
    </row>
    <row r="258" spans="1:8" x14ac:dyDescent="0.25">
      <c r="A258" s="2" t="s">
        <v>93</v>
      </c>
      <c r="D258" s="2">
        <f t="shared" ref="D258:D269" si="10">C258*B258</f>
        <v>0</v>
      </c>
      <c r="G258" s="3"/>
      <c r="H258" s="3"/>
    </row>
    <row r="259" spans="1:8" ht="26.4" x14ac:dyDescent="0.25">
      <c r="A259" s="202" t="s">
        <v>2187</v>
      </c>
      <c r="B259" s="2">
        <v>46</v>
      </c>
      <c r="C259" s="2">
        <v>15</v>
      </c>
      <c r="D259" s="2">
        <f t="shared" si="10"/>
        <v>690</v>
      </c>
      <c r="G259" s="3"/>
      <c r="H259" s="3"/>
    </row>
    <row r="260" spans="1:8" x14ac:dyDescent="0.25">
      <c r="A260" s="2" t="s">
        <v>366</v>
      </c>
      <c r="B260" s="2">
        <v>10</v>
      </c>
      <c r="C260" s="2">
        <v>20</v>
      </c>
      <c r="D260" s="2">
        <f t="shared" si="10"/>
        <v>200</v>
      </c>
      <c r="G260" s="3"/>
      <c r="H260" s="3"/>
    </row>
    <row r="261" spans="1:8" x14ac:dyDescent="0.25">
      <c r="A261" s="2" t="s">
        <v>1356</v>
      </c>
      <c r="B261" s="2">
        <v>3</v>
      </c>
      <c r="C261" s="2">
        <v>300</v>
      </c>
      <c r="D261" s="2">
        <f t="shared" si="10"/>
        <v>900</v>
      </c>
      <c r="G261" s="3"/>
      <c r="H261" s="3"/>
    </row>
    <row r="262" spans="1:8" x14ac:dyDescent="0.25">
      <c r="A262" s="2" t="s">
        <v>367</v>
      </c>
      <c r="B262" s="2">
        <v>2</v>
      </c>
      <c r="C262" s="2">
        <v>50</v>
      </c>
      <c r="D262" s="2">
        <f t="shared" si="10"/>
        <v>100</v>
      </c>
      <c r="G262" s="3"/>
      <c r="H262" s="3"/>
    </row>
    <row r="263" spans="1:8" x14ac:dyDescent="0.25">
      <c r="A263" s="2" t="s">
        <v>368</v>
      </c>
      <c r="B263" s="2">
        <v>1</v>
      </c>
      <c r="C263" s="2">
        <v>150</v>
      </c>
      <c r="D263" s="2">
        <f t="shared" si="10"/>
        <v>150</v>
      </c>
      <c r="G263" s="3"/>
      <c r="H263" s="3"/>
    </row>
    <row r="264" spans="1:8" x14ac:dyDescent="0.25">
      <c r="A264" s="2" t="s">
        <v>1310</v>
      </c>
      <c r="B264" s="2">
        <v>1</v>
      </c>
      <c r="C264" s="2">
        <v>500</v>
      </c>
      <c r="D264" s="2">
        <f t="shared" si="10"/>
        <v>500</v>
      </c>
      <c r="G264" s="3"/>
      <c r="H264" s="3"/>
    </row>
    <row r="265" spans="1:8" x14ac:dyDescent="0.25">
      <c r="A265" s="2" t="s">
        <v>1311</v>
      </c>
      <c r="B265" s="2">
        <v>1</v>
      </c>
      <c r="C265" s="2">
        <v>100</v>
      </c>
      <c r="D265" s="2">
        <f t="shared" si="10"/>
        <v>100</v>
      </c>
      <c r="G265" s="3"/>
      <c r="H265" s="3"/>
    </row>
    <row r="266" spans="1:8" x14ac:dyDescent="0.25">
      <c r="A266" s="2" t="s">
        <v>1741</v>
      </c>
      <c r="B266" s="2">
        <v>1</v>
      </c>
      <c r="C266" s="2">
        <v>50</v>
      </c>
      <c r="D266" s="2">
        <f t="shared" si="10"/>
        <v>50</v>
      </c>
      <c r="G266" s="3"/>
      <c r="H266" s="3"/>
    </row>
    <row r="267" spans="1:8" x14ac:dyDescent="0.25">
      <c r="A267" s="2" t="s">
        <v>1312</v>
      </c>
      <c r="B267" s="2">
        <v>1</v>
      </c>
      <c r="C267" s="2">
        <v>3400</v>
      </c>
      <c r="D267" s="2">
        <f t="shared" si="10"/>
        <v>3400</v>
      </c>
      <c r="G267" s="3"/>
      <c r="H267" s="3"/>
    </row>
    <row r="268" spans="1:8" x14ac:dyDescent="0.25">
      <c r="A268" s="2" t="s">
        <v>1742</v>
      </c>
      <c r="B268" s="2">
        <v>0</v>
      </c>
      <c r="C268" s="2">
        <v>300</v>
      </c>
      <c r="D268" s="2">
        <f t="shared" si="10"/>
        <v>0</v>
      </c>
      <c r="G268" s="3"/>
      <c r="H268" s="3"/>
    </row>
    <row r="269" spans="1:8" ht="15" x14ac:dyDescent="0.4">
      <c r="A269" s="2" t="s">
        <v>37</v>
      </c>
      <c r="B269" s="2">
        <v>1</v>
      </c>
      <c r="C269" s="2">
        <v>500</v>
      </c>
      <c r="D269" s="11">
        <f t="shared" si="10"/>
        <v>500</v>
      </c>
      <c r="G269" s="3"/>
      <c r="H269" s="3"/>
    </row>
    <row r="270" spans="1:8" x14ac:dyDescent="0.25">
      <c r="A270" s="24" t="s">
        <v>1182</v>
      </c>
      <c r="D270" s="2">
        <f>SUM(D257:D269)</f>
        <v>7565</v>
      </c>
      <c r="G270" s="3"/>
      <c r="H270" s="3"/>
    </row>
    <row r="271" spans="1:8" x14ac:dyDescent="0.25">
      <c r="G271" s="3"/>
      <c r="H271" s="3"/>
    </row>
    <row r="272" spans="1:8" ht="13.8" x14ac:dyDescent="0.3">
      <c r="A272" s="53" t="s">
        <v>620</v>
      </c>
      <c r="E272" s="2">
        <v>40104</v>
      </c>
      <c r="F272" s="2">
        <v>44063</v>
      </c>
      <c r="G272" s="3">
        <v>44115</v>
      </c>
      <c r="H272" s="3">
        <v>44115</v>
      </c>
    </row>
    <row r="273" spans="1:8" x14ac:dyDescent="0.25">
      <c r="A273" s="2" t="s">
        <v>999</v>
      </c>
      <c r="D273" s="2">
        <v>44115</v>
      </c>
      <c r="G273" s="3"/>
      <c r="H273" s="3"/>
    </row>
    <row r="274" spans="1:8" x14ac:dyDescent="0.25">
      <c r="G274" s="3"/>
      <c r="H274" s="3"/>
    </row>
    <row r="275" spans="1:8" ht="13.8" x14ac:dyDescent="0.3">
      <c r="A275" s="53" t="s">
        <v>1240</v>
      </c>
      <c r="B275" s="19"/>
      <c r="C275" s="19"/>
      <c r="D275" s="19"/>
      <c r="E275" s="2">
        <v>1288</v>
      </c>
      <c r="F275" s="2">
        <v>2250</v>
      </c>
      <c r="G275" s="3">
        <v>2250</v>
      </c>
      <c r="H275" s="3">
        <v>2250</v>
      </c>
    </row>
    <row r="276" spans="1:8" ht="26.4" x14ac:dyDescent="0.25">
      <c r="A276" s="201" t="s">
        <v>117</v>
      </c>
      <c r="B276" s="2">
        <v>1</v>
      </c>
      <c r="C276" s="2">
        <v>250</v>
      </c>
      <c r="D276" s="2">
        <f>C276*B276</f>
        <v>250</v>
      </c>
      <c r="G276" s="3"/>
      <c r="H276" s="3"/>
    </row>
    <row r="277" spans="1:8" ht="15" x14ac:dyDescent="0.4">
      <c r="A277" s="2" t="s">
        <v>1510</v>
      </c>
      <c r="B277" s="2">
        <v>2</v>
      </c>
      <c r="C277" s="11">
        <v>1000</v>
      </c>
      <c r="D277" s="11">
        <f>C277*B277</f>
        <v>2000</v>
      </c>
      <c r="G277" s="3"/>
      <c r="H277" s="3"/>
    </row>
    <row r="278" spans="1:8" x14ac:dyDescent="0.25">
      <c r="A278" s="24" t="s">
        <v>1182</v>
      </c>
      <c r="D278" s="2">
        <f>SUM(D276:D277)</f>
        <v>2250</v>
      </c>
      <c r="G278" s="3"/>
      <c r="H278" s="3"/>
    </row>
    <row r="279" spans="1:8" x14ac:dyDescent="0.25">
      <c r="A279" s="2" t="s">
        <v>386</v>
      </c>
      <c r="G279" s="3"/>
      <c r="H279" s="3"/>
    </row>
    <row r="280" spans="1:8" ht="13.8" x14ac:dyDescent="0.3">
      <c r="A280" s="53" t="s">
        <v>1241</v>
      </c>
      <c r="B280" s="8"/>
      <c r="C280" s="8"/>
      <c r="D280" s="8"/>
      <c r="E280" s="2">
        <v>16618</v>
      </c>
      <c r="F280" s="2">
        <v>12355</v>
      </c>
      <c r="G280" s="3">
        <v>12525</v>
      </c>
      <c r="H280" s="3">
        <v>12525</v>
      </c>
    </row>
    <row r="281" spans="1:8" ht="13.8" x14ac:dyDescent="0.3">
      <c r="A281" s="54" t="s">
        <v>38</v>
      </c>
      <c r="C281" s="8"/>
      <c r="D281" s="8"/>
      <c r="G281" s="3"/>
      <c r="H281" s="3"/>
    </row>
    <row r="282" spans="1:8" x14ac:dyDescent="0.25">
      <c r="A282" s="2" t="s">
        <v>353</v>
      </c>
      <c r="B282" s="2">
        <v>1</v>
      </c>
      <c r="C282" s="8">
        <v>1700</v>
      </c>
      <c r="D282" s="8">
        <f>C282*B282</f>
        <v>1700</v>
      </c>
      <c r="G282" s="3"/>
      <c r="H282" s="3"/>
    </row>
    <row r="283" spans="1:8" x14ac:dyDescent="0.25">
      <c r="A283" s="2" t="s">
        <v>39</v>
      </c>
      <c r="B283" s="2">
        <v>1</v>
      </c>
      <c r="C283" s="8">
        <v>1200</v>
      </c>
      <c r="D283" s="8">
        <f t="shared" ref="D283:D290" si="11">C283*B283</f>
        <v>1200</v>
      </c>
      <c r="G283" s="3"/>
      <c r="H283" s="3"/>
    </row>
    <row r="284" spans="1:8" x14ac:dyDescent="0.25">
      <c r="A284" s="2" t="s">
        <v>40</v>
      </c>
      <c r="B284" s="2">
        <v>1</v>
      </c>
      <c r="C284" s="8">
        <v>2500</v>
      </c>
      <c r="D284" s="8">
        <f t="shared" si="11"/>
        <v>2500</v>
      </c>
      <c r="G284" s="3"/>
      <c r="H284" s="3"/>
    </row>
    <row r="285" spans="1:8" x14ac:dyDescent="0.25">
      <c r="A285" s="2" t="s">
        <v>1598</v>
      </c>
      <c r="B285" s="2">
        <v>1</v>
      </c>
      <c r="C285" s="8">
        <v>500</v>
      </c>
      <c r="D285" s="8">
        <f t="shared" si="11"/>
        <v>500</v>
      </c>
      <c r="G285" s="3"/>
      <c r="H285" s="3"/>
    </row>
    <row r="286" spans="1:8" x14ac:dyDescent="0.25">
      <c r="A286" s="2" t="s">
        <v>242</v>
      </c>
      <c r="B286" s="2">
        <v>1</v>
      </c>
      <c r="C286" s="8">
        <v>500</v>
      </c>
      <c r="D286" s="8">
        <f t="shared" si="11"/>
        <v>500</v>
      </c>
      <c r="G286" s="3"/>
      <c r="H286" s="3"/>
    </row>
    <row r="287" spans="1:8" x14ac:dyDescent="0.25">
      <c r="A287" s="2" t="s">
        <v>371</v>
      </c>
      <c r="B287" s="2">
        <v>1</v>
      </c>
      <c r="C287" s="8">
        <v>375</v>
      </c>
      <c r="D287" s="8">
        <f t="shared" si="11"/>
        <v>375</v>
      </c>
      <c r="G287" s="3"/>
      <c r="H287" s="3"/>
    </row>
    <row r="288" spans="1:8" x14ac:dyDescent="0.25">
      <c r="A288" s="138" t="s">
        <v>1880</v>
      </c>
      <c r="B288" s="138">
        <v>0</v>
      </c>
      <c r="C288" s="143">
        <v>35000</v>
      </c>
      <c r="D288" s="8">
        <f t="shared" si="11"/>
        <v>0</v>
      </c>
      <c r="G288" s="3"/>
      <c r="H288" s="3"/>
    </row>
    <row r="289" spans="1:8" x14ac:dyDescent="0.25">
      <c r="A289" s="2" t="s">
        <v>1511</v>
      </c>
      <c r="B289" s="2">
        <v>12</v>
      </c>
      <c r="C289" s="8">
        <v>200</v>
      </c>
      <c r="D289" s="8">
        <f t="shared" si="11"/>
        <v>2400</v>
      </c>
      <c r="G289" s="3"/>
      <c r="H289" s="3"/>
    </row>
    <row r="290" spans="1:8" x14ac:dyDescent="0.25">
      <c r="A290" s="2" t="s">
        <v>538</v>
      </c>
      <c r="B290" s="2">
        <v>12</v>
      </c>
      <c r="C290" s="8">
        <v>200</v>
      </c>
      <c r="D290" s="8">
        <f t="shared" si="11"/>
        <v>2400</v>
      </c>
      <c r="G290" s="3"/>
      <c r="H290" s="3"/>
    </row>
    <row r="291" spans="1:8" x14ac:dyDescent="0.25">
      <c r="A291" s="2" t="s">
        <v>788</v>
      </c>
      <c r="B291" s="2">
        <v>1</v>
      </c>
      <c r="C291" s="2">
        <v>450</v>
      </c>
      <c r="D291" s="8">
        <f>C291*B291</f>
        <v>450</v>
      </c>
      <c r="G291" s="3"/>
      <c r="H291" s="3"/>
    </row>
    <row r="292" spans="1:8" ht="13.8" x14ac:dyDescent="0.3">
      <c r="A292" s="54" t="s">
        <v>539</v>
      </c>
      <c r="D292" s="8"/>
      <c r="G292" s="3"/>
      <c r="H292" s="3"/>
    </row>
    <row r="293" spans="1:8" ht="13.8" x14ac:dyDescent="0.3">
      <c r="A293" s="54" t="s">
        <v>706</v>
      </c>
      <c r="C293" s="8"/>
      <c r="D293" s="8"/>
      <c r="G293" s="3"/>
      <c r="H293" s="3"/>
    </row>
    <row r="294" spans="1:8" ht="15" x14ac:dyDescent="0.4">
      <c r="A294" s="2" t="s">
        <v>1599</v>
      </c>
      <c r="B294" s="2">
        <v>1</v>
      </c>
      <c r="C294" s="8">
        <v>500</v>
      </c>
      <c r="D294" s="9">
        <f>C294*B294</f>
        <v>500</v>
      </c>
      <c r="G294" s="3"/>
      <c r="H294" s="3"/>
    </row>
    <row r="295" spans="1:8" x14ac:dyDescent="0.25">
      <c r="A295" s="24" t="s">
        <v>1182</v>
      </c>
      <c r="C295" s="8"/>
      <c r="D295" s="8">
        <f>SUM(D282:D294)</f>
        <v>12525</v>
      </c>
      <c r="G295" s="3"/>
      <c r="H295" s="3"/>
    </row>
    <row r="296" spans="1:8" x14ac:dyDescent="0.25">
      <c r="C296" s="8"/>
      <c r="D296" s="8"/>
      <c r="G296" s="3"/>
      <c r="H296" s="3"/>
    </row>
    <row r="297" spans="1:8" ht="13.8" x14ac:dyDescent="0.3">
      <c r="A297" s="53" t="s">
        <v>632</v>
      </c>
      <c r="E297" s="2">
        <v>3641</v>
      </c>
      <c r="F297" s="2">
        <v>6800</v>
      </c>
      <c r="G297" s="3">
        <v>7350</v>
      </c>
      <c r="H297" s="3">
        <v>7350</v>
      </c>
    </row>
    <row r="298" spans="1:8" x14ac:dyDescent="0.25">
      <c r="A298" s="2" t="s">
        <v>519</v>
      </c>
      <c r="G298" s="3"/>
      <c r="H298" s="3"/>
    </row>
    <row r="299" spans="1:8" x14ac:dyDescent="0.25">
      <c r="A299" s="2" t="s">
        <v>520</v>
      </c>
      <c r="D299" s="2">
        <v>2500</v>
      </c>
      <c r="G299" s="3"/>
      <c r="H299" s="3"/>
    </row>
    <row r="300" spans="1:8" x14ac:dyDescent="0.25">
      <c r="A300" s="2" t="s">
        <v>1600</v>
      </c>
      <c r="D300" s="2">
        <v>1300</v>
      </c>
      <c r="G300" s="3"/>
      <c r="H300" s="3"/>
    </row>
    <row r="301" spans="1:8" x14ac:dyDescent="0.25">
      <c r="A301" s="2" t="s">
        <v>521</v>
      </c>
      <c r="D301" s="2">
        <v>1000</v>
      </c>
      <c r="G301" s="3"/>
      <c r="H301" s="3"/>
    </row>
    <row r="302" spans="1:8" ht="15" x14ac:dyDescent="0.4">
      <c r="A302" s="2" t="s">
        <v>1601</v>
      </c>
      <c r="B302" s="2">
        <v>3</v>
      </c>
      <c r="C302" s="2">
        <v>850</v>
      </c>
      <c r="D302" s="11">
        <f>C302*B302</f>
        <v>2550</v>
      </c>
      <c r="G302" s="3"/>
      <c r="H302" s="3"/>
    </row>
    <row r="303" spans="1:8" x14ac:dyDescent="0.25">
      <c r="A303" s="24" t="s">
        <v>1182</v>
      </c>
      <c r="D303" s="2">
        <f>SUM(D299:D302)</f>
        <v>7350</v>
      </c>
      <c r="G303" s="3"/>
      <c r="H303" s="3"/>
    </row>
    <row r="304" spans="1:8" x14ac:dyDescent="0.25">
      <c r="G304" s="3"/>
      <c r="H304" s="3"/>
    </row>
    <row r="305" spans="1:8" ht="13.8" x14ac:dyDescent="0.3">
      <c r="A305" s="53" t="s">
        <v>269</v>
      </c>
      <c r="E305" s="2">
        <v>97943</v>
      </c>
      <c r="F305" s="2">
        <v>90000</v>
      </c>
      <c r="G305" s="3">
        <v>112300</v>
      </c>
      <c r="H305" s="3">
        <v>100300</v>
      </c>
    </row>
    <row r="306" spans="1:8" x14ac:dyDescent="0.25">
      <c r="A306" s="2" t="s">
        <v>522</v>
      </c>
      <c r="G306" s="3"/>
      <c r="H306" s="3"/>
    </row>
    <row r="307" spans="1:8" x14ac:dyDescent="0.25">
      <c r="A307" s="2" t="s">
        <v>94</v>
      </c>
      <c r="D307" s="2">
        <v>80000</v>
      </c>
      <c r="G307" s="3"/>
      <c r="H307" s="3"/>
    </row>
    <row r="308" spans="1:8" x14ac:dyDescent="0.25">
      <c r="A308" s="2" t="s">
        <v>2049</v>
      </c>
      <c r="D308" s="2">
        <v>13000</v>
      </c>
      <c r="G308" s="3"/>
      <c r="H308" s="3"/>
    </row>
    <row r="309" spans="1:8" x14ac:dyDescent="0.25">
      <c r="A309" s="2" t="s">
        <v>2050</v>
      </c>
      <c r="D309" s="2">
        <v>0</v>
      </c>
      <c r="G309" s="3"/>
      <c r="H309" s="3"/>
    </row>
    <row r="310" spans="1:8" x14ac:dyDescent="0.25">
      <c r="A310" s="2" t="s">
        <v>1602</v>
      </c>
      <c r="B310" s="2">
        <v>1</v>
      </c>
      <c r="C310" s="2">
        <v>3800</v>
      </c>
      <c r="D310" s="2">
        <f>C310*B310</f>
        <v>3800</v>
      </c>
      <c r="G310" s="3"/>
      <c r="H310" s="3"/>
    </row>
    <row r="311" spans="1:8" x14ac:dyDescent="0.25">
      <c r="A311" s="2" t="s">
        <v>1512</v>
      </c>
      <c r="B311" s="2">
        <v>5</v>
      </c>
      <c r="C311" s="2">
        <v>500</v>
      </c>
      <c r="D311" s="2">
        <f>C311*B311</f>
        <v>2500</v>
      </c>
      <c r="G311" s="3"/>
      <c r="H311" s="3"/>
    </row>
    <row r="312" spans="1:8" ht="15" x14ac:dyDescent="0.4">
      <c r="A312" s="2" t="s">
        <v>27</v>
      </c>
      <c r="B312" s="2">
        <v>1</v>
      </c>
      <c r="C312" s="2">
        <v>1000</v>
      </c>
      <c r="D312" s="11">
        <f>C312*B312</f>
        <v>1000</v>
      </c>
      <c r="G312" s="3"/>
      <c r="H312" s="3"/>
    </row>
    <row r="313" spans="1:8" x14ac:dyDescent="0.25">
      <c r="A313" s="24" t="s">
        <v>1182</v>
      </c>
      <c r="D313" s="2">
        <f>SUM(D307:D312)</f>
        <v>100300</v>
      </c>
      <c r="G313" s="3"/>
      <c r="H313" s="3"/>
    </row>
    <row r="314" spans="1:8" x14ac:dyDescent="0.25">
      <c r="G314" s="3"/>
      <c r="H314" s="3"/>
    </row>
    <row r="315" spans="1:8" ht="13.8" x14ac:dyDescent="0.3">
      <c r="A315" s="53" t="s">
        <v>270</v>
      </c>
      <c r="B315" s="19"/>
      <c r="C315" s="19"/>
      <c r="D315" s="19"/>
      <c r="E315" s="2">
        <v>5016</v>
      </c>
      <c r="F315" s="2">
        <v>11715</v>
      </c>
      <c r="G315" s="3">
        <v>11705</v>
      </c>
      <c r="H315" s="3">
        <v>11705</v>
      </c>
    </row>
    <row r="316" spans="1:8" x14ac:dyDescent="0.25">
      <c r="A316" s="2" t="s">
        <v>1284</v>
      </c>
      <c r="D316" s="2">
        <v>190</v>
      </c>
      <c r="G316" s="3"/>
      <c r="H316" s="3"/>
    </row>
    <row r="317" spans="1:8" x14ac:dyDescent="0.25">
      <c r="A317" s="2" t="s">
        <v>1471</v>
      </c>
      <c r="D317" s="2">
        <v>2915</v>
      </c>
      <c r="G317" s="3"/>
      <c r="H317" s="3"/>
    </row>
    <row r="318" spans="1:8" x14ac:dyDescent="0.25">
      <c r="A318" s="2" t="s">
        <v>1603</v>
      </c>
      <c r="D318" s="2">
        <v>2600</v>
      </c>
      <c r="G318" s="3"/>
      <c r="H318" s="3"/>
    </row>
    <row r="319" spans="1:8" x14ac:dyDescent="0.25">
      <c r="A319" s="2" t="s">
        <v>1472</v>
      </c>
      <c r="D319" s="2">
        <v>4500</v>
      </c>
      <c r="G319" s="3"/>
      <c r="H319" s="3"/>
    </row>
    <row r="320" spans="1:8" ht="15" x14ac:dyDescent="0.4">
      <c r="A320" s="2" t="s">
        <v>1513</v>
      </c>
      <c r="C320" s="11"/>
      <c r="D320" s="11">
        <v>1500</v>
      </c>
      <c r="G320" s="3"/>
      <c r="H320" s="3"/>
    </row>
    <row r="321" spans="1:8" x14ac:dyDescent="0.25">
      <c r="A321" s="24" t="s">
        <v>1182</v>
      </c>
      <c r="D321" s="2">
        <f>SUM(D316:D320)</f>
        <v>11705</v>
      </c>
      <c r="G321" s="3"/>
      <c r="H321" s="3"/>
    </row>
    <row r="322" spans="1:8" x14ac:dyDescent="0.25">
      <c r="G322" s="3"/>
      <c r="H322" s="3"/>
    </row>
    <row r="323" spans="1:8" ht="13.8" x14ac:dyDescent="0.3">
      <c r="A323" s="53" t="s">
        <v>675</v>
      </c>
      <c r="B323" s="8"/>
      <c r="C323" s="8"/>
      <c r="D323" s="8"/>
      <c r="E323" s="2">
        <v>3699</v>
      </c>
      <c r="F323" s="2">
        <v>4460</v>
      </c>
      <c r="G323" s="3">
        <v>4460</v>
      </c>
      <c r="H323" s="3">
        <v>4460</v>
      </c>
    </row>
    <row r="324" spans="1:8" x14ac:dyDescent="0.25">
      <c r="A324" s="2" t="s">
        <v>1438</v>
      </c>
      <c r="B324" s="2">
        <v>1</v>
      </c>
      <c r="C324" s="2">
        <v>3500</v>
      </c>
      <c r="D324" s="2">
        <f>C324*B324</f>
        <v>3500</v>
      </c>
      <c r="G324" s="3"/>
      <c r="H324" s="3"/>
    </row>
    <row r="325" spans="1:8" ht="15" x14ac:dyDescent="0.4">
      <c r="A325" s="2" t="s">
        <v>1473</v>
      </c>
      <c r="B325" s="2">
        <v>1</v>
      </c>
      <c r="C325" s="11">
        <v>960</v>
      </c>
      <c r="D325" s="11">
        <f>C325*B325</f>
        <v>960</v>
      </c>
      <c r="G325" s="3"/>
      <c r="H325" s="3"/>
    </row>
    <row r="326" spans="1:8" x14ac:dyDescent="0.25">
      <c r="A326" s="24" t="s">
        <v>1182</v>
      </c>
      <c r="D326" s="2">
        <f>SUM(D324:D325)</f>
        <v>4460</v>
      </c>
      <c r="G326" s="3"/>
      <c r="H326" s="3"/>
    </row>
    <row r="327" spans="1:8" x14ac:dyDescent="0.25">
      <c r="A327" s="24"/>
      <c r="G327" s="3"/>
      <c r="H327" s="3"/>
    </row>
    <row r="328" spans="1:8" x14ac:dyDescent="0.25">
      <c r="G328" s="3"/>
      <c r="H328" s="3"/>
    </row>
    <row r="329" spans="1:8" ht="13.8" x14ac:dyDescent="0.3">
      <c r="A329" s="53" t="s">
        <v>271</v>
      </c>
      <c r="E329" s="2">
        <v>9720</v>
      </c>
      <c r="F329" s="2">
        <v>19420</v>
      </c>
      <c r="G329" s="3">
        <v>18520</v>
      </c>
      <c r="H329" s="3">
        <v>18520</v>
      </c>
    </row>
    <row r="330" spans="1:8" x14ac:dyDescent="0.25">
      <c r="B330" s="8"/>
      <c r="C330" s="8"/>
      <c r="D330" s="8"/>
      <c r="G330" s="3"/>
      <c r="H330" s="3"/>
    </row>
    <row r="331" spans="1:8" x14ac:dyDescent="0.25">
      <c r="A331" s="2" t="s">
        <v>95</v>
      </c>
      <c r="B331" s="2">
        <v>1</v>
      </c>
      <c r="C331" s="2">
        <v>400</v>
      </c>
      <c r="D331" s="2">
        <f>C331*B331</f>
        <v>400</v>
      </c>
      <c r="G331" s="3"/>
      <c r="H331" s="3"/>
    </row>
    <row r="332" spans="1:8" x14ac:dyDescent="0.25">
      <c r="A332" s="2" t="s">
        <v>1514</v>
      </c>
      <c r="B332" s="2">
        <v>1</v>
      </c>
      <c r="C332" s="2">
        <v>500</v>
      </c>
      <c r="D332" s="2">
        <f t="shared" ref="D332:D341" si="12">C332*B332</f>
        <v>500</v>
      </c>
      <c r="G332" s="3"/>
      <c r="H332" s="3"/>
    </row>
    <row r="333" spans="1:8" x14ac:dyDescent="0.25">
      <c r="A333" s="2" t="s">
        <v>96</v>
      </c>
      <c r="B333" s="2">
        <v>1</v>
      </c>
      <c r="C333" s="2">
        <v>400</v>
      </c>
      <c r="D333" s="2">
        <f t="shared" si="12"/>
        <v>400</v>
      </c>
      <c r="G333" s="3"/>
      <c r="H333" s="3"/>
    </row>
    <row r="334" spans="1:8" x14ac:dyDescent="0.25">
      <c r="A334" s="2" t="s">
        <v>2019</v>
      </c>
      <c r="B334" s="2">
        <v>1</v>
      </c>
      <c r="C334" s="2">
        <v>4500</v>
      </c>
      <c r="D334" s="2">
        <f t="shared" si="12"/>
        <v>4500</v>
      </c>
      <c r="G334" s="3"/>
      <c r="H334" s="3"/>
    </row>
    <row r="335" spans="1:8" x14ac:dyDescent="0.25">
      <c r="A335" s="2" t="s">
        <v>1452</v>
      </c>
      <c r="B335" s="2">
        <v>1</v>
      </c>
      <c r="C335" s="2">
        <v>1500</v>
      </c>
      <c r="D335" s="2">
        <f t="shared" si="12"/>
        <v>1500</v>
      </c>
      <c r="G335" s="3"/>
      <c r="H335" s="3"/>
    </row>
    <row r="336" spans="1:8" x14ac:dyDescent="0.25">
      <c r="A336" s="2" t="s">
        <v>2020</v>
      </c>
      <c r="B336" s="2">
        <v>12</v>
      </c>
      <c r="C336" s="2">
        <v>50</v>
      </c>
      <c r="D336" s="2">
        <f t="shared" si="12"/>
        <v>600</v>
      </c>
      <c r="G336" s="3"/>
      <c r="H336" s="3"/>
    </row>
    <row r="337" spans="1:8" x14ac:dyDescent="0.25">
      <c r="A337" s="2" t="s">
        <v>1164</v>
      </c>
      <c r="B337" s="2">
        <v>4</v>
      </c>
      <c r="C337" s="2">
        <v>550</v>
      </c>
      <c r="D337" s="2">
        <f t="shared" si="12"/>
        <v>2200</v>
      </c>
      <c r="G337" s="3"/>
      <c r="H337" s="3"/>
    </row>
    <row r="338" spans="1:8" x14ac:dyDescent="0.25">
      <c r="A338" s="138" t="s">
        <v>1881</v>
      </c>
      <c r="B338" s="138">
        <v>4</v>
      </c>
      <c r="C338" s="138">
        <v>380</v>
      </c>
      <c r="D338" s="2">
        <f t="shared" si="12"/>
        <v>1520</v>
      </c>
      <c r="G338" s="3"/>
      <c r="H338" s="3"/>
    </row>
    <row r="339" spans="1:8" x14ac:dyDescent="0.25">
      <c r="A339" s="138" t="s">
        <v>1882</v>
      </c>
      <c r="B339" s="2">
        <v>3</v>
      </c>
      <c r="C339" s="2">
        <v>300</v>
      </c>
      <c r="D339" s="2">
        <f t="shared" si="12"/>
        <v>900</v>
      </c>
      <c r="G339" s="3"/>
      <c r="H339" s="3"/>
    </row>
    <row r="340" spans="1:8" x14ac:dyDescent="0.25">
      <c r="A340" s="2" t="s">
        <v>1604</v>
      </c>
      <c r="B340" s="2">
        <v>0</v>
      </c>
      <c r="C340" s="2">
        <v>300</v>
      </c>
      <c r="D340" s="2">
        <f t="shared" si="12"/>
        <v>0</v>
      </c>
      <c r="G340" s="3"/>
      <c r="H340" s="3"/>
    </row>
    <row r="341" spans="1:8" ht="15" x14ac:dyDescent="0.4">
      <c r="A341" s="2" t="s">
        <v>1605</v>
      </c>
      <c r="B341" s="2">
        <v>3</v>
      </c>
      <c r="C341" s="2">
        <v>2000</v>
      </c>
      <c r="D341" s="11">
        <f t="shared" si="12"/>
        <v>6000</v>
      </c>
      <c r="G341" s="3"/>
      <c r="H341" s="3"/>
    </row>
    <row r="342" spans="1:8" x14ac:dyDescent="0.25">
      <c r="A342" s="24" t="s">
        <v>1182</v>
      </c>
      <c r="D342" s="2">
        <f>SUM(D331:D341)</f>
        <v>18520</v>
      </c>
      <c r="G342" s="3"/>
      <c r="H342" s="3"/>
    </row>
    <row r="343" spans="1:8" x14ac:dyDescent="0.25">
      <c r="G343" s="3"/>
      <c r="H343" s="3"/>
    </row>
    <row r="344" spans="1:8" ht="13.8" x14ac:dyDescent="0.3">
      <c r="A344" s="53" t="s">
        <v>272</v>
      </c>
      <c r="B344" s="8"/>
      <c r="C344" s="8"/>
      <c r="D344" s="8"/>
      <c r="E344" s="2">
        <v>48080</v>
      </c>
      <c r="F344" s="2">
        <v>60300</v>
      </c>
      <c r="G344" s="3">
        <v>66450</v>
      </c>
      <c r="H344" s="3">
        <v>66450</v>
      </c>
    </row>
    <row r="345" spans="1:8" ht="13.8" x14ac:dyDescent="0.3">
      <c r="A345" s="54" t="s">
        <v>1474</v>
      </c>
      <c r="B345" s="8"/>
      <c r="C345" s="8"/>
      <c r="D345" s="8"/>
      <c r="G345" s="3"/>
      <c r="H345" s="3"/>
    </row>
    <row r="346" spans="1:8" x14ac:dyDescent="0.25">
      <c r="A346" s="51" t="s">
        <v>858</v>
      </c>
      <c r="B346" s="2">
        <v>1</v>
      </c>
      <c r="C346" s="2">
        <v>12000</v>
      </c>
      <c r="D346" s="2">
        <f>B346*C346</f>
        <v>12000</v>
      </c>
      <c r="G346" s="3"/>
      <c r="H346" s="3"/>
    </row>
    <row r="347" spans="1:8" x14ac:dyDescent="0.25">
      <c r="A347" s="51" t="s">
        <v>859</v>
      </c>
      <c r="B347" s="2">
        <v>1</v>
      </c>
      <c r="C347" s="2">
        <v>2500</v>
      </c>
      <c r="D347" s="2">
        <f>C347*B347</f>
        <v>2500</v>
      </c>
      <c r="G347" s="3"/>
      <c r="H347" s="3"/>
    </row>
    <row r="348" spans="1:8" ht="13.8" x14ac:dyDescent="0.3">
      <c r="A348" s="54" t="s">
        <v>1453</v>
      </c>
      <c r="D348" s="2">
        <f t="shared" ref="D348:D366" si="13">C348*B348</f>
        <v>0</v>
      </c>
      <c r="G348" s="3"/>
      <c r="H348" s="3"/>
    </row>
    <row r="349" spans="1:8" x14ac:dyDescent="0.25">
      <c r="A349" s="2" t="s">
        <v>1515</v>
      </c>
      <c r="B349" s="2">
        <v>1</v>
      </c>
      <c r="C349" s="2">
        <v>15000</v>
      </c>
      <c r="D349" s="2">
        <f t="shared" si="13"/>
        <v>15000</v>
      </c>
      <c r="G349" s="3"/>
      <c r="H349" s="3"/>
    </row>
    <row r="350" spans="1:8" x14ac:dyDescent="0.25">
      <c r="A350" s="2" t="s">
        <v>2022</v>
      </c>
      <c r="B350" s="2">
        <v>10</v>
      </c>
      <c r="C350" s="2">
        <v>80</v>
      </c>
      <c r="D350" s="2">
        <f t="shared" si="13"/>
        <v>800</v>
      </c>
      <c r="G350" s="3"/>
      <c r="H350" s="3"/>
    </row>
    <row r="351" spans="1:8" x14ac:dyDescent="0.25">
      <c r="A351" s="2" t="s">
        <v>2021</v>
      </c>
      <c r="B351" s="2">
        <v>2</v>
      </c>
      <c r="C351" s="2">
        <v>1600</v>
      </c>
      <c r="D351" s="2">
        <f t="shared" si="13"/>
        <v>3200</v>
      </c>
      <c r="G351" s="3"/>
      <c r="H351" s="3"/>
    </row>
    <row r="352" spans="1:8" hidden="1" x14ac:dyDescent="0.25">
      <c r="A352" s="2" t="s">
        <v>1516</v>
      </c>
      <c r="B352" s="2">
        <v>0</v>
      </c>
      <c r="C352" s="2">
        <v>750</v>
      </c>
      <c r="D352" s="2">
        <f t="shared" si="13"/>
        <v>0</v>
      </c>
      <c r="G352" s="3"/>
      <c r="H352" s="3"/>
    </row>
    <row r="353" spans="1:8" hidden="1" x14ac:dyDescent="0.25">
      <c r="A353" s="2" t="s">
        <v>789</v>
      </c>
      <c r="B353" s="2">
        <v>4</v>
      </c>
      <c r="C353" s="2">
        <v>750</v>
      </c>
      <c r="D353" s="2">
        <f t="shared" si="13"/>
        <v>3000</v>
      </c>
      <c r="G353" s="3"/>
      <c r="H353" s="3"/>
    </row>
    <row r="354" spans="1:8" ht="13.8" x14ac:dyDescent="0.3">
      <c r="A354" s="54" t="s">
        <v>1261</v>
      </c>
      <c r="D354" s="2">
        <f t="shared" si="13"/>
        <v>0</v>
      </c>
      <c r="G354" s="3"/>
      <c r="H354" s="3"/>
    </row>
    <row r="355" spans="1:8" x14ac:dyDescent="0.25">
      <c r="A355" s="2" t="s">
        <v>790</v>
      </c>
      <c r="B355" s="2">
        <v>4</v>
      </c>
      <c r="C355" s="2">
        <v>950</v>
      </c>
      <c r="D355" s="2">
        <f t="shared" si="13"/>
        <v>3800</v>
      </c>
      <c r="G355" s="3"/>
      <c r="H355" s="3"/>
    </row>
    <row r="356" spans="1:8" x14ac:dyDescent="0.25">
      <c r="A356" s="2" t="s">
        <v>1517</v>
      </c>
      <c r="B356" s="2">
        <v>20</v>
      </c>
      <c r="C356" s="2">
        <v>375</v>
      </c>
      <c r="D356" s="2">
        <f t="shared" si="13"/>
        <v>7500</v>
      </c>
      <c r="G356" s="3"/>
      <c r="H356" s="3"/>
    </row>
    <row r="357" spans="1:8" x14ac:dyDescent="0.25">
      <c r="A357" s="2" t="s">
        <v>1518</v>
      </c>
      <c r="B357" s="2">
        <v>3</v>
      </c>
      <c r="C357" s="2">
        <v>1000</v>
      </c>
      <c r="D357" s="2">
        <f t="shared" si="13"/>
        <v>3000</v>
      </c>
      <c r="G357" s="3"/>
      <c r="H357" s="3"/>
    </row>
    <row r="358" spans="1:8" x14ac:dyDescent="0.25">
      <c r="A358" s="138" t="s">
        <v>1883</v>
      </c>
      <c r="B358" s="138">
        <v>0</v>
      </c>
      <c r="C358" s="138">
        <v>25000</v>
      </c>
      <c r="D358" s="2">
        <f t="shared" si="13"/>
        <v>0</v>
      </c>
      <c r="G358" s="3"/>
      <c r="H358" s="3"/>
    </row>
    <row r="359" spans="1:8" x14ac:dyDescent="0.25">
      <c r="A359" s="52" t="s">
        <v>2046</v>
      </c>
      <c r="B359" s="2">
        <v>1</v>
      </c>
      <c r="C359" s="2">
        <v>11800</v>
      </c>
      <c r="D359" s="2">
        <f t="shared" si="13"/>
        <v>11800</v>
      </c>
      <c r="G359" s="3"/>
      <c r="H359" s="3"/>
    </row>
    <row r="360" spans="1:8" x14ac:dyDescent="0.25">
      <c r="A360" s="2" t="s">
        <v>1519</v>
      </c>
      <c r="B360" s="2">
        <v>3</v>
      </c>
      <c r="C360" s="2">
        <v>300</v>
      </c>
      <c r="D360" s="2">
        <f t="shared" si="13"/>
        <v>900</v>
      </c>
      <c r="G360" s="3"/>
      <c r="H360" s="3"/>
    </row>
    <row r="361" spans="1:8" x14ac:dyDescent="0.25">
      <c r="A361" s="2" t="s">
        <v>860</v>
      </c>
      <c r="B361" s="2">
        <v>1</v>
      </c>
      <c r="C361" s="2">
        <v>1350</v>
      </c>
      <c r="D361" s="2">
        <f t="shared" si="13"/>
        <v>1350</v>
      </c>
      <c r="G361" s="3"/>
      <c r="H361" s="3"/>
    </row>
    <row r="362" spans="1:8" ht="13.8" x14ac:dyDescent="0.3">
      <c r="A362" s="54" t="s">
        <v>168</v>
      </c>
      <c r="D362" s="2">
        <f t="shared" si="13"/>
        <v>0</v>
      </c>
      <c r="G362" s="3"/>
      <c r="H362" s="3"/>
    </row>
    <row r="363" spans="1:8" x14ac:dyDescent="0.25">
      <c r="A363" s="2" t="s">
        <v>861</v>
      </c>
      <c r="B363" s="2">
        <v>1</v>
      </c>
      <c r="C363" s="2">
        <v>500</v>
      </c>
      <c r="D363" s="2">
        <f t="shared" si="13"/>
        <v>500</v>
      </c>
      <c r="G363" s="3"/>
      <c r="H363" s="3"/>
    </row>
    <row r="364" spans="1:8" x14ac:dyDescent="0.25">
      <c r="A364" s="2" t="s">
        <v>594</v>
      </c>
      <c r="B364" s="2">
        <v>1</v>
      </c>
      <c r="C364" s="2">
        <v>300</v>
      </c>
      <c r="D364" s="2">
        <f t="shared" si="13"/>
        <v>300</v>
      </c>
      <c r="G364" s="3"/>
      <c r="H364" s="3"/>
    </row>
    <row r="365" spans="1:8" x14ac:dyDescent="0.25">
      <c r="A365" s="2" t="s">
        <v>595</v>
      </c>
      <c r="B365" s="2">
        <v>1</v>
      </c>
      <c r="C365" s="2">
        <v>300</v>
      </c>
      <c r="D365" s="2">
        <f t="shared" si="13"/>
        <v>300</v>
      </c>
      <c r="G365" s="3"/>
      <c r="H365" s="3"/>
    </row>
    <row r="366" spans="1:8" ht="15" x14ac:dyDescent="0.4">
      <c r="A366" s="2" t="s">
        <v>596</v>
      </c>
      <c r="B366" s="2">
        <v>1</v>
      </c>
      <c r="C366" s="2">
        <v>500</v>
      </c>
      <c r="D366" s="11">
        <f t="shared" si="13"/>
        <v>500</v>
      </c>
      <c r="G366" s="3"/>
      <c r="H366" s="3"/>
    </row>
    <row r="367" spans="1:8" x14ac:dyDescent="0.25">
      <c r="A367" s="24" t="s">
        <v>1182</v>
      </c>
      <c r="D367" s="2">
        <f>SUM(D346:D366)</f>
        <v>66450</v>
      </c>
      <c r="G367" s="3"/>
      <c r="H367" s="3"/>
    </row>
    <row r="368" spans="1:8" x14ac:dyDescent="0.25">
      <c r="G368" s="3"/>
      <c r="H368" s="3"/>
    </row>
    <row r="369" spans="1:8" ht="13.8" x14ac:dyDescent="0.3">
      <c r="A369" s="53" t="s">
        <v>1350</v>
      </c>
      <c r="E369" s="2">
        <v>690</v>
      </c>
      <c r="F369" s="2">
        <v>1800</v>
      </c>
      <c r="G369" s="3">
        <v>3825</v>
      </c>
      <c r="H369" s="3">
        <v>3825</v>
      </c>
    </row>
    <row r="370" spans="1:8" x14ac:dyDescent="0.25">
      <c r="A370" s="2" t="s">
        <v>2023</v>
      </c>
      <c r="B370" s="2">
        <v>2</v>
      </c>
      <c r="C370" s="2">
        <v>750</v>
      </c>
      <c r="D370" s="2">
        <f>C370*B370</f>
        <v>1500</v>
      </c>
      <c r="G370" s="3"/>
      <c r="H370" s="3"/>
    </row>
    <row r="371" spans="1:8" x14ac:dyDescent="0.25">
      <c r="A371" s="2" t="s">
        <v>2024</v>
      </c>
      <c r="B371" s="2">
        <v>1</v>
      </c>
      <c r="C371" s="2">
        <v>750</v>
      </c>
      <c r="D371" s="2">
        <f>C371*B371</f>
        <v>750</v>
      </c>
      <c r="G371" s="3"/>
      <c r="H371" s="3"/>
    </row>
    <row r="372" spans="1:8" x14ac:dyDescent="0.25">
      <c r="A372" s="2" t="s">
        <v>2025</v>
      </c>
      <c r="B372" s="2">
        <v>45</v>
      </c>
      <c r="C372" s="2">
        <v>35</v>
      </c>
      <c r="D372" s="2">
        <f>C372*B372</f>
        <v>1575</v>
      </c>
      <c r="G372" s="3"/>
      <c r="H372" s="3"/>
    </row>
    <row r="373" spans="1:8" x14ac:dyDescent="0.25">
      <c r="A373" s="24" t="s">
        <v>1182</v>
      </c>
      <c r="D373" s="2">
        <f>SUM(D370:D372)</f>
        <v>3825</v>
      </c>
      <c r="G373" s="3"/>
      <c r="H373" s="3"/>
    </row>
    <row r="374" spans="1:8" x14ac:dyDescent="0.25">
      <c r="A374" s="24"/>
      <c r="G374" s="3"/>
      <c r="H374" s="3"/>
    </row>
    <row r="375" spans="1:8" ht="13.8" x14ac:dyDescent="0.3">
      <c r="A375" s="53" t="s">
        <v>617</v>
      </c>
      <c r="B375" s="8"/>
      <c r="C375" s="8"/>
      <c r="D375" s="8"/>
      <c r="E375" s="2">
        <v>5881</v>
      </c>
      <c r="F375" s="2">
        <v>9217.2000000000007</v>
      </c>
      <c r="G375" s="3">
        <v>13730</v>
      </c>
      <c r="H375" s="3">
        <v>6230</v>
      </c>
    </row>
    <row r="376" spans="1:8" x14ac:dyDescent="0.25">
      <c r="A376" s="1" t="s">
        <v>659</v>
      </c>
      <c r="G376" s="3"/>
      <c r="H376" s="3"/>
    </row>
    <row r="377" spans="1:8" x14ac:dyDescent="0.25">
      <c r="A377" s="2" t="s">
        <v>1326</v>
      </c>
      <c r="B377" s="2">
        <v>1</v>
      </c>
      <c r="C377" s="2">
        <v>430</v>
      </c>
      <c r="D377" s="2">
        <f>C377*B377</f>
        <v>430</v>
      </c>
      <c r="G377" s="3"/>
      <c r="H377" s="3"/>
    </row>
    <row r="378" spans="1:8" x14ac:dyDescent="0.25">
      <c r="A378" s="2" t="s">
        <v>1743</v>
      </c>
      <c r="B378" s="2">
        <v>2</v>
      </c>
      <c r="C378" s="2">
        <v>200</v>
      </c>
      <c r="D378" s="2">
        <f t="shared" ref="D378:D383" si="14">C378*B378</f>
        <v>400</v>
      </c>
      <c r="G378" s="3"/>
      <c r="H378" s="3"/>
    </row>
    <row r="379" spans="1:8" x14ac:dyDescent="0.25">
      <c r="A379" s="2" t="s">
        <v>1884</v>
      </c>
      <c r="B379" s="2">
        <v>2</v>
      </c>
      <c r="C379" s="2">
        <v>200</v>
      </c>
      <c r="D379" s="2">
        <f t="shared" si="14"/>
        <v>400</v>
      </c>
      <c r="G379" s="3"/>
      <c r="H379" s="3"/>
    </row>
    <row r="380" spans="1:8" x14ac:dyDescent="0.25">
      <c r="A380" s="138" t="s">
        <v>2026</v>
      </c>
      <c r="B380" s="138">
        <v>0</v>
      </c>
      <c r="C380" s="138">
        <v>7500</v>
      </c>
      <c r="D380" s="2">
        <f t="shared" si="14"/>
        <v>0</v>
      </c>
      <c r="G380" s="3"/>
      <c r="H380" s="3"/>
    </row>
    <row r="381" spans="1:8" x14ac:dyDescent="0.25">
      <c r="A381" s="138" t="s">
        <v>2027</v>
      </c>
      <c r="B381" s="138">
        <v>1</v>
      </c>
      <c r="C381" s="138">
        <v>2000</v>
      </c>
      <c r="D381" s="2">
        <f t="shared" si="14"/>
        <v>2000</v>
      </c>
      <c r="G381" s="3"/>
      <c r="H381" s="3"/>
    </row>
    <row r="382" spans="1:8" x14ac:dyDescent="0.25">
      <c r="A382" s="2" t="s">
        <v>1723</v>
      </c>
      <c r="B382" s="1">
        <v>0</v>
      </c>
      <c r="C382" s="8">
        <v>25000</v>
      </c>
      <c r="D382" s="2">
        <f t="shared" si="14"/>
        <v>0</v>
      </c>
      <c r="G382" s="3"/>
      <c r="H382" s="3"/>
    </row>
    <row r="383" spans="1:8" ht="15" x14ac:dyDescent="0.4">
      <c r="A383" s="2" t="s">
        <v>597</v>
      </c>
      <c r="B383" s="2">
        <v>1</v>
      </c>
      <c r="C383" s="2">
        <v>3000</v>
      </c>
      <c r="D383" s="11">
        <f t="shared" si="14"/>
        <v>3000</v>
      </c>
      <c r="G383" s="3"/>
      <c r="H383" s="3"/>
    </row>
    <row r="384" spans="1:8" x14ac:dyDescent="0.25">
      <c r="A384" s="24" t="s">
        <v>1182</v>
      </c>
      <c r="D384" s="1">
        <f>SUM(D377:D383)</f>
        <v>6230</v>
      </c>
      <c r="G384" s="3"/>
      <c r="H384" s="3"/>
    </row>
    <row r="385" spans="1:8" x14ac:dyDescent="0.25">
      <c r="G385" s="3"/>
      <c r="H385" s="3"/>
    </row>
    <row r="386" spans="1:8" ht="13.8" x14ac:dyDescent="0.3">
      <c r="A386" s="53" t="s">
        <v>888</v>
      </c>
      <c r="E386" s="2">
        <v>3819</v>
      </c>
      <c r="F386" s="2">
        <v>3000</v>
      </c>
      <c r="G386" s="3">
        <v>6000</v>
      </c>
      <c r="H386" s="3">
        <v>6000</v>
      </c>
    </row>
    <row r="387" spans="1:8" x14ac:dyDescent="0.25">
      <c r="A387" s="2" t="s">
        <v>2028</v>
      </c>
      <c r="B387" s="2">
        <v>1</v>
      </c>
      <c r="C387" s="2">
        <v>6000</v>
      </c>
      <c r="D387" s="2">
        <f>C387*B387</f>
        <v>6000</v>
      </c>
      <c r="G387" s="3"/>
      <c r="H387" s="3"/>
    </row>
    <row r="388" spans="1:8" x14ac:dyDescent="0.25">
      <c r="G388" s="3"/>
      <c r="H388" s="3"/>
    </row>
    <row r="389" spans="1:8" ht="13.8" x14ac:dyDescent="0.3">
      <c r="A389" s="53" t="s">
        <v>511</v>
      </c>
      <c r="E389" s="2">
        <v>0</v>
      </c>
      <c r="F389" s="2">
        <v>750</v>
      </c>
      <c r="G389" s="3">
        <v>750</v>
      </c>
      <c r="H389" s="3">
        <v>750</v>
      </c>
    </row>
    <row r="390" spans="1:8" x14ac:dyDescent="0.25">
      <c r="A390" s="2" t="s">
        <v>97</v>
      </c>
      <c r="B390" s="2">
        <v>1</v>
      </c>
      <c r="C390" s="2">
        <v>750</v>
      </c>
      <c r="D390" s="2">
        <f>C390*B390</f>
        <v>750</v>
      </c>
    </row>
    <row r="391" spans="1:8" ht="15" x14ac:dyDescent="0.4">
      <c r="D391" s="11">
        <v>0</v>
      </c>
      <c r="G391" s="3"/>
      <c r="H391" s="3"/>
    </row>
    <row r="392" spans="1:8" x14ac:dyDescent="0.25">
      <c r="A392" s="8" t="s">
        <v>1182</v>
      </c>
      <c r="D392" s="2">
        <f>SUM(D390:D391)</f>
        <v>750</v>
      </c>
      <c r="G392" s="3"/>
      <c r="H392" s="3"/>
    </row>
    <row r="393" spans="1:8" x14ac:dyDescent="0.25">
      <c r="G393" s="3"/>
      <c r="H393" s="3"/>
    </row>
    <row r="394" spans="1:8" ht="13.8" x14ac:dyDescent="0.3">
      <c r="A394" s="53" t="s">
        <v>512</v>
      </c>
      <c r="B394" s="8"/>
      <c r="C394" s="8"/>
      <c r="D394" s="8"/>
      <c r="E394" s="2">
        <v>13157</v>
      </c>
      <c r="F394" s="2">
        <v>16493</v>
      </c>
      <c r="G394" s="3">
        <v>16500</v>
      </c>
      <c r="H394" s="3">
        <v>16500</v>
      </c>
    </row>
    <row r="395" spans="1:8" ht="15" x14ac:dyDescent="0.4">
      <c r="A395" s="2" t="s">
        <v>2035</v>
      </c>
      <c r="B395" s="2">
        <v>1</v>
      </c>
      <c r="C395" s="2">
        <v>16400</v>
      </c>
      <c r="D395" s="11">
        <v>16500</v>
      </c>
      <c r="G395" s="3"/>
      <c r="H395" s="3"/>
    </row>
    <row r="396" spans="1:8" x14ac:dyDescent="0.25">
      <c r="A396" s="24" t="s">
        <v>1182</v>
      </c>
      <c r="D396" s="8">
        <f>SUM(D395:D395)</f>
        <v>16500</v>
      </c>
      <c r="G396" s="3"/>
      <c r="H396" s="3"/>
    </row>
    <row r="397" spans="1:8" x14ac:dyDescent="0.25">
      <c r="G397" s="3"/>
      <c r="H397" s="3"/>
    </row>
    <row r="398" spans="1:8" ht="13.8" x14ac:dyDescent="0.3">
      <c r="A398" s="53" t="s">
        <v>513</v>
      </c>
      <c r="B398" s="8"/>
      <c r="C398" s="8"/>
      <c r="D398" s="8"/>
      <c r="E398" s="2">
        <v>46365</v>
      </c>
      <c r="F398" s="2">
        <v>25000</v>
      </c>
      <c r="G398" s="3">
        <v>80000</v>
      </c>
      <c r="H398" s="3">
        <v>25000</v>
      </c>
    </row>
    <row r="399" spans="1:8" ht="13.8" x14ac:dyDescent="0.3">
      <c r="A399" s="53" t="s">
        <v>744</v>
      </c>
      <c r="B399" s="8"/>
      <c r="C399" s="8"/>
      <c r="D399" s="8"/>
      <c r="G399" s="3"/>
      <c r="H399" s="3"/>
    </row>
    <row r="400" spans="1:8" ht="13.8" x14ac:dyDescent="0.3">
      <c r="A400" s="54" t="s">
        <v>745</v>
      </c>
      <c r="C400" s="8"/>
      <c r="D400" s="8"/>
      <c r="G400" s="3"/>
      <c r="H400" s="3"/>
    </row>
    <row r="401" spans="1:8" x14ac:dyDescent="0.25">
      <c r="A401" s="2" t="s">
        <v>2178</v>
      </c>
      <c r="B401" s="2">
        <v>1</v>
      </c>
      <c r="C401" s="8">
        <v>7000</v>
      </c>
      <c r="D401" s="8">
        <f>C401*B401</f>
        <v>7000</v>
      </c>
      <c r="G401" s="3"/>
      <c r="H401" s="3"/>
    </row>
    <row r="402" spans="1:8" x14ac:dyDescent="0.25">
      <c r="A402" s="2" t="s">
        <v>2179</v>
      </c>
      <c r="B402" s="2">
        <v>1</v>
      </c>
      <c r="C402" s="8">
        <v>9500</v>
      </c>
      <c r="D402" s="8">
        <f>C402*B402</f>
        <v>9500</v>
      </c>
      <c r="G402" s="3"/>
      <c r="H402" s="3"/>
    </row>
    <row r="403" spans="1:8" x14ac:dyDescent="0.25">
      <c r="A403" s="2" t="s">
        <v>2030</v>
      </c>
      <c r="B403" s="2">
        <v>1</v>
      </c>
      <c r="C403" s="8">
        <v>5000</v>
      </c>
      <c r="D403" s="8">
        <f>C403*B403</f>
        <v>5000</v>
      </c>
      <c r="G403" s="3"/>
      <c r="H403" s="3"/>
    </row>
    <row r="404" spans="1:8" x14ac:dyDescent="0.25">
      <c r="A404" s="2" t="s">
        <v>2029</v>
      </c>
      <c r="B404" s="2">
        <v>1</v>
      </c>
      <c r="C404" s="8">
        <v>3500</v>
      </c>
      <c r="D404" s="8">
        <f>C404*B404</f>
        <v>3500</v>
      </c>
      <c r="G404" s="3"/>
      <c r="H404" s="3"/>
    </row>
    <row r="405" spans="1:8" x14ac:dyDescent="0.25">
      <c r="A405" s="2" t="s">
        <v>2152</v>
      </c>
      <c r="B405" s="2">
        <v>0</v>
      </c>
      <c r="C405" s="8">
        <v>35000</v>
      </c>
      <c r="D405" s="8">
        <f>C405*B405</f>
        <v>0</v>
      </c>
      <c r="G405" s="3"/>
      <c r="H405" s="3"/>
    </row>
    <row r="406" spans="1:8" ht="15" x14ac:dyDescent="0.4">
      <c r="A406" s="2" t="s">
        <v>2151</v>
      </c>
      <c r="B406" s="2">
        <v>0</v>
      </c>
      <c r="C406" s="8">
        <v>2000</v>
      </c>
      <c r="D406" s="9">
        <v>0</v>
      </c>
      <c r="E406" s="73"/>
      <c r="G406" s="3"/>
      <c r="H406" s="3"/>
    </row>
    <row r="407" spans="1:8" x14ac:dyDescent="0.25">
      <c r="A407" s="24" t="s">
        <v>1182</v>
      </c>
      <c r="C407" s="8"/>
      <c r="D407" s="8">
        <f>SUM(D401:D406)</f>
        <v>25000</v>
      </c>
      <c r="E407" s="72"/>
      <c r="G407" s="3"/>
      <c r="H407" s="3"/>
    </row>
    <row r="408" spans="1:8" x14ac:dyDescent="0.25">
      <c r="A408" s="24"/>
      <c r="C408" s="8"/>
      <c r="D408" s="8"/>
      <c r="E408" s="72"/>
      <c r="G408" s="3"/>
      <c r="H408" s="3"/>
    </row>
    <row r="409" spans="1:8" x14ac:dyDescent="0.25">
      <c r="A409" s="41"/>
      <c r="B409" s="45"/>
      <c r="C409" s="3"/>
      <c r="D409" s="3"/>
      <c r="G409" s="3"/>
      <c r="H409" s="3"/>
    </row>
    <row r="410" spans="1:8" ht="13.8" x14ac:dyDescent="0.3">
      <c r="A410" s="53" t="s">
        <v>964</v>
      </c>
      <c r="B410" s="8"/>
      <c r="C410" s="8"/>
      <c r="D410" s="8"/>
      <c r="E410" s="2">
        <v>5459</v>
      </c>
      <c r="F410" s="2">
        <v>4560</v>
      </c>
      <c r="G410" s="3">
        <v>4500</v>
      </c>
      <c r="H410" s="3">
        <v>4500</v>
      </c>
    </row>
    <row r="411" spans="1:8" x14ac:dyDescent="0.25">
      <c r="A411" s="2" t="s">
        <v>1520</v>
      </c>
      <c r="B411" s="2">
        <v>2</v>
      </c>
      <c r="C411" s="2">
        <v>1250</v>
      </c>
      <c r="D411" s="2">
        <f>C411*B411</f>
        <v>2500</v>
      </c>
      <c r="G411" s="3"/>
      <c r="H411" s="3"/>
    </row>
    <row r="412" spans="1:8" ht="15" x14ac:dyDescent="0.4">
      <c r="A412" s="2" t="s">
        <v>1744</v>
      </c>
      <c r="B412" s="2">
        <v>2</v>
      </c>
      <c r="C412" s="2">
        <v>1000</v>
      </c>
      <c r="D412" s="11">
        <f>C412*B412</f>
        <v>2000</v>
      </c>
      <c r="G412" s="3"/>
      <c r="H412" s="3"/>
    </row>
    <row r="413" spans="1:8" x14ac:dyDescent="0.25">
      <c r="A413" s="24" t="s">
        <v>1182</v>
      </c>
      <c r="D413" s="2">
        <f>SUM(D411:D412)</f>
        <v>4500</v>
      </c>
      <c r="G413" s="3"/>
      <c r="H413" s="3"/>
    </row>
    <row r="414" spans="1:8" x14ac:dyDescent="0.25">
      <c r="A414" s="51"/>
      <c r="G414" s="3"/>
      <c r="H414" s="3"/>
    </row>
    <row r="415" spans="1:8" ht="13.8" x14ac:dyDescent="0.3">
      <c r="A415" s="53" t="s">
        <v>965</v>
      </c>
      <c r="B415" s="8"/>
      <c r="C415" s="8"/>
      <c r="D415" s="8"/>
      <c r="E415" s="2">
        <v>13367</v>
      </c>
      <c r="F415" s="2">
        <v>19500</v>
      </c>
      <c r="G415" s="3">
        <v>17800</v>
      </c>
      <c r="H415" s="3">
        <v>17800</v>
      </c>
    </row>
    <row r="416" spans="1:8" x14ac:dyDescent="0.25">
      <c r="A416" s="2" t="s">
        <v>2033</v>
      </c>
      <c r="B416" s="2">
        <v>1</v>
      </c>
      <c r="C416" s="2">
        <v>6800</v>
      </c>
      <c r="D416" s="2">
        <f>C416*B416</f>
        <v>6800</v>
      </c>
      <c r="G416" s="3"/>
      <c r="H416" s="3"/>
    </row>
    <row r="417" spans="1:8" x14ac:dyDescent="0.25">
      <c r="A417" s="2" t="s">
        <v>2034</v>
      </c>
      <c r="B417" s="2">
        <v>1</v>
      </c>
      <c r="C417" s="2">
        <v>2000</v>
      </c>
      <c r="D417" s="2">
        <f>C417*B417</f>
        <v>2000</v>
      </c>
      <c r="G417" s="3"/>
      <c r="H417" s="3"/>
    </row>
    <row r="418" spans="1:8" ht="15" x14ac:dyDescent="0.4">
      <c r="A418" s="2" t="s">
        <v>1606</v>
      </c>
      <c r="B418" s="2">
        <v>2</v>
      </c>
      <c r="C418" s="2">
        <v>4500</v>
      </c>
      <c r="D418" s="11">
        <f>C418*B418</f>
        <v>9000</v>
      </c>
      <c r="G418" s="3"/>
      <c r="H418" s="3"/>
    </row>
    <row r="419" spans="1:8" x14ac:dyDescent="0.25">
      <c r="A419" s="24" t="s">
        <v>1182</v>
      </c>
      <c r="D419" s="2">
        <f>SUM(D416:D418)</f>
        <v>17800</v>
      </c>
      <c r="G419" s="3"/>
      <c r="H419" s="3"/>
    </row>
    <row r="420" spans="1:8" x14ac:dyDescent="0.25">
      <c r="G420" s="3"/>
      <c r="H420" s="3"/>
    </row>
    <row r="421" spans="1:8" ht="13.8" x14ac:dyDescent="0.3">
      <c r="A421" s="53" t="s">
        <v>1112</v>
      </c>
      <c r="B421" s="19"/>
      <c r="C421" s="19"/>
      <c r="D421" s="19"/>
      <c r="E421" s="2">
        <v>1285</v>
      </c>
      <c r="F421" s="2">
        <v>18300</v>
      </c>
      <c r="G421" s="3">
        <v>10300</v>
      </c>
      <c r="H421" s="3">
        <v>10300</v>
      </c>
    </row>
    <row r="422" spans="1:8" x14ac:dyDescent="0.25">
      <c r="A422" s="138" t="s">
        <v>2032</v>
      </c>
      <c r="B422" s="138">
        <v>1</v>
      </c>
      <c r="C422" s="143">
        <v>1800</v>
      </c>
      <c r="D422" s="143">
        <f>C422*B422</f>
        <v>1800</v>
      </c>
    </row>
    <row r="423" spans="1:8" x14ac:dyDescent="0.25">
      <c r="A423" s="138" t="s">
        <v>2031</v>
      </c>
      <c r="B423" s="138">
        <v>2</v>
      </c>
      <c r="C423" s="143">
        <v>1000</v>
      </c>
      <c r="D423" s="143">
        <f>C423*B423</f>
        <v>2000</v>
      </c>
    </row>
    <row r="424" spans="1:8" ht="15" x14ac:dyDescent="0.4">
      <c r="A424" s="2" t="s">
        <v>2167</v>
      </c>
      <c r="B424" s="2">
        <v>1</v>
      </c>
      <c r="C424" s="8">
        <v>6500</v>
      </c>
      <c r="D424" s="9">
        <f>C424*B424</f>
        <v>6500</v>
      </c>
    </row>
    <row r="425" spans="1:8" x14ac:dyDescent="0.25">
      <c r="A425" s="24" t="s">
        <v>1182</v>
      </c>
      <c r="D425" s="2">
        <f>SUM(D422:D424)</f>
        <v>10300</v>
      </c>
    </row>
    <row r="427" spans="1:8" ht="13.8" x14ac:dyDescent="0.3">
      <c r="A427" s="53" t="s">
        <v>3</v>
      </c>
      <c r="B427" s="19"/>
      <c r="C427" s="19"/>
      <c r="D427" s="19"/>
      <c r="E427" s="2">
        <v>245000</v>
      </c>
      <c r="F427" s="2">
        <v>307000</v>
      </c>
      <c r="G427" s="2">
        <v>330000</v>
      </c>
      <c r="H427" s="2">
        <v>330000</v>
      </c>
    </row>
    <row r="428" spans="1:8" x14ac:dyDescent="0.25">
      <c r="A428" s="2" t="s">
        <v>534</v>
      </c>
      <c r="D428" s="2">
        <v>250000</v>
      </c>
    </row>
    <row r="429" spans="1:8" ht="15" x14ac:dyDescent="0.4">
      <c r="A429" s="2" t="s">
        <v>28</v>
      </c>
      <c r="C429" s="11"/>
      <c r="D429" s="11">
        <v>80000</v>
      </c>
    </row>
    <row r="430" spans="1:8" x14ac:dyDescent="0.25">
      <c r="A430" s="2" t="s">
        <v>1182</v>
      </c>
      <c r="D430" s="2">
        <f>SUM(D428:D429)</f>
        <v>330000</v>
      </c>
    </row>
    <row r="433" spans="1:10" ht="15" x14ac:dyDescent="0.4">
      <c r="A433" s="53" t="s">
        <v>1257</v>
      </c>
      <c r="E433" s="11">
        <v>218210</v>
      </c>
      <c r="F433" s="18">
        <v>288000</v>
      </c>
      <c r="G433" s="18">
        <v>434000</v>
      </c>
      <c r="H433" s="18">
        <v>434000</v>
      </c>
      <c r="J433" s="18"/>
    </row>
    <row r="434" spans="1:10" ht="15" x14ac:dyDescent="0.4">
      <c r="A434" s="53"/>
      <c r="B434" s="192" t="s">
        <v>1715</v>
      </c>
      <c r="C434" s="192" t="s">
        <v>1766</v>
      </c>
      <c r="D434" s="192" t="s">
        <v>1985</v>
      </c>
      <c r="E434" s="11"/>
      <c r="F434" s="18"/>
      <c r="G434" s="18"/>
      <c r="H434" s="18"/>
      <c r="I434" s="18"/>
      <c r="J434" s="18"/>
    </row>
    <row r="435" spans="1:10" ht="15" x14ac:dyDescent="0.4">
      <c r="A435" s="52" t="s">
        <v>2146</v>
      </c>
      <c r="B435" s="192"/>
      <c r="C435" s="192"/>
      <c r="D435" s="16">
        <v>25000</v>
      </c>
      <c r="E435" s="11"/>
      <c r="F435" s="18"/>
      <c r="G435" s="18"/>
      <c r="H435" s="18"/>
      <c r="I435" s="18"/>
      <c r="J435" s="18"/>
    </row>
    <row r="436" spans="1:10" ht="15" x14ac:dyDescent="0.4">
      <c r="A436" s="45" t="s">
        <v>2148</v>
      </c>
      <c r="B436" s="192"/>
      <c r="C436" s="192"/>
      <c r="D436" s="16">
        <v>25000</v>
      </c>
      <c r="E436" s="11"/>
      <c r="F436" s="18"/>
      <c r="G436" s="18"/>
      <c r="H436" s="18"/>
      <c r="I436" s="18"/>
      <c r="J436" s="18"/>
    </row>
    <row r="437" spans="1:10" ht="15" x14ac:dyDescent="0.4">
      <c r="A437" s="45" t="s">
        <v>2149</v>
      </c>
      <c r="B437" s="192"/>
      <c r="C437" s="192"/>
      <c r="D437" s="16">
        <v>15000</v>
      </c>
      <c r="E437" s="11"/>
      <c r="F437" s="18"/>
      <c r="G437" s="18"/>
      <c r="H437" s="18"/>
      <c r="I437" s="18"/>
      <c r="J437" s="18"/>
    </row>
    <row r="438" spans="1:10" ht="15" x14ac:dyDescent="0.4">
      <c r="A438" s="45" t="s">
        <v>2180</v>
      </c>
      <c r="B438" s="192"/>
      <c r="C438" s="192"/>
      <c r="D438" s="16">
        <v>39000</v>
      </c>
      <c r="E438" s="11"/>
      <c r="F438" s="18"/>
      <c r="G438" s="18"/>
      <c r="H438" s="18"/>
      <c r="I438" s="18"/>
      <c r="J438" s="18"/>
    </row>
    <row r="439" spans="1:10" ht="15" x14ac:dyDescent="0.4">
      <c r="A439" s="45" t="s">
        <v>2150</v>
      </c>
      <c r="B439" s="192"/>
      <c r="C439" s="192"/>
      <c r="D439" s="16">
        <v>17000</v>
      </c>
      <c r="E439" s="11"/>
      <c r="F439" s="18"/>
      <c r="G439" s="18"/>
      <c r="H439" s="18"/>
      <c r="I439" s="18"/>
      <c r="J439" s="18"/>
    </row>
    <row r="440" spans="1:10" ht="15" x14ac:dyDescent="0.4">
      <c r="A440" s="45" t="s">
        <v>2147</v>
      </c>
      <c r="B440" s="192"/>
      <c r="C440" s="192"/>
      <c r="D440" s="16">
        <v>298000</v>
      </c>
      <c r="E440" s="11"/>
      <c r="F440" s="18"/>
      <c r="G440" s="18"/>
      <c r="H440" s="18"/>
      <c r="I440" s="18"/>
      <c r="J440" s="18"/>
    </row>
    <row r="441" spans="1:10" ht="15" x14ac:dyDescent="0.4">
      <c r="A441" s="43" t="s">
        <v>1607</v>
      </c>
      <c r="B441" s="8">
        <v>0</v>
      </c>
      <c r="C441" s="8">
        <v>235000</v>
      </c>
      <c r="D441" s="8">
        <v>0</v>
      </c>
      <c r="E441" s="11"/>
      <c r="F441" s="18"/>
      <c r="G441" s="18"/>
      <c r="H441" s="18"/>
      <c r="I441" s="18"/>
      <c r="J441" s="18"/>
    </row>
    <row r="442" spans="1:10" ht="15" x14ac:dyDescent="0.4">
      <c r="A442" s="43" t="s">
        <v>1885</v>
      </c>
      <c r="B442" s="8">
        <v>0</v>
      </c>
      <c r="C442" s="8">
        <v>13000</v>
      </c>
      <c r="D442" s="8">
        <v>15000</v>
      </c>
      <c r="E442" s="11"/>
      <c r="F442" s="18"/>
      <c r="G442" s="18"/>
      <c r="H442" s="18"/>
      <c r="I442" s="18"/>
      <c r="J442" s="18"/>
    </row>
    <row r="443" spans="1:10" ht="15" x14ac:dyDescent="0.4">
      <c r="A443" s="43" t="s">
        <v>1608</v>
      </c>
      <c r="B443" s="8">
        <v>0</v>
      </c>
      <c r="C443" s="8">
        <v>0</v>
      </c>
      <c r="D443" s="8">
        <v>0</v>
      </c>
      <c r="E443" s="11"/>
      <c r="F443" s="18"/>
      <c r="G443" s="18"/>
      <c r="H443" s="18"/>
      <c r="I443" s="18"/>
      <c r="J443" s="18"/>
    </row>
    <row r="444" spans="1:10" ht="15" x14ac:dyDescent="0.4">
      <c r="A444" s="43" t="s">
        <v>1763</v>
      </c>
      <c r="B444" s="8">
        <v>85000</v>
      </c>
      <c r="C444" s="8">
        <v>0</v>
      </c>
      <c r="D444" s="8">
        <v>0</v>
      </c>
      <c r="E444" s="11"/>
      <c r="F444" s="18"/>
      <c r="G444" s="18"/>
      <c r="H444" s="18"/>
      <c r="I444" s="18"/>
      <c r="J444" s="18"/>
    </row>
    <row r="445" spans="1:10" ht="15" x14ac:dyDescent="0.4">
      <c r="A445" s="43" t="s">
        <v>1764</v>
      </c>
      <c r="B445" s="8">
        <v>15000</v>
      </c>
      <c r="C445" s="8">
        <v>0</v>
      </c>
      <c r="D445" s="8">
        <v>0</v>
      </c>
      <c r="E445" s="11"/>
      <c r="F445" s="18"/>
      <c r="G445" s="18"/>
      <c r="H445" s="18"/>
      <c r="I445" s="18"/>
      <c r="J445" s="18"/>
    </row>
    <row r="446" spans="1:10" ht="15" x14ac:dyDescent="0.4">
      <c r="A446" s="43" t="s">
        <v>1924</v>
      </c>
      <c r="B446" s="9">
        <v>40000</v>
      </c>
      <c r="C446" s="9">
        <v>40000</v>
      </c>
      <c r="D446" s="9">
        <v>0</v>
      </c>
      <c r="E446" s="11"/>
      <c r="F446" s="18"/>
      <c r="G446" s="18"/>
      <c r="H446" s="18"/>
      <c r="I446" s="18"/>
      <c r="J446" s="18"/>
    </row>
    <row r="447" spans="1:10" x14ac:dyDescent="0.25">
      <c r="A447" s="2" t="s">
        <v>1182</v>
      </c>
      <c r="B447" s="2">
        <f>SUM(B441:B446)</f>
        <v>140000</v>
      </c>
      <c r="C447" s="2">
        <f>SUM(C441:C446)</f>
        <v>288000</v>
      </c>
      <c r="D447" s="2">
        <f>SUM(D435:D446)</f>
        <v>434000</v>
      </c>
    </row>
    <row r="449" spans="1:10" x14ac:dyDescent="0.25">
      <c r="A449" s="1" t="s">
        <v>1267</v>
      </c>
      <c r="E449" s="2">
        <f>SUM(E6:E433)</f>
        <v>5630587</v>
      </c>
      <c r="F449" s="2">
        <f>SUM(F6:F433)</f>
        <v>6437661.2000000002</v>
      </c>
      <c r="G449" s="2">
        <f>SUM(G6:G433)</f>
        <v>7077786.2703078268</v>
      </c>
      <c r="H449" s="2">
        <f>SUM(H6:H433)</f>
        <v>6881739</v>
      </c>
      <c r="I449" s="2">
        <f>SUM(I6:I433)</f>
        <v>0</v>
      </c>
      <c r="J449" s="2">
        <f>SUM(J6:J433)</f>
        <v>0</v>
      </c>
    </row>
    <row r="451" spans="1:10" x14ac:dyDescent="0.25">
      <c r="A451" s="2" t="s">
        <v>2176</v>
      </c>
      <c r="E451" s="2">
        <f>SUM(E6:E163)</f>
        <v>4680757</v>
      </c>
      <c r="F451" s="2">
        <f>SUM(F6:F163)</f>
        <v>5270188</v>
      </c>
      <c r="G451" s="2">
        <f>SUM(G6:G163)</f>
        <v>5656999.2703078268</v>
      </c>
      <c r="H451" s="2">
        <f>SUM(H6:H163)</f>
        <v>5534552</v>
      </c>
      <c r="I451" s="2">
        <f>SUM(I6:I163)</f>
        <v>0</v>
      </c>
      <c r="J451" s="2">
        <f>SUM(J6:J163)</f>
        <v>0</v>
      </c>
    </row>
    <row r="452" spans="1:10" x14ac:dyDescent="0.25">
      <c r="A452" s="2" t="s">
        <v>1454</v>
      </c>
      <c r="E452" s="2">
        <f t="shared" ref="E452:J452" si="15">SUM(E164:E394)</f>
        <v>420144</v>
      </c>
      <c r="F452" s="2">
        <f t="shared" si="15"/>
        <v>505113.2</v>
      </c>
      <c r="G452" s="2">
        <f t="shared" si="15"/>
        <v>544187</v>
      </c>
      <c r="H452" s="2">
        <f t="shared" si="15"/>
        <v>525587</v>
      </c>
      <c r="I452" s="2">
        <f t="shared" si="15"/>
        <v>0</v>
      </c>
      <c r="J452" s="2">
        <f t="shared" si="15"/>
        <v>0</v>
      </c>
    </row>
    <row r="453" spans="1:10" ht="15" x14ac:dyDescent="0.4">
      <c r="A453" s="2" t="s">
        <v>1455</v>
      </c>
      <c r="E453" s="11">
        <f t="shared" ref="E453:J453" si="16">SUM(E398:E433)</f>
        <v>529686</v>
      </c>
      <c r="F453" s="11">
        <f t="shared" si="16"/>
        <v>662360</v>
      </c>
      <c r="G453" s="11">
        <f t="shared" si="16"/>
        <v>876600</v>
      </c>
      <c r="H453" s="11">
        <f>SUM(H398:H433)</f>
        <v>821600</v>
      </c>
      <c r="I453" s="11">
        <f t="shared" si="16"/>
        <v>0</v>
      </c>
      <c r="J453" s="11">
        <f t="shared" si="16"/>
        <v>0</v>
      </c>
    </row>
    <row r="454" spans="1:10" x14ac:dyDescent="0.25">
      <c r="A454" s="2" t="s">
        <v>1182</v>
      </c>
      <c r="E454" s="2">
        <f t="shared" ref="E454:J454" si="17">SUM(E451:E453)</f>
        <v>5630587</v>
      </c>
      <c r="F454" s="2">
        <f t="shared" si="17"/>
        <v>6437661.2000000002</v>
      </c>
      <c r="G454" s="2">
        <f t="shared" si="17"/>
        <v>7077786.2703078268</v>
      </c>
      <c r="H454" s="2">
        <f>SUM(H451:H453)</f>
        <v>6881739</v>
      </c>
      <c r="I454" s="2">
        <f t="shared" si="17"/>
        <v>0</v>
      </c>
      <c r="J454" s="2">
        <f t="shared" si="17"/>
        <v>0</v>
      </c>
    </row>
    <row r="455" spans="1:10" x14ac:dyDescent="0.25">
      <c r="G455" s="191"/>
      <c r="H455" s="191"/>
    </row>
    <row r="456" spans="1:10" x14ac:dyDescent="0.25">
      <c r="G456" s="191"/>
      <c r="H456" s="191"/>
    </row>
    <row r="457" spans="1:10" x14ac:dyDescent="0.25">
      <c r="G457" s="191"/>
      <c r="H457" s="191"/>
    </row>
    <row r="458" spans="1:10" x14ac:dyDescent="0.25">
      <c r="G458" s="191"/>
      <c r="H458" s="191"/>
      <c r="I458" s="2">
        <f>+I457+I454</f>
        <v>0</v>
      </c>
      <c r="J458" s="2">
        <f>+J457+J454</f>
        <v>0</v>
      </c>
    </row>
    <row r="459" spans="1:10" x14ac:dyDescent="0.25">
      <c r="G459" s="191"/>
      <c r="H459" s="191"/>
      <c r="I459" s="2">
        <f>+I458-H458</f>
        <v>0</v>
      </c>
      <c r="J459" s="2">
        <f>+J458-I458</f>
        <v>0</v>
      </c>
    </row>
    <row r="460" spans="1:10" x14ac:dyDescent="0.25">
      <c r="G460" s="191"/>
      <c r="H460" s="191"/>
    </row>
    <row r="461" spans="1:10" x14ac:dyDescent="0.25">
      <c r="G461" s="191"/>
      <c r="H461" s="191"/>
    </row>
    <row r="462" spans="1:10" x14ac:dyDescent="0.25">
      <c r="G462" s="191"/>
      <c r="H462" s="191"/>
    </row>
    <row r="463" spans="1:10" x14ac:dyDescent="0.25">
      <c r="G463" s="191"/>
      <c r="H463" s="191"/>
    </row>
    <row r="464" spans="1:10" x14ac:dyDescent="0.25">
      <c r="G464" s="191"/>
      <c r="H464" s="191"/>
    </row>
    <row r="465" spans="7:8" x14ac:dyDescent="0.25">
      <c r="G465" s="191"/>
      <c r="H465" s="191"/>
    </row>
    <row r="466" spans="7:8" x14ac:dyDescent="0.25">
      <c r="G466" s="191"/>
      <c r="H466" s="191"/>
    </row>
    <row r="467" spans="7:8" x14ac:dyDescent="0.25">
      <c r="G467" s="191"/>
      <c r="H467" s="191"/>
    </row>
    <row r="468" spans="7:8" x14ac:dyDescent="0.25">
      <c r="G468" s="191"/>
      <c r="H468" s="191"/>
    </row>
    <row r="469" spans="7:8" x14ac:dyDescent="0.25">
      <c r="G469" s="191"/>
      <c r="H469" s="191"/>
    </row>
    <row r="470" spans="7:8" x14ac:dyDescent="0.25">
      <c r="G470" s="191"/>
      <c r="H470" s="191"/>
    </row>
    <row r="471" spans="7:8" x14ac:dyDescent="0.25">
      <c r="G471" s="191"/>
    </row>
    <row r="472" spans="7:8" x14ac:dyDescent="0.25">
      <c r="G472" s="191"/>
    </row>
    <row r="473" spans="7:8" x14ac:dyDescent="0.25">
      <c r="G473" s="191"/>
    </row>
    <row r="474" spans="7:8" x14ac:dyDescent="0.25">
      <c r="G474" s="191"/>
    </row>
    <row r="475" spans="7:8" x14ac:dyDescent="0.25">
      <c r="G475" s="191"/>
    </row>
    <row r="476" spans="7:8" x14ac:dyDescent="0.25">
      <c r="G476" s="191"/>
    </row>
    <row r="477" spans="7:8" x14ac:dyDescent="0.25">
      <c r="G477" s="191"/>
    </row>
    <row r="478" spans="7:8" x14ac:dyDescent="0.25">
      <c r="G478" s="191"/>
    </row>
    <row r="479" spans="7:8" x14ac:dyDescent="0.25">
      <c r="G479" s="191"/>
    </row>
    <row r="480" spans="7:8" x14ac:dyDescent="0.25">
      <c r="G480" s="191"/>
    </row>
    <row r="481" spans="7:7" x14ac:dyDescent="0.25">
      <c r="G481" s="191"/>
    </row>
    <row r="482" spans="7:7" x14ac:dyDescent="0.25">
      <c r="G482" s="191"/>
    </row>
    <row r="483" spans="7:7" x14ac:dyDescent="0.25">
      <c r="G483" s="191"/>
    </row>
    <row r="484" spans="7:7" x14ac:dyDescent="0.25">
      <c r="G484" s="191"/>
    </row>
    <row r="485" spans="7:7" x14ac:dyDescent="0.25">
      <c r="G485" s="191"/>
    </row>
    <row r="486" spans="7:7" x14ac:dyDescent="0.25">
      <c r="G486" s="191"/>
    </row>
    <row r="487" spans="7:7" x14ac:dyDescent="0.25">
      <c r="G487" s="191"/>
    </row>
    <row r="488" spans="7:7" x14ac:dyDescent="0.25">
      <c r="G488" s="191"/>
    </row>
    <row r="489" spans="7:7" x14ac:dyDescent="0.25">
      <c r="G489" s="191"/>
    </row>
    <row r="490" spans="7:7" x14ac:dyDescent="0.25">
      <c r="G490" s="191"/>
    </row>
    <row r="491" spans="7:7" x14ac:dyDescent="0.25">
      <c r="G491" s="191"/>
    </row>
    <row r="492" spans="7:7" x14ac:dyDescent="0.25">
      <c r="G492" s="191"/>
    </row>
    <row r="493" spans="7:7" x14ac:dyDescent="0.25">
      <c r="G493" s="191"/>
    </row>
    <row r="494" spans="7:7" x14ac:dyDescent="0.25">
      <c r="G494" s="191"/>
    </row>
    <row r="495" spans="7:7" x14ac:dyDescent="0.25">
      <c r="G495" s="191"/>
    </row>
    <row r="496" spans="7:7" x14ac:dyDescent="0.25">
      <c r="G496" s="191"/>
    </row>
    <row r="497" spans="7:7" x14ac:dyDescent="0.25">
      <c r="G497" s="191"/>
    </row>
    <row r="498" spans="7:7" x14ac:dyDescent="0.25">
      <c r="G498" s="191"/>
    </row>
    <row r="499" spans="7:7" x14ac:dyDescent="0.25">
      <c r="G499" s="191"/>
    </row>
    <row r="500" spans="7:7" x14ac:dyDescent="0.25">
      <c r="G500" s="191"/>
    </row>
    <row r="501" spans="7:7" x14ac:dyDescent="0.25">
      <c r="G501" s="191"/>
    </row>
    <row r="502" spans="7:7" x14ac:dyDescent="0.25">
      <c r="G502" s="191"/>
    </row>
    <row r="503" spans="7:7" x14ac:dyDescent="0.25">
      <c r="G503" s="191"/>
    </row>
    <row r="504" spans="7:7" x14ac:dyDescent="0.25">
      <c r="G504" s="191"/>
    </row>
    <row r="505" spans="7:7" x14ac:dyDescent="0.25">
      <c r="G505" s="191"/>
    </row>
    <row r="506" spans="7:7" x14ac:dyDescent="0.25">
      <c r="G506" s="191"/>
    </row>
    <row r="507" spans="7:7" x14ac:dyDescent="0.25">
      <c r="G507" s="191"/>
    </row>
    <row r="508" spans="7:7" x14ac:dyDescent="0.25">
      <c r="G508" s="191"/>
    </row>
    <row r="509" spans="7:7" x14ac:dyDescent="0.25">
      <c r="G509" s="191"/>
    </row>
  </sheetData>
  <sortState ref="A32:D59">
    <sortCondition ref="A32:A59"/>
  </sortState>
  <mergeCells count="1">
    <mergeCell ref="A1:H1"/>
  </mergeCells>
  <phoneticPr fontId="0" type="noConversion"/>
  <printOptions gridLines="1"/>
  <pageMargins left="0.75" right="0.16" top="0.51" bottom="0.22" header="0.5" footer="0.17"/>
  <pageSetup scale="86" fitToHeight="23" orientation="landscape" r:id="rId1"/>
  <headerFooter alignWithMargins="0"/>
  <rowBreaks count="8" manualBreakCount="8">
    <brk id="46" max="7" man="1"/>
    <brk id="89" max="7" man="1"/>
    <brk id="209" max="7" man="1"/>
    <brk id="254" max="7" man="1"/>
    <brk id="296" max="7" man="1"/>
    <brk id="342" max="7" man="1"/>
    <brk id="388" max="7" man="1"/>
    <brk id="432" max="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299"/>
  <sheetViews>
    <sheetView zoomScaleNormal="100" zoomScaleSheetLayoutView="115" workbookViewId="0">
      <selection sqref="A1:J1"/>
    </sheetView>
  </sheetViews>
  <sheetFormatPr defaultColWidth="9.109375" defaultRowHeight="13.2" x14ac:dyDescent="0.25"/>
  <cols>
    <col min="1" max="1" width="55.44140625" style="61" customWidth="1"/>
    <col min="2" max="2" width="10.33203125" style="61" bestFit="1" customWidth="1"/>
    <col min="3" max="3" width="11.44140625" style="61" customWidth="1"/>
    <col min="4" max="4" width="11.33203125" style="61" bestFit="1" customWidth="1"/>
    <col min="5" max="5" width="13.6640625" style="61" customWidth="1"/>
    <col min="6" max="6" width="10.5546875" style="61" bestFit="1" customWidth="1"/>
    <col min="7" max="7" width="11.44140625" style="61" bestFit="1" customWidth="1"/>
    <col min="8" max="8" width="14" style="61" bestFit="1" customWidth="1"/>
    <col min="9" max="9" width="10.33203125" style="61" bestFit="1" customWidth="1"/>
    <col min="10" max="10" width="9.5546875" style="61" customWidth="1"/>
    <col min="11" max="16384" width="9.109375" style="61"/>
  </cols>
  <sheetData>
    <row r="1" spans="1:10" x14ac:dyDescent="0.25">
      <c r="A1" s="194" t="e">
        <f>#REF!</f>
        <v>#REF!</v>
      </c>
      <c r="B1" s="195"/>
      <c r="C1" s="195"/>
      <c r="D1" s="195"/>
      <c r="E1" s="195"/>
      <c r="F1" s="195"/>
      <c r="G1" s="195"/>
      <c r="H1" s="195"/>
      <c r="I1" s="195"/>
      <c r="J1" s="195"/>
    </row>
    <row r="2" spans="1:10" ht="17.399999999999999" x14ac:dyDescent="0.3">
      <c r="A2" s="156" t="s">
        <v>1952</v>
      </c>
      <c r="B2" s="156"/>
      <c r="C2" s="156"/>
      <c r="D2" s="156"/>
      <c r="E2" s="156"/>
      <c r="F2" s="156"/>
      <c r="I2" s="3"/>
    </row>
    <row r="3" spans="1:10" x14ac:dyDescent="0.25">
      <c r="B3" s="3"/>
      <c r="C3" s="3"/>
      <c r="D3" s="3"/>
      <c r="E3" s="3"/>
      <c r="F3" s="3"/>
      <c r="I3" s="3"/>
    </row>
    <row r="4" spans="1:10" x14ac:dyDescent="0.25">
      <c r="B4" s="3"/>
      <c r="C4" s="3"/>
      <c r="D4" s="3"/>
      <c r="E4" s="16" t="s">
        <v>232</v>
      </c>
      <c r="F4" s="16" t="s">
        <v>233</v>
      </c>
      <c r="G4" s="16" t="s">
        <v>69</v>
      </c>
      <c r="H4" s="16" t="s">
        <v>399</v>
      </c>
      <c r="I4" s="16" t="s">
        <v>303</v>
      </c>
      <c r="J4" s="16" t="s">
        <v>336</v>
      </c>
    </row>
    <row r="5" spans="1:10" ht="15" x14ac:dyDescent="0.4">
      <c r="B5" s="3"/>
      <c r="C5" s="3"/>
      <c r="D5" s="3"/>
      <c r="E5" s="192" t="s">
        <v>1715</v>
      </c>
      <c r="F5" s="192" t="s">
        <v>1766</v>
      </c>
      <c r="G5" s="192" t="s">
        <v>1985</v>
      </c>
      <c r="H5" s="192" t="s">
        <v>1985</v>
      </c>
      <c r="I5" s="192" t="s">
        <v>1985</v>
      </c>
      <c r="J5" s="192" t="s">
        <v>1985</v>
      </c>
    </row>
    <row r="6" spans="1:10" ht="13.8" x14ac:dyDescent="0.3">
      <c r="A6" s="62" t="s">
        <v>877</v>
      </c>
      <c r="B6" s="3"/>
      <c r="C6" s="3"/>
      <c r="D6" s="3"/>
      <c r="E6" s="3">
        <v>155346</v>
      </c>
      <c r="F6" s="3">
        <v>157955</v>
      </c>
      <c r="G6" s="3">
        <v>160347</v>
      </c>
      <c r="H6" s="3">
        <v>160347</v>
      </c>
      <c r="I6" s="3"/>
      <c r="J6" s="3"/>
    </row>
    <row r="7" spans="1:10" x14ac:dyDescent="0.25">
      <c r="A7" s="61" t="s">
        <v>689</v>
      </c>
      <c r="B7" s="3">
        <v>52</v>
      </c>
      <c r="C7" s="3">
        <v>995</v>
      </c>
      <c r="D7" s="3">
        <f>ROUND(B7*C7,0)</f>
        <v>51740</v>
      </c>
      <c r="E7" s="3"/>
      <c r="F7" s="3"/>
      <c r="G7" s="3"/>
      <c r="H7" s="3"/>
      <c r="I7" s="3"/>
      <c r="J7" s="3"/>
    </row>
    <row r="8" spans="1:10" x14ac:dyDescent="0.25">
      <c r="A8" s="61" t="s">
        <v>427</v>
      </c>
      <c r="B8" s="3">
        <v>52</v>
      </c>
      <c r="C8" s="3">
        <v>727</v>
      </c>
      <c r="D8" s="3">
        <f>ROUND(B8*C8,0)</f>
        <v>37804</v>
      </c>
      <c r="E8" s="3"/>
      <c r="F8" s="3"/>
      <c r="G8" s="3"/>
      <c r="H8" s="3"/>
      <c r="I8" s="3"/>
      <c r="J8" s="3"/>
    </row>
    <row r="9" spans="1:10" x14ac:dyDescent="0.25">
      <c r="A9" s="61" t="s">
        <v>427</v>
      </c>
      <c r="B9" s="3">
        <v>52</v>
      </c>
      <c r="C9" s="3">
        <v>727</v>
      </c>
      <c r="D9" s="3">
        <f>ROUND(B9*C9,0)</f>
        <v>37804</v>
      </c>
      <c r="E9" s="3"/>
      <c r="F9" s="3"/>
      <c r="G9" s="3"/>
      <c r="H9" s="3"/>
      <c r="I9" s="3"/>
      <c r="J9" s="3"/>
    </row>
    <row r="10" spans="1:10" x14ac:dyDescent="0.25">
      <c r="A10" s="61" t="s">
        <v>315</v>
      </c>
      <c r="B10" s="3">
        <v>52</v>
      </c>
      <c r="C10" s="3">
        <v>620</v>
      </c>
      <c r="D10" s="3">
        <f>ROUND(B10*C10,0)</f>
        <v>32240</v>
      </c>
      <c r="E10" s="3"/>
      <c r="F10" s="3"/>
      <c r="G10" s="3"/>
      <c r="H10" s="3"/>
      <c r="I10" s="3"/>
      <c r="J10" s="3"/>
    </row>
    <row r="11" spans="1:10" ht="15" x14ac:dyDescent="0.4">
      <c r="A11" s="61" t="s">
        <v>912</v>
      </c>
      <c r="B11" s="3"/>
      <c r="C11" s="3"/>
      <c r="D11" s="31">
        <v>759</v>
      </c>
      <c r="E11" s="3"/>
      <c r="F11" s="3"/>
      <c r="G11" s="3"/>
      <c r="H11" s="3"/>
      <c r="I11" s="3"/>
      <c r="J11" s="3"/>
    </row>
    <row r="12" spans="1:10" x14ac:dyDescent="0.25">
      <c r="A12" s="61" t="s">
        <v>1182</v>
      </c>
      <c r="B12" s="3"/>
      <c r="C12" s="3"/>
      <c r="D12" s="3">
        <f>SUM(D7:D11)</f>
        <v>160347</v>
      </c>
      <c r="F12" s="3"/>
      <c r="G12" s="3"/>
      <c r="H12" s="3"/>
      <c r="I12" s="3"/>
      <c r="J12" s="3"/>
    </row>
    <row r="13" spans="1:10" x14ac:dyDescent="0.25">
      <c r="B13" s="3"/>
      <c r="C13" s="3"/>
      <c r="D13" s="3"/>
      <c r="E13" s="3"/>
      <c r="F13" s="3"/>
      <c r="G13" s="3"/>
      <c r="H13" s="3"/>
      <c r="I13" s="3"/>
      <c r="J13" s="3"/>
    </row>
    <row r="14" spans="1:10" ht="13.8" x14ac:dyDescent="0.3">
      <c r="A14" s="62" t="s">
        <v>561</v>
      </c>
      <c r="B14" s="3"/>
      <c r="C14" s="3"/>
      <c r="D14" s="3"/>
      <c r="E14" s="3">
        <v>780131</v>
      </c>
      <c r="F14" s="3">
        <v>799124</v>
      </c>
      <c r="G14" s="3">
        <v>827273</v>
      </c>
      <c r="H14" s="3">
        <v>827273</v>
      </c>
      <c r="I14" s="3"/>
      <c r="J14" s="3"/>
    </row>
    <row r="15" spans="1:10" x14ac:dyDescent="0.25">
      <c r="A15" s="61" t="s">
        <v>340</v>
      </c>
      <c r="B15" s="3">
        <v>52</v>
      </c>
      <c r="C15" s="3">
        <v>2019</v>
      </c>
      <c r="D15" s="3">
        <f t="shared" ref="D15:D24" si="0">ROUND(B15*C15,0)</f>
        <v>104988</v>
      </c>
      <c r="E15" s="3"/>
      <c r="F15" s="3"/>
      <c r="G15" s="3"/>
      <c r="H15" s="3"/>
      <c r="I15" s="3"/>
      <c r="J15" s="3"/>
    </row>
    <row r="16" spans="1:10" x14ac:dyDescent="0.25">
      <c r="A16" s="61" t="s">
        <v>2005</v>
      </c>
      <c r="B16" s="3">
        <v>52</v>
      </c>
      <c r="C16" s="3">
        <v>1895</v>
      </c>
      <c r="D16" s="3">
        <f t="shared" si="0"/>
        <v>98540</v>
      </c>
      <c r="E16" s="3"/>
      <c r="F16" s="3"/>
      <c r="G16" s="3"/>
      <c r="H16" s="3"/>
      <c r="I16" s="3"/>
      <c r="J16" s="3"/>
    </row>
    <row r="17" spans="1:10" x14ac:dyDescent="0.25">
      <c r="A17" s="61" t="s">
        <v>1387</v>
      </c>
      <c r="B17" s="3">
        <v>52</v>
      </c>
      <c r="C17" s="3">
        <v>1442</v>
      </c>
      <c r="D17" s="3">
        <f t="shared" si="0"/>
        <v>74984</v>
      </c>
      <c r="E17" s="3"/>
      <c r="F17" s="3"/>
      <c r="G17" s="3"/>
      <c r="H17" s="3"/>
      <c r="I17" s="3"/>
      <c r="J17" s="3"/>
    </row>
    <row r="18" spans="1:10" x14ac:dyDescent="0.25">
      <c r="A18" s="61" t="s">
        <v>438</v>
      </c>
      <c r="B18" s="3">
        <v>52</v>
      </c>
      <c r="C18" s="3">
        <v>1866.8</v>
      </c>
      <c r="D18" s="3">
        <f t="shared" si="0"/>
        <v>97074</v>
      </c>
      <c r="E18" s="3"/>
      <c r="F18" s="3"/>
      <c r="G18" s="3"/>
      <c r="H18" s="3"/>
      <c r="I18" s="3"/>
      <c r="J18" s="3"/>
    </row>
    <row r="19" spans="1:10" x14ac:dyDescent="0.25">
      <c r="A19" s="61" t="s">
        <v>438</v>
      </c>
      <c r="B19" s="3">
        <v>52</v>
      </c>
      <c r="C19" s="3">
        <v>1880</v>
      </c>
      <c r="D19" s="3">
        <f t="shared" si="0"/>
        <v>97760</v>
      </c>
      <c r="E19" s="3"/>
      <c r="F19" s="3"/>
      <c r="G19" s="3"/>
      <c r="H19" s="3"/>
      <c r="I19" s="3"/>
      <c r="J19" s="3"/>
    </row>
    <row r="20" spans="1:10" x14ac:dyDescent="0.25">
      <c r="A20" s="61" t="s">
        <v>1303</v>
      </c>
      <c r="B20" s="3">
        <v>52</v>
      </c>
      <c r="C20" s="3">
        <v>1653</v>
      </c>
      <c r="D20" s="3">
        <f t="shared" si="0"/>
        <v>85956</v>
      </c>
      <c r="E20" s="3"/>
      <c r="F20" s="3"/>
      <c r="G20" s="3"/>
      <c r="H20" s="3"/>
      <c r="I20" s="3"/>
      <c r="J20" s="3"/>
    </row>
    <row r="21" spans="1:10" x14ac:dyDescent="0.25">
      <c r="A21" s="61" t="s">
        <v>98</v>
      </c>
      <c r="B21" s="3">
        <v>0</v>
      </c>
      <c r="C21" s="3">
        <v>1594</v>
      </c>
      <c r="D21" s="3">
        <f t="shared" si="0"/>
        <v>0</v>
      </c>
      <c r="E21" s="3"/>
      <c r="F21" s="3"/>
      <c r="G21" s="3"/>
      <c r="H21" s="3"/>
      <c r="I21" s="3"/>
      <c r="J21" s="3"/>
    </row>
    <row r="22" spans="1:10" x14ac:dyDescent="0.25">
      <c r="A22" s="61" t="s">
        <v>1304</v>
      </c>
      <c r="B22" s="3">
        <v>52</v>
      </c>
      <c r="C22" s="3">
        <v>1664</v>
      </c>
      <c r="D22" s="3">
        <f t="shared" si="0"/>
        <v>86528</v>
      </c>
      <c r="E22" s="3"/>
      <c r="F22" s="3"/>
      <c r="G22" s="3"/>
      <c r="H22" s="3"/>
      <c r="I22" s="3"/>
      <c r="J22" s="3"/>
    </row>
    <row r="23" spans="1:10" x14ac:dyDescent="0.25">
      <c r="A23" s="61" t="s">
        <v>1304</v>
      </c>
      <c r="B23" s="3">
        <v>52</v>
      </c>
      <c r="C23" s="3">
        <v>1664</v>
      </c>
      <c r="D23" s="3">
        <f t="shared" si="0"/>
        <v>86528</v>
      </c>
      <c r="E23" s="3"/>
      <c r="F23" s="3"/>
      <c r="G23" s="3"/>
      <c r="H23" s="3"/>
      <c r="I23" s="3"/>
      <c r="J23" s="3"/>
    </row>
    <row r="24" spans="1:10" x14ac:dyDescent="0.25">
      <c r="A24" s="3" t="s">
        <v>1304</v>
      </c>
      <c r="B24" s="3">
        <v>52</v>
      </c>
      <c r="C24" s="3">
        <v>1644</v>
      </c>
      <c r="D24" s="3">
        <f t="shared" si="0"/>
        <v>85488</v>
      </c>
      <c r="E24" s="3"/>
      <c r="F24" s="3"/>
      <c r="G24" s="3"/>
      <c r="H24" s="3"/>
      <c r="I24" s="3"/>
      <c r="J24" s="3"/>
    </row>
    <row r="25" spans="1:10" ht="15" x14ac:dyDescent="0.4">
      <c r="A25" s="3" t="s">
        <v>912</v>
      </c>
      <c r="B25" s="3"/>
      <c r="C25" s="3"/>
      <c r="D25" s="31">
        <v>9427</v>
      </c>
      <c r="E25" s="3"/>
      <c r="F25" s="3"/>
      <c r="G25" s="3"/>
      <c r="H25" s="3"/>
      <c r="I25" s="3"/>
      <c r="J25" s="3"/>
    </row>
    <row r="26" spans="1:10" x14ac:dyDescent="0.25">
      <c r="A26" s="3" t="s">
        <v>1182</v>
      </c>
      <c r="B26" s="3"/>
      <c r="C26" s="3"/>
      <c r="D26" s="3">
        <f>SUM(D15:D25)</f>
        <v>827273</v>
      </c>
      <c r="F26" s="3"/>
      <c r="G26" s="3"/>
      <c r="H26" s="3"/>
      <c r="I26" s="3"/>
      <c r="J26" s="3"/>
    </row>
    <row r="27" spans="1:10" x14ac:dyDescent="0.25">
      <c r="A27" s="3"/>
      <c r="B27" s="3"/>
      <c r="C27" s="3"/>
      <c r="D27" s="3"/>
      <c r="E27" s="3"/>
      <c r="F27" s="3"/>
      <c r="G27" s="3"/>
      <c r="H27" s="3"/>
      <c r="I27" s="3"/>
      <c r="J27" s="3"/>
    </row>
    <row r="28" spans="1:10" ht="13.8" x14ac:dyDescent="0.3">
      <c r="A28" s="62" t="s">
        <v>781</v>
      </c>
      <c r="B28" s="3"/>
      <c r="C28" s="3"/>
      <c r="D28" s="3"/>
      <c r="E28" s="3">
        <v>1972425</v>
      </c>
      <c r="F28" s="3">
        <v>2187239</v>
      </c>
      <c r="G28" s="3">
        <v>2331941</v>
      </c>
      <c r="H28" s="3">
        <v>2331941</v>
      </c>
      <c r="I28" s="3"/>
      <c r="J28" s="3"/>
    </row>
    <row r="29" spans="1:10" x14ac:dyDescent="0.25">
      <c r="A29" s="187" t="s">
        <v>87</v>
      </c>
      <c r="B29" s="3">
        <v>52</v>
      </c>
      <c r="C29" s="3">
        <v>1385.2</v>
      </c>
      <c r="D29" s="3">
        <f t="shared" ref="D29:D62" si="1">ROUND(B29*C29,0)</f>
        <v>72030</v>
      </c>
      <c r="E29" s="3"/>
      <c r="F29" s="182"/>
      <c r="G29" s="182"/>
      <c r="H29" s="182"/>
      <c r="I29" s="182"/>
      <c r="J29" s="3"/>
    </row>
    <row r="30" spans="1:10" x14ac:dyDescent="0.25">
      <c r="A30" s="187" t="s">
        <v>783</v>
      </c>
      <c r="B30" s="3">
        <v>52</v>
      </c>
      <c r="C30" s="3">
        <v>1380.3999999999999</v>
      </c>
      <c r="D30" s="3">
        <f t="shared" si="1"/>
        <v>71781</v>
      </c>
      <c r="E30" s="3"/>
      <c r="F30" s="182"/>
      <c r="G30" s="182"/>
      <c r="H30" s="182"/>
      <c r="I30" s="182"/>
      <c r="J30" s="3"/>
    </row>
    <row r="31" spans="1:10" x14ac:dyDescent="0.25">
      <c r="A31" s="187" t="s">
        <v>783</v>
      </c>
      <c r="B31" s="3">
        <v>52</v>
      </c>
      <c r="C31" s="3">
        <v>1378</v>
      </c>
      <c r="D31" s="3">
        <f t="shared" si="1"/>
        <v>71656</v>
      </c>
      <c r="E31" s="3"/>
      <c r="F31" s="182"/>
      <c r="G31" s="182"/>
      <c r="H31" s="182"/>
      <c r="I31" s="182"/>
      <c r="J31" s="3"/>
    </row>
    <row r="32" spans="1:10" x14ac:dyDescent="0.25">
      <c r="A32" s="187" t="s">
        <v>783</v>
      </c>
      <c r="B32" s="3">
        <v>52</v>
      </c>
      <c r="C32" s="3">
        <v>1396.7999999999997</v>
      </c>
      <c r="D32" s="3">
        <f t="shared" si="1"/>
        <v>72634</v>
      </c>
      <c r="E32" s="3"/>
      <c r="F32" s="182"/>
      <c r="G32" s="182"/>
      <c r="H32" s="182"/>
      <c r="I32" s="182"/>
      <c r="J32" s="3"/>
    </row>
    <row r="33" spans="1:10" x14ac:dyDescent="0.25">
      <c r="A33" s="187" t="s">
        <v>783</v>
      </c>
      <c r="B33" s="3">
        <v>52</v>
      </c>
      <c r="C33" s="3">
        <v>1358</v>
      </c>
      <c r="D33" s="3">
        <f t="shared" si="1"/>
        <v>70616</v>
      </c>
      <c r="E33" s="3"/>
      <c r="F33" s="182"/>
      <c r="G33" s="182"/>
      <c r="H33" s="182"/>
      <c r="I33" s="182"/>
      <c r="J33" s="3"/>
    </row>
    <row r="34" spans="1:10" x14ac:dyDescent="0.25">
      <c r="A34" s="187" t="s">
        <v>88</v>
      </c>
      <c r="B34" s="3">
        <v>52</v>
      </c>
      <c r="C34" s="3">
        <v>1312.8</v>
      </c>
      <c r="D34" s="3">
        <f t="shared" si="1"/>
        <v>68266</v>
      </c>
      <c r="E34" s="3"/>
      <c r="F34" s="182"/>
      <c r="G34" s="182"/>
      <c r="H34" s="182"/>
      <c r="I34" s="182"/>
      <c r="J34" s="3"/>
    </row>
    <row r="35" spans="1:10" x14ac:dyDescent="0.25">
      <c r="A35" s="187" t="s">
        <v>88</v>
      </c>
      <c r="B35" s="3">
        <v>52</v>
      </c>
      <c r="C35" s="3">
        <v>1305.2</v>
      </c>
      <c r="D35" s="3">
        <f t="shared" si="1"/>
        <v>67870</v>
      </c>
      <c r="E35" s="3"/>
      <c r="F35" s="182"/>
      <c r="G35" s="182"/>
      <c r="H35" s="182"/>
      <c r="I35" s="182"/>
      <c r="J35" s="3"/>
    </row>
    <row r="36" spans="1:10" x14ac:dyDescent="0.25">
      <c r="A36" s="187" t="s">
        <v>88</v>
      </c>
      <c r="B36" s="3">
        <v>52</v>
      </c>
      <c r="C36" s="3">
        <v>1293.6000000000001</v>
      </c>
      <c r="D36" s="3">
        <f t="shared" si="1"/>
        <v>67267</v>
      </c>
      <c r="E36" s="3"/>
      <c r="F36" s="182"/>
      <c r="G36" s="182"/>
      <c r="H36" s="182"/>
      <c r="I36" s="182"/>
      <c r="J36" s="3"/>
    </row>
    <row r="37" spans="1:10" x14ac:dyDescent="0.25">
      <c r="A37" s="187" t="s">
        <v>88</v>
      </c>
      <c r="B37" s="3">
        <v>52</v>
      </c>
      <c r="C37" s="3">
        <v>1306.8000000000002</v>
      </c>
      <c r="D37" s="3">
        <f t="shared" si="1"/>
        <v>67954</v>
      </c>
      <c r="E37" s="3"/>
      <c r="F37" s="182"/>
      <c r="G37" s="182"/>
      <c r="H37" s="182"/>
      <c r="I37" s="182"/>
      <c r="J37" s="3"/>
    </row>
    <row r="38" spans="1:10" x14ac:dyDescent="0.25">
      <c r="A38" s="187" t="s">
        <v>88</v>
      </c>
      <c r="B38" s="3">
        <v>52</v>
      </c>
      <c r="C38" s="3">
        <v>1396.7999999999997</v>
      </c>
      <c r="D38" s="3">
        <f t="shared" si="1"/>
        <v>72634</v>
      </c>
      <c r="E38" s="3"/>
      <c r="F38" s="182"/>
      <c r="G38" s="182"/>
      <c r="H38" s="182"/>
      <c r="I38" s="182"/>
      <c r="J38" s="3"/>
    </row>
    <row r="39" spans="1:10" x14ac:dyDescent="0.25">
      <c r="A39" s="187" t="s">
        <v>88</v>
      </c>
      <c r="B39" s="3">
        <v>52</v>
      </c>
      <c r="C39" s="3">
        <v>1390.7999999999997</v>
      </c>
      <c r="D39" s="3">
        <f t="shared" si="1"/>
        <v>72322</v>
      </c>
      <c r="E39" s="3"/>
      <c r="F39" s="182"/>
      <c r="G39" s="182"/>
      <c r="H39" s="182"/>
      <c r="I39" s="182"/>
      <c r="J39" s="3"/>
    </row>
    <row r="40" spans="1:10" x14ac:dyDescent="0.25">
      <c r="A40" s="187" t="s">
        <v>88</v>
      </c>
      <c r="B40" s="3">
        <v>52</v>
      </c>
      <c r="C40" s="3">
        <v>1288</v>
      </c>
      <c r="D40" s="3">
        <f t="shared" si="1"/>
        <v>66976</v>
      </c>
      <c r="E40" s="3"/>
      <c r="F40" s="182"/>
      <c r="G40" s="182"/>
      <c r="H40" s="182"/>
      <c r="I40" s="182"/>
      <c r="J40" s="3"/>
    </row>
    <row r="41" spans="1:10" x14ac:dyDescent="0.25">
      <c r="A41" s="187" t="s">
        <v>88</v>
      </c>
      <c r="B41" s="3">
        <v>52</v>
      </c>
      <c r="C41" s="3">
        <v>1377.6</v>
      </c>
      <c r="D41" s="3">
        <f t="shared" si="1"/>
        <v>71635</v>
      </c>
      <c r="E41" s="3"/>
      <c r="F41" s="182"/>
      <c r="G41" s="182"/>
      <c r="H41" s="182"/>
      <c r="I41" s="182"/>
      <c r="J41" s="3"/>
    </row>
    <row r="42" spans="1:10" x14ac:dyDescent="0.25">
      <c r="A42" s="187" t="s">
        <v>2181</v>
      </c>
      <c r="B42" s="3">
        <v>52</v>
      </c>
      <c r="C42" s="3">
        <v>1429</v>
      </c>
      <c r="D42" s="3">
        <f t="shared" ref="D42" si="2">ROUND(B42*C42,0)</f>
        <v>74308</v>
      </c>
      <c r="E42" s="3"/>
      <c r="F42" s="182"/>
      <c r="G42" s="182"/>
      <c r="H42" s="182"/>
      <c r="I42" s="182"/>
      <c r="J42" s="3"/>
    </row>
    <row r="43" spans="1:10" x14ac:dyDescent="0.25">
      <c r="A43" s="187" t="s">
        <v>782</v>
      </c>
      <c r="B43" s="3">
        <v>52</v>
      </c>
      <c r="C43" s="3">
        <v>1429</v>
      </c>
      <c r="D43" s="3">
        <f t="shared" si="1"/>
        <v>74308</v>
      </c>
      <c r="E43" s="3"/>
      <c r="F43" s="182"/>
      <c r="G43" s="182"/>
      <c r="H43" s="182"/>
      <c r="I43" s="182"/>
      <c r="J43" s="3"/>
    </row>
    <row r="44" spans="1:10" x14ac:dyDescent="0.25">
      <c r="A44" s="187" t="s">
        <v>782</v>
      </c>
      <c r="B44" s="3">
        <v>52</v>
      </c>
      <c r="C44" s="3">
        <v>1508.4</v>
      </c>
      <c r="D44" s="3">
        <f t="shared" si="1"/>
        <v>78437</v>
      </c>
      <c r="E44" s="3"/>
      <c r="F44" s="182"/>
      <c r="G44" s="182"/>
      <c r="H44" s="182"/>
      <c r="I44" s="182"/>
      <c r="J44" s="3"/>
    </row>
    <row r="45" spans="1:10" x14ac:dyDescent="0.25">
      <c r="A45" s="187" t="s">
        <v>782</v>
      </c>
      <c r="B45" s="3">
        <v>52</v>
      </c>
      <c r="C45" s="3">
        <v>1498.4</v>
      </c>
      <c r="D45" s="3">
        <f t="shared" si="1"/>
        <v>77917</v>
      </c>
      <c r="E45" s="3"/>
      <c r="F45" s="182"/>
      <c r="G45" s="182"/>
      <c r="H45" s="182"/>
      <c r="I45" s="182"/>
      <c r="J45" s="3"/>
    </row>
    <row r="46" spans="1:10" x14ac:dyDescent="0.25">
      <c r="A46" s="187" t="s">
        <v>782</v>
      </c>
      <c r="B46" s="3">
        <v>52</v>
      </c>
      <c r="C46" s="3">
        <v>1484</v>
      </c>
      <c r="D46" s="3">
        <f t="shared" si="1"/>
        <v>77168</v>
      </c>
      <c r="E46" s="3"/>
      <c r="F46" s="182"/>
      <c r="G46" s="182"/>
      <c r="H46" s="182"/>
      <c r="I46" s="182"/>
      <c r="J46" s="3"/>
    </row>
    <row r="47" spans="1:10" x14ac:dyDescent="0.25">
      <c r="A47" s="187" t="s">
        <v>782</v>
      </c>
      <c r="B47" s="3">
        <v>52</v>
      </c>
      <c r="C47" s="3">
        <v>1508.4</v>
      </c>
      <c r="D47" s="3">
        <f t="shared" si="1"/>
        <v>78437</v>
      </c>
      <c r="E47" s="3"/>
      <c r="F47" s="182"/>
      <c r="G47" s="182"/>
      <c r="H47" s="182"/>
      <c r="I47" s="182"/>
      <c r="J47" s="3"/>
    </row>
    <row r="48" spans="1:10" x14ac:dyDescent="0.25">
      <c r="A48" s="187" t="s">
        <v>472</v>
      </c>
      <c r="B48" s="3">
        <v>52</v>
      </c>
      <c r="C48" s="3">
        <v>1062</v>
      </c>
      <c r="D48" s="3">
        <f t="shared" si="1"/>
        <v>55224</v>
      </c>
      <c r="E48" s="3"/>
      <c r="F48" s="182"/>
      <c r="G48" s="182"/>
      <c r="H48" s="182"/>
      <c r="I48" s="182"/>
      <c r="J48" s="3"/>
    </row>
    <row r="49" spans="1:13" x14ac:dyDescent="0.25">
      <c r="A49" s="187" t="s">
        <v>472</v>
      </c>
      <c r="B49" s="3">
        <v>52</v>
      </c>
      <c r="C49" s="3">
        <v>1135.5999999999999</v>
      </c>
      <c r="D49" s="3">
        <f t="shared" si="1"/>
        <v>59051</v>
      </c>
      <c r="E49" s="3"/>
      <c r="F49" s="182"/>
      <c r="G49" s="182"/>
      <c r="H49" s="182"/>
      <c r="I49" s="182"/>
      <c r="J49" s="3"/>
    </row>
    <row r="50" spans="1:13" x14ac:dyDescent="0.25">
      <c r="A50" s="187" t="s">
        <v>472</v>
      </c>
      <c r="B50" s="3">
        <v>52</v>
      </c>
      <c r="C50" s="3">
        <v>1204.4000000000001</v>
      </c>
      <c r="D50" s="3">
        <f t="shared" si="1"/>
        <v>62629</v>
      </c>
      <c r="E50" s="3"/>
      <c r="F50" s="182"/>
      <c r="G50" s="182"/>
      <c r="H50" s="182"/>
      <c r="I50" s="182"/>
      <c r="J50" s="3"/>
    </row>
    <row r="51" spans="1:13" x14ac:dyDescent="0.25">
      <c r="A51" s="187" t="s">
        <v>472</v>
      </c>
      <c r="B51" s="3">
        <v>52</v>
      </c>
      <c r="C51" s="3">
        <v>1301.2</v>
      </c>
      <c r="D51" s="3">
        <f t="shared" si="1"/>
        <v>67662</v>
      </c>
      <c r="E51" s="3"/>
      <c r="F51" s="182"/>
      <c r="G51" s="182"/>
      <c r="H51" s="182"/>
      <c r="I51" s="182"/>
      <c r="J51" s="3"/>
    </row>
    <row r="52" spans="1:13" x14ac:dyDescent="0.25">
      <c r="A52" s="187" t="s">
        <v>472</v>
      </c>
      <c r="B52" s="3">
        <v>52</v>
      </c>
      <c r="C52" s="3">
        <v>1135.5999999999999</v>
      </c>
      <c r="D52" s="3">
        <f t="shared" si="1"/>
        <v>59051</v>
      </c>
      <c r="E52" s="3"/>
      <c r="F52" s="182"/>
      <c r="G52" s="182"/>
      <c r="H52" s="182"/>
      <c r="I52" s="182"/>
      <c r="J52" s="3"/>
      <c r="K52" s="61">
        <v>1</v>
      </c>
      <c r="L52" s="61">
        <v>28.11</v>
      </c>
      <c r="M52" s="61">
        <f>+L52*K52</f>
        <v>28.11</v>
      </c>
    </row>
    <row r="53" spans="1:13" x14ac:dyDescent="0.25">
      <c r="A53" s="187" t="s">
        <v>472</v>
      </c>
      <c r="B53" s="3">
        <v>52</v>
      </c>
      <c r="C53" s="3">
        <v>1190.8</v>
      </c>
      <c r="D53" s="3">
        <f t="shared" si="1"/>
        <v>61922</v>
      </c>
      <c r="E53" s="3"/>
      <c r="F53" s="182"/>
      <c r="G53" s="182"/>
      <c r="H53" s="182"/>
      <c r="I53" s="182"/>
      <c r="J53" s="3"/>
      <c r="K53" s="61">
        <v>5</v>
      </c>
      <c r="L53" s="61">
        <v>26.04</v>
      </c>
      <c r="M53" s="61">
        <f t="shared" ref="M53:M54" si="3">+L53*K53</f>
        <v>130.19999999999999</v>
      </c>
    </row>
    <row r="54" spans="1:13" x14ac:dyDescent="0.25">
      <c r="A54" s="187" t="s">
        <v>472</v>
      </c>
      <c r="B54" s="3">
        <v>52</v>
      </c>
      <c r="C54" s="3">
        <v>1185.2</v>
      </c>
      <c r="D54" s="3">
        <f t="shared" si="1"/>
        <v>61630</v>
      </c>
      <c r="E54" s="3"/>
      <c r="F54" s="182"/>
      <c r="G54" s="182"/>
      <c r="H54" s="182"/>
      <c r="I54" s="182"/>
      <c r="J54" s="3"/>
      <c r="K54" s="61">
        <v>6</v>
      </c>
      <c r="L54" s="61">
        <v>27.06</v>
      </c>
      <c r="M54" s="61">
        <f t="shared" si="3"/>
        <v>162.35999999999999</v>
      </c>
    </row>
    <row r="55" spans="1:13" x14ac:dyDescent="0.25">
      <c r="A55" s="187" t="s">
        <v>472</v>
      </c>
      <c r="B55" s="3">
        <v>52</v>
      </c>
      <c r="C55" s="3">
        <v>1179.2</v>
      </c>
      <c r="D55" s="3">
        <f t="shared" si="1"/>
        <v>61318</v>
      </c>
      <c r="E55" s="3"/>
      <c r="F55" s="182"/>
      <c r="G55" s="182"/>
      <c r="H55" s="182"/>
      <c r="I55" s="182"/>
      <c r="J55" s="3"/>
      <c r="L55" s="61">
        <f>SUM(L52:L54)</f>
        <v>81.209999999999994</v>
      </c>
      <c r="M55" s="61">
        <f>SUM(M52:M54)</f>
        <v>320.66999999999996</v>
      </c>
    </row>
    <row r="56" spans="1:13" x14ac:dyDescent="0.25">
      <c r="A56" s="187" t="s">
        <v>472</v>
      </c>
      <c r="B56" s="3">
        <v>52</v>
      </c>
      <c r="C56" s="3">
        <v>1210</v>
      </c>
      <c r="D56" s="3">
        <f t="shared" si="1"/>
        <v>62920</v>
      </c>
      <c r="E56" s="3"/>
      <c r="F56" s="182"/>
      <c r="G56" s="182"/>
      <c r="H56" s="182"/>
      <c r="I56" s="182"/>
      <c r="J56" s="3"/>
      <c r="L56" s="61">
        <f>+L55/12</f>
        <v>6.7674999999999992</v>
      </c>
      <c r="M56" s="61">
        <f>+M55/12</f>
        <v>26.722499999999997</v>
      </c>
    </row>
    <row r="57" spans="1:13" x14ac:dyDescent="0.25">
      <c r="A57" s="187" t="s">
        <v>472</v>
      </c>
      <c r="B57" s="3">
        <v>52</v>
      </c>
      <c r="C57" s="3">
        <v>1210</v>
      </c>
      <c r="D57" s="3">
        <f t="shared" si="1"/>
        <v>62920</v>
      </c>
      <c r="E57" s="3"/>
      <c r="F57" s="182"/>
      <c r="G57" s="182"/>
      <c r="H57" s="182"/>
      <c r="I57" s="182"/>
      <c r="J57" s="3"/>
    </row>
    <row r="58" spans="1:13" x14ac:dyDescent="0.25">
      <c r="A58" s="187" t="s">
        <v>472</v>
      </c>
      <c r="B58" s="3">
        <v>52</v>
      </c>
      <c r="C58" s="3">
        <v>1069</v>
      </c>
      <c r="D58" s="3">
        <f t="shared" si="1"/>
        <v>55588</v>
      </c>
      <c r="E58" s="3"/>
      <c r="F58" s="182"/>
      <c r="G58" s="182"/>
      <c r="H58" s="182"/>
      <c r="I58" s="182"/>
      <c r="J58" s="3"/>
    </row>
    <row r="59" spans="1:13" x14ac:dyDescent="0.25">
      <c r="A59" s="187" t="s">
        <v>472</v>
      </c>
      <c r="B59" s="3">
        <v>52</v>
      </c>
      <c r="C59" s="3">
        <v>1069</v>
      </c>
      <c r="D59" s="3">
        <f t="shared" si="1"/>
        <v>55588</v>
      </c>
      <c r="E59" s="3"/>
      <c r="F59" s="182"/>
      <c r="G59" s="182"/>
      <c r="H59" s="182"/>
      <c r="I59" s="182"/>
      <c r="J59" s="3"/>
    </row>
    <row r="60" spans="1:13" x14ac:dyDescent="0.25">
      <c r="A60" s="187" t="s">
        <v>89</v>
      </c>
      <c r="B60" s="3">
        <v>52</v>
      </c>
      <c r="C60" s="3">
        <v>1400.7999999999997</v>
      </c>
      <c r="D60" s="3">
        <f t="shared" si="1"/>
        <v>72842</v>
      </c>
      <c r="E60" s="3"/>
      <c r="F60" s="182"/>
      <c r="G60" s="182"/>
      <c r="H60" s="182"/>
      <c r="I60" s="182"/>
      <c r="J60" s="3"/>
    </row>
    <row r="61" spans="1:13" x14ac:dyDescent="0.25">
      <c r="A61" s="187" t="s">
        <v>89</v>
      </c>
      <c r="B61" s="3">
        <v>52</v>
      </c>
      <c r="C61" s="3">
        <v>1385.2</v>
      </c>
      <c r="D61" s="3">
        <f t="shared" si="1"/>
        <v>72030</v>
      </c>
      <c r="E61" s="3"/>
      <c r="F61" s="182"/>
      <c r="G61" s="182"/>
      <c r="H61" s="182"/>
      <c r="I61" s="182"/>
      <c r="J61" s="3"/>
    </row>
    <row r="62" spans="1:13" x14ac:dyDescent="0.25">
      <c r="A62" s="3" t="s">
        <v>1003</v>
      </c>
      <c r="B62" s="3">
        <v>2160</v>
      </c>
      <c r="C62" s="64">
        <f>SUM(C29:C61)/40/33</f>
        <v>32.700909090909086</v>
      </c>
      <c r="D62" s="3">
        <f t="shared" si="1"/>
        <v>70634</v>
      </c>
      <c r="E62" s="3"/>
      <c r="F62" s="182"/>
      <c r="G62" s="182"/>
      <c r="H62" s="182"/>
      <c r="I62" s="182"/>
      <c r="J62" s="3"/>
    </row>
    <row r="63" spans="1:13" x14ac:dyDescent="0.25">
      <c r="A63" s="3" t="s">
        <v>1853</v>
      </c>
      <c r="B63" s="3"/>
      <c r="C63" s="3"/>
      <c r="D63" s="3">
        <v>0</v>
      </c>
      <c r="E63" s="3"/>
      <c r="F63" s="3"/>
      <c r="G63" s="3"/>
      <c r="H63" s="3"/>
      <c r="I63" s="3"/>
      <c r="J63" s="3"/>
    </row>
    <row r="64" spans="1:13" ht="15" x14ac:dyDescent="0.4">
      <c r="A64" s="3" t="s">
        <v>912</v>
      </c>
      <c r="B64" s="3" t="s">
        <v>386</v>
      </c>
      <c r="C64" s="3" t="s">
        <v>386</v>
      </c>
      <c r="D64" s="31">
        <v>16716</v>
      </c>
      <c r="E64" s="3"/>
      <c r="F64" s="3"/>
      <c r="G64" s="3"/>
      <c r="H64" s="3"/>
      <c r="I64" s="3"/>
      <c r="J64" s="3"/>
    </row>
    <row r="65" spans="1:10" x14ac:dyDescent="0.25">
      <c r="A65" s="3" t="s">
        <v>1182</v>
      </c>
      <c r="B65" s="3"/>
      <c r="C65" s="3"/>
      <c r="D65" s="3">
        <f>SUM(D29:D64)</f>
        <v>2331941</v>
      </c>
      <c r="F65" s="3"/>
      <c r="G65" s="3"/>
      <c r="H65" s="3"/>
      <c r="I65" s="3"/>
      <c r="J65" s="3"/>
    </row>
    <row r="66" spans="1:10" x14ac:dyDescent="0.25">
      <c r="A66" s="3"/>
      <c r="B66" s="3"/>
      <c r="C66" s="3"/>
      <c r="D66" s="3"/>
      <c r="E66" s="3"/>
      <c r="F66" s="3"/>
      <c r="G66" s="3"/>
      <c r="H66" s="3"/>
      <c r="I66" s="3"/>
      <c r="J66" s="3"/>
    </row>
    <row r="67" spans="1:10" ht="13.8" x14ac:dyDescent="0.3">
      <c r="A67" s="62" t="s">
        <v>894</v>
      </c>
      <c r="B67" s="3"/>
      <c r="C67" s="3"/>
      <c r="D67" s="3"/>
      <c r="E67" s="3">
        <v>19408</v>
      </c>
      <c r="F67" s="3">
        <v>21059</v>
      </c>
      <c r="G67" s="3">
        <v>22376</v>
      </c>
      <c r="H67" s="3">
        <v>22376</v>
      </c>
      <c r="I67" s="3"/>
      <c r="J67" s="3"/>
    </row>
    <row r="68" spans="1:10" x14ac:dyDescent="0.25">
      <c r="A68" s="3" t="s">
        <v>887</v>
      </c>
      <c r="B68" s="3" t="s">
        <v>386</v>
      </c>
      <c r="C68" s="3" t="s">
        <v>386</v>
      </c>
      <c r="D68" s="3" t="s">
        <v>386</v>
      </c>
      <c r="E68" s="3"/>
      <c r="F68" s="3"/>
      <c r="G68" s="3"/>
      <c r="H68" s="3"/>
      <c r="I68" s="3"/>
      <c r="J68" s="3"/>
    </row>
    <row r="69" spans="1:10" x14ac:dyDescent="0.25">
      <c r="A69" s="3" t="s">
        <v>466</v>
      </c>
      <c r="B69" s="3">
        <v>363</v>
      </c>
      <c r="C69" s="64">
        <f>+SUM(C20:C24)/40*1.5/5</f>
        <v>61.642499999999998</v>
      </c>
      <c r="D69" s="3">
        <f>ROUND(B69*C69,0)</f>
        <v>22376</v>
      </c>
      <c r="E69" s="3"/>
      <c r="F69" s="3"/>
      <c r="G69" s="3"/>
      <c r="H69" s="3"/>
      <c r="I69" s="3"/>
      <c r="J69" s="3"/>
    </row>
    <row r="70" spans="1:10" x14ac:dyDescent="0.25">
      <c r="A70" s="3"/>
      <c r="B70" s="3"/>
      <c r="C70" s="3"/>
      <c r="D70" s="3"/>
      <c r="E70" s="3"/>
      <c r="F70" s="3"/>
      <c r="G70" s="3"/>
      <c r="H70" s="3"/>
      <c r="I70" s="3"/>
      <c r="J70" s="3"/>
    </row>
    <row r="71" spans="1:10" ht="13.8" x14ac:dyDescent="0.3">
      <c r="A71" s="62" t="s">
        <v>981</v>
      </c>
      <c r="B71" s="3"/>
      <c r="C71" s="3"/>
      <c r="D71" s="3"/>
      <c r="E71" s="3">
        <v>6717</v>
      </c>
      <c r="F71" s="3">
        <v>20852</v>
      </c>
      <c r="G71" s="3">
        <v>24232</v>
      </c>
      <c r="H71" s="3">
        <v>24232</v>
      </c>
      <c r="I71" s="3"/>
      <c r="J71" s="3"/>
    </row>
    <row r="72" spans="1:10" x14ac:dyDescent="0.25">
      <c r="A72" s="3" t="s">
        <v>1770</v>
      </c>
      <c r="B72" s="3">
        <v>52</v>
      </c>
      <c r="C72" s="3">
        <v>466</v>
      </c>
      <c r="D72" s="3">
        <f>ROUND(B72*C72,0)</f>
        <v>24232</v>
      </c>
      <c r="F72" s="3"/>
      <c r="G72" s="3"/>
      <c r="H72" s="3"/>
      <c r="I72" s="3"/>
      <c r="J72" s="3"/>
    </row>
    <row r="73" spans="1:10" x14ac:dyDescent="0.25">
      <c r="A73" s="3"/>
      <c r="B73" s="3"/>
      <c r="C73" s="3"/>
      <c r="D73" s="3"/>
      <c r="E73" s="3"/>
      <c r="F73" s="3"/>
      <c r="G73" s="3"/>
      <c r="H73" s="3"/>
      <c r="I73" s="3"/>
      <c r="J73" s="3"/>
    </row>
    <row r="74" spans="1:10" ht="13.8" x14ac:dyDescent="0.3">
      <c r="A74" s="62" t="s">
        <v>560</v>
      </c>
      <c r="B74" s="3"/>
      <c r="C74" s="3"/>
      <c r="D74" s="3"/>
      <c r="E74" s="3">
        <v>24753</v>
      </c>
      <c r="F74" s="3">
        <v>31184</v>
      </c>
      <c r="G74" s="3">
        <v>31184</v>
      </c>
      <c r="H74" s="3">
        <v>31184</v>
      </c>
      <c r="I74" s="3"/>
      <c r="J74" s="3"/>
    </row>
    <row r="75" spans="1:10" x14ac:dyDescent="0.25">
      <c r="A75" s="3" t="s">
        <v>1067</v>
      </c>
      <c r="B75" s="3">
        <v>571</v>
      </c>
      <c r="C75" s="64">
        <v>16</v>
      </c>
      <c r="D75" s="3">
        <f>ROUND(B75*C75,0)</f>
        <v>9136</v>
      </c>
      <c r="E75" s="3"/>
      <c r="F75" s="3"/>
      <c r="G75" s="3"/>
      <c r="H75" s="3"/>
      <c r="I75" s="3"/>
      <c r="J75" s="3"/>
    </row>
    <row r="76" spans="1:10" ht="15" x14ac:dyDescent="0.4">
      <c r="A76" s="3" t="s">
        <v>1341</v>
      </c>
      <c r="B76" s="3">
        <v>1378</v>
      </c>
      <c r="C76" s="64">
        <v>16</v>
      </c>
      <c r="D76" s="31">
        <f>ROUND(B76*C76,0)</f>
        <v>22048</v>
      </c>
      <c r="E76" s="3"/>
      <c r="F76" s="3"/>
      <c r="G76" s="3"/>
      <c r="H76" s="3"/>
      <c r="I76" s="3"/>
      <c r="J76" s="3"/>
    </row>
    <row r="77" spans="1:10" x14ac:dyDescent="0.25">
      <c r="A77" s="3" t="s">
        <v>1182</v>
      </c>
      <c r="B77" s="3"/>
      <c r="C77" s="3"/>
      <c r="D77" s="3">
        <f>SUM(D75:D76)</f>
        <v>31184</v>
      </c>
      <c r="F77" s="3"/>
      <c r="G77" s="3"/>
      <c r="H77" s="3"/>
      <c r="I77" s="3"/>
      <c r="J77" s="3"/>
    </row>
    <row r="78" spans="1:10" x14ac:dyDescent="0.25">
      <c r="A78" s="3"/>
      <c r="B78" s="3"/>
      <c r="C78" s="3"/>
      <c r="D78" s="3"/>
      <c r="E78" s="3"/>
      <c r="F78" s="3"/>
      <c r="G78" s="3"/>
      <c r="H78" s="3"/>
      <c r="I78" s="3"/>
      <c r="J78" s="3"/>
    </row>
    <row r="79" spans="1:10" ht="13.8" x14ac:dyDescent="0.3">
      <c r="A79" s="62" t="s">
        <v>1342</v>
      </c>
      <c r="B79" s="3"/>
      <c r="C79" s="3"/>
      <c r="D79" s="3"/>
      <c r="E79" s="3">
        <v>240744</v>
      </c>
      <c r="F79" s="3">
        <v>227617</v>
      </c>
      <c r="G79" s="3">
        <v>229309</v>
      </c>
      <c r="H79" s="3">
        <v>229309</v>
      </c>
      <c r="I79" s="3"/>
      <c r="J79" s="3"/>
    </row>
    <row r="80" spans="1:10" x14ac:dyDescent="0.25">
      <c r="A80" s="3" t="s">
        <v>118</v>
      </c>
      <c r="B80" s="3">
        <v>4675</v>
      </c>
      <c r="C80" s="64">
        <f>ROUND(C62*1.5,2)</f>
        <v>49.05</v>
      </c>
      <c r="D80" s="3">
        <f>ROUND(+C80*B80,0)</f>
        <v>229309</v>
      </c>
      <c r="E80" s="3"/>
      <c r="F80" s="3"/>
      <c r="G80" s="3"/>
      <c r="H80" s="3"/>
      <c r="I80" s="3"/>
      <c r="J80" s="3"/>
    </row>
    <row r="81" spans="1:10" x14ac:dyDescent="0.25">
      <c r="A81" s="3" t="s">
        <v>386</v>
      </c>
      <c r="B81" s="3" t="s">
        <v>386</v>
      </c>
      <c r="C81" s="3" t="s">
        <v>386</v>
      </c>
      <c r="D81" s="3" t="s">
        <v>386</v>
      </c>
      <c r="E81" s="3"/>
      <c r="F81" s="3"/>
      <c r="G81" s="3"/>
      <c r="H81" s="3"/>
      <c r="I81" s="3"/>
      <c r="J81" s="3"/>
    </row>
    <row r="82" spans="1:10" ht="13.8" x14ac:dyDescent="0.3">
      <c r="A82" s="62" t="s">
        <v>1343</v>
      </c>
      <c r="B82" s="3"/>
      <c r="C82" s="3"/>
      <c r="D82" s="3"/>
      <c r="E82" s="3">
        <v>59566</v>
      </c>
      <c r="F82" s="3">
        <v>67621</v>
      </c>
      <c r="G82" s="3">
        <v>70613</v>
      </c>
      <c r="H82" s="3">
        <v>70613</v>
      </c>
      <c r="I82" s="3"/>
      <c r="J82" s="3"/>
    </row>
    <row r="83" spans="1:10" hidden="1" x14ac:dyDescent="0.25">
      <c r="A83" s="3" t="s">
        <v>844</v>
      </c>
      <c r="B83" s="3">
        <f>+D12</f>
        <v>160347</v>
      </c>
      <c r="C83" s="76">
        <v>7.6499999999999999E-2</v>
      </c>
      <c r="D83" s="3">
        <f t="shared" ref="D83:D90" si="4">ROUND(B83*C83,0)</f>
        <v>12267</v>
      </c>
      <c r="E83" s="3"/>
      <c r="F83" s="3"/>
      <c r="G83" s="3"/>
      <c r="H83" s="3"/>
      <c r="I83" s="3"/>
      <c r="J83" s="3"/>
    </row>
    <row r="84" spans="1:10" hidden="1" x14ac:dyDescent="0.25">
      <c r="A84" s="3" t="s">
        <v>1406</v>
      </c>
      <c r="B84" s="3">
        <f>+D26</f>
        <v>827273</v>
      </c>
      <c r="C84" s="76">
        <v>1.4500000000000001E-2</v>
      </c>
      <c r="D84" s="3">
        <f t="shared" si="4"/>
        <v>11995</v>
      </c>
      <c r="E84" s="3"/>
      <c r="F84" s="3"/>
      <c r="G84" s="3"/>
      <c r="H84" s="3"/>
      <c r="I84" s="3"/>
      <c r="J84" s="3"/>
    </row>
    <row r="85" spans="1:10" hidden="1" x14ac:dyDescent="0.25">
      <c r="A85" s="3" t="s">
        <v>1388</v>
      </c>
      <c r="B85" s="3">
        <f>+D17</f>
        <v>74984</v>
      </c>
      <c r="C85" s="76">
        <v>6.2E-2</v>
      </c>
      <c r="D85" s="3">
        <f t="shared" si="4"/>
        <v>4649</v>
      </c>
      <c r="E85" s="3"/>
      <c r="F85" s="3"/>
      <c r="G85" s="3"/>
      <c r="H85" s="3"/>
      <c r="I85" s="3"/>
      <c r="J85" s="3"/>
    </row>
    <row r="86" spans="1:10" hidden="1" x14ac:dyDescent="0.25">
      <c r="A86" s="3" t="s">
        <v>757</v>
      </c>
      <c r="B86" s="3">
        <f>+D65</f>
        <v>2331941</v>
      </c>
      <c r="C86" s="76">
        <v>1.4500000000000001E-2</v>
      </c>
      <c r="D86" s="3">
        <f t="shared" si="4"/>
        <v>33813</v>
      </c>
      <c r="E86" s="3"/>
      <c r="F86" s="3"/>
      <c r="G86" s="3"/>
      <c r="H86" s="3"/>
      <c r="I86" s="3"/>
      <c r="J86" s="3"/>
    </row>
    <row r="87" spans="1:10" hidden="1" x14ac:dyDescent="0.25">
      <c r="A87" s="3" t="s">
        <v>845</v>
      </c>
      <c r="B87" s="3">
        <f>+D69</f>
        <v>22376</v>
      </c>
      <c r="C87" s="76">
        <v>1.4500000000000001E-2</v>
      </c>
      <c r="D87" s="3">
        <f t="shared" si="4"/>
        <v>324</v>
      </c>
      <c r="E87" s="3"/>
      <c r="F87" s="3"/>
      <c r="G87" s="3"/>
      <c r="H87" s="3"/>
      <c r="I87" s="3"/>
      <c r="J87" s="3"/>
    </row>
    <row r="88" spans="1:10" hidden="1" x14ac:dyDescent="0.25">
      <c r="A88" s="3" t="s">
        <v>1344</v>
      </c>
      <c r="B88" s="3">
        <f>+D72</f>
        <v>24232</v>
      </c>
      <c r="C88" s="76">
        <v>7.6499999999999999E-2</v>
      </c>
      <c r="D88" s="3">
        <f t="shared" si="4"/>
        <v>1854</v>
      </c>
      <c r="E88" s="3"/>
      <c r="F88" s="3"/>
      <c r="G88" s="3"/>
      <c r="H88" s="3"/>
      <c r="I88" s="3"/>
      <c r="J88" s="3"/>
    </row>
    <row r="89" spans="1:10" hidden="1" x14ac:dyDescent="0.25">
      <c r="A89" s="3" t="s">
        <v>183</v>
      </c>
      <c r="B89" s="3">
        <f>+D77</f>
        <v>31184</v>
      </c>
      <c r="C89" s="76">
        <v>7.6499999999999999E-2</v>
      </c>
      <c r="D89" s="3">
        <f t="shared" si="4"/>
        <v>2386</v>
      </c>
      <c r="E89" s="3"/>
      <c r="F89" s="3"/>
      <c r="G89" s="3"/>
      <c r="H89" s="3"/>
      <c r="I89" s="3"/>
      <c r="J89" s="3"/>
    </row>
    <row r="90" spans="1:10" hidden="1" x14ac:dyDescent="0.25">
      <c r="A90" s="3" t="s">
        <v>184</v>
      </c>
      <c r="B90" s="3">
        <f>+D80</f>
        <v>229309</v>
      </c>
      <c r="C90" s="76">
        <v>1.4500000000000001E-2</v>
      </c>
      <c r="D90" s="3">
        <f t="shared" si="4"/>
        <v>3325</v>
      </c>
      <c r="E90" s="3"/>
      <c r="F90" s="3"/>
      <c r="G90" s="3"/>
      <c r="H90" s="3"/>
      <c r="I90" s="3"/>
      <c r="J90" s="3"/>
    </row>
    <row r="91" spans="1:10" hidden="1" x14ac:dyDescent="0.25">
      <c r="A91" s="3" t="s">
        <v>1182</v>
      </c>
      <c r="B91" s="3"/>
      <c r="C91" s="3"/>
      <c r="D91" s="3">
        <f>SUM(D83:D90)</f>
        <v>70613</v>
      </c>
      <c r="E91" s="3"/>
      <c r="F91" s="3"/>
      <c r="G91" s="3"/>
      <c r="H91" s="3"/>
      <c r="I91" s="3"/>
      <c r="J91" s="3"/>
    </row>
    <row r="92" spans="1:10" ht="13.8" x14ac:dyDescent="0.3">
      <c r="A92" s="152"/>
      <c r="B92" s="3"/>
      <c r="C92" s="3"/>
      <c r="D92" s="3"/>
      <c r="E92" s="3"/>
      <c r="F92" s="3"/>
      <c r="G92" s="3"/>
      <c r="H92" s="3"/>
      <c r="I92" s="3"/>
      <c r="J92" s="3"/>
    </row>
    <row r="93" spans="1:10" ht="13.8" x14ac:dyDescent="0.3">
      <c r="A93" s="62" t="s">
        <v>1345</v>
      </c>
      <c r="B93" s="3"/>
      <c r="C93" s="3"/>
      <c r="D93" s="3"/>
      <c r="E93" s="3">
        <v>799009</v>
      </c>
      <c r="F93" s="3">
        <v>958330</v>
      </c>
      <c r="G93" s="3">
        <v>1008563</v>
      </c>
      <c r="H93" s="3">
        <v>1008563</v>
      </c>
      <c r="I93" s="3"/>
      <c r="J93" s="3"/>
    </row>
    <row r="94" spans="1:10" hidden="1" x14ac:dyDescent="0.25">
      <c r="A94" s="3" t="s">
        <v>844</v>
      </c>
      <c r="B94" s="3">
        <f>+D12</f>
        <v>160347</v>
      </c>
      <c r="C94" s="76">
        <v>0.1138</v>
      </c>
      <c r="D94" s="3">
        <f t="shared" ref="D94:D99" si="5">ROUND(B94*C94,0)</f>
        <v>18247</v>
      </c>
      <c r="E94" s="3"/>
      <c r="F94" s="3"/>
      <c r="G94" s="3"/>
      <c r="H94" s="3"/>
      <c r="I94" s="3"/>
      <c r="J94" s="3"/>
    </row>
    <row r="95" spans="1:10" hidden="1" x14ac:dyDescent="0.25">
      <c r="A95" s="3" t="s">
        <v>1406</v>
      </c>
      <c r="B95" s="3">
        <f>+D26-B85</f>
        <v>752289</v>
      </c>
      <c r="C95" s="76">
        <v>0.29430000000000001</v>
      </c>
      <c r="D95" s="3">
        <f t="shared" si="5"/>
        <v>221399</v>
      </c>
      <c r="E95" s="3"/>
      <c r="F95" s="3"/>
      <c r="G95" s="3"/>
      <c r="H95" s="3"/>
      <c r="I95" s="3"/>
      <c r="J95" s="3"/>
    </row>
    <row r="96" spans="1:10" hidden="1" x14ac:dyDescent="0.25">
      <c r="A96" s="3" t="s">
        <v>1388</v>
      </c>
      <c r="B96" s="3">
        <f>+B85</f>
        <v>74984</v>
      </c>
      <c r="C96" s="76">
        <v>0.1138</v>
      </c>
      <c r="D96" s="3">
        <f t="shared" si="5"/>
        <v>8533</v>
      </c>
      <c r="E96" s="3"/>
      <c r="F96" s="3"/>
      <c r="G96" s="3"/>
      <c r="H96" s="3"/>
      <c r="I96" s="3"/>
      <c r="J96" s="3"/>
    </row>
    <row r="97" spans="1:10" hidden="1" x14ac:dyDescent="0.25">
      <c r="A97" s="3" t="s">
        <v>757</v>
      </c>
      <c r="B97" s="3">
        <f>+D65</f>
        <v>2331941</v>
      </c>
      <c r="C97" s="76">
        <v>0.29430000000000001</v>
      </c>
      <c r="D97" s="3">
        <f t="shared" si="5"/>
        <v>686290</v>
      </c>
      <c r="E97" s="3"/>
      <c r="F97" s="3"/>
      <c r="G97" s="3"/>
      <c r="H97" s="3"/>
      <c r="I97" s="3"/>
      <c r="J97" s="3"/>
    </row>
    <row r="98" spans="1:10" hidden="1" x14ac:dyDescent="0.25">
      <c r="A98" s="3" t="s">
        <v>845</v>
      </c>
      <c r="B98" s="3">
        <f>+D69</f>
        <v>22376</v>
      </c>
      <c r="C98" s="76">
        <v>0.29430000000000001</v>
      </c>
      <c r="D98" s="3">
        <f t="shared" si="5"/>
        <v>6585</v>
      </c>
      <c r="E98" s="3"/>
      <c r="F98" s="3"/>
      <c r="G98" s="3"/>
      <c r="H98" s="3"/>
      <c r="I98" s="3"/>
      <c r="J98" s="3"/>
    </row>
    <row r="99" spans="1:10" hidden="1" x14ac:dyDescent="0.25">
      <c r="A99" s="3" t="s">
        <v>1344</v>
      </c>
      <c r="B99" s="3">
        <v>0</v>
      </c>
      <c r="C99" s="76">
        <v>0.1138</v>
      </c>
      <c r="D99" s="3">
        <f t="shared" si="5"/>
        <v>0</v>
      </c>
      <c r="E99" s="3"/>
      <c r="F99" s="3"/>
      <c r="G99" s="3"/>
      <c r="H99" s="3"/>
      <c r="I99" s="3"/>
      <c r="J99" s="3"/>
    </row>
    <row r="100" spans="1:10" ht="15" hidden="1" x14ac:dyDescent="0.4">
      <c r="A100" s="3" t="s">
        <v>184</v>
      </c>
      <c r="B100" s="3">
        <f>+D80</f>
        <v>229309</v>
      </c>
      <c r="C100" s="76">
        <v>0.29430000000000001</v>
      </c>
      <c r="D100" s="31">
        <f>ROUND(B100*C100,0)+23</f>
        <v>67509</v>
      </c>
      <c r="E100" s="3"/>
      <c r="F100" s="3"/>
      <c r="G100" s="3"/>
      <c r="H100" s="3"/>
      <c r="I100" s="3"/>
      <c r="J100" s="3"/>
    </row>
    <row r="101" spans="1:10" hidden="1" x14ac:dyDescent="0.25">
      <c r="A101" s="3" t="s">
        <v>1182</v>
      </c>
      <c r="B101" s="3"/>
      <c r="C101" s="3"/>
      <c r="D101" s="3">
        <f>SUM(D94:D100)</f>
        <v>1008563</v>
      </c>
      <c r="E101" s="3"/>
      <c r="F101" s="3"/>
      <c r="G101" s="3"/>
      <c r="H101" s="3"/>
      <c r="I101" s="3"/>
      <c r="J101" s="3"/>
    </row>
    <row r="102" spans="1:10" ht="13.8" x14ac:dyDescent="0.3">
      <c r="A102" s="152"/>
      <c r="B102" s="3"/>
      <c r="C102" s="3"/>
      <c r="D102" s="3"/>
      <c r="E102" s="3"/>
      <c r="F102" s="3"/>
      <c r="G102" s="3"/>
      <c r="H102" s="3"/>
      <c r="I102" s="3"/>
      <c r="J102" s="3"/>
    </row>
    <row r="103" spans="1:10" ht="13.8" x14ac:dyDescent="0.3">
      <c r="A103" s="62" t="s">
        <v>351</v>
      </c>
      <c r="B103" s="3"/>
      <c r="C103" s="3"/>
      <c r="D103" s="3"/>
      <c r="E103" s="3">
        <v>752853</v>
      </c>
      <c r="F103" s="3">
        <v>709848</v>
      </c>
      <c r="G103" s="3">
        <v>875400</v>
      </c>
      <c r="H103" s="3">
        <v>875400</v>
      </c>
      <c r="I103" s="3"/>
      <c r="J103" s="3"/>
    </row>
    <row r="104" spans="1:10" x14ac:dyDescent="0.25">
      <c r="A104" s="3" t="s">
        <v>1787</v>
      </c>
      <c r="B104" s="3">
        <v>33</v>
      </c>
      <c r="C104" s="3">
        <v>18300</v>
      </c>
      <c r="D104" s="3">
        <f>ROUND(B104*C104,0)</f>
        <v>603900</v>
      </c>
      <c r="E104" s="3"/>
      <c r="F104" s="3"/>
      <c r="G104" s="3"/>
      <c r="H104" s="3"/>
      <c r="I104" s="3"/>
      <c r="J104" s="3"/>
    </row>
    <row r="105" spans="1:10" x14ac:dyDescent="0.25">
      <c r="A105" s="3" t="s">
        <v>29</v>
      </c>
      <c r="B105" s="3">
        <v>6</v>
      </c>
      <c r="C105" s="3">
        <v>23900</v>
      </c>
      <c r="D105" s="3">
        <f>ROUND(B105*C105,0)</f>
        <v>143400</v>
      </c>
      <c r="E105" s="3"/>
      <c r="F105" s="3"/>
      <c r="G105" s="3"/>
      <c r="H105" s="3"/>
      <c r="I105" s="3"/>
      <c r="J105" s="3"/>
    </row>
    <row r="106" spans="1:10" x14ac:dyDescent="0.25">
      <c r="A106" s="3" t="s">
        <v>1157</v>
      </c>
      <c r="B106" s="3">
        <v>3</v>
      </c>
      <c r="C106" s="3">
        <v>18300</v>
      </c>
      <c r="D106" s="3">
        <f>ROUND(B106*C106,0)</f>
        <v>54900</v>
      </c>
      <c r="E106" s="3"/>
      <c r="F106" s="3"/>
      <c r="G106" s="3"/>
      <c r="H106" s="3"/>
      <c r="I106" s="3"/>
      <c r="J106" s="3"/>
    </row>
    <row r="107" spans="1:10" x14ac:dyDescent="0.25">
      <c r="A107" s="3" t="s">
        <v>298</v>
      </c>
      <c r="B107" s="3">
        <v>4</v>
      </c>
      <c r="C107" s="3">
        <v>18300</v>
      </c>
      <c r="D107" s="3">
        <f>ROUND(B107*C107,0)</f>
        <v>73200</v>
      </c>
      <c r="E107" s="3"/>
      <c r="F107" s="3"/>
      <c r="G107" s="3"/>
      <c r="H107" s="3"/>
      <c r="I107" s="3"/>
      <c r="J107" s="3"/>
    </row>
    <row r="108" spans="1:10" ht="15" x14ac:dyDescent="0.4">
      <c r="A108" s="3" t="s">
        <v>1788</v>
      </c>
      <c r="B108" s="3" t="s">
        <v>386</v>
      </c>
      <c r="C108" s="3" t="s">
        <v>386</v>
      </c>
      <c r="D108" s="31">
        <v>0</v>
      </c>
      <c r="E108" s="3"/>
      <c r="F108" s="3"/>
      <c r="G108" s="3"/>
      <c r="H108" s="3"/>
      <c r="I108" s="3"/>
      <c r="J108" s="3"/>
    </row>
    <row r="109" spans="1:10" x14ac:dyDescent="0.25">
      <c r="A109" s="3" t="s">
        <v>751</v>
      </c>
      <c r="B109" s="3"/>
      <c r="C109" s="3"/>
      <c r="D109" s="3">
        <f>SUM(D104:D108)</f>
        <v>875400</v>
      </c>
      <c r="E109" s="3"/>
      <c r="F109" s="3"/>
      <c r="G109" s="3"/>
      <c r="H109" s="3"/>
      <c r="I109" s="3"/>
      <c r="J109" s="3"/>
    </row>
    <row r="110" spans="1:10" x14ac:dyDescent="0.25">
      <c r="A110" s="3"/>
      <c r="B110" s="3"/>
      <c r="C110" s="3"/>
      <c r="D110" s="3"/>
      <c r="E110" s="3"/>
      <c r="F110" s="3"/>
      <c r="G110" s="3"/>
      <c r="H110" s="3"/>
      <c r="I110" s="3"/>
      <c r="J110" s="3"/>
    </row>
    <row r="111" spans="1:10" ht="13.8" x14ac:dyDescent="0.3">
      <c r="A111" s="62" t="s">
        <v>656</v>
      </c>
      <c r="B111" s="3"/>
      <c r="C111" s="3"/>
      <c r="D111" s="3"/>
      <c r="E111" s="3">
        <v>50243</v>
      </c>
      <c r="F111" s="3">
        <v>52360</v>
      </c>
      <c r="G111" s="3">
        <v>54210</v>
      </c>
      <c r="H111" s="3">
        <v>54210</v>
      </c>
      <c r="I111" s="3"/>
      <c r="J111" s="3"/>
    </row>
    <row r="112" spans="1:10" x14ac:dyDescent="0.25">
      <c r="A112" s="3" t="s">
        <v>297</v>
      </c>
      <c r="B112" s="3">
        <v>39</v>
      </c>
      <c r="C112" s="3">
        <v>1300</v>
      </c>
      <c r="D112" s="3">
        <f>ROUND(B112*C112,0)</f>
        <v>50700</v>
      </c>
      <c r="E112" s="3"/>
      <c r="F112" s="3"/>
      <c r="G112" s="3"/>
      <c r="H112" s="3"/>
      <c r="I112" s="3"/>
      <c r="J112" s="3"/>
    </row>
    <row r="113" spans="1:10" x14ac:dyDescent="0.25">
      <c r="A113" s="3" t="s">
        <v>1157</v>
      </c>
      <c r="B113" s="3">
        <v>3</v>
      </c>
      <c r="C113" s="3">
        <v>1300</v>
      </c>
      <c r="D113" s="3">
        <f>ROUND(B113*C113,0)</f>
        <v>3900</v>
      </c>
      <c r="E113" s="3"/>
      <c r="F113" s="3"/>
      <c r="G113" s="3"/>
      <c r="H113" s="3"/>
      <c r="I113" s="3"/>
      <c r="J113" s="3"/>
    </row>
    <row r="114" spans="1:10" x14ac:dyDescent="0.25">
      <c r="A114" s="3" t="s">
        <v>1330</v>
      </c>
      <c r="B114" s="3"/>
      <c r="C114" s="3"/>
      <c r="D114" s="3">
        <f>+C113*-0.1*39</f>
        <v>-5070</v>
      </c>
      <c r="E114" s="3"/>
      <c r="F114" s="3"/>
      <c r="G114" s="3"/>
      <c r="H114" s="3"/>
      <c r="I114" s="3"/>
      <c r="J114" s="3"/>
    </row>
    <row r="115" spans="1:10" x14ac:dyDescent="0.25">
      <c r="A115" s="3" t="s">
        <v>298</v>
      </c>
      <c r="B115" s="3">
        <v>4</v>
      </c>
      <c r="C115" s="3">
        <v>1300</v>
      </c>
      <c r="D115" s="3">
        <f>ROUND(B115*C115,0)</f>
        <v>5200</v>
      </c>
      <c r="E115" s="3"/>
      <c r="F115" s="3"/>
      <c r="G115" s="3"/>
      <c r="H115" s="3"/>
      <c r="I115" s="3"/>
      <c r="J115" s="3"/>
    </row>
    <row r="116" spans="1:10" ht="15" x14ac:dyDescent="0.4">
      <c r="A116" s="3" t="s">
        <v>226</v>
      </c>
      <c r="B116" s="3"/>
      <c r="C116" s="3"/>
      <c r="D116" s="31">
        <f>+C115*-0.1*B115</f>
        <v>-520</v>
      </c>
      <c r="E116" s="3"/>
      <c r="F116" s="3"/>
      <c r="G116" s="3"/>
      <c r="H116" s="3"/>
      <c r="I116" s="3"/>
      <c r="J116" s="3"/>
    </row>
    <row r="117" spans="1:10" x14ac:dyDescent="0.25">
      <c r="A117" s="3" t="s">
        <v>751</v>
      </c>
      <c r="B117" s="3"/>
      <c r="C117" s="3"/>
      <c r="D117" s="3">
        <f>SUM(D112:D116)</f>
        <v>54210</v>
      </c>
      <c r="F117" s="3"/>
      <c r="G117" s="3"/>
      <c r="H117" s="3"/>
      <c r="I117" s="3"/>
      <c r="J117" s="3"/>
    </row>
    <row r="118" spans="1:10" x14ac:dyDescent="0.25">
      <c r="A118" s="3"/>
      <c r="B118" s="3"/>
      <c r="C118" s="3"/>
      <c r="D118" s="3"/>
      <c r="E118" s="3"/>
      <c r="F118" s="3"/>
      <c r="G118" s="3"/>
      <c r="H118" s="3"/>
      <c r="I118" s="3"/>
      <c r="J118" s="3"/>
    </row>
    <row r="119" spans="1:10" ht="13.8" x14ac:dyDescent="0.3">
      <c r="A119" s="62" t="s">
        <v>657</v>
      </c>
      <c r="B119" s="3"/>
      <c r="C119" s="3"/>
      <c r="D119" s="3"/>
      <c r="E119" s="3">
        <v>2823</v>
      </c>
      <c r="F119" s="3">
        <v>2875</v>
      </c>
      <c r="G119" s="3">
        <v>2910</v>
      </c>
      <c r="H119" s="3">
        <v>2910</v>
      </c>
      <c r="I119" s="3"/>
      <c r="J119" s="3"/>
    </row>
    <row r="120" spans="1:10" hidden="1" x14ac:dyDescent="0.25">
      <c r="A120" s="3" t="s">
        <v>222</v>
      </c>
      <c r="B120" s="3">
        <v>4</v>
      </c>
      <c r="C120" s="3">
        <v>135</v>
      </c>
      <c r="D120" s="3">
        <f>ROUND(B120*C120,0)</f>
        <v>540</v>
      </c>
      <c r="E120" s="3"/>
      <c r="F120" s="3"/>
      <c r="G120" s="3"/>
      <c r="H120" s="3"/>
      <c r="I120" s="3"/>
      <c r="J120" s="3"/>
    </row>
    <row r="121" spans="1:10" hidden="1" x14ac:dyDescent="0.25">
      <c r="A121" s="3" t="s">
        <v>1158</v>
      </c>
      <c r="B121" s="3">
        <v>3</v>
      </c>
      <c r="C121" s="3">
        <v>135</v>
      </c>
      <c r="D121" s="3">
        <f>ROUND(B121*C121,0)</f>
        <v>405</v>
      </c>
      <c r="E121" s="3"/>
      <c r="F121" s="3"/>
      <c r="G121" s="3"/>
      <c r="H121" s="3"/>
      <c r="I121" s="3"/>
      <c r="J121" s="3"/>
    </row>
    <row r="122" spans="1:10" hidden="1" x14ac:dyDescent="0.25">
      <c r="A122" s="3" t="s">
        <v>1798</v>
      </c>
      <c r="B122" s="3">
        <v>6</v>
      </c>
      <c r="C122" s="3">
        <v>135</v>
      </c>
      <c r="D122" s="3">
        <f>ROUND(B122*C122,0)</f>
        <v>810</v>
      </c>
      <c r="E122" s="3"/>
      <c r="F122" s="3"/>
      <c r="G122" s="3"/>
      <c r="H122" s="3"/>
      <c r="I122" s="3"/>
      <c r="J122" s="3"/>
    </row>
    <row r="123" spans="1:10" ht="15" hidden="1" x14ac:dyDescent="0.4">
      <c r="A123" s="3" t="s">
        <v>2006</v>
      </c>
      <c r="B123" s="3">
        <v>33</v>
      </c>
      <c r="C123" s="3">
        <v>35</v>
      </c>
      <c r="D123" s="31">
        <f>ROUND(B123*C123,0)</f>
        <v>1155</v>
      </c>
      <c r="E123" s="3"/>
      <c r="F123" s="3"/>
      <c r="G123" s="3"/>
      <c r="H123" s="3"/>
      <c r="I123" s="3"/>
      <c r="J123" s="3"/>
    </row>
    <row r="124" spans="1:10" hidden="1" x14ac:dyDescent="0.25">
      <c r="A124" s="3" t="s">
        <v>1182</v>
      </c>
      <c r="B124" s="3"/>
      <c r="C124" s="3"/>
      <c r="D124" s="3">
        <f>SUM(D120:D123)</f>
        <v>2910</v>
      </c>
      <c r="E124" s="3"/>
      <c r="F124" s="3"/>
      <c r="G124" s="3"/>
      <c r="H124" s="3"/>
      <c r="I124" s="3"/>
      <c r="J124" s="3"/>
    </row>
    <row r="125" spans="1:10" x14ac:dyDescent="0.25">
      <c r="A125" s="3"/>
      <c r="B125" s="3"/>
      <c r="C125" s="3"/>
      <c r="D125" s="3"/>
      <c r="E125" s="3"/>
      <c r="F125" s="3"/>
      <c r="G125" s="3"/>
      <c r="H125" s="3"/>
      <c r="I125" s="3"/>
      <c r="J125" s="3"/>
    </row>
    <row r="126" spans="1:10" ht="13.8" x14ac:dyDescent="0.3">
      <c r="A126" s="62" t="s">
        <v>658</v>
      </c>
      <c r="B126" s="3"/>
      <c r="C126" s="3"/>
      <c r="D126" s="3"/>
      <c r="E126" s="3">
        <v>17649</v>
      </c>
      <c r="F126" s="3">
        <v>17905</v>
      </c>
      <c r="G126" s="3">
        <v>28980</v>
      </c>
      <c r="H126" s="3">
        <v>28980</v>
      </c>
      <c r="I126" s="3"/>
      <c r="J126" s="3"/>
    </row>
    <row r="127" spans="1:10" hidden="1" x14ac:dyDescent="0.25">
      <c r="A127" s="3" t="s">
        <v>222</v>
      </c>
      <c r="B127" s="3">
        <v>4</v>
      </c>
      <c r="C127" s="3">
        <v>630</v>
      </c>
      <c r="D127" s="3">
        <f>ROUND(B127*C127,0)</f>
        <v>2520</v>
      </c>
      <c r="E127" s="3"/>
      <c r="F127" s="3"/>
      <c r="G127" s="3"/>
      <c r="H127" s="3"/>
      <c r="I127" s="3"/>
      <c r="J127" s="3"/>
    </row>
    <row r="128" spans="1:10" hidden="1" x14ac:dyDescent="0.25">
      <c r="A128" s="3" t="s">
        <v>1158</v>
      </c>
      <c r="B128" s="3">
        <v>3</v>
      </c>
      <c r="C128" s="3">
        <v>630</v>
      </c>
      <c r="D128" s="3">
        <f>ROUND(B128*C128,0)</f>
        <v>1890</v>
      </c>
      <c r="E128" s="3"/>
      <c r="F128" s="3"/>
      <c r="G128" s="3"/>
      <c r="H128" s="3"/>
      <c r="I128" s="3"/>
      <c r="J128" s="3"/>
    </row>
    <row r="129" spans="1:10" ht="15" hidden="1" x14ac:dyDescent="0.4">
      <c r="A129" s="3" t="s">
        <v>1348</v>
      </c>
      <c r="B129" s="3">
        <v>39</v>
      </c>
      <c r="C129" s="3">
        <v>630</v>
      </c>
      <c r="D129" s="31">
        <f>ROUND(B129*C129,0)</f>
        <v>24570</v>
      </c>
      <c r="E129" s="3"/>
      <c r="F129" s="3"/>
      <c r="G129" s="3"/>
      <c r="H129" s="3"/>
      <c r="I129" s="3"/>
      <c r="J129" s="3"/>
    </row>
    <row r="130" spans="1:10" hidden="1" x14ac:dyDescent="0.25">
      <c r="A130" s="3" t="s">
        <v>1182</v>
      </c>
      <c r="B130" s="3"/>
      <c r="C130" s="3"/>
      <c r="D130" s="3">
        <f>SUM(D127:D129)</f>
        <v>28980</v>
      </c>
      <c r="E130" s="3"/>
      <c r="F130" s="3"/>
      <c r="G130" s="3"/>
      <c r="H130" s="3"/>
      <c r="I130" s="3"/>
      <c r="J130" s="3"/>
    </row>
    <row r="131" spans="1:10" x14ac:dyDescent="0.25">
      <c r="A131" s="3"/>
      <c r="B131" s="3"/>
      <c r="C131" s="3"/>
      <c r="D131" s="3"/>
      <c r="E131" s="3"/>
      <c r="F131" s="3"/>
      <c r="G131" s="3"/>
      <c r="H131" s="3"/>
      <c r="I131" s="3"/>
      <c r="J131" s="3"/>
    </row>
    <row r="132" spans="1:10" ht="13.8" x14ac:dyDescent="0.3">
      <c r="A132" s="62" t="s">
        <v>1005</v>
      </c>
      <c r="B132" s="3"/>
      <c r="C132" s="3"/>
      <c r="D132" s="3"/>
      <c r="E132" s="3">
        <v>45407</v>
      </c>
      <c r="F132" s="3">
        <v>60824</v>
      </c>
      <c r="G132" s="3">
        <v>76062</v>
      </c>
      <c r="H132" s="3">
        <v>76062</v>
      </c>
      <c r="I132" s="3"/>
      <c r="J132" s="3"/>
    </row>
    <row r="133" spans="1:10" hidden="1" x14ac:dyDescent="0.25">
      <c r="A133" s="3" t="s">
        <v>844</v>
      </c>
      <c r="B133" s="3">
        <f>+D12</f>
        <v>160347</v>
      </c>
      <c r="C133" s="76">
        <v>1.6000000000000001E-3</v>
      </c>
      <c r="D133" s="3">
        <f t="shared" ref="D133:D140" si="6">ROUND(B133*C133,0)</f>
        <v>257</v>
      </c>
      <c r="E133" s="3"/>
      <c r="F133" s="3"/>
      <c r="G133" s="3"/>
      <c r="H133" s="3"/>
      <c r="I133" s="3"/>
      <c r="J133" s="3"/>
    </row>
    <row r="134" spans="1:10" hidden="1" x14ac:dyDescent="0.25">
      <c r="A134" s="3" t="s">
        <v>1406</v>
      </c>
      <c r="B134" s="3">
        <f>+D26</f>
        <v>827273</v>
      </c>
      <c r="C134" s="76">
        <v>2.1899999999999999E-2</v>
      </c>
      <c r="D134" s="3">
        <f t="shared" si="6"/>
        <v>18117</v>
      </c>
      <c r="E134" s="3"/>
      <c r="F134" s="3"/>
      <c r="G134" s="3"/>
      <c r="H134" s="3"/>
      <c r="I134" s="3"/>
      <c r="J134" s="3"/>
    </row>
    <row r="135" spans="1:10" hidden="1" x14ac:dyDescent="0.25">
      <c r="A135" s="3" t="str">
        <f>+A96</f>
        <v>8103 Prosecutor</v>
      </c>
      <c r="B135" s="3">
        <f>+B96</f>
        <v>74984</v>
      </c>
      <c r="C135" s="76">
        <v>1.6000000000000001E-3</v>
      </c>
      <c r="D135" s="3">
        <f t="shared" si="6"/>
        <v>120</v>
      </c>
      <c r="E135" s="3"/>
      <c r="F135" s="3"/>
      <c r="G135" s="3"/>
      <c r="H135" s="3"/>
      <c r="I135" s="3"/>
      <c r="J135" s="3"/>
    </row>
    <row r="136" spans="1:10" hidden="1" x14ac:dyDescent="0.25">
      <c r="A136" s="3" t="s">
        <v>757</v>
      </c>
      <c r="B136" s="3">
        <f>+D65</f>
        <v>2331941</v>
      </c>
      <c r="C136" s="76">
        <v>2.1899999999999999E-2</v>
      </c>
      <c r="D136" s="3">
        <f t="shared" si="6"/>
        <v>51070</v>
      </c>
      <c r="E136" s="3"/>
      <c r="F136" s="3"/>
      <c r="G136" s="3"/>
      <c r="H136" s="3"/>
      <c r="I136" s="3"/>
      <c r="J136" s="3"/>
    </row>
    <row r="137" spans="1:10" hidden="1" x14ac:dyDescent="0.25">
      <c r="A137" s="171" t="s">
        <v>845</v>
      </c>
      <c r="B137" s="3">
        <f>ROUND(B98,0)</f>
        <v>22376</v>
      </c>
      <c r="C137" s="76">
        <v>2.1899999999999999E-2</v>
      </c>
      <c r="D137" s="3">
        <f t="shared" si="6"/>
        <v>490</v>
      </c>
      <c r="E137" s="3"/>
      <c r="F137" s="3"/>
      <c r="G137" s="3"/>
      <c r="H137" s="3"/>
      <c r="I137" s="3"/>
      <c r="J137" s="3"/>
    </row>
    <row r="138" spans="1:10" hidden="1" x14ac:dyDescent="0.25">
      <c r="A138" s="3" t="s">
        <v>1344</v>
      </c>
      <c r="B138" s="3">
        <f>+D72</f>
        <v>24232</v>
      </c>
      <c r="C138" s="76">
        <v>1.2500000000000001E-2</v>
      </c>
      <c r="D138" s="3">
        <f t="shared" si="6"/>
        <v>303</v>
      </c>
      <c r="E138" s="3"/>
      <c r="F138" s="3"/>
      <c r="G138" s="3"/>
      <c r="H138" s="3"/>
      <c r="I138" s="3"/>
      <c r="J138" s="3"/>
    </row>
    <row r="139" spans="1:10" hidden="1" x14ac:dyDescent="0.25">
      <c r="A139" s="3" t="s">
        <v>183</v>
      </c>
      <c r="B139" s="3">
        <f>+D77</f>
        <v>31184</v>
      </c>
      <c r="C139" s="76">
        <v>2.1899999999999999E-2</v>
      </c>
      <c r="D139" s="3">
        <f t="shared" si="6"/>
        <v>683</v>
      </c>
      <c r="E139" s="3"/>
      <c r="F139" s="3"/>
      <c r="G139" s="3"/>
      <c r="H139" s="3"/>
      <c r="I139" s="3"/>
      <c r="J139" s="3"/>
    </row>
    <row r="140" spans="1:10" ht="15" hidden="1" x14ac:dyDescent="0.4">
      <c r="A140" s="171" t="s">
        <v>184</v>
      </c>
      <c r="B140" s="3">
        <f>+B100</f>
        <v>229309</v>
      </c>
      <c r="C140" s="76">
        <v>2.1899999999999999E-2</v>
      </c>
      <c r="D140" s="31">
        <f t="shared" si="6"/>
        <v>5022</v>
      </c>
      <c r="E140" s="3"/>
      <c r="F140" s="3"/>
      <c r="G140" s="3"/>
      <c r="H140" s="3"/>
      <c r="I140" s="3"/>
      <c r="J140" s="3"/>
    </row>
    <row r="141" spans="1:10" hidden="1" x14ac:dyDescent="0.25">
      <c r="A141" s="3" t="s">
        <v>1182</v>
      </c>
      <c r="B141" s="3"/>
      <c r="C141" s="3"/>
      <c r="D141" s="3">
        <f>SUM(D133:D140)</f>
        <v>76062</v>
      </c>
      <c r="E141" s="3"/>
      <c r="F141" s="3"/>
      <c r="G141" s="3"/>
      <c r="H141" s="3"/>
      <c r="I141" s="3"/>
      <c r="J141" s="3"/>
    </row>
    <row r="142" spans="1:10" x14ac:dyDescent="0.25">
      <c r="A142" s="3"/>
      <c r="B142" s="3"/>
      <c r="C142" s="3"/>
      <c r="D142" s="3"/>
      <c r="E142" s="3"/>
      <c r="F142" s="3"/>
      <c r="G142" s="3"/>
      <c r="H142" s="3"/>
      <c r="I142" s="3"/>
      <c r="J142" s="3"/>
    </row>
    <row r="143" spans="1:10" ht="13.8" x14ac:dyDescent="0.3">
      <c r="A143" s="62" t="s">
        <v>143</v>
      </c>
      <c r="B143" s="3"/>
      <c r="C143" s="3"/>
      <c r="D143" s="3"/>
      <c r="E143" s="3">
        <v>1430</v>
      </c>
      <c r="F143" s="3">
        <v>1674</v>
      </c>
      <c r="G143" s="3">
        <v>1276</v>
      </c>
      <c r="H143" s="3">
        <v>1276</v>
      </c>
      <c r="I143" s="3"/>
      <c r="J143" s="3"/>
    </row>
    <row r="144" spans="1:10" hidden="1" x14ac:dyDescent="0.25">
      <c r="A144" s="3" t="s">
        <v>811</v>
      </c>
      <c r="B144" s="3">
        <v>4</v>
      </c>
      <c r="C144" s="3">
        <v>26</v>
      </c>
      <c r="D144" s="3">
        <f>ROUND(B144*C144,0)</f>
        <v>104</v>
      </c>
      <c r="E144" s="3"/>
      <c r="F144" s="3"/>
      <c r="G144" s="3"/>
      <c r="H144" s="3"/>
      <c r="I144" s="3"/>
      <c r="J144" s="3"/>
    </row>
    <row r="145" spans="1:10" hidden="1" x14ac:dyDescent="0.25">
      <c r="A145" s="3" t="s">
        <v>1406</v>
      </c>
      <c r="B145" s="3">
        <v>9</v>
      </c>
      <c r="C145" s="3">
        <v>26</v>
      </c>
      <c r="D145" s="3">
        <f>ROUND(B145*C145,0)</f>
        <v>234</v>
      </c>
      <c r="E145" s="3"/>
      <c r="F145" s="3"/>
      <c r="G145" s="3"/>
      <c r="H145" s="3"/>
      <c r="I145" s="3"/>
      <c r="J145" s="3"/>
    </row>
    <row r="146" spans="1:10" hidden="1" x14ac:dyDescent="0.25">
      <c r="A146" s="3" t="s">
        <v>757</v>
      </c>
      <c r="B146" s="3">
        <v>33</v>
      </c>
      <c r="C146" s="3">
        <v>26</v>
      </c>
      <c r="D146" s="3">
        <f>ROUND(B146*C146,0)</f>
        <v>858</v>
      </c>
      <c r="E146" s="3"/>
      <c r="F146" s="3"/>
      <c r="G146" s="3"/>
      <c r="H146" s="3"/>
      <c r="I146" s="3"/>
      <c r="J146" s="3"/>
    </row>
    <row r="147" spans="1:10" hidden="1" x14ac:dyDescent="0.25">
      <c r="A147" s="3" t="s">
        <v>812</v>
      </c>
      <c r="B147" s="3">
        <v>1</v>
      </c>
      <c r="C147" s="3">
        <v>26</v>
      </c>
      <c r="D147" s="3">
        <f>ROUND(B147*C147,0)</f>
        <v>26</v>
      </c>
      <c r="E147" s="3"/>
      <c r="F147" s="3"/>
      <c r="G147" s="3"/>
      <c r="H147" s="3"/>
      <c r="I147" s="3"/>
      <c r="J147" s="3"/>
    </row>
    <row r="148" spans="1:10" ht="15" hidden="1" x14ac:dyDescent="0.4">
      <c r="A148" s="3" t="s">
        <v>183</v>
      </c>
      <c r="B148" s="3">
        <f>+D77</f>
        <v>31184</v>
      </c>
      <c r="C148" s="173">
        <v>1.8E-3</v>
      </c>
      <c r="D148" s="31">
        <f>ROUND(B148*C148,0)-2</f>
        <v>54</v>
      </c>
      <c r="E148" s="3"/>
      <c r="F148" s="3"/>
      <c r="G148" s="3"/>
      <c r="H148" s="3"/>
      <c r="I148" s="3"/>
      <c r="J148" s="3"/>
    </row>
    <row r="149" spans="1:10" hidden="1" x14ac:dyDescent="0.25">
      <c r="A149" s="3" t="s">
        <v>1182</v>
      </c>
      <c r="B149" s="3"/>
      <c r="C149" s="3"/>
      <c r="D149" s="3">
        <f>SUM(D144:D148)</f>
        <v>1276</v>
      </c>
      <c r="E149" s="3"/>
      <c r="F149" s="3"/>
      <c r="G149" s="3"/>
      <c r="H149" s="3"/>
      <c r="I149" s="3"/>
      <c r="J149" s="3"/>
    </row>
    <row r="150" spans="1:10" ht="13.8" x14ac:dyDescent="0.3">
      <c r="A150" s="152"/>
      <c r="B150" s="3"/>
      <c r="C150" s="3"/>
      <c r="D150" s="3"/>
      <c r="E150" s="3"/>
      <c r="F150" s="3"/>
      <c r="G150" s="3"/>
      <c r="H150" s="3"/>
      <c r="I150" s="3"/>
      <c r="J150" s="3"/>
    </row>
    <row r="151" spans="1:10" ht="13.8" x14ac:dyDescent="0.3">
      <c r="A151" s="152" t="s">
        <v>2186</v>
      </c>
      <c r="B151" s="3"/>
      <c r="C151" s="3"/>
      <c r="D151" s="3"/>
      <c r="E151" s="3"/>
      <c r="F151" s="3"/>
      <c r="G151" s="3">
        <v>85398</v>
      </c>
      <c r="H151" s="3">
        <v>0</v>
      </c>
      <c r="I151" s="3"/>
      <c r="J151" s="3"/>
    </row>
    <row r="152" spans="1:10" ht="13.8" x14ac:dyDescent="0.3">
      <c r="A152" s="152"/>
      <c r="B152" s="3"/>
      <c r="C152" s="3"/>
      <c r="D152" s="3"/>
      <c r="E152" s="3"/>
      <c r="F152" s="3"/>
      <c r="G152" s="3"/>
      <c r="H152" s="3"/>
      <c r="I152" s="3"/>
      <c r="J152" s="3"/>
    </row>
    <row r="153" spans="1:10" ht="13.8" x14ac:dyDescent="0.3">
      <c r="A153" s="152"/>
      <c r="B153" s="3"/>
      <c r="C153" s="3"/>
      <c r="D153" s="3"/>
      <c r="E153" s="3"/>
      <c r="F153" s="3"/>
      <c r="G153" s="3"/>
      <c r="H153" s="3"/>
      <c r="I153" s="3"/>
      <c r="J153" s="3"/>
    </row>
    <row r="154" spans="1:10" ht="13.8" x14ac:dyDescent="0.3">
      <c r="A154" s="152"/>
      <c r="B154" s="3"/>
      <c r="C154" s="3"/>
      <c r="D154" s="3"/>
      <c r="E154" s="3"/>
      <c r="F154" s="3"/>
      <c r="G154" s="3"/>
      <c r="H154" s="3"/>
      <c r="I154" s="3"/>
      <c r="J154" s="3"/>
    </row>
    <row r="155" spans="1:10" ht="13.8" x14ac:dyDescent="0.3">
      <c r="A155" s="62" t="s">
        <v>813</v>
      </c>
      <c r="B155" s="3"/>
      <c r="C155" s="3"/>
      <c r="D155" s="3"/>
      <c r="E155" s="3">
        <v>5755</v>
      </c>
      <c r="F155" s="3">
        <v>8599</v>
      </c>
      <c r="G155" s="3">
        <v>8599</v>
      </c>
      <c r="H155" s="3">
        <v>8599</v>
      </c>
      <c r="I155" s="3"/>
      <c r="J155" s="3"/>
    </row>
    <row r="156" spans="1:10" x14ac:dyDescent="0.25">
      <c r="A156" s="3" t="s">
        <v>814</v>
      </c>
      <c r="B156" s="3"/>
      <c r="C156" s="3"/>
      <c r="D156" s="3">
        <v>4038</v>
      </c>
      <c r="E156" s="3"/>
      <c r="F156" s="3"/>
      <c r="G156" s="3"/>
      <c r="H156" s="3"/>
      <c r="I156" s="3"/>
      <c r="J156" s="3"/>
    </row>
    <row r="157" spans="1:10" x14ac:dyDescent="0.25">
      <c r="A157" s="3" t="s">
        <v>1421</v>
      </c>
      <c r="B157" s="3"/>
      <c r="C157" s="3"/>
      <c r="D157" s="3">
        <v>2161</v>
      </c>
      <c r="E157" s="3"/>
      <c r="F157" s="3"/>
      <c r="G157" s="3"/>
      <c r="H157" s="3"/>
      <c r="I157" s="3"/>
      <c r="J157" s="3"/>
    </row>
    <row r="158" spans="1:10" ht="15" x14ac:dyDescent="0.4">
      <c r="A158" s="3" t="s">
        <v>1422</v>
      </c>
      <c r="B158" s="3"/>
      <c r="C158" s="3"/>
      <c r="D158" s="31">
        <v>2400</v>
      </c>
      <c r="E158" s="3"/>
      <c r="F158" s="3"/>
      <c r="G158" s="3"/>
      <c r="H158" s="3"/>
      <c r="I158" s="3"/>
      <c r="J158" s="3"/>
    </row>
    <row r="159" spans="1:10" x14ac:dyDescent="0.25">
      <c r="A159" s="3" t="s">
        <v>1182</v>
      </c>
      <c r="B159" s="3"/>
      <c r="C159" s="3"/>
      <c r="D159" s="3">
        <f>SUM(D156:D158)</f>
        <v>8599</v>
      </c>
      <c r="F159" s="3"/>
      <c r="G159" s="3"/>
      <c r="H159" s="3"/>
      <c r="I159" s="3"/>
      <c r="J159" s="3"/>
    </row>
    <row r="160" spans="1:10" x14ac:dyDescent="0.25">
      <c r="A160" s="3"/>
      <c r="B160" s="3"/>
      <c r="C160" s="3"/>
      <c r="D160" s="3"/>
      <c r="E160" s="3"/>
      <c r="F160" s="3"/>
      <c r="G160" s="3"/>
      <c r="H160" s="3"/>
      <c r="I160" s="3"/>
      <c r="J160" s="3"/>
    </row>
    <row r="161" spans="1:10" ht="13.8" x14ac:dyDescent="0.3">
      <c r="A161" s="62" t="s">
        <v>1423</v>
      </c>
      <c r="B161" s="3"/>
      <c r="C161" s="3"/>
      <c r="D161" s="3"/>
      <c r="E161" s="3">
        <v>14762</v>
      </c>
      <c r="F161" s="3">
        <v>14629</v>
      </c>
      <c r="G161" s="3">
        <v>19629</v>
      </c>
      <c r="H161" s="3">
        <v>19629</v>
      </c>
      <c r="I161" s="3"/>
      <c r="J161" s="3"/>
    </row>
    <row r="162" spans="1:10" x14ac:dyDescent="0.25">
      <c r="A162" s="3" t="s">
        <v>1424</v>
      </c>
      <c r="B162" s="3" t="s">
        <v>386</v>
      </c>
      <c r="C162" s="3"/>
      <c r="D162" s="3">
        <v>1600</v>
      </c>
      <c r="E162" s="3"/>
      <c r="F162" s="3"/>
      <c r="G162" s="3"/>
      <c r="H162" s="3"/>
      <c r="I162" s="3"/>
      <c r="J162" s="3"/>
    </row>
    <row r="163" spans="1:10" x14ac:dyDescent="0.25">
      <c r="A163" s="3" t="s">
        <v>856</v>
      </c>
      <c r="B163" s="3"/>
      <c r="C163" s="3"/>
      <c r="D163" s="3">
        <v>2100</v>
      </c>
      <c r="E163" s="3"/>
      <c r="F163" s="3"/>
      <c r="G163" s="3"/>
      <c r="H163" s="3"/>
      <c r="I163" s="3"/>
      <c r="J163" s="3"/>
    </row>
    <row r="164" spans="1:10" x14ac:dyDescent="0.25">
      <c r="A164" s="3" t="s">
        <v>857</v>
      </c>
      <c r="B164" s="3"/>
      <c r="C164" s="3"/>
      <c r="D164" s="3">
        <v>500</v>
      </c>
      <c r="E164" s="3"/>
      <c r="F164" s="3"/>
      <c r="G164" s="3"/>
      <c r="H164" s="3"/>
      <c r="I164" s="3"/>
      <c r="J164" s="3"/>
    </row>
    <row r="165" spans="1:10" ht="15" x14ac:dyDescent="0.4">
      <c r="A165" s="3" t="s">
        <v>185</v>
      </c>
      <c r="B165" s="3"/>
      <c r="C165" s="3"/>
      <c r="D165" s="31">
        <f>-431+10860+5000</f>
        <v>15429</v>
      </c>
      <c r="E165" s="3"/>
      <c r="F165" s="3"/>
      <c r="G165" s="3"/>
      <c r="H165" s="3"/>
      <c r="I165" s="3"/>
      <c r="J165" s="3"/>
    </row>
    <row r="166" spans="1:10" x14ac:dyDescent="0.25">
      <c r="A166" s="3" t="s">
        <v>1182</v>
      </c>
      <c r="B166" s="3"/>
      <c r="C166" s="3"/>
      <c r="D166" s="3">
        <f>SUM(D162:D165)</f>
        <v>19629</v>
      </c>
      <c r="F166" s="3"/>
      <c r="G166" s="3"/>
      <c r="H166" s="3"/>
      <c r="I166" s="3"/>
      <c r="J166" s="3"/>
    </row>
    <row r="167" spans="1:10" x14ac:dyDescent="0.25">
      <c r="A167" s="3"/>
      <c r="B167" s="3"/>
      <c r="C167" s="3"/>
      <c r="D167" s="3"/>
      <c r="E167" s="3"/>
      <c r="F167" s="3"/>
      <c r="G167" s="3"/>
      <c r="H167" s="3"/>
      <c r="I167" s="3"/>
      <c r="J167" s="3"/>
    </row>
    <row r="168" spans="1:10" ht="13.8" x14ac:dyDescent="0.3">
      <c r="A168" s="62" t="s">
        <v>482</v>
      </c>
      <c r="B168" s="3"/>
      <c r="C168" s="3"/>
      <c r="D168" s="3"/>
      <c r="E168" s="3">
        <v>48626</v>
      </c>
      <c r="F168" s="3">
        <v>42650</v>
      </c>
      <c r="G168" s="3">
        <v>42650</v>
      </c>
      <c r="H168" s="3">
        <v>42750</v>
      </c>
      <c r="I168" s="3"/>
      <c r="J168" s="3"/>
    </row>
    <row r="169" spans="1:10" x14ac:dyDescent="0.25">
      <c r="A169" s="3" t="s">
        <v>483</v>
      </c>
      <c r="B169" s="3">
        <v>1</v>
      </c>
      <c r="C169" s="3">
        <v>900</v>
      </c>
      <c r="D169" s="3">
        <f>ROUND(B169*C169,0)</f>
        <v>900</v>
      </c>
      <c r="E169" s="3"/>
      <c r="F169" s="3"/>
      <c r="G169" s="3"/>
      <c r="H169" s="3"/>
      <c r="I169" s="3"/>
      <c r="J169" s="3"/>
    </row>
    <row r="170" spans="1:10" x14ac:dyDescent="0.25">
      <c r="A170" s="3" t="s">
        <v>1336</v>
      </c>
      <c r="B170" s="3" t="s">
        <v>386</v>
      </c>
      <c r="C170" s="3" t="s">
        <v>386</v>
      </c>
      <c r="D170" s="3" t="s">
        <v>386</v>
      </c>
      <c r="E170" s="3"/>
      <c r="F170" s="3"/>
      <c r="G170" s="3"/>
      <c r="H170" s="3"/>
      <c r="I170" s="3"/>
      <c r="J170" s="3"/>
    </row>
    <row r="171" spans="1:10" x14ac:dyDescent="0.25">
      <c r="A171" s="3" t="s">
        <v>1159</v>
      </c>
      <c r="B171" s="3">
        <v>10</v>
      </c>
      <c r="C171" s="3">
        <v>600</v>
      </c>
      <c r="D171" s="3">
        <f t="shared" ref="D171:D182" si="7">ROUND(B171*C171,0)</f>
        <v>6000</v>
      </c>
      <c r="E171" s="3"/>
      <c r="F171" s="3"/>
      <c r="G171" s="3"/>
      <c r="H171" s="3"/>
      <c r="I171" s="3"/>
      <c r="J171" s="3"/>
    </row>
    <row r="172" spans="1:10" x14ac:dyDescent="0.25">
      <c r="A172" s="3" t="s">
        <v>1160</v>
      </c>
      <c r="B172" s="3">
        <v>10</v>
      </c>
      <c r="C172" s="3">
        <v>700</v>
      </c>
      <c r="D172" s="3">
        <f t="shared" si="7"/>
        <v>7000</v>
      </c>
      <c r="E172" s="3"/>
      <c r="F172" s="3"/>
      <c r="G172" s="3"/>
      <c r="H172" s="3"/>
      <c r="I172" s="3"/>
      <c r="J172" s="3"/>
    </row>
    <row r="173" spans="1:10" x14ac:dyDescent="0.25">
      <c r="A173" s="3" t="s">
        <v>1161</v>
      </c>
      <c r="B173" s="3">
        <v>6</v>
      </c>
      <c r="C173" s="3">
        <v>800</v>
      </c>
      <c r="D173" s="3">
        <f t="shared" si="7"/>
        <v>4800</v>
      </c>
      <c r="E173" s="3"/>
      <c r="F173" s="3"/>
      <c r="G173" s="3"/>
      <c r="H173" s="3"/>
      <c r="I173" s="3"/>
      <c r="J173" s="3"/>
    </row>
    <row r="174" spans="1:10" x14ac:dyDescent="0.25">
      <c r="A174" s="3" t="s">
        <v>1162</v>
      </c>
      <c r="B174" s="3">
        <v>1</v>
      </c>
      <c r="C174" s="3">
        <v>100</v>
      </c>
      <c r="D174" s="3">
        <f t="shared" si="7"/>
        <v>100</v>
      </c>
      <c r="E174" s="3"/>
      <c r="F174" s="3"/>
      <c r="G174" s="3"/>
      <c r="H174" s="3"/>
      <c r="I174" s="3"/>
      <c r="J174" s="3"/>
    </row>
    <row r="175" spans="1:10" x14ac:dyDescent="0.25">
      <c r="A175" s="3" t="s">
        <v>484</v>
      </c>
      <c r="B175" s="3">
        <v>7</v>
      </c>
      <c r="C175" s="3">
        <v>900</v>
      </c>
      <c r="D175" s="3">
        <f t="shared" si="7"/>
        <v>6300</v>
      </c>
      <c r="E175" s="3"/>
      <c r="F175" s="3"/>
      <c r="G175" s="3"/>
      <c r="H175" s="3"/>
      <c r="I175" s="3"/>
      <c r="J175" s="3"/>
    </row>
    <row r="176" spans="1:10" x14ac:dyDescent="0.25">
      <c r="A176" s="3" t="s">
        <v>1374</v>
      </c>
      <c r="B176" s="3">
        <v>14</v>
      </c>
      <c r="C176" s="3">
        <v>400</v>
      </c>
      <c r="D176" s="3">
        <f t="shared" si="7"/>
        <v>5600</v>
      </c>
      <c r="E176" s="3"/>
      <c r="F176" s="3"/>
      <c r="G176" s="3"/>
      <c r="H176" s="3"/>
      <c r="I176" s="3"/>
      <c r="J176" s="3"/>
    </row>
    <row r="177" spans="1:10" x14ac:dyDescent="0.25">
      <c r="A177" s="3" t="s">
        <v>1973</v>
      </c>
      <c r="B177" s="3">
        <v>1</v>
      </c>
      <c r="C177" s="3">
        <v>350</v>
      </c>
      <c r="D177" s="3">
        <f t="shared" si="7"/>
        <v>350</v>
      </c>
      <c r="E177" s="3"/>
      <c r="F177" s="3"/>
      <c r="G177" s="3"/>
      <c r="H177" s="3"/>
      <c r="I177" s="3"/>
      <c r="J177" s="3"/>
    </row>
    <row r="178" spans="1:10" x14ac:dyDescent="0.25">
      <c r="A178" s="3" t="s">
        <v>1341</v>
      </c>
      <c r="B178" s="3">
        <v>3</v>
      </c>
      <c r="C178" s="3">
        <v>200</v>
      </c>
      <c r="D178" s="3">
        <f t="shared" si="7"/>
        <v>600</v>
      </c>
      <c r="E178" s="3"/>
      <c r="F178" s="3"/>
      <c r="G178" s="3"/>
      <c r="H178" s="3"/>
      <c r="I178" s="3"/>
      <c r="J178" s="3"/>
    </row>
    <row r="179" spans="1:10" x14ac:dyDescent="0.25">
      <c r="A179" s="3" t="s">
        <v>30</v>
      </c>
      <c r="B179" s="3">
        <v>0</v>
      </c>
      <c r="C179" s="3">
        <v>200</v>
      </c>
      <c r="D179" s="3">
        <f t="shared" si="7"/>
        <v>0</v>
      </c>
      <c r="E179" s="3"/>
      <c r="F179" s="3"/>
      <c r="G179" s="3"/>
      <c r="H179" s="3"/>
      <c r="I179" s="3"/>
      <c r="J179" s="3"/>
    </row>
    <row r="180" spans="1:10" x14ac:dyDescent="0.25">
      <c r="A180" s="3" t="s">
        <v>763</v>
      </c>
      <c r="B180" s="3">
        <v>39</v>
      </c>
      <c r="C180" s="3">
        <v>200</v>
      </c>
      <c r="D180" s="3">
        <f t="shared" si="7"/>
        <v>7800</v>
      </c>
      <c r="E180" s="3"/>
      <c r="F180" s="3"/>
      <c r="G180" s="3"/>
      <c r="H180" s="3"/>
      <c r="I180" s="3"/>
      <c r="J180" s="3"/>
    </row>
    <row r="181" spans="1:10" x14ac:dyDescent="0.25">
      <c r="A181" s="3" t="s">
        <v>1983</v>
      </c>
      <c r="B181" s="3">
        <v>33</v>
      </c>
      <c r="C181" s="3">
        <v>100</v>
      </c>
      <c r="D181" s="3">
        <f t="shared" si="7"/>
        <v>3300</v>
      </c>
      <c r="E181" s="3"/>
      <c r="F181" s="3"/>
      <c r="G181" s="3"/>
      <c r="H181" s="3"/>
      <c r="I181" s="3"/>
      <c r="J181" s="3"/>
    </row>
    <row r="182" spans="1:10" ht="15" x14ac:dyDescent="0.4">
      <c r="A182" s="3" t="s">
        <v>764</v>
      </c>
      <c r="B182" s="3">
        <v>0</v>
      </c>
      <c r="C182" s="3">
        <v>0</v>
      </c>
      <c r="D182" s="31">
        <f t="shared" si="7"/>
        <v>0</v>
      </c>
      <c r="E182" s="3"/>
      <c r="F182" s="3"/>
      <c r="G182" s="3"/>
      <c r="H182" s="3"/>
      <c r="I182" s="3"/>
      <c r="J182" s="3"/>
    </row>
    <row r="183" spans="1:10" x14ac:dyDescent="0.25">
      <c r="A183" s="3" t="s">
        <v>1182</v>
      </c>
      <c r="B183" s="3"/>
      <c r="C183" s="3"/>
      <c r="D183" s="3">
        <f>SUM(D169:D182)</f>
        <v>42750</v>
      </c>
      <c r="F183" s="3"/>
      <c r="G183" s="3"/>
      <c r="H183" s="3"/>
      <c r="I183" s="3"/>
      <c r="J183" s="3"/>
    </row>
    <row r="184" spans="1:10" x14ac:dyDescent="0.25">
      <c r="C184" s="3"/>
      <c r="D184" s="3"/>
      <c r="E184" s="3"/>
      <c r="F184" s="3"/>
      <c r="G184" s="3"/>
      <c r="H184" s="3"/>
      <c r="I184" s="3"/>
      <c r="J184" s="3"/>
    </row>
    <row r="185" spans="1:10" ht="13.8" x14ac:dyDescent="0.3">
      <c r="A185" s="62" t="s">
        <v>765</v>
      </c>
      <c r="C185" s="3"/>
      <c r="D185" s="3"/>
      <c r="E185" s="3">
        <v>1838</v>
      </c>
      <c r="F185" s="3">
        <v>2019</v>
      </c>
      <c r="G185" s="3">
        <v>2019</v>
      </c>
      <c r="H185" s="3">
        <v>2019</v>
      </c>
      <c r="I185" s="3"/>
      <c r="J185" s="3"/>
    </row>
    <row r="186" spans="1:10" x14ac:dyDescent="0.25">
      <c r="A186" s="61" t="s">
        <v>766</v>
      </c>
      <c r="C186" s="3"/>
      <c r="D186" s="3">
        <v>2019</v>
      </c>
      <c r="F186" s="3"/>
      <c r="G186" s="3"/>
      <c r="H186" s="3"/>
      <c r="I186" s="3"/>
      <c r="J186" s="3"/>
    </row>
    <row r="187" spans="1:10" x14ac:dyDescent="0.25">
      <c r="C187" s="3"/>
      <c r="D187" s="3"/>
      <c r="E187" s="3"/>
      <c r="F187" s="3"/>
      <c r="G187" s="3"/>
      <c r="H187" s="3"/>
      <c r="I187" s="3"/>
      <c r="J187" s="3"/>
    </row>
    <row r="188" spans="1:10" ht="13.8" x14ac:dyDescent="0.3">
      <c r="A188" s="62" t="s">
        <v>676</v>
      </c>
      <c r="C188" s="3"/>
      <c r="D188" s="3"/>
      <c r="E188" s="3">
        <v>2311</v>
      </c>
      <c r="F188" s="3">
        <v>2350</v>
      </c>
      <c r="G188" s="3">
        <v>2450</v>
      </c>
      <c r="H188" s="3">
        <v>2450</v>
      </c>
      <c r="I188" s="3"/>
      <c r="J188" s="3"/>
    </row>
    <row r="189" spans="1:10" x14ac:dyDescent="0.25">
      <c r="A189" s="61" t="s">
        <v>312</v>
      </c>
      <c r="B189" s="3" t="s">
        <v>386</v>
      </c>
      <c r="C189" s="3"/>
      <c r="D189" s="3">
        <v>2450</v>
      </c>
      <c r="F189" s="3"/>
      <c r="G189" s="3"/>
      <c r="H189" s="3"/>
      <c r="I189" s="3"/>
      <c r="J189" s="3"/>
    </row>
    <row r="190" spans="1:10" x14ac:dyDescent="0.25">
      <c r="C190" s="3"/>
      <c r="D190" s="3"/>
      <c r="E190" s="3"/>
      <c r="F190" s="3"/>
      <c r="G190" s="3"/>
      <c r="H190" s="3"/>
      <c r="I190" s="3"/>
      <c r="J190" s="3"/>
    </row>
    <row r="191" spans="1:10" ht="13.8" x14ac:dyDescent="0.3">
      <c r="A191" s="62" t="s">
        <v>1429</v>
      </c>
      <c r="C191" s="3"/>
      <c r="D191" s="3"/>
      <c r="E191" s="3">
        <v>22153</v>
      </c>
      <c r="F191" s="3">
        <v>24000</v>
      </c>
      <c r="G191" s="3">
        <v>23635</v>
      </c>
      <c r="H191" s="3">
        <v>23635</v>
      </c>
      <c r="I191" s="3"/>
      <c r="J191" s="3"/>
    </row>
    <row r="192" spans="1:10" x14ac:dyDescent="0.25">
      <c r="A192" s="61" t="s">
        <v>1922</v>
      </c>
      <c r="C192" s="3"/>
      <c r="D192" s="3">
        <v>1460</v>
      </c>
      <c r="E192" s="3"/>
      <c r="F192" s="3"/>
      <c r="G192" s="3"/>
      <c r="H192" s="3"/>
      <c r="I192" s="3"/>
      <c r="J192" s="3"/>
    </row>
    <row r="193" spans="1:10" ht="15" x14ac:dyDescent="0.4">
      <c r="A193" s="61" t="s">
        <v>820</v>
      </c>
      <c r="C193" s="3"/>
      <c r="D193" s="31">
        <v>22175</v>
      </c>
      <c r="E193" s="3"/>
      <c r="F193" s="3"/>
      <c r="G193" s="3"/>
      <c r="H193" s="3"/>
      <c r="I193" s="3"/>
      <c r="J193" s="3"/>
    </row>
    <row r="194" spans="1:10" x14ac:dyDescent="0.25">
      <c r="A194" s="61" t="s">
        <v>1182</v>
      </c>
      <c r="C194" s="3"/>
      <c r="D194" s="3">
        <f>SUM(D192:D193)</f>
        <v>23635</v>
      </c>
      <c r="E194" s="3"/>
      <c r="F194" s="3"/>
      <c r="G194" s="3"/>
      <c r="H194" s="3"/>
      <c r="I194" s="3"/>
      <c r="J194" s="3"/>
    </row>
    <row r="195" spans="1:10" x14ac:dyDescent="0.25">
      <c r="C195" s="3"/>
      <c r="D195" s="3"/>
      <c r="E195" s="3"/>
      <c r="F195" s="3"/>
      <c r="G195" s="3"/>
      <c r="H195" s="3"/>
      <c r="I195" s="3"/>
      <c r="J195" s="3"/>
    </row>
    <row r="196" spans="1:10" ht="13.8" x14ac:dyDescent="0.3">
      <c r="A196" s="62" t="s">
        <v>373</v>
      </c>
      <c r="C196" s="3"/>
      <c r="D196" s="3"/>
      <c r="E196" s="3">
        <v>3862</v>
      </c>
      <c r="F196" s="3">
        <v>4800</v>
      </c>
      <c r="G196" s="3">
        <v>3950</v>
      </c>
      <c r="H196" s="3">
        <v>3950</v>
      </c>
      <c r="I196" s="3"/>
      <c r="J196" s="3"/>
    </row>
    <row r="197" spans="1:10" x14ac:dyDescent="0.25">
      <c r="A197" s="61" t="s">
        <v>820</v>
      </c>
      <c r="C197" s="3"/>
      <c r="D197" s="3">
        <v>3950</v>
      </c>
      <c r="F197" s="3"/>
      <c r="G197" s="3"/>
      <c r="H197" s="3"/>
      <c r="I197" s="3"/>
      <c r="J197" s="3"/>
    </row>
    <row r="198" spans="1:10" x14ac:dyDescent="0.25">
      <c r="D198" s="3"/>
      <c r="E198" s="3"/>
      <c r="F198" s="3"/>
      <c r="G198" s="3"/>
      <c r="H198" s="3"/>
      <c r="I198" s="3"/>
      <c r="J198" s="3"/>
    </row>
    <row r="199" spans="1:10" ht="13.8" x14ac:dyDescent="0.3">
      <c r="A199" s="62" t="s">
        <v>1430</v>
      </c>
      <c r="D199" s="3"/>
      <c r="E199" s="3">
        <v>1092</v>
      </c>
      <c r="F199" s="3">
        <v>1280</v>
      </c>
      <c r="G199" s="3">
        <v>1200</v>
      </c>
      <c r="H199" s="3">
        <v>1200</v>
      </c>
      <c r="I199" s="3"/>
      <c r="J199" s="3"/>
    </row>
    <row r="200" spans="1:10" x14ac:dyDescent="0.25">
      <c r="A200" s="61" t="s">
        <v>820</v>
      </c>
      <c r="C200" s="3"/>
      <c r="D200" s="3">
        <v>1200</v>
      </c>
      <c r="F200" s="3"/>
      <c r="G200" s="3"/>
      <c r="H200" s="3"/>
      <c r="I200" s="3"/>
      <c r="J200" s="3"/>
    </row>
    <row r="201" spans="1:10" x14ac:dyDescent="0.25">
      <c r="C201" s="3"/>
      <c r="D201" s="3"/>
      <c r="E201" s="3"/>
      <c r="F201" s="3"/>
      <c r="G201" s="3"/>
      <c r="H201" s="3"/>
      <c r="I201" s="3"/>
      <c r="J201" s="3"/>
    </row>
    <row r="202" spans="1:10" ht="13.8" x14ac:dyDescent="0.3">
      <c r="A202" s="62" t="s">
        <v>1431</v>
      </c>
      <c r="C202" s="3"/>
      <c r="D202" s="3"/>
      <c r="E202" s="3">
        <v>170</v>
      </c>
      <c r="F202" s="3">
        <v>242</v>
      </c>
      <c r="G202" s="3">
        <v>242</v>
      </c>
      <c r="H202" s="3">
        <v>242</v>
      </c>
      <c r="I202" s="3"/>
      <c r="J202" s="3"/>
    </row>
    <row r="203" spans="1:10" x14ac:dyDescent="0.25">
      <c r="A203" s="61" t="s">
        <v>820</v>
      </c>
      <c r="C203" s="3"/>
      <c r="D203" s="3">
        <v>242</v>
      </c>
      <c r="F203" s="3"/>
      <c r="G203" s="3"/>
      <c r="H203" s="3"/>
      <c r="I203" s="3"/>
      <c r="J203" s="3"/>
    </row>
    <row r="204" spans="1:10" x14ac:dyDescent="0.25">
      <c r="C204" s="3"/>
      <c r="D204" s="3"/>
      <c r="E204" s="3"/>
      <c r="F204" s="3"/>
      <c r="G204" s="3"/>
      <c r="H204" s="3"/>
      <c r="I204" s="3"/>
      <c r="J204" s="3"/>
    </row>
    <row r="205" spans="1:10" x14ac:dyDescent="0.25">
      <c r="C205" s="3"/>
      <c r="D205" s="3"/>
      <c r="E205" s="3"/>
      <c r="F205" s="3"/>
      <c r="G205" s="3"/>
      <c r="H205" s="3"/>
      <c r="I205" s="3"/>
      <c r="J205" s="3"/>
    </row>
    <row r="206" spans="1:10" ht="13.8" x14ac:dyDescent="0.3">
      <c r="A206" s="62" t="s">
        <v>929</v>
      </c>
      <c r="C206" s="3"/>
      <c r="D206" s="3"/>
      <c r="E206" s="3">
        <v>49139</v>
      </c>
      <c r="F206" s="3">
        <v>62894</v>
      </c>
      <c r="G206" s="3">
        <v>62644</v>
      </c>
      <c r="H206" s="3">
        <v>62644</v>
      </c>
      <c r="I206" s="3"/>
      <c r="J206" s="3"/>
    </row>
    <row r="207" spans="1:10" x14ac:dyDescent="0.25">
      <c r="A207" s="61" t="s">
        <v>1219</v>
      </c>
      <c r="B207" s="3">
        <v>24900</v>
      </c>
      <c r="C207" s="64">
        <v>2.5</v>
      </c>
      <c r="D207" s="3">
        <f>ROUND(B207*C207,0)+394</f>
        <v>62644</v>
      </c>
      <c r="F207" s="3"/>
      <c r="G207" s="3"/>
      <c r="H207" s="3"/>
      <c r="I207" s="3"/>
      <c r="J207" s="3"/>
    </row>
    <row r="208" spans="1:10" x14ac:dyDescent="0.25">
      <c r="B208" s="3"/>
      <c r="C208" s="3"/>
      <c r="D208" s="3"/>
      <c r="E208" s="3"/>
      <c r="F208" s="3"/>
      <c r="G208" s="3"/>
      <c r="H208" s="3"/>
      <c r="I208" s="3"/>
      <c r="J208" s="3"/>
    </row>
    <row r="209" spans="1:10" ht="13.8" x14ac:dyDescent="0.3">
      <c r="A209" s="62" t="s">
        <v>930</v>
      </c>
      <c r="C209" s="73" t="s">
        <v>386</v>
      </c>
      <c r="D209" s="73" t="s">
        <v>386</v>
      </c>
      <c r="E209" s="3">
        <v>5713</v>
      </c>
      <c r="F209" s="3">
        <v>4760</v>
      </c>
      <c r="G209" s="3">
        <v>4760</v>
      </c>
      <c r="H209" s="3">
        <v>4760</v>
      </c>
      <c r="I209" s="3"/>
      <c r="J209" s="3"/>
    </row>
    <row r="210" spans="1:10" x14ac:dyDescent="0.25">
      <c r="A210" s="61" t="s">
        <v>340</v>
      </c>
      <c r="B210" s="3" t="s">
        <v>386</v>
      </c>
      <c r="C210" s="3"/>
      <c r="D210" s="3">
        <v>200</v>
      </c>
      <c r="E210" s="3"/>
      <c r="F210" s="3"/>
      <c r="G210" s="3"/>
      <c r="H210" s="3"/>
      <c r="I210" s="3"/>
      <c r="J210" s="3"/>
    </row>
    <row r="211" spans="1:10" x14ac:dyDescent="0.25">
      <c r="A211" s="61" t="s">
        <v>467</v>
      </c>
      <c r="C211" s="3"/>
      <c r="D211" s="3">
        <v>250</v>
      </c>
      <c r="E211" s="3"/>
      <c r="F211" s="3"/>
      <c r="G211" s="3"/>
      <c r="H211" s="3"/>
      <c r="I211" s="3"/>
      <c r="J211" s="3"/>
    </row>
    <row r="212" spans="1:10" x14ac:dyDescent="0.25">
      <c r="A212" s="61" t="s">
        <v>749</v>
      </c>
      <c r="C212" s="3"/>
      <c r="D212" s="3">
        <v>100</v>
      </c>
      <c r="E212" s="3"/>
      <c r="F212" s="3"/>
      <c r="G212" s="3"/>
      <c r="H212" s="3"/>
      <c r="I212" s="3"/>
      <c r="J212" s="3"/>
    </row>
    <row r="213" spans="1:10" x14ac:dyDescent="0.25">
      <c r="A213" s="61" t="s">
        <v>31</v>
      </c>
      <c r="C213" s="3"/>
      <c r="D213" s="3">
        <v>3000</v>
      </c>
      <c r="E213" s="3"/>
      <c r="F213" s="3"/>
      <c r="G213" s="3"/>
      <c r="H213" s="3"/>
      <c r="I213" s="3"/>
      <c r="J213" s="3"/>
    </row>
    <row r="214" spans="1:10" x14ac:dyDescent="0.25">
      <c r="A214" s="61" t="s">
        <v>1534</v>
      </c>
      <c r="C214" s="3"/>
      <c r="D214" s="3">
        <v>450</v>
      </c>
      <c r="E214" s="3"/>
      <c r="F214" s="3"/>
      <c r="G214" s="3"/>
      <c r="H214" s="3"/>
      <c r="I214" s="3"/>
      <c r="J214" s="3"/>
    </row>
    <row r="215" spans="1:10" ht="15" x14ac:dyDescent="0.4">
      <c r="A215" s="61" t="s">
        <v>1447</v>
      </c>
      <c r="C215" s="31"/>
      <c r="D215" s="3">
        <v>160</v>
      </c>
      <c r="E215" s="3"/>
      <c r="F215" s="3"/>
      <c r="G215" s="3"/>
      <c r="H215" s="3"/>
      <c r="I215" s="3"/>
      <c r="J215" s="3"/>
    </row>
    <row r="216" spans="1:10" ht="28.2" x14ac:dyDescent="0.4">
      <c r="A216" s="200" t="s">
        <v>2182</v>
      </c>
      <c r="C216" s="31"/>
      <c r="D216" s="31">
        <v>600</v>
      </c>
      <c r="E216" s="3"/>
      <c r="F216" s="3"/>
      <c r="G216" s="3"/>
      <c r="H216" s="3"/>
      <c r="I216" s="3"/>
      <c r="J216" s="3"/>
    </row>
    <row r="217" spans="1:10" x14ac:dyDescent="0.25">
      <c r="A217" s="61" t="s">
        <v>1182</v>
      </c>
      <c r="C217" s="3"/>
      <c r="D217" s="3">
        <f>SUM(D210:D216)</f>
        <v>4760</v>
      </c>
      <c r="F217" s="3"/>
      <c r="G217" s="3"/>
      <c r="H217" s="3"/>
      <c r="I217" s="3"/>
      <c r="J217" s="3"/>
    </row>
    <row r="218" spans="1:10" x14ac:dyDescent="0.25">
      <c r="C218" s="3"/>
      <c r="D218" s="3"/>
      <c r="F218" s="3"/>
      <c r="G218" s="3"/>
      <c r="H218" s="3"/>
      <c r="I218" s="3"/>
      <c r="J218" s="3"/>
    </row>
    <row r="219" spans="1:10" x14ac:dyDescent="0.25">
      <c r="C219" s="3"/>
      <c r="D219" s="3"/>
      <c r="F219" s="3"/>
      <c r="G219" s="3"/>
      <c r="H219" s="3"/>
      <c r="I219" s="3"/>
      <c r="J219" s="3"/>
    </row>
    <row r="220" spans="1:10" ht="13.8" x14ac:dyDescent="0.3">
      <c r="A220" s="151" t="s">
        <v>791</v>
      </c>
      <c r="C220" s="73"/>
      <c r="D220" s="73" t="s">
        <v>386</v>
      </c>
      <c r="E220" s="3">
        <v>52654</v>
      </c>
      <c r="F220" s="3">
        <v>56269</v>
      </c>
      <c r="G220" s="3">
        <v>57920</v>
      </c>
      <c r="H220" s="3">
        <v>57920</v>
      </c>
      <c r="I220" s="3"/>
      <c r="J220" s="3"/>
    </row>
    <row r="221" spans="1:10" x14ac:dyDescent="0.25">
      <c r="A221" s="61" t="s">
        <v>999</v>
      </c>
      <c r="C221" s="3"/>
      <c r="D221" s="3">
        <v>57920</v>
      </c>
      <c r="F221" s="3"/>
      <c r="G221" s="3"/>
      <c r="H221" s="3"/>
      <c r="I221" s="3"/>
      <c r="J221" s="3"/>
    </row>
    <row r="222" spans="1:10" x14ac:dyDescent="0.25">
      <c r="C222" s="3"/>
      <c r="D222" s="3"/>
      <c r="E222" s="3"/>
      <c r="F222" s="3"/>
      <c r="G222" s="3"/>
      <c r="H222" s="3"/>
      <c r="I222" s="3"/>
      <c r="J222" s="3"/>
    </row>
    <row r="223" spans="1:10" ht="13.8" x14ac:dyDescent="0.3">
      <c r="A223" s="62" t="s">
        <v>792</v>
      </c>
      <c r="C223" s="73"/>
      <c r="D223" s="73" t="s">
        <v>386</v>
      </c>
      <c r="E223" s="3">
        <v>2788</v>
      </c>
      <c r="F223" s="3">
        <v>5350</v>
      </c>
      <c r="G223" s="3">
        <v>5350</v>
      </c>
      <c r="H223" s="3">
        <v>5350</v>
      </c>
      <c r="I223" s="3"/>
      <c r="J223" s="3"/>
    </row>
    <row r="224" spans="1:10" x14ac:dyDescent="0.25">
      <c r="A224" s="61" t="s">
        <v>793</v>
      </c>
      <c r="C224" s="3"/>
      <c r="D224" s="3">
        <v>5000</v>
      </c>
      <c r="E224" s="3"/>
      <c r="F224" s="3"/>
      <c r="G224" s="3"/>
      <c r="H224" s="3"/>
      <c r="I224" s="3"/>
      <c r="J224" s="3"/>
    </row>
    <row r="225" spans="1:10" ht="15" x14ac:dyDescent="0.4">
      <c r="A225" s="61" t="s">
        <v>528</v>
      </c>
      <c r="C225" s="31"/>
      <c r="D225" s="31">
        <v>350</v>
      </c>
      <c r="E225" s="3"/>
      <c r="F225" s="3"/>
      <c r="G225" s="3"/>
      <c r="H225" s="3"/>
      <c r="I225" s="3"/>
      <c r="J225" s="3"/>
    </row>
    <row r="226" spans="1:10" x14ac:dyDescent="0.25">
      <c r="A226" s="61" t="s">
        <v>1182</v>
      </c>
      <c r="C226" s="3"/>
      <c r="D226" s="3">
        <f>SUM(D224:D225)</f>
        <v>5350</v>
      </c>
      <c r="F226" s="3"/>
      <c r="G226" s="3"/>
      <c r="H226" s="3"/>
      <c r="I226" s="3"/>
      <c r="J226" s="3"/>
    </row>
    <row r="227" spans="1:10" x14ac:dyDescent="0.25">
      <c r="C227" s="3"/>
      <c r="D227" s="3"/>
      <c r="E227" s="3"/>
      <c r="F227" s="3"/>
      <c r="G227" s="3"/>
      <c r="H227" s="3"/>
      <c r="I227" s="3"/>
      <c r="J227" s="3"/>
    </row>
    <row r="228" spans="1:10" ht="13.8" x14ac:dyDescent="0.3">
      <c r="A228" s="62" t="s">
        <v>623</v>
      </c>
      <c r="C228" s="3"/>
      <c r="D228" s="3"/>
      <c r="E228" s="3">
        <v>5647</v>
      </c>
      <c r="F228" s="3">
        <v>15000</v>
      </c>
      <c r="G228" s="3">
        <v>15000</v>
      </c>
      <c r="H228" s="3">
        <v>15000</v>
      </c>
      <c r="I228" s="3"/>
      <c r="J228" s="3"/>
    </row>
    <row r="229" spans="1:10" x14ac:dyDescent="0.25">
      <c r="A229" s="41" t="s">
        <v>1535</v>
      </c>
      <c r="C229" s="3"/>
      <c r="D229" s="3">
        <v>15000</v>
      </c>
      <c r="E229" s="3"/>
      <c r="F229" s="3"/>
      <c r="G229" s="3"/>
      <c r="H229" s="3"/>
      <c r="I229" s="3"/>
      <c r="J229" s="3"/>
    </row>
    <row r="230" spans="1:10" x14ac:dyDescent="0.25">
      <c r="C230" s="3"/>
      <c r="D230" s="3"/>
      <c r="E230" s="3"/>
      <c r="F230" s="3"/>
      <c r="G230" s="3"/>
      <c r="H230" s="3"/>
      <c r="I230" s="3"/>
      <c r="J230" s="3"/>
    </row>
    <row r="231" spans="1:10" ht="13.8" x14ac:dyDescent="0.3">
      <c r="A231" s="62" t="s">
        <v>529</v>
      </c>
      <c r="C231" s="3"/>
      <c r="D231" s="3"/>
      <c r="E231" s="3">
        <v>28725</v>
      </c>
      <c r="F231" s="3">
        <v>22500</v>
      </c>
      <c r="G231" s="3">
        <v>50200</v>
      </c>
      <c r="H231" s="3">
        <v>50200</v>
      </c>
      <c r="I231" s="3"/>
      <c r="J231" s="3"/>
    </row>
    <row r="232" spans="1:10" x14ac:dyDescent="0.25">
      <c r="A232" s="61" t="s">
        <v>530</v>
      </c>
      <c r="C232" s="3"/>
      <c r="D232" s="3">
        <v>25200</v>
      </c>
      <c r="E232" s="3"/>
      <c r="F232" s="3"/>
      <c r="G232" s="3"/>
      <c r="H232" s="3"/>
      <c r="I232" s="3"/>
      <c r="J232" s="3"/>
    </row>
    <row r="233" spans="1:10" ht="15" x14ac:dyDescent="0.4">
      <c r="A233" s="61" t="s">
        <v>2157</v>
      </c>
      <c r="C233" s="3"/>
      <c r="D233" s="31">
        <v>25000</v>
      </c>
      <c r="E233" s="3"/>
      <c r="F233" s="3"/>
      <c r="G233" s="3"/>
      <c r="H233" s="3"/>
      <c r="I233" s="3"/>
      <c r="J233" s="3"/>
    </row>
    <row r="234" spans="1:10" x14ac:dyDescent="0.25">
      <c r="C234" s="3"/>
      <c r="D234" s="3">
        <f>SUM(D232:D233)</f>
        <v>50200</v>
      </c>
      <c r="E234" s="3"/>
      <c r="F234" s="3"/>
      <c r="G234" s="3"/>
      <c r="H234" s="3"/>
      <c r="I234" s="3"/>
      <c r="J234" s="3"/>
    </row>
    <row r="235" spans="1:10" x14ac:dyDescent="0.25">
      <c r="C235" s="3"/>
      <c r="D235" s="3"/>
      <c r="E235" s="3"/>
      <c r="F235" s="3"/>
      <c r="G235" s="3"/>
      <c r="H235" s="3"/>
      <c r="I235" s="3"/>
      <c r="J235" s="3"/>
    </row>
    <row r="236" spans="1:10" ht="13.8" x14ac:dyDescent="0.3">
      <c r="A236" s="62" t="s">
        <v>758</v>
      </c>
      <c r="C236" s="3"/>
      <c r="D236" s="3"/>
      <c r="E236" s="3">
        <v>26462</v>
      </c>
      <c r="F236" s="3">
        <v>5337</v>
      </c>
      <c r="G236" s="3">
        <v>4418</v>
      </c>
      <c r="H236" s="3">
        <v>18018</v>
      </c>
      <c r="I236" s="3"/>
      <c r="J236" s="3"/>
    </row>
    <row r="237" spans="1:10" x14ac:dyDescent="0.25">
      <c r="A237" s="61" t="s">
        <v>759</v>
      </c>
      <c r="C237" s="3"/>
      <c r="D237" s="3">
        <v>2513</v>
      </c>
      <c r="E237" s="3"/>
      <c r="F237" s="3"/>
      <c r="G237" s="3"/>
      <c r="H237" s="3"/>
      <c r="I237" s="3"/>
      <c r="J237" s="3"/>
    </row>
    <row r="238" spans="1:10" x14ac:dyDescent="0.25">
      <c r="A238" s="61" t="s">
        <v>760</v>
      </c>
      <c r="C238" s="3"/>
      <c r="D238" s="3">
        <v>410</v>
      </c>
      <c r="E238" s="3"/>
      <c r="F238" s="3"/>
      <c r="G238" s="3"/>
      <c r="H238" s="3"/>
      <c r="I238" s="3"/>
      <c r="J238" s="3"/>
    </row>
    <row r="239" spans="1:10" x14ac:dyDescent="0.25">
      <c r="A239" s="61" t="s">
        <v>1207</v>
      </c>
      <c r="C239" s="3"/>
      <c r="D239" s="3">
        <f>1800-821+13600</f>
        <v>14579</v>
      </c>
      <c r="E239" s="3"/>
      <c r="F239" s="3"/>
      <c r="G239" s="3"/>
      <c r="H239" s="3"/>
      <c r="I239" s="3"/>
      <c r="J239" s="3"/>
    </row>
    <row r="240" spans="1:10" ht="15" x14ac:dyDescent="0.4">
      <c r="A240" s="61" t="s">
        <v>478</v>
      </c>
      <c r="C240" s="31"/>
      <c r="D240" s="31">
        <v>516</v>
      </c>
      <c r="E240" s="3"/>
      <c r="F240" s="3"/>
      <c r="G240" s="3"/>
      <c r="H240" s="3"/>
      <c r="I240" s="3"/>
      <c r="J240" s="3"/>
    </row>
    <row r="241" spans="1:10" x14ac:dyDescent="0.25">
      <c r="A241" s="61" t="s">
        <v>1182</v>
      </c>
      <c r="C241" s="3"/>
      <c r="D241" s="3">
        <f>SUM(D237:D240)</f>
        <v>18018</v>
      </c>
      <c r="E241" s="3"/>
      <c r="F241" s="3"/>
      <c r="G241" s="3"/>
      <c r="H241" s="3"/>
      <c r="I241" s="3"/>
      <c r="J241" s="3"/>
    </row>
    <row r="242" spans="1:10" x14ac:dyDescent="0.25">
      <c r="C242" s="3"/>
      <c r="D242" s="3"/>
      <c r="E242" s="3"/>
      <c r="F242" s="3"/>
      <c r="G242" s="3"/>
      <c r="H242" s="3"/>
      <c r="I242" s="3"/>
      <c r="J242" s="3"/>
    </row>
    <row r="243" spans="1:10" ht="13.8" x14ac:dyDescent="0.3">
      <c r="A243" s="62" t="s">
        <v>746</v>
      </c>
      <c r="B243" s="63"/>
      <c r="C243" s="3"/>
      <c r="D243" s="3"/>
      <c r="E243" s="3">
        <v>10781</v>
      </c>
      <c r="F243" s="3">
        <v>12200</v>
      </c>
      <c r="G243" s="3">
        <v>12200</v>
      </c>
      <c r="H243" s="3">
        <v>12200</v>
      </c>
      <c r="I243" s="3"/>
      <c r="J243" s="3"/>
    </row>
    <row r="244" spans="1:10" x14ac:dyDescent="0.25">
      <c r="A244" s="61" t="s">
        <v>747</v>
      </c>
      <c r="C244" s="3"/>
      <c r="D244" s="3">
        <v>12200</v>
      </c>
      <c r="E244" s="3"/>
      <c r="F244" s="3"/>
      <c r="G244" s="3"/>
      <c r="H244" s="3"/>
      <c r="I244" s="3"/>
      <c r="J244" s="3"/>
    </row>
    <row r="245" spans="1:10" x14ac:dyDescent="0.25">
      <c r="A245" s="61" t="s">
        <v>386</v>
      </c>
      <c r="C245" s="3"/>
      <c r="D245" s="3"/>
      <c r="E245" s="3"/>
      <c r="F245" s="3"/>
      <c r="G245" s="3"/>
      <c r="H245" s="3"/>
      <c r="I245" s="3"/>
      <c r="J245" s="3"/>
    </row>
    <row r="246" spans="1:10" ht="13.8" x14ac:dyDescent="0.3">
      <c r="A246" s="62" t="s">
        <v>986</v>
      </c>
      <c r="C246" s="73" t="s">
        <v>386</v>
      </c>
      <c r="D246" s="73" t="s">
        <v>386</v>
      </c>
      <c r="E246" s="3">
        <v>10869</v>
      </c>
      <c r="F246" s="3">
        <v>36500</v>
      </c>
      <c r="G246" s="3">
        <v>36500</v>
      </c>
      <c r="H246" s="3">
        <v>36500</v>
      </c>
      <c r="I246" s="3"/>
      <c r="J246" s="3"/>
    </row>
    <row r="247" spans="1:10" x14ac:dyDescent="0.25">
      <c r="A247" s="61" t="s">
        <v>1923</v>
      </c>
      <c r="C247" s="3"/>
      <c r="D247" s="3">
        <v>15000</v>
      </c>
      <c r="E247" s="3"/>
      <c r="F247" s="3"/>
      <c r="G247" s="3"/>
      <c r="H247" s="3"/>
      <c r="I247" s="3"/>
      <c r="J247" s="3"/>
    </row>
    <row r="248" spans="1:10" x14ac:dyDescent="0.25">
      <c r="A248" s="61" t="s">
        <v>1200</v>
      </c>
      <c r="C248" s="3"/>
      <c r="D248" s="3">
        <v>5000</v>
      </c>
      <c r="E248" s="3"/>
      <c r="F248" s="3"/>
      <c r="G248" s="3"/>
      <c r="H248" s="3"/>
      <c r="I248" s="3"/>
      <c r="J248" s="3"/>
    </row>
    <row r="249" spans="1:10" x14ac:dyDescent="0.25">
      <c r="A249" s="61" t="s">
        <v>881</v>
      </c>
      <c r="C249" s="3"/>
      <c r="D249" s="3">
        <v>15000</v>
      </c>
      <c r="E249" s="3"/>
      <c r="F249" s="3"/>
      <c r="G249" s="3"/>
      <c r="H249" s="3"/>
      <c r="I249" s="3"/>
      <c r="J249" s="3"/>
    </row>
    <row r="250" spans="1:10" x14ac:dyDescent="0.25">
      <c r="A250" s="61" t="s">
        <v>188</v>
      </c>
      <c r="C250" s="3"/>
      <c r="D250" s="3">
        <v>500</v>
      </c>
      <c r="E250" s="3"/>
      <c r="F250" s="3"/>
      <c r="G250" s="3"/>
      <c r="H250" s="3"/>
      <c r="I250" s="3"/>
      <c r="J250" s="3"/>
    </row>
    <row r="251" spans="1:10" ht="15" x14ac:dyDescent="0.4">
      <c r="A251" s="61" t="s">
        <v>1201</v>
      </c>
      <c r="C251" s="31"/>
      <c r="D251" s="31">
        <v>1000</v>
      </c>
      <c r="E251" s="3"/>
      <c r="F251" s="3"/>
      <c r="G251" s="3"/>
      <c r="H251" s="3"/>
      <c r="I251" s="3"/>
      <c r="J251" s="3"/>
    </row>
    <row r="252" spans="1:10" x14ac:dyDescent="0.25">
      <c r="A252" s="61" t="s">
        <v>1182</v>
      </c>
      <c r="C252" s="3"/>
      <c r="D252" s="3">
        <f>SUM(D247:D251)</f>
        <v>36500</v>
      </c>
      <c r="E252" s="3"/>
      <c r="F252" s="3"/>
      <c r="G252" s="3"/>
      <c r="H252" s="3"/>
      <c r="I252" s="3"/>
      <c r="J252" s="3"/>
    </row>
    <row r="253" spans="1:10" x14ac:dyDescent="0.25">
      <c r="C253" s="3"/>
      <c r="D253" s="3"/>
      <c r="E253" s="3"/>
      <c r="F253" s="3"/>
      <c r="G253" s="3"/>
      <c r="H253" s="3"/>
      <c r="I253" s="3"/>
      <c r="J253" s="3"/>
    </row>
    <row r="254" spans="1:10" ht="13.8" x14ac:dyDescent="0.3">
      <c r="A254" s="62" t="s">
        <v>1202</v>
      </c>
      <c r="C254" s="3"/>
      <c r="D254" s="3"/>
      <c r="E254" s="3">
        <v>0</v>
      </c>
      <c r="F254" s="3">
        <v>197</v>
      </c>
      <c r="G254" s="3">
        <v>197</v>
      </c>
      <c r="H254" s="3">
        <v>197</v>
      </c>
      <c r="I254" s="3"/>
      <c r="J254" s="3"/>
    </row>
    <row r="255" spans="1:10" x14ac:dyDescent="0.25">
      <c r="A255" s="61" t="s">
        <v>504</v>
      </c>
      <c r="C255" s="3"/>
      <c r="D255" s="3">
        <v>197</v>
      </c>
      <c r="E255" s="3"/>
      <c r="F255" s="3"/>
      <c r="G255" s="3"/>
      <c r="H255" s="3"/>
      <c r="I255" s="3"/>
      <c r="J255" s="3"/>
    </row>
    <row r="256" spans="1:10" x14ac:dyDescent="0.25">
      <c r="C256" s="3"/>
      <c r="D256" s="3"/>
      <c r="E256" s="3"/>
      <c r="F256" s="3"/>
      <c r="G256" s="3"/>
      <c r="H256" s="3"/>
      <c r="I256" s="3"/>
      <c r="J256" s="3"/>
    </row>
    <row r="257" spans="1:10" ht="13.8" x14ac:dyDescent="0.3">
      <c r="A257" s="86" t="s">
        <v>383</v>
      </c>
      <c r="C257" s="73" t="s">
        <v>386</v>
      </c>
      <c r="D257" s="73" t="s">
        <v>386</v>
      </c>
      <c r="E257" s="3">
        <v>500</v>
      </c>
      <c r="F257" s="3">
        <v>700</v>
      </c>
      <c r="G257" s="3">
        <v>700</v>
      </c>
      <c r="H257" s="3">
        <v>700</v>
      </c>
      <c r="I257" s="3"/>
      <c r="J257" s="3"/>
    </row>
    <row r="258" spans="1:10" x14ac:dyDescent="0.25">
      <c r="A258" s="61" t="s">
        <v>801</v>
      </c>
      <c r="B258" s="3"/>
      <c r="C258" s="3"/>
      <c r="D258" s="3">
        <v>500</v>
      </c>
      <c r="E258" s="3"/>
      <c r="F258" s="3"/>
      <c r="G258" s="3"/>
      <c r="H258" s="3"/>
      <c r="I258" s="3"/>
      <c r="J258" s="3"/>
    </row>
    <row r="259" spans="1:10" ht="15" x14ac:dyDescent="0.4">
      <c r="A259" s="61" t="s">
        <v>189</v>
      </c>
      <c r="C259" s="31"/>
      <c r="D259" s="31">
        <v>200</v>
      </c>
      <c r="E259" s="3"/>
      <c r="F259" s="3"/>
      <c r="G259" s="3"/>
      <c r="H259" s="3"/>
      <c r="I259" s="3"/>
      <c r="J259" s="3"/>
    </row>
    <row r="260" spans="1:10" x14ac:dyDescent="0.25">
      <c r="A260" s="61" t="s">
        <v>1182</v>
      </c>
      <c r="C260" s="3"/>
      <c r="D260" s="3">
        <f>SUM(D258:D259)</f>
        <v>700</v>
      </c>
      <c r="E260" s="3"/>
      <c r="F260" s="3"/>
      <c r="G260" s="3"/>
      <c r="H260" s="3"/>
      <c r="I260" s="3"/>
      <c r="J260" s="3"/>
    </row>
    <row r="261" spans="1:10" x14ac:dyDescent="0.25">
      <c r="C261" s="3"/>
      <c r="D261" s="3"/>
      <c r="E261" s="3"/>
      <c r="F261" s="3"/>
      <c r="G261" s="3"/>
      <c r="H261" s="3"/>
      <c r="I261" s="3"/>
      <c r="J261" s="3"/>
    </row>
    <row r="262" spans="1:10" ht="13.8" x14ac:dyDescent="0.3">
      <c r="A262" s="62" t="s">
        <v>68</v>
      </c>
      <c r="C262" s="73" t="s">
        <v>386</v>
      </c>
      <c r="D262" s="73" t="s">
        <v>386</v>
      </c>
      <c r="E262" s="3">
        <v>3659</v>
      </c>
      <c r="F262" s="3">
        <v>5000</v>
      </c>
      <c r="G262" s="3">
        <v>5000</v>
      </c>
      <c r="H262" s="3">
        <v>5000</v>
      </c>
      <c r="I262" s="3"/>
      <c r="J262" s="3"/>
    </row>
    <row r="263" spans="1:10" x14ac:dyDescent="0.25">
      <c r="A263" s="61" t="s">
        <v>1427</v>
      </c>
      <c r="C263" s="3"/>
      <c r="D263" s="3">
        <v>5000</v>
      </c>
      <c r="F263" s="3"/>
      <c r="G263" s="3"/>
      <c r="H263" s="3"/>
      <c r="I263" s="3"/>
      <c r="J263" s="3"/>
    </row>
    <row r="264" spans="1:10" ht="15" x14ac:dyDescent="0.4">
      <c r="A264" s="61" t="s">
        <v>1253</v>
      </c>
      <c r="C264" s="31"/>
      <c r="D264" s="31">
        <v>0</v>
      </c>
      <c r="F264" s="3"/>
      <c r="G264" s="3"/>
      <c r="H264" s="3"/>
      <c r="I264" s="3"/>
      <c r="J264" s="3"/>
    </row>
    <row r="265" spans="1:10" x14ac:dyDescent="0.25">
      <c r="A265" s="61" t="s">
        <v>1043</v>
      </c>
      <c r="C265" s="3"/>
      <c r="D265" s="3">
        <f>SUM(D263:D264)</f>
        <v>5000</v>
      </c>
      <c r="F265" s="3"/>
      <c r="G265" s="3"/>
      <c r="H265" s="3"/>
      <c r="I265" s="3"/>
      <c r="J265" s="3"/>
    </row>
    <row r="266" spans="1:10" x14ac:dyDescent="0.25">
      <c r="C266" s="3"/>
      <c r="D266" s="3"/>
      <c r="F266" s="3"/>
      <c r="G266" s="3"/>
      <c r="H266" s="3"/>
      <c r="I266" s="3"/>
      <c r="J266" s="3"/>
    </row>
    <row r="267" spans="1:10" ht="13.8" x14ac:dyDescent="0.3">
      <c r="A267" s="62" t="s">
        <v>21</v>
      </c>
      <c r="C267" s="73" t="s">
        <v>386</v>
      </c>
      <c r="D267" s="73" t="s">
        <v>386</v>
      </c>
      <c r="E267" s="3">
        <v>11839</v>
      </c>
      <c r="F267" s="3">
        <v>12637</v>
      </c>
      <c r="G267" s="3">
        <v>15637</v>
      </c>
      <c r="H267" s="3">
        <v>15637</v>
      </c>
      <c r="I267" s="3"/>
      <c r="J267" s="3"/>
    </row>
    <row r="268" spans="1:10" x14ac:dyDescent="0.25">
      <c r="A268" s="61" t="s">
        <v>2082</v>
      </c>
      <c r="B268" s="3" t="s">
        <v>386</v>
      </c>
      <c r="C268" s="3"/>
      <c r="D268" s="3">
        <v>3772</v>
      </c>
      <c r="E268" s="3"/>
      <c r="F268" s="3"/>
      <c r="G268" s="3"/>
      <c r="H268" s="3"/>
      <c r="I268" s="3"/>
      <c r="J268" s="3"/>
    </row>
    <row r="269" spans="1:10" x14ac:dyDescent="0.25">
      <c r="A269" s="61" t="s">
        <v>1037</v>
      </c>
      <c r="C269" s="3"/>
      <c r="D269" s="3">
        <v>154</v>
      </c>
      <c r="E269" s="3"/>
      <c r="F269" s="3"/>
      <c r="G269" s="3"/>
      <c r="H269" s="3"/>
      <c r="I269" s="3"/>
      <c r="J269" s="3"/>
    </row>
    <row r="270" spans="1:10" x14ac:dyDescent="0.25">
      <c r="A270" s="61" t="s">
        <v>1038</v>
      </c>
      <c r="C270" s="3"/>
      <c r="D270" s="3">
        <v>1548</v>
      </c>
      <c r="E270" s="3"/>
      <c r="F270" s="3"/>
      <c r="G270" s="3"/>
      <c r="H270" s="3"/>
      <c r="I270" s="3"/>
      <c r="J270" s="3"/>
    </row>
    <row r="271" spans="1:10" x14ac:dyDescent="0.25">
      <c r="A271" s="61" t="s">
        <v>1337</v>
      </c>
      <c r="C271" s="3"/>
      <c r="D271" s="3">
        <v>5000</v>
      </c>
      <c r="E271" s="3"/>
      <c r="F271" s="3"/>
      <c r="G271" s="3"/>
      <c r="H271" s="3"/>
      <c r="I271" s="3"/>
      <c r="J271" s="3"/>
    </row>
    <row r="272" spans="1:10" x14ac:dyDescent="0.25">
      <c r="A272" s="61" t="s">
        <v>1338</v>
      </c>
      <c r="C272" s="3"/>
      <c r="D272" s="3">
        <v>1050</v>
      </c>
      <c r="E272" s="3"/>
      <c r="F272" s="3"/>
      <c r="G272" s="3"/>
      <c r="H272" s="3"/>
      <c r="I272" s="3"/>
      <c r="J272" s="3"/>
    </row>
    <row r="273" spans="1:10" ht="15" x14ac:dyDescent="0.4">
      <c r="A273" s="61" t="s">
        <v>1039</v>
      </c>
      <c r="C273" s="31"/>
      <c r="D273" s="3">
        <v>463</v>
      </c>
      <c r="E273" s="3"/>
      <c r="F273" s="3"/>
      <c r="G273" s="3"/>
      <c r="H273" s="3"/>
      <c r="I273" s="3"/>
      <c r="J273" s="3"/>
    </row>
    <row r="274" spans="1:10" ht="15" x14ac:dyDescent="0.4">
      <c r="A274" s="61" t="s">
        <v>1982</v>
      </c>
      <c r="C274" s="31"/>
      <c r="D274" s="31">
        <v>3650</v>
      </c>
      <c r="E274" s="3"/>
      <c r="F274" s="3"/>
      <c r="G274" s="3"/>
      <c r="H274" s="3"/>
      <c r="I274" s="3"/>
      <c r="J274" s="3"/>
    </row>
    <row r="275" spans="1:10" x14ac:dyDescent="0.25">
      <c r="A275" s="61" t="s">
        <v>1182</v>
      </c>
      <c r="C275" s="3"/>
      <c r="D275" s="3">
        <f>SUM(D268:D274)</f>
        <v>15637</v>
      </c>
      <c r="E275" s="3"/>
      <c r="F275" s="3"/>
      <c r="G275" s="3"/>
      <c r="H275" s="3"/>
      <c r="I275" s="3"/>
      <c r="J275" s="3"/>
    </row>
    <row r="276" spans="1:10" x14ac:dyDescent="0.25">
      <c r="C276" s="3"/>
      <c r="D276" s="3"/>
      <c r="E276" s="3"/>
      <c r="F276" s="3"/>
      <c r="G276" s="3"/>
      <c r="H276" s="3"/>
      <c r="I276" s="3"/>
      <c r="J276" s="3"/>
    </row>
    <row r="277" spans="1:10" ht="13.8" x14ac:dyDescent="0.3">
      <c r="A277" s="62" t="s">
        <v>1040</v>
      </c>
      <c r="C277" s="73" t="s">
        <v>386</v>
      </c>
      <c r="D277" s="73" t="s">
        <v>386</v>
      </c>
      <c r="E277" s="3">
        <v>116042</v>
      </c>
      <c r="F277" s="3">
        <v>90000</v>
      </c>
      <c r="G277" s="3">
        <v>115000</v>
      </c>
      <c r="H277" s="3">
        <v>90000</v>
      </c>
      <c r="I277" s="3"/>
      <c r="J277" s="3"/>
    </row>
    <row r="278" spans="1:10" x14ac:dyDescent="0.25">
      <c r="A278" s="41" t="s">
        <v>2183</v>
      </c>
      <c r="B278" s="3"/>
      <c r="C278" s="3">
        <v>0</v>
      </c>
      <c r="D278" s="72">
        <v>90000</v>
      </c>
      <c r="E278" s="3"/>
      <c r="F278" s="3"/>
      <c r="G278" s="3"/>
      <c r="H278" s="3"/>
      <c r="I278" s="3"/>
      <c r="J278" s="3"/>
    </row>
    <row r="279" spans="1:10" ht="15" x14ac:dyDescent="0.4">
      <c r="A279" s="41" t="s">
        <v>1733</v>
      </c>
      <c r="B279" s="3"/>
      <c r="C279" s="3"/>
      <c r="D279" s="120">
        <v>0</v>
      </c>
      <c r="E279" s="3"/>
      <c r="F279" s="3"/>
      <c r="G279" s="3"/>
      <c r="H279" s="3"/>
      <c r="I279" s="3"/>
      <c r="J279" s="3"/>
    </row>
    <row r="280" spans="1:10" x14ac:dyDescent="0.25">
      <c r="A280" s="41"/>
      <c r="B280" s="3"/>
      <c r="C280" s="3"/>
      <c r="D280" s="72">
        <f>SUM(D278:D279)</f>
        <v>90000</v>
      </c>
      <c r="E280" s="3"/>
      <c r="F280" s="3"/>
      <c r="G280" s="3"/>
      <c r="H280" s="3"/>
      <c r="I280" s="3"/>
      <c r="J280" s="3"/>
    </row>
    <row r="281" spans="1:10" x14ac:dyDescent="0.25">
      <c r="C281" s="3"/>
      <c r="D281" s="3"/>
      <c r="E281" s="3"/>
      <c r="F281" s="3"/>
      <c r="G281" s="3"/>
      <c r="H281" s="3"/>
      <c r="I281" s="3"/>
      <c r="J281" s="3"/>
    </row>
    <row r="282" spans="1:10" ht="13.8" x14ac:dyDescent="0.3">
      <c r="A282" s="62" t="s">
        <v>1041</v>
      </c>
      <c r="C282" s="73" t="s">
        <v>386</v>
      </c>
      <c r="D282" s="73" t="s">
        <v>386</v>
      </c>
      <c r="E282" s="3">
        <v>55018</v>
      </c>
      <c r="F282" s="3">
        <v>7000</v>
      </c>
      <c r="G282" s="3">
        <v>7000</v>
      </c>
      <c r="H282" s="3">
        <v>7000</v>
      </c>
      <c r="I282" s="3"/>
      <c r="J282" s="3"/>
    </row>
    <row r="283" spans="1:10" x14ac:dyDescent="0.25">
      <c r="A283" s="61" t="s">
        <v>247</v>
      </c>
      <c r="C283" s="3"/>
      <c r="D283" s="3">
        <v>7000</v>
      </c>
      <c r="E283" s="3"/>
      <c r="F283" s="3"/>
      <c r="G283" s="3"/>
      <c r="H283" s="3"/>
      <c r="I283" s="3"/>
      <c r="J283" s="3"/>
    </row>
    <row r="284" spans="1:10" x14ac:dyDescent="0.25">
      <c r="C284" s="3"/>
      <c r="D284" s="3"/>
      <c r="E284" s="3"/>
      <c r="F284" s="3"/>
      <c r="G284" s="3"/>
      <c r="H284" s="3"/>
      <c r="I284" s="3"/>
      <c r="J284" s="3"/>
    </row>
    <row r="285" spans="1:10" ht="15" x14ac:dyDescent="0.4">
      <c r="A285" s="62" t="s">
        <v>1042</v>
      </c>
      <c r="C285" s="3" t="s">
        <v>386</v>
      </c>
      <c r="D285" s="3" t="s">
        <v>386</v>
      </c>
      <c r="E285" s="3">
        <v>12701</v>
      </c>
      <c r="F285" s="3">
        <v>3905</v>
      </c>
      <c r="G285" s="3">
        <v>3905</v>
      </c>
      <c r="H285" s="3">
        <v>3905</v>
      </c>
      <c r="I285" s="3"/>
      <c r="J285" s="31"/>
    </row>
    <row r="286" spans="1:10" x14ac:dyDescent="0.25">
      <c r="A286" s="41" t="s">
        <v>1734</v>
      </c>
      <c r="C286" s="3"/>
      <c r="D286" s="3">
        <v>1905</v>
      </c>
      <c r="E286" s="3"/>
      <c r="F286" s="3"/>
      <c r="G286" s="3"/>
      <c r="H286" s="3"/>
      <c r="I286" s="3"/>
      <c r="J286" s="3"/>
    </row>
    <row r="287" spans="1:10" x14ac:dyDescent="0.25">
      <c r="A287" s="41" t="s">
        <v>1735</v>
      </c>
      <c r="C287" s="3"/>
      <c r="D287" s="3">
        <v>1000</v>
      </c>
      <c r="E287" s="3"/>
      <c r="F287" s="3"/>
      <c r="G287" s="3"/>
      <c r="H287" s="3"/>
      <c r="I287" s="3"/>
      <c r="J287" s="3"/>
    </row>
    <row r="288" spans="1:10" ht="15" x14ac:dyDescent="0.4">
      <c r="A288" s="41" t="s">
        <v>1625</v>
      </c>
      <c r="C288" s="3"/>
      <c r="D288" s="31">
        <v>1000</v>
      </c>
      <c r="E288" s="31"/>
      <c r="F288" s="31"/>
      <c r="G288" s="31"/>
      <c r="H288" s="31"/>
      <c r="I288" s="31"/>
      <c r="J288" s="31"/>
    </row>
    <row r="289" spans="1:10" x14ac:dyDescent="0.25">
      <c r="D289" s="3">
        <f>SUM(D286:D288)</f>
        <v>3905</v>
      </c>
      <c r="E289" s="3"/>
      <c r="F289" s="3"/>
      <c r="G289" s="3"/>
      <c r="H289" s="3"/>
      <c r="I289" s="3"/>
      <c r="J289" s="3"/>
    </row>
    <row r="290" spans="1:10" x14ac:dyDescent="0.25">
      <c r="D290" s="3"/>
      <c r="E290" s="3"/>
      <c r="F290" s="3"/>
      <c r="G290" s="3"/>
      <c r="H290" s="3"/>
      <c r="I290" s="3"/>
      <c r="J290" s="3"/>
    </row>
    <row r="291" spans="1:10" ht="15" x14ac:dyDescent="0.4">
      <c r="A291" s="62" t="s">
        <v>1720</v>
      </c>
      <c r="D291" s="3">
        <v>0</v>
      </c>
      <c r="E291" s="31">
        <v>16427</v>
      </c>
      <c r="F291" s="31">
        <v>20000</v>
      </c>
      <c r="G291" s="31">
        <v>0</v>
      </c>
      <c r="H291" s="31">
        <v>0</v>
      </c>
      <c r="I291" s="31">
        <v>0</v>
      </c>
      <c r="J291" s="31">
        <v>0</v>
      </c>
    </row>
    <row r="292" spans="1:10" x14ac:dyDescent="0.25">
      <c r="D292" s="3"/>
      <c r="E292" s="3"/>
      <c r="F292" s="3"/>
      <c r="G292" s="3"/>
      <c r="H292" s="3"/>
      <c r="I292" s="3"/>
      <c r="J292" s="3"/>
    </row>
    <row r="293" spans="1:10" x14ac:dyDescent="0.25">
      <c r="A293" s="61" t="s">
        <v>1267</v>
      </c>
      <c r="E293" s="3">
        <f t="shared" ref="E293:J293" si="8">SUM(E6:E291)</f>
        <v>5438037</v>
      </c>
      <c r="F293" s="3">
        <f t="shared" si="8"/>
        <v>5777285</v>
      </c>
      <c r="G293" s="3">
        <f t="shared" si="8"/>
        <v>6330879</v>
      </c>
      <c r="H293" s="3">
        <f t="shared" si="8"/>
        <v>6234181</v>
      </c>
      <c r="I293" s="3">
        <f t="shared" si="8"/>
        <v>0</v>
      </c>
      <c r="J293" s="3">
        <f t="shared" si="8"/>
        <v>0</v>
      </c>
    </row>
    <row r="295" spans="1:10" x14ac:dyDescent="0.25">
      <c r="A295" s="61" t="s">
        <v>571</v>
      </c>
      <c r="E295" s="3">
        <f>SUM(E6:E150)</f>
        <v>4928504</v>
      </c>
      <c r="F295" s="3">
        <f>SUM(F6:F150)</f>
        <v>5316467</v>
      </c>
      <c r="G295" s="3">
        <f>SUM(G6:G151)</f>
        <v>5830074</v>
      </c>
      <c r="H295" s="3">
        <f>SUM(H6:H151)</f>
        <v>5744676</v>
      </c>
      <c r="I295" s="3">
        <f>SUM(I6:I151)</f>
        <v>0</v>
      </c>
      <c r="J295" s="3">
        <f>SUM(J6:J151)</f>
        <v>0</v>
      </c>
    </row>
    <row r="296" spans="1:10" x14ac:dyDescent="0.25">
      <c r="A296" s="61" t="s">
        <v>895</v>
      </c>
      <c r="E296" s="3">
        <f t="shared" ref="E296:J296" si="9">SUM(E155:E267)+E291</f>
        <v>325772</v>
      </c>
      <c r="F296" s="3">
        <f t="shared" si="9"/>
        <v>359913</v>
      </c>
      <c r="G296" s="3">
        <f t="shared" si="9"/>
        <v>374900</v>
      </c>
      <c r="H296" s="3">
        <f>SUM(H155:H267)+H291</f>
        <v>388600</v>
      </c>
      <c r="I296" s="3">
        <f t="shared" si="9"/>
        <v>0</v>
      </c>
      <c r="J296" s="3">
        <f t="shared" si="9"/>
        <v>0</v>
      </c>
    </row>
    <row r="297" spans="1:10" ht="15" x14ac:dyDescent="0.4">
      <c r="A297" s="61" t="s">
        <v>896</v>
      </c>
      <c r="E297" s="31">
        <f t="shared" ref="E297:J297" si="10">SUM(E277:E285)</f>
        <v>183761</v>
      </c>
      <c r="F297" s="31">
        <f t="shared" si="10"/>
        <v>100905</v>
      </c>
      <c r="G297" s="31">
        <f t="shared" si="10"/>
        <v>125905</v>
      </c>
      <c r="H297" s="31">
        <f>SUM(H277:H285)</f>
        <v>100905</v>
      </c>
      <c r="I297" s="31">
        <f t="shared" si="10"/>
        <v>0</v>
      </c>
      <c r="J297" s="31">
        <f t="shared" si="10"/>
        <v>0</v>
      </c>
    </row>
    <row r="298" spans="1:10" x14ac:dyDescent="0.25">
      <c r="A298" s="61" t="s">
        <v>1182</v>
      </c>
      <c r="E298" s="3">
        <f t="shared" ref="E298:J298" si="11">SUM(E295:E297)</f>
        <v>5438037</v>
      </c>
      <c r="F298" s="3">
        <f t="shared" si="11"/>
        <v>5777285</v>
      </c>
      <c r="G298" s="3">
        <f t="shared" si="11"/>
        <v>6330879</v>
      </c>
      <c r="H298" s="3">
        <f t="shared" si="11"/>
        <v>6234181</v>
      </c>
      <c r="I298" s="3">
        <f t="shared" si="11"/>
        <v>0</v>
      </c>
      <c r="J298" s="3">
        <f t="shared" si="11"/>
        <v>0</v>
      </c>
    </row>
    <row r="299" spans="1:10" x14ac:dyDescent="0.25">
      <c r="I299" s="3"/>
      <c r="J299" s="3"/>
    </row>
  </sheetData>
  <mergeCells count="1">
    <mergeCell ref="A1:J1"/>
  </mergeCells>
  <phoneticPr fontId="0" type="noConversion"/>
  <printOptions gridLines="1"/>
  <pageMargins left="0.75" right="0.16" top="0.51" bottom="0.22" header="0.5" footer="0"/>
  <pageSetup scale="95" fitToHeight="12" orientation="landscape" r:id="rId1"/>
  <headerFooter alignWithMargins="0"/>
  <rowBreaks count="3" manualBreakCount="3">
    <brk id="102" max="7" man="1"/>
    <brk id="245" max="7" man="1"/>
    <brk id="284" max="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79"/>
  <sheetViews>
    <sheetView zoomScaleNormal="100" zoomScaleSheetLayoutView="100" workbookViewId="0">
      <selection sqref="A1:J1"/>
    </sheetView>
  </sheetViews>
  <sheetFormatPr defaultColWidth="9.109375" defaultRowHeight="13.2" x14ac:dyDescent="0.25"/>
  <cols>
    <col min="1" max="1" width="50.6640625" style="191" bestFit="1" customWidth="1"/>
    <col min="2" max="2" width="8.88671875" style="191" bestFit="1" customWidth="1"/>
    <col min="3" max="4" width="10.109375" style="191" customWidth="1"/>
    <col min="5" max="5" width="13.6640625" style="191" customWidth="1"/>
    <col min="6" max="6" width="10.21875" style="191" bestFit="1" customWidth="1"/>
    <col min="7" max="7" width="10.88671875" style="191" bestFit="1" customWidth="1"/>
    <col min="8" max="8" width="13.5546875" style="191" bestFit="1" customWidth="1"/>
    <col min="9" max="9" width="10.33203125" style="191" bestFit="1" customWidth="1"/>
    <col min="10" max="10" width="9.5546875" style="191" customWidth="1"/>
    <col min="11" max="16384" width="9.109375" style="191"/>
  </cols>
  <sheetData>
    <row r="1" spans="1:10" x14ac:dyDescent="0.25">
      <c r="A1" s="194" t="e">
        <f>#REF!</f>
        <v>#REF!</v>
      </c>
      <c r="B1" s="195"/>
      <c r="C1" s="195"/>
      <c r="D1" s="195"/>
      <c r="E1" s="195"/>
      <c r="F1" s="195"/>
      <c r="G1" s="195"/>
      <c r="H1" s="195"/>
      <c r="I1" s="195"/>
      <c r="J1" s="195"/>
    </row>
    <row r="2" spans="1:10" ht="17.399999999999999" x14ac:dyDescent="0.3">
      <c r="A2" s="153" t="s">
        <v>1953</v>
      </c>
      <c r="B2" s="153"/>
      <c r="C2" s="153"/>
      <c r="D2" s="153"/>
      <c r="E2" s="153"/>
      <c r="F2" s="153"/>
    </row>
    <row r="3" spans="1:10" x14ac:dyDescent="0.25">
      <c r="B3" s="2"/>
      <c r="C3" s="2"/>
      <c r="D3" s="2"/>
      <c r="E3" s="2"/>
      <c r="F3" s="2"/>
    </row>
    <row r="4" spans="1:10" x14ac:dyDescent="0.25">
      <c r="B4" s="2"/>
      <c r="C4" s="2"/>
      <c r="D4" s="2"/>
      <c r="E4" s="16" t="s">
        <v>232</v>
      </c>
      <c r="F4" s="16" t="s">
        <v>233</v>
      </c>
      <c r="G4" s="16" t="s">
        <v>69</v>
      </c>
      <c r="H4" s="16" t="s">
        <v>399</v>
      </c>
      <c r="I4" s="16" t="s">
        <v>303</v>
      </c>
      <c r="J4" s="16" t="s">
        <v>336</v>
      </c>
    </row>
    <row r="5" spans="1:10" ht="15" x14ac:dyDescent="0.4">
      <c r="B5" s="2"/>
      <c r="C5" s="2"/>
      <c r="D5" s="2"/>
      <c r="E5" s="192" t="s">
        <v>1715</v>
      </c>
      <c r="F5" s="192" t="s">
        <v>1766</v>
      </c>
      <c r="G5" s="192" t="s">
        <v>1985</v>
      </c>
      <c r="H5" s="192" t="s">
        <v>1985</v>
      </c>
      <c r="I5" s="192" t="s">
        <v>1985</v>
      </c>
      <c r="J5" s="192" t="s">
        <v>1985</v>
      </c>
    </row>
    <row r="6" spans="1:10" ht="13.8" x14ac:dyDescent="0.3">
      <c r="A6" s="193" t="s">
        <v>257</v>
      </c>
      <c r="B6" s="2"/>
      <c r="C6" s="2"/>
      <c r="D6" s="2"/>
      <c r="E6" s="2">
        <v>54569</v>
      </c>
      <c r="F6" s="2">
        <v>55120</v>
      </c>
      <c r="G6" s="2">
        <v>56732</v>
      </c>
      <c r="H6" s="2">
        <v>56732</v>
      </c>
      <c r="I6" s="2"/>
      <c r="J6" s="2"/>
    </row>
    <row r="7" spans="1:10" x14ac:dyDescent="0.25">
      <c r="A7" s="191" t="s">
        <v>153</v>
      </c>
      <c r="B7" s="2">
        <v>52</v>
      </c>
      <c r="C7" s="2">
        <v>1091</v>
      </c>
      <c r="D7" s="2">
        <f>ROUND(B7*C7,0)</f>
        <v>56732</v>
      </c>
      <c r="E7" s="2"/>
      <c r="F7" s="2"/>
      <c r="G7" s="2"/>
      <c r="H7" s="2"/>
      <c r="I7" s="2"/>
      <c r="J7" s="2"/>
    </row>
    <row r="8" spans="1:10" x14ac:dyDescent="0.25">
      <c r="B8" s="2"/>
      <c r="C8" s="2"/>
      <c r="D8" s="2"/>
      <c r="E8" s="2"/>
      <c r="F8" s="2"/>
      <c r="G8" s="2"/>
      <c r="H8" s="2"/>
      <c r="I8" s="2"/>
      <c r="J8" s="2"/>
    </row>
    <row r="9" spans="1:10" ht="13.8" x14ac:dyDescent="0.3">
      <c r="A9" s="193" t="s">
        <v>517</v>
      </c>
      <c r="B9" s="2"/>
      <c r="C9" s="2"/>
      <c r="D9" s="2"/>
      <c r="E9" s="2">
        <v>308207</v>
      </c>
      <c r="F9" s="2">
        <v>337919</v>
      </c>
      <c r="G9" s="2">
        <v>352337</v>
      </c>
      <c r="H9" s="2">
        <v>352337</v>
      </c>
      <c r="I9" s="2"/>
      <c r="J9" s="2"/>
    </row>
    <row r="10" spans="1:10" x14ac:dyDescent="0.25">
      <c r="A10" s="191" t="s">
        <v>683</v>
      </c>
      <c r="B10" s="2">
        <v>52</v>
      </c>
      <c r="C10" s="2">
        <v>942</v>
      </c>
      <c r="D10" s="2">
        <f t="shared" ref="D10:D16" si="0">ROUND(B10*C10,0)</f>
        <v>48984</v>
      </c>
      <c r="E10" s="2"/>
      <c r="F10" s="2"/>
      <c r="G10" s="2"/>
      <c r="H10" s="2"/>
      <c r="I10" s="2"/>
      <c r="J10" s="2"/>
    </row>
    <row r="11" spans="1:10" x14ac:dyDescent="0.25">
      <c r="A11" s="191" t="s">
        <v>683</v>
      </c>
      <c r="B11" s="2">
        <v>52</v>
      </c>
      <c r="C11" s="2">
        <v>942</v>
      </c>
      <c r="D11" s="2">
        <f t="shared" si="0"/>
        <v>48984</v>
      </c>
      <c r="E11" s="2"/>
      <c r="F11" s="2"/>
      <c r="G11" s="2"/>
      <c r="H11" s="2"/>
      <c r="I11" s="2"/>
      <c r="J11" s="2"/>
    </row>
    <row r="12" spans="1:10" x14ac:dyDescent="0.25">
      <c r="A12" s="191" t="s">
        <v>683</v>
      </c>
      <c r="B12" s="2">
        <v>52</v>
      </c>
      <c r="C12" s="2">
        <v>942</v>
      </c>
      <c r="D12" s="2">
        <f t="shared" si="0"/>
        <v>48984</v>
      </c>
      <c r="E12" s="2"/>
      <c r="F12" s="2"/>
      <c r="G12" s="2"/>
      <c r="H12" s="2"/>
      <c r="I12" s="2"/>
      <c r="J12" s="2"/>
    </row>
    <row r="13" spans="1:10" x14ac:dyDescent="0.25">
      <c r="A13" s="191" t="s">
        <v>683</v>
      </c>
      <c r="B13" s="2">
        <v>52</v>
      </c>
      <c r="C13" s="2">
        <v>942</v>
      </c>
      <c r="D13" s="2">
        <f t="shared" si="0"/>
        <v>48984</v>
      </c>
      <c r="E13" s="2"/>
      <c r="F13" s="2"/>
      <c r="G13" s="2"/>
      <c r="H13" s="2"/>
      <c r="I13" s="2"/>
      <c r="J13" s="2"/>
    </row>
    <row r="14" spans="1:10" x14ac:dyDescent="0.25">
      <c r="A14" s="191" t="s">
        <v>683</v>
      </c>
      <c r="B14" s="2">
        <v>52</v>
      </c>
      <c r="C14" s="2">
        <v>942</v>
      </c>
      <c r="D14" s="2">
        <f t="shared" si="0"/>
        <v>48984</v>
      </c>
      <c r="E14" s="2"/>
      <c r="F14" s="2"/>
      <c r="G14" s="2"/>
      <c r="H14" s="2"/>
      <c r="I14" s="2"/>
      <c r="J14" s="2"/>
    </row>
    <row r="15" spans="1:10" x14ac:dyDescent="0.25">
      <c r="A15" s="191" t="s">
        <v>683</v>
      </c>
      <c r="B15" s="2">
        <v>52</v>
      </c>
      <c r="C15" s="2">
        <v>942</v>
      </c>
      <c r="D15" s="2">
        <f t="shared" si="0"/>
        <v>48984</v>
      </c>
      <c r="E15" s="2"/>
      <c r="F15" s="2"/>
      <c r="G15" s="2"/>
      <c r="H15" s="2"/>
      <c r="I15" s="2"/>
      <c r="J15" s="2"/>
    </row>
    <row r="16" spans="1:10" x14ac:dyDescent="0.25">
      <c r="A16" s="191" t="s">
        <v>683</v>
      </c>
      <c r="B16" s="2">
        <v>52</v>
      </c>
      <c r="C16" s="2">
        <v>851</v>
      </c>
      <c r="D16" s="2">
        <f t="shared" si="0"/>
        <v>44252</v>
      </c>
      <c r="E16" s="2"/>
      <c r="F16" s="2"/>
      <c r="G16" s="2"/>
      <c r="H16" s="2"/>
      <c r="I16" s="2"/>
      <c r="J16" s="2"/>
    </row>
    <row r="17" spans="1:10" x14ac:dyDescent="0.25">
      <c r="A17" s="191" t="s">
        <v>912</v>
      </c>
      <c r="B17" s="2"/>
      <c r="C17" s="12"/>
      <c r="D17" s="2">
        <v>993</v>
      </c>
      <c r="E17" s="2"/>
      <c r="F17" s="2"/>
      <c r="G17" s="2"/>
      <c r="H17" s="2"/>
      <c r="I17" s="2"/>
      <c r="J17" s="2"/>
    </row>
    <row r="18" spans="1:10" ht="15" x14ac:dyDescent="0.4">
      <c r="A18" s="191" t="s">
        <v>1769</v>
      </c>
      <c r="B18" s="2">
        <v>560</v>
      </c>
      <c r="C18" s="12">
        <f>+SUM(C10:C15)/40/6</f>
        <v>23.55</v>
      </c>
      <c r="D18" s="11">
        <f>ROUND(B18*C18,0)</f>
        <v>13188</v>
      </c>
      <c r="E18" s="2"/>
      <c r="F18" s="2"/>
      <c r="G18" s="2"/>
      <c r="H18" s="2"/>
      <c r="I18" s="2"/>
      <c r="J18" s="2"/>
    </row>
    <row r="19" spans="1:10" x14ac:dyDescent="0.25">
      <c r="A19" s="191" t="s">
        <v>1182</v>
      </c>
      <c r="B19" s="2"/>
      <c r="C19" s="2"/>
      <c r="D19" s="2">
        <f>SUM(D10:D18)</f>
        <v>352337</v>
      </c>
      <c r="E19" s="2"/>
      <c r="F19" s="2"/>
      <c r="G19" s="2"/>
      <c r="H19" s="2"/>
      <c r="I19" s="2"/>
      <c r="J19" s="2"/>
    </row>
    <row r="20" spans="1:10" x14ac:dyDescent="0.25">
      <c r="D20" s="2"/>
      <c r="E20" s="2"/>
      <c r="F20" s="2"/>
      <c r="G20" s="2"/>
      <c r="H20" s="2"/>
      <c r="I20" s="2"/>
      <c r="J20" s="2"/>
    </row>
    <row r="21" spans="1:10" ht="13.8" x14ac:dyDescent="0.3">
      <c r="A21" s="193" t="s">
        <v>684</v>
      </c>
      <c r="D21" s="2"/>
      <c r="E21" s="2">
        <v>1487</v>
      </c>
      <c r="F21" s="2">
        <v>3578</v>
      </c>
      <c r="G21" s="2">
        <v>3682</v>
      </c>
      <c r="H21" s="2">
        <v>3682</v>
      </c>
      <c r="I21" s="2"/>
      <c r="J21" s="2"/>
    </row>
    <row r="22" spans="1:10" x14ac:dyDescent="0.25">
      <c r="A22" s="191" t="s">
        <v>153</v>
      </c>
      <c r="B22" s="2">
        <v>90</v>
      </c>
      <c r="C22" s="12">
        <f>ROUND((((+C7)/40)*1.5),2)</f>
        <v>40.909999999999997</v>
      </c>
      <c r="D22" s="2">
        <f>ROUND(B22*C22,0)</f>
        <v>3682</v>
      </c>
      <c r="E22" s="2"/>
      <c r="F22" s="2"/>
      <c r="G22" s="2"/>
      <c r="H22" s="2"/>
      <c r="I22" s="2"/>
      <c r="J22" s="2"/>
    </row>
    <row r="23" spans="1:10" x14ac:dyDescent="0.25">
      <c r="B23" s="2"/>
      <c r="C23" s="12"/>
      <c r="D23" s="2"/>
      <c r="E23" s="2"/>
      <c r="F23" s="2"/>
      <c r="G23" s="2"/>
      <c r="H23" s="2"/>
      <c r="I23" s="2"/>
      <c r="J23" s="2"/>
    </row>
    <row r="24" spans="1:10" ht="13.8" x14ac:dyDescent="0.3">
      <c r="A24" s="193" t="s">
        <v>156</v>
      </c>
      <c r="B24" s="61"/>
      <c r="C24" s="3"/>
      <c r="D24" s="3"/>
      <c r="E24" s="3">
        <v>24329</v>
      </c>
      <c r="F24" s="2">
        <v>32872</v>
      </c>
      <c r="G24" s="2">
        <v>34319</v>
      </c>
      <c r="H24" s="2">
        <v>34319</v>
      </c>
      <c r="I24" s="2"/>
      <c r="J24" s="2"/>
    </row>
    <row r="25" spans="1:10" x14ac:dyDescent="0.25">
      <c r="A25" s="191" t="s">
        <v>1782</v>
      </c>
      <c r="B25" s="3">
        <v>800</v>
      </c>
      <c r="C25" s="64">
        <v>17.25</v>
      </c>
      <c r="D25" s="3">
        <f>ROUND(B25*C25,0)</f>
        <v>13800</v>
      </c>
      <c r="E25" s="2"/>
      <c r="F25" s="2"/>
      <c r="G25" s="2"/>
      <c r="H25" s="2"/>
      <c r="I25" s="2"/>
      <c r="J25" s="2"/>
    </row>
    <row r="26" spans="1:10" x14ac:dyDescent="0.25">
      <c r="A26" s="191" t="s">
        <v>479</v>
      </c>
      <c r="B26" s="3">
        <v>1040</v>
      </c>
      <c r="C26" s="64">
        <v>19.73</v>
      </c>
      <c r="D26" s="71">
        <f>ROUND(B26*C26,0)</f>
        <v>20519</v>
      </c>
      <c r="E26" s="2"/>
      <c r="F26" s="2"/>
      <c r="G26" s="2"/>
      <c r="H26" s="2"/>
      <c r="I26" s="2"/>
      <c r="J26" s="2"/>
    </row>
    <row r="27" spans="1:10" x14ac:dyDescent="0.25">
      <c r="B27" s="3"/>
      <c r="C27" s="64"/>
      <c r="D27" s="3">
        <f>SUM(D25:D26)</f>
        <v>34319</v>
      </c>
      <c r="E27" s="2"/>
      <c r="F27" s="2"/>
      <c r="G27" s="2"/>
      <c r="H27" s="2"/>
      <c r="I27" s="2"/>
      <c r="J27" s="2"/>
    </row>
    <row r="28" spans="1:10" x14ac:dyDescent="0.25">
      <c r="B28" s="3"/>
      <c r="C28" s="3"/>
      <c r="D28" s="3"/>
      <c r="E28" s="2"/>
      <c r="F28" s="2"/>
      <c r="G28" s="2"/>
      <c r="H28" s="2"/>
      <c r="I28" s="2"/>
      <c r="J28" s="2"/>
    </row>
    <row r="29" spans="1:10" ht="13.8" x14ac:dyDescent="0.3">
      <c r="A29" s="193" t="s">
        <v>865</v>
      </c>
      <c r="D29" s="2"/>
      <c r="E29" s="2">
        <v>38128</v>
      </c>
      <c r="F29" s="2">
        <v>20588</v>
      </c>
      <c r="G29" s="2">
        <v>21195</v>
      </c>
      <c r="H29" s="2">
        <v>21195</v>
      </c>
      <c r="I29" s="2"/>
      <c r="J29" s="2"/>
    </row>
    <row r="30" spans="1:10" x14ac:dyDescent="0.25">
      <c r="A30" s="191" t="s">
        <v>866</v>
      </c>
      <c r="B30" s="2" t="s">
        <v>386</v>
      </c>
      <c r="C30" s="12" t="s">
        <v>386</v>
      </c>
      <c r="D30" s="2" t="s">
        <v>386</v>
      </c>
      <c r="E30" s="2"/>
      <c r="F30" s="2"/>
      <c r="G30" s="2"/>
      <c r="H30" s="2"/>
      <c r="I30" s="2"/>
      <c r="J30" s="2"/>
    </row>
    <row r="31" spans="1:10" x14ac:dyDescent="0.25">
      <c r="A31" s="191" t="s">
        <v>867</v>
      </c>
      <c r="B31" s="2">
        <v>600</v>
      </c>
      <c r="C31" s="12">
        <f>+C18*1.5</f>
        <v>35.325000000000003</v>
      </c>
      <c r="D31" s="2">
        <f>ROUND(B31*C31,0)</f>
        <v>21195</v>
      </c>
      <c r="E31" s="2"/>
      <c r="F31" s="2"/>
      <c r="G31" s="2"/>
      <c r="H31" s="2"/>
      <c r="I31" s="2"/>
      <c r="J31" s="2"/>
    </row>
    <row r="32" spans="1:10" ht="15.75" customHeight="1" x14ac:dyDescent="0.25">
      <c r="B32" s="2"/>
      <c r="C32" s="12"/>
      <c r="D32" s="2"/>
      <c r="E32" s="2"/>
      <c r="F32" s="2"/>
      <c r="G32" s="2"/>
      <c r="H32" s="2"/>
      <c r="I32" s="2"/>
      <c r="J32" s="2"/>
    </row>
    <row r="33" spans="1:10" ht="13.8" x14ac:dyDescent="0.3">
      <c r="A33" s="193" t="s">
        <v>868</v>
      </c>
      <c r="D33" s="2"/>
      <c r="E33" s="2">
        <v>33303</v>
      </c>
      <c r="F33" s="2">
        <v>34432</v>
      </c>
      <c r="G33" s="2">
        <v>35822</v>
      </c>
      <c r="H33" s="2">
        <v>35822</v>
      </c>
      <c r="I33" s="2"/>
      <c r="J33" s="2"/>
    </row>
    <row r="34" spans="1:10" hidden="1" x14ac:dyDescent="0.25">
      <c r="A34" s="13" t="s">
        <v>1406</v>
      </c>
      <c r="B34" s="2">
        <f>+D7</f>
        <v>56732</v>
      </c>
      <c r="C34" s="14">
        <v>7.6499999999999999E-2</v>
      </c>
      <c r="D34" s="2">
        <f>ROUND(B34*C34,0)</f>
        <v>4340</v>
      </c>
      <c r="E34" s="2"/>
      <c r="F34" s="2"/>
      <c r="G34" s="2"/>
      <c r="H34" s="2"/>
      <c r="I34" s="2"/>
      <c r="J34" s="2"/>
    </row>
    <row r="35" spans="1:10" hidden="1" x14ac:dyDescent="0.25">
      <c r="A35" s="13" t="s">
        <v>757</v>
      </c>
      <c r="B35" s="2">
        <f>+D19</f>
        <v>352337</v>
      </c>
      <c r="C35" s="14">
        <v>7.6499999999999999E-2</v>
      </c>
      <c r="D35" s="2">
        <f>ROUND(B35*C35,0)</f>
        <v>26954</v>
      </c>
      <c r="E35" s="2"/>
      <c r="F35" s="2"/>
      <c r="G35" s="2"/>
      <c r="H35" s="2"/>
      <c r="I35" s="2"/>
      <c r="J35" s="2"/>
    </row>
    <row r="36" spans="1:10" hidden="1" x14ac:dyDescent="0.25">
      <c r="A36" s="13" t="s">
        <v>845</v>
      </c>
      <c r="B36" s="2">
        <f>+D22</f>
        <v>3682</v>
      </c>
      <c r="C36" s="14">
        <v>7.6499999999999999E-2</v>
      </c>
      <c r="D36" s="2">
        <f>ROUND(B36*C36,0)</f>
        <v>282</v>
      </c>
      <c r="E36" s="2"/>
      <c r="F36" s="2"/>
      <c r="G36" s="2"/>
      <c r="H36" s="2"/>
      <c r="I36" s="2"/>
      <c r="J36" s="2"/>
    </row>
    <row r="37" spans="1:10" hidden="1" x14ac:dyDescent="0.25">
      <c r="A37" s="13" t="s">
        <v>183</v>
      </c>
      <c r="B37" s="2">
        <f>+D27</f>
        <v>34319</v>
      </c>
      <c r="C37" s="14">
        <v>7.6499999999999999E-2</v>
      </c>
      <c r="D37" s="2">
        <f>ROUND(B37*C37,0)</f>
        <v>2625</v>
      </c>
      <c r="E37" s="2"/>
      <c r="F37" s="2"/>
      <c r="G37" s="2"/>
      <c r="H37" s="2"/>
      <c r="I37" s="2"/>
      <c r="J37" s="2"/>
    </row>
    <row r="38" spans="1:10" ht="15" hidden="1" x14ac:dyDescent="0.4">
      <c r="A38" s="13" t="s">
        <v>184</v>
      </c>
      <c r="B38" s="2">
        <f>+D31</f>
        <v>21195</v>
      </c>
      <c r="C38" s="14">
        <v>7.6499999999999999E-2</v>
      </c>
      <c r="D38" s="11">
        <f>ROUND(B38*C38,0)</f>
        <v>1621</v>
      </c>
      <c r="E38" s="2"/>
      <c r="F38" s="2"/>
      <c r="G38" s="2"/>
      <c r="H38" s="2"/>
      <c r="I38" s="2"/>
      <c r="J38" s="2"/>
    </row>
    <row r="39" spans="1:10" hidden="1" x14ac:dyDescent="0.25">
      <c r="A39" s="191" t="s">
        <v>1182</v>
      </c>
      <c r="D39" s="2">
        <f>SUM(D34:D38)</f>
        <v>35822</v>
      </c>
      <c r="E39" s="2"/>
      <c r="F39" s="2"/>
      <c r="G39" s="2"/>
      <c r="H39" s="2"/>
      <c r="I39" s="2"/>
      <c r="J39" s="2"/>
    </row>
    <row r="40" spans="1:10" x14ac:dyDescent="0.25">
      <c r="D40" s="2"/>
      <c r="E40" s="2"/>
      <c r="F40" s="2"/>
      <c r="G40" s="2"/>
      <c r="H40" s="2"/>
      <c r="I40" s="2"/>
      <c r="J40" s="2"/>
    </row>
    <row r="41" spans="1:10" ht="13.8" x14ac:dyDescent="0.3">
      <c r="A41" s="15" t="s">
        <v>989</v>
      </c>
      <c r="D41" s="2"/>
      <c r="E41" s="2">
        <v>39488</v>
      </c>
      <c r="F41" s="2">
        <v>48189</v>
      </c>
      <c r="G41" s="2">
        <v>47390</v>
      </c>
      <c r="H41" s="2">
        <v>47390</v>
      </c>
      <c r="I41" s="2"/>
      <c r="J41" s="2"/>
    </row>
    <row r="42" spans="1:10" hidden="1" x14ac:dyDescent="0.25">
      <c r="A42" s="13" t="s">
        <v>1406</v>
      </c>
      <c r="B42" s="2">
        <f>+B34+B36</f>
        <v>60414</v>
      </c>
      <c r="C42" s="14">
        <v>0.1138</v>
      </c>
      <c r="D42" s="2">
        <f>ROUND(B42*C42,0)</f>
        <v>6875</v>
      </c>
      <c r="E42" s="2"/>
      <c r="F42" s="2"/>
      <c r="G42" s="2"/>
      <c r="H42" s="2"/>
      <c r="I42" s="2"/>
      <c r="J42" s="2"/>
    </row>
    <row r="43" spans="1:10" ht="15" hidden="1" x14ac:dyDescent="0.4">
      <c r="A43" s="191" t="s">
        <v>1314</v>
      </c>
      <c r="B43" s="2">
        <f>+D19+D22</f>
        <v>356019</v>
      </c>
      <c r="C43" s="14">
        <v>0.1138</v>
      </c>
      <c r="D43" s="11">
        <f>ROUND(B43*C43,0)</f>
        <v>40515</v>
      </c>
      <c r="E43" s="2"/>
      <c r="F43" s="2"/>
      <c r="G43" s="2"/>
      <c r="H43" s="2"/>
      <c r="I43" s="2"/>
      <c r="J43" s="2"/>
    </row>
    <row r="44" spans="1:10" hidden="1" x14ac:dyDescent="0.25">
      <c r="A44" s="191" t="s">
        <v>1182</v>
      </c>
      <c r="D44" s="2">
        <f>SUM(D42:D43)</f>
        <v>47390</v>
      </c>
      <c r="E44" s="2"/>
      <c r="F44" s="2"/>
      <c r="G44" s="2"/>
      <c r="H44" s="2"/>
      <c r="I44" s="2"/>
      <c r="J44" s="2"/>
    </row>
    <row r="45" spans="1:10" x14ac:dyDescent="0.25">
      <c r="D45" s="2"/>
      <c r="E45" s="2"/>
      <c r="F45" s="2"/>
      <c r="G45" s="2"/>
      <c r="H45" s="2"/>
      <c r="I45" s="2"/>
      <c r="J45" s="2"/>
    </row>
    <row r="46" spans="1:10" ht="13.8" x14ac:dyDescent="0.3">
      <c r="A46" s="193" t="s">
        <v>1059</v>
      </c>
      <c r="D46" s="2"/>
      <c r="E46" s="2">
        <v>122422</v>
      </c>
      <c r="F46" s="2">
        <v>141250</v>
      </c>
      <c r="G46" s="2">
        <v>152000</v>
      </c>
      <c r="H46" s="2">
        <v>152000</v>
      </c>
      <c r="I46" s="2"/>
      <c r="J46" s="2"/>
    </row>
    <row r="47" spans="1:10" x14ac:dyDescent="0.25">
      <c r="A47" s="191" t="s">
        <v>1789</v>
      </c>
      <c r="B47" s="2">
        <v>1</v>
      </c>
      <c r="C47" s="2">
        <v>23900</v>
      </c>
      <c r="D47" s="2">
        <f>ROUND(B47*C47,0)</f>
        <v>23900</v>
      </c>
      <c r="E47" s="2"/>
      <c r="F47" s="2"/>
      <c r="G47" s="2"/>
      <c r="H47" s="2"/>
      <c r="I47" s="2"/>
      <c r="J47" s="2"/>
    </row>
    <row r="48" spans="1:10" ht="15" x14ac:dyDescent="0.4">
      <c r="A48" s="191" t="s">
        <v>1790</v>
      </c>
      <c r="B48" s="2">
        <v>7</v>
      </c>
      <c r="C48" s="2">
        <v>18300</v>
      </c>
      <c r="D48" s="11">
        <f>ROUND(B48*C48,0)</f>
        <v>128100</v>
      </c>
      <c r="E48" s="2"/>
      <c r="F48" s="2"/>
      <c r="G48" s="2"/>
      <c r="H48" s="2"/>
      <c r="I48" s="2"/>
      <c r="J48" s="2"/>
    </row>
    <row r="49" spans="1:10" x14ac:dyDescent="0.25">
      <c r="A49" s="191" t="s">
        <v>751</v>
      </c>
      <c r="B49" s="2"/>
      <c r="C49" s="2"/>
      <c r="D49" s="2">
        <f>SUM(D47:D48)</f>
        <v>152000</v>
      </c>
      <c r="E49" s="2"/>
      <c r="F49" s="2"/>
      <c r="G49" s="2"/>
      <c r="H49" s="2"/>
      <c r="I49" s="2"/>
      <c r="J49" s="2"/>
    </row>
    <row r="50" spans="1:10" x14ac:dyDescent="0.25">
      <c r="D50" s="2"/>
      <c r="E50" s="2"/>
      <c r="F50" s="2"/>
      <c r="G50" s="2"/>
      <c r="H50" s="2"/>
      <c r="I50" s="2"/>
      <c r="J50" s="2"/>
    </row>
    <row r="51" spans="1:10" ht="13.8" x14ac:dyDescent="0.3">
      <c r="A51" s="193" t="s">
        <v>192</v>
      </c>
      <c r="D51" s="2"/>
      <c r="E51" s="2">
        <v>8308</v>
      </c>
      <c r="F51" s="2">
        <v>9490</v>
      </c>
      <c r="G51" s="2">
        <v>9490</v>
      </c>
      <c r="H51" s="2">
        <v>9490</v>
      </c>
      <c r="I51" s="2"/>
      <c r="J51" s="2"/>
    </row>
    <row r="52" spans="1:10" x14ac:dyDescent="0.25">
      <c r="A52" s="191" t="s">
        <v>297</v>
      </c>
      <c r="B52" s="2">
        <v>1</v>
      </c>
      <c r="C52" s="2">
        <v>1300</v>
      </c>
      <c r="D52" s="2">
        <f>ROUND(B52*C52,0)</f>
        <v>1300</v>
      </c>
      <c r="E52" s="2"/>
      <c r="F52" s="2"/>
      <c r="G52" s="2"/>
      <c r="H52" s="2"/>
      <c r="I52" s="2"/>
      <c r="J52" s="2"/>
    </row>
    <row r="53" spans="1:10" x14ac:dyDescent="0.25">
      <c r="A53" s="191" t="s">
        <v>582</v>
      </c>
      <c r="B53" s="2">
        <v>7</v>
      </c>
      <c r="C53" s="2">
        <v>1300</v>
      </c>
      <c r="D53" s="2">
        <f>ROUND(B53*C53,0)</f>
        <v>9100</v>
      </c>
      <c r="E53" s="2"/>
      <c r="F53" s="2"/>
      <c r="G53" s="2"/>
      <c r="H53" s="2"/>
      <c r="I53" s="2"/>
      <c r="J53" s="2"/>
    </row>
    <row r="54" spans="1:10" x14ac:dyDescent="0.25">
      <c r="A54" s="191" t="s">
        <v>583</v>
      </c>
      <c r="B54" s="2"/>
      <c r="C54" s="2"/>
      <c r="D54" s="18">
        <f>+C53*-0.1*7</f>
        <v>-910</v>
      </c>
      <c r="E54" s="2"/>
      <c r="F54" s="2"/>
      <c r="G54" s="2"/>
      <c r="H54" s="2"/>
      <c r="I54" s="2"/>
      <c r="J54" s="2"/>
    </row>
    <row r="55" spans="1:10" x14ac:dyDescent="0.25">
      <c r="A55" s="191" t="s">
        <v>751</v>
      </c>
      <c r="B55" s="2"/>
      <c r="C55" s="2"/>
      <c r="D55" s="2">
        <f>SUM(D52:D54)</f>
        <v>9490</v>
      </c>
      <c r="E55" s="2"/>
      <c r="F55" s="2"/>
      <c r="G55" s="2"/>
      <c r="H55" s="2"/>
      <c r="I55" s="2"/>
      <c r="J55" s="2"/>
    </row>
    <row r="56" spans="1:10" x14ac:dyDescent="0.25">
      <c r="D56" s="2"/>
      <c r="E56" s="2"/>
      <c r="F56" s="2"/>
      <c r="G56" s="2"/>
      <c r="H56" s="2"/>
      <c r="I56" s="2"/>
      <c r="J56" s="2"/>
    </row>
    <row r="57" spans="1:10" ht="13.8" x14ac:dyDescent="0.3">
      <c r="A57" s="193" t="s">
        <v>193</v>
      </c>
      <c r="D57" s="2"/>
      <c r="E57" s="2">
        <v>816</v>
      </c>
      <c r="F57" s="2">
        <v>1080</v>
      </c>
      <c r="G57" s="2">
        <v>1080</v>
      </c>
      <c r="H57" s="2">
        <v>1080</v>
      </c>
      <c r="I57" s="2"/>
      <c r="J57" s="2"/>
    </row>
    <row r="58" spans="1:10" hidden="1" x14ac:dyDescent="0.25">
      <c r="A58" s="13" t="s">
        <v>1406</v>
      </c>
      <c r="B58" s="2">
        <v>1</v>
      </c>
      <c r="C58" s="2">
        <v>135</v>
      </c>
      <c r="D58" s="2">
        <f>ROUND(B58*C58,0)</f>
        <v>135</v>
      </c>
      <c r="E58" s="2"/>
      <c r="F58" s="2"/>
      <c r="G58" s="2"/>
      <c r="H58" s="2"/>
      <c r="I58" s="2"/>
      <c r="J58" s="2"/>
    </row>
    <row r="59" spans="1:10" ht="15" hidden="1" x14ac:dyDescent="0.4">
      <c r="A59" s="13" t="s">
        <v>757</v>
      </c>
      <c r="B59" s="2">
        <v>7</v>
      </c>
      <c r="C59" s="2">
        <v>135</v>
      </c>
      <c r="D59" s="11">
        <f>ROUND(B59*C59,0)</f>
        <v>945</v>
      </c>
      <c r="E59" s="2"/>
      <c r="F59" s="2"/>
      <c r="G59" s="2"/>
      <c r="H59" s="2"/>
      <c r="I59" s="2"/>
      <c r="J59" s="2"/>
    </row>
    <row r="60" spans="1:10" hidden="1" x14ac:dyDescent="0.25">
      <c r="A60" s="191" t="s">
        <v>1182</v>
      </c>
      <c r="B60" s="2"/>
      <c r="C60" s="2"/>
      <c r="D60" s="2">
        <f>SUM(D58:D59)</f>
        <v>1080</v>
      </c>
      <c r="E60" s="2"/>
      <c r="F60" s="2"/>
      <c r="G60" s="2"/>
      <c r="H60" s="2"/>
      <c r="I60" s="2"/>
      <c r="J60" s="2"/>
    </row>
    <row r="61" spans="1:10" x14ac:dyDescent="0.25">
      <c r="D61" s="2"/>
      <c r="E61" s="2"/>
      <c r="F61" s="2"/>
      <c r="G61" s="2"/>
      <c r="H61" s="2"/>
      <c r="I61" s="2"/>
      <c r="J61" s="2"/>
    </row>
    <row r="62" spans="1:10" ht="13.8" x14ac:dyDescent="0.3">
      <c r="A62" s="193" t="s">
        <v>194</v>
      </c>
      <c r="D62" s="2"/>
      <c r="E62" s="2">
        <v>2862</v>
      </c>
      <c r="F62" s="2">
        <v>3280</v>
      </c>
      <c r="G62" s="2">
        <v>5040</v>
      </c>
      <c r="H62" s="2">
        <v>5040</v>
      </c>
      <c r="I62" s="2"/>
      <c r="J62" s="2"/>
    </row>
    <row r="63" spans="1:10" hidden="1" x14ac:dyDescent="0.25">
      <c r="A63" s="13" t="s">
        <v>1406</v>
      </c>
      <c r="B63" s="2">
        <v>1</v>
      </c>
      <c r="C63" s="2">
        <v>630</v>
      </c>
      <c r="D63" s="2">
        <f>ROUND(B63*C63,0)</f>
        <v>630</v>
      </c>
      <c r="E63" s="2"/>
      <c r="F63" s="2"/>
      <c r="G63" s="2"/>
      <c r="H63" s="2"/>
      <c r="I63" s="2"/>
      <c r="J63" s="2"/>
    </row>
    <row r="64" spans="1:10" ht="15" hidden="1" x14ac:dyDescent="0.4">
      <c r="A64" s="13" t="s">
        <v>757</v>
      </c>
      <c r="B64" s="2">
        <v>7</v>
      </c>
      <c r="C64" s="2">
        <v>630</v>
      </c>
      <c r="D64" s="11">
        <f>ROUND(B64*C64,0)</f>
        <v>4410</v>
      </c>
      <c r="E64" s="2"/>
      <c r="F64" s="2"/>
      <c r="G64" s="2"/>
      <c r="H64" s="2"/>
      <c r="I64" s="2"/>
      <c r="J64" s="2"/>
    </row>
    <row r="65" spans="1:10" hidden="1" x14ac:dyDescent="0.25">
      <c r="A65" s="191" t="s">
        <v>1182</v>
      </c>
      <c r="B65" s="2"/>
      <c r="C65" s="2"/>
      <c r="D65" s="2">
        <f>SUM(D63:D64)</f>
        <v>5040</v>
      </c>
      <c r="E65" s="2"/>
      <c r="F65" s="2"/>
      <c r="G65" s="2"/>
      <c r="H65" s="2"/>
      <c r="I65" s="2"/>
      <c r="J65" s="2"/>
    </row>
    <row r="66" spans="1:10" x14ac:dyDescent="0.25">
      <c r="E66" s="2"/>
      <c r="F66" s="2"/>
      <c r="G66" s="2"/>
      <c r="H66" s="2"/>
      <c r="I66" s="2"/>
      <c r="J66" s="2"/>
    </row>
    <row r="67" spans="1:10" ht="13.8" x14ac:dyDescent="0.3">
      <c r="A67" s="193" t="s">
        <v>195</v>
      </c>
      <c r="B67" s="187"/>
      <c r="E67" s="2">
        <v>578</v>
      </c>
      <c r="F67" s="2">
        <v>751</v>
      </c>
      <c r="G67" s="2">
        <v>781</v>
      </c>
      <c r="H67" s="2">
        <v>750</v>
      </c>
      <c r="I67" s="2"/>
      <c r="J67" s="2"/>
    </row>
    <row r="68" spans="1:10" hidden="1" x14ac:dyDescent="0.25">
      <c r="A68" s="13" t="s">
        <v>1406</v>
      </c>
      <c r="B68" s="2">
        <f>+B34</f>
        <v>56732</v>
      </c>
      <c r="C68" s="14">
        <v>1.6000000000000001E-3</v>
      </c>
      <c r="D68" s="2">
        <f>ROUND(B68*C68,0)</f>
        <v>91</v>
      </c>
      <c r="E68" s="2"/>
      <c r="F68" s="2"/>
      <c r="G68" s="2"/>
      <c r="H68" s="2"/>
      <c r="I68" s="2"/>
      <c r="J68" s="2"/>
    </row>
    <row r="69" spans="1:10" hidden="1" x14ac:dyDescent="0.25">
      <c r="A69" s="13" t="s">
        <v>757</v>
      </c>
      <c r="B69" s="2">
        <f>+D19</f>
        <v>352337</v>
      </c>
      <c r="C69" s="14">
        <v>1.6000000000000001E-3</v>
      </c>
      <c r="D69" s="2">
        <f>ROUND(B69*C69,0)</f>
        <v>564</v>
      </c>
      <c r="E69" s="2"/>
      <c r="F69" s="2"/>
      <c r="G69" s="2"/>
      <c r="H69" s="2"/>
      <c r="I69" s="2"/>
      <c r="J69" s="2"/>
    </row>
    <row r="70" spans="1:10" hidden="1" x14ac:dyDescent="0.25">
      <c r="A70" s="13" t="s">
        <v>1997</v>
      </c>
      <c r="B70" s="2">
        <f>+D22</f>
        <v>3682</v>
      </c>
      <c r="C70" s="14">
        <v>1.6000000000000001E-3</v>
      </c>
      <c r="D70" s="2">
        <f>ROUND(B70*C70,0)</f>
        <v>6</v>
      </c>
      <c r="F70" s="2"/>
      <c r="G70" s="2"/>
      <c r="H70" s="2"/>
      <c r="I70" s="2"/>
      <c r="J70" s="2"/>
    </row>
    <row r="71" spans="1:10" hidden="1" x14ac:dyDescent="0.25">
      <c r="A71" s="13" t="s">
        <v>183</v>
      </c>
      <c r="B71" s="2">
        <f>+D27</f>
        <v>34319</v>
      </c>
      <c r="C71" s="14">
        <v>1.6000000000000001E-3</v>
      </c>
      <c r="D71" s="2">
        <f>ROUND(B71*C71,0)</f>
        <v>55</v>
      </c>
      <c r="E71" s="2"/>
      <c r="F71" s="2"/>
      <c r="G71" s="2"/>
      <c r="H71" s="2"/>
      <c r="I71" s="2"/>
      <c r="J71" s="2"/>
    </row>
    <row r="72" spans="1:10" ht="15" hidden="1" x14ac:dyDescent="0.4">
      <c r="A72" s="13" t="s">
        <v>1998</v>
      </c>
      <c r="B72" s="2">
        <f>ROUND(D31,0)</f>
        <v>21195</v>
      </c>
      <c r="C72" s="14">
        <v>1.6000000000000001E-3</v>
      </c>
      <c r="D72" s="11">
        <f>ROUND(B72*C72,0)</f>
        <v>34</v>
      </c>
      <c r="E72" s="2"/>
      <c r="F72" s="2"/>
      <c r="G72" s="2"/>
      <c r="H72" s="2"/>
      <c r="I72" s="2"/>
      <c r="J72" s="2"/>
    </row>
    <row r="73" spans="1:10" hidden="1" x14ac:dyDescent="0.25">
      <c r="A73" s="191" t="s">
        <v>1182</v>
      </c>
      <c r="D73" s="2">
        <f>SUM(D68:D72)</f>
        <v>750</v>
      </c>
      <c r="E73" s="2"/>
      <c r="F73" s="2"/>
      <c r="G73" s="2"/>
      <c r="H73" s="2"/>
      <c r="I73" s="2"/>
      <c r="J73" s="2"/>
    </row>
    <row r="74" spans="1:10" x14ac:dyDescent="0.25">
      <c r="E74" s="2"/>
      <c r="F74" s="2"/>
      <c r="G74" s="2"/>
      <c r="H74" s="2"/>
      <c r="I74" s="2"/>
      <c r="J74" s="2"/>
    </row>
    <row r="75" spans="1:10" ht="13.8" x14ac:dyDescent="0.3">
      <c r="A75" s="193" t="s">
        <v>1285</v>
      </c>
      <c r="D75" s="2"/>
      <c r="E75" s="2">
        <v>309</v>
      </c>
      <c r="F75" s="2">
        <v>314</v>
      </c>
      <c r="G75" s="2">
        <v>315</v>
      </c>
      <c r="H75" s="2">
        <v>233</v>
      </c>
      <c r="I75" s="2"/>
      <c r="J75" s="2"/>
    </row>
    <row r="76" spans="1:10" hidden="1" x14ac:dyDescent="0.25">
      <c r="A76" s="13" t="s">
        <v>1406</v>
      </c>
      <c r="B76" s="2">
        <v>1</v>
      </c>
      <c r="C76" s="2">
        <v>26</v>
      </c>
      <c r="D76" s="2">
        <f>ROUND(B76*C76,0)</f>
        <v>26</v>
      </c>
      <c r="E76" s="2"/>
      <c r="F76" s="2"/>
      <c r="G76" s="2"/>
      <c r="H76" s="2"/>
      <c r="I76" s="2"/>
      <c r="J76" s="2"/>
    </row>
    <row r="77" spans="1:10" hidden="1" x14ac:dyDescent="0.25">
      <c r="A77" s="13" t="s">
        <v>757</v>
      </c>
      <c r="B77" s="2">
        <v>7</v>
      </c>
      <c r="C77" s="2">
        <v>26</v>
      </c>
      <c r="D77" s="2">
        <f>ROUND(B77*C77,0)</f>
        <v>182</v>
      </c>
      <c r="E77" s="2"/>
      <c r="F77" s="2"/>
      <c r="G77" s="2"/>
      <c r="H77" s="2"/>
      <c r="I77" s="2"/>
      <c r="J77" s="2"/>
    </row>
    <row r="78" spans="1:10" ht="15" hidden="1" x14ac:dyDescent="0.4">
      <c r="A78" s="13" t="s">
        <v>183</v>
      </c>
      <c r="B78" s="2">
        <f>+D25</f>
        <v>13800</v>
      </c>
      <c r="C78" s="14">
        <v>1.8E-3</v>
      </c>
      <c r="D78" s="11">
        <f>ROUND(B78*C78,0)</f>
        <v>25</v>
      </c>
      <c r="E78" s="2"/>
      <c r="F78" s="2"/>
      <c r="G78" s="2"/>
      <c r="H78" s="2"/>
      <c r="I78" s="2"/>
      <c r="J78" s="2"/>
    </row>
    <row r="79" spans="1:10" hidden="1" x14ac:dyDescent="0.25">
      <c r="A79" s="191" t="s">
        <v>1182</v>
      </c>
      <c r="D79" s="2">
        <f>SUM(D76:D78)</f>
        <v>233</v>
      </c>
      <c r="E79" s="2"/>
      <c r="F79" s="2"/>
      <c r="G79" s="2"/>
      <c r="H79" s="2"/>
      <c r="I79" s="2"/>
      <c r="J79" s="2"/>
    </row>
    <row r="80" spans="1:10" x14ac:dyDescent="0.25">
      <c r="D80" s="2"/>
      <c r="E80" s="2"/>
      <c r="F80" s="2"/>
      <c r="G80" s="2"/>
      <c r="H80" s="2"/>
      <c r="I80" s="2"/>
      <c r="J80" s="2"/>
    </row>
    <row r="81" spans="1:10" ht="13.8" x14ac:dyDescent="0.3">
      <c r="A81" s="193" t="s">
        <v>1286</v>
      </c>
      <c r="D81" s="2"/>
      <c r="E81" s="2">
        <v>1586</v>
      </c>
      <c r="F81" s="2">
        <v>4000</v>
      </c>
      <c r="G81" s="2">
        <v>4000</v>
      </c>
      <c r="H81" s="2">
        <v>4000</v>
      </c>
      <c r="I81" s="2"/>
      <c r="J81" s="2"/>
    </row>
    <row r="82" spans="1:10" ht="15" x14ac:dyDescent="0.4">
      <c r="A82" s="191" t="s">
        <v>736</v>
      </c>
      <c r="C82" s="2"/>
      <c r="D82" s="11">
        <v>4000</v>
      </c>
      <c r="E82" s="2"/>
      <c r="F82" s="2"/>
      <c r="G82" s="2"/>
      <c r="H82" s="2"/>
      <c r="I82" s="2"/>
      <c r="J82" s="2"/>
    </row>
    <row r="83" spans="1:10" x14ac:dyDescent="0.25">
      <c r="C83" s="2"/>
      <c r="D83" s="2">
        <v>4000</v>
      </c>
      <c r="E83" s="2"/>
      <c r="F83" s="2"/>
      <c r="G83" s="2"/>
      <c r="H83" s="2"/>
      <c r="I83" s="2"/>
      <c r="J83" s="2"/>
    </row>
    <row r="84" spans="1:10" ht="13.8" x14ac:dyDescent="0.3">
      <c r="A84" s="193" t="s">
        <v>737</v>
      </c>
      <c r="C84" s="2"/>
      <c r="D84" s="2"/>
      <c r="E84" s="2">
        <v>90</v>
      </c>
      <c r="F84" s="2">
        <v>500</v>
      </c>
      <c r="G84" s="2">
        <v>500</v>
      </c>
      <c r="H84" s="2">
        <v>500</v>
      </c>
      <c r="I84" s="2"/>
      <c r="J84" s="2"/>
    </row>
    <row r="85" spans="1:10" x14ac:dyDescent="0.25">
      <c r="A85" s="191" t="s">
        <v>1319</v>
      </c>
      <c r="C85" s="2"/>
      <c r="D85" s="2">
        <v>500</v>
      </c>
      <c r="E85" s="2"/>
      <c r="F85" s="2"/>
      <c r="G85" s="2"/>
      <c r="H85" s="2"/>
      <c r="I85" s="2"/>
      <c r="J85" s="2"/>
    </row>
    <row r="86" spans="1:10" x14ac:dyDescent="0.25">
      <c r="A86" s="191" t="s">
        <v>386</v>
      </c>
      <c r="C86" s="2" t="s">
        <v>386</v>
      </c>
      <c r="D86" s="2" t="s">
        <v>386</v>
      </c>
      <c r="E86" s="2"/>
      <c r="F86" s="2"/>
      <c r="G86" s="2"/>
      <c r="H86" s="2"/>
      <c r="I86" s="2"/>
      <c r="J86" s="2"/>
    </row>
    <row r="87" spans="1:10" ht="13.8" x14ac:dyDescent="0.3">
      <c r="A87" s="193" t="s">
        <v>1320</v>
      </c>
      <c r="C87" s="2" t="s">
        <v>386</v>
      </c>
      <c r="D87" s="2" t="s">
        <v>386</v>
      </c>
      <c r="E87" s="2">
        <v>2659</v>
      </c>
      <c r="F87" s="2">
        <v>3300</v>
      </c>
      <c r="G87" s="2">
        <v>3300</v>
      </c>
      <c r="H87" s="2">
        <v>3300</v>
      </c>
      <c r="I87" s="2"/>
      <c r="J87" s="2"/>
    </row>
    <row r="88" spans="1:10" x14ac:dyDescent="0.25">
      <c r="A88" s="191" t="s">
        <v>211</v>
      </c>
      <c r="B88" s="2">
        <v>7</v>
      </c>
      <c r="C88" s="2">
        <v>400</v>
      </c>
      <c r="D88" s="2">
        <f>ROUND(B88*C88,0)</f>
        <v>2800</v>
      </c>
      <c r="E88" s="2"/>
      <c r="F88" s="2"/>
      <c r="G88" s="2"/>
      <c r="H88" s="2"/>
      <c r="I88" s="2"/>
      <c r="J88" s="2"/>
    </row>
    <row r="89" spans="1:10" ht="15" x14ac:dyDescent="0.4">
      <c r="A89" s="191" t="s">
        <v>219</v>
      </c>
      <c r="B89" s="2">
        <v>1</v>
      </c>
      <c r="C89" s="11">
        <v>500</v>
      </c>
      <c r="D89" s="11">
        <f>ROUND(B89*C89,0)</f>
        <v>500</v>
      </c>
      <c r="E89" s="2"/>
      <c r="F89" s="2"/>
      <c r="G89" s="2"/>
      <c r="H89" s="2"/>
      <c r="I89" s="2"/>
      <c r="J89" s="2"/>
    </row>
    <row r="90" spans="1:10" x14ac:dyDescent="0.25">
      <c r="A90" s="191" t="s">
        <v>1182</v>
      </c>
      <c r="C90" s="2">
        <f>SUM(C88:C89)</f>
        <v>900</v>
      </c>
      <c r="D90" s="2">
        <f>SUM(D88:D89)</f>
        <v>3300</v>
      </c>
      <c r="E90" s="2"/>
      <c r="F90" s="2"/>
      <c r="G90" s="2"/>
      <c r="H90" s="2"/>
      <c r="I90" s="2"/>
      <c r="J90" s="2"/>
    </row>
    <row r="91" spans="1:10" x14ac:dyDescent="0.25">
      <c r="C91" s="2"/>
      <c r="D91" s="2"/>
      <c r="E91" s="2"/>
      <c r="F91" s="2"/>
      <c r="G91" s="2"/>
      <c r="H91" s="2"/>
      <c r="I91" s="2"/>
      <c r="J91" s="2"/>
    </row>
    <row r="92" spans="1:10" ht="13.8" x14ac:dyDescent="0.3">
      <c r="A92" s="193" t="s">
        <v>220</v>
      </c>
      <c r="C92" s="2"/>
      <c r="D92" s="2"/>
      <c r="E92" s="2">
        <v>0</v>
      </c>
      <c r="F92" s="2">
        <v>270</v>
      </c>
      <c r="G92" s="2">
        <v>270</v>
      </c>
      <c r="H92" s="2">
        <v>270</v>
      </c>
      <c r="I92" s="2"/>
      <c r="J92" s="2"/>
    </row>
    <row r="93" spans="1:10" x14ac:dyDescent="0.25">
      <c r="A93" s="191" t="s">
        <v>1058</v>
      </c>
      <c r="C93" s="2"/>
      <c r="D93" s="2">
        <v>270</v>
      </c>
      <c r="E93" s="2"/>
      <c r="F93" s="2"/>
      <c r="G93" s="2"/>
      <c r="H93" s="2"/>
      <c r="I93" s="2"/>
      <c r="J93" s="2"/>
    </row>
    <row r="94" spans="1:10" x14ac:dyDescent="0.25">
      <c r="C94" s="2"/>
      <c r="D94" s="2"/>
      <c r="E94" s="2"/>
      <c r="F94" s="2"/>
      <c r="G94" s="2"/>
      <c r="H94" s="2"/>
      <c r="I94" s="2"/>
      <c r="J94" s="2"/>
    </row>
    <row r="95" spans="1:10" ht="13.8" x14ac:dyDescent="0.3">
      <c r="A95" s="193" t="s">
        <v>777</v>
      </c>
      <c r="C95" s="2"/>
      <c r="D95" s="2"/>
      <c r="E95" s="2">
        <v>27232</v>
      </c>
      <c r="F95" s="2">
        <v>22410</v>
      </c>
      <c r="G95" s="2">
        <v>26640</v>
      </c>
      <c r="H95" s="2">
        <v>26640</v>
      </c>
      <c r="I95" s="2"/>
      <c r="J95" s="2"/>
    </row>
    <row r="96" spans="1:10" x14ac:dyDescent="0.25">
      <c r="A96" s="191" t="s">
        <v>897</v>
      </c>
      <c r="D96" s="2">
        <f>850+3500</f>
        <v>4350</v>
      </c>
      <c r="F96" s="2"/>
      <c r="G96" s="2"/>
      <c r="H96" s="2"/>
      <c r="I96" s="2"/>
      <c r="J96" s="2"/>
    </row>
    <row r="97" spans="1:10" x14ac:dyDescent="0.25">
      <c r="A97" s="191" t="s">
        <v>1622</v>
      </c>
      <c r="C97" s="2"/>
      <c r="D97" s="2">
        <v>5600</v>
      </c>
      <c r="F97" s="2"/>
      <c r="G97" s="2"/>
      <c r="H97" s="2"/>
      <c r="I97" s="2"/>
      <c r="J97" s="2"/>
    </row>
    <row r="98" spans="1:10" x14ac:dyDescent="0.25">
      <c r="A98" s="191" t="s">
        <v>2083</v>
      </c>
      <c r="C98" s="2"/>
      <c r="D98" s="2">
        <v>3600</v>
      </c>
      <c r="F98" s="2"/>
      <c r="G98" s="2"/>
      <c r="H98" s="2"/>
      <c r="I98" s="2"/>
      <c r="J98" s="2"/>
    </row>
    <row r="99" spans="1:10" x14ac:dyDescent="0.25">
      <c r="A99" s="191" t="s">
        <v>1623</v>
      </c>
      <c r="C99" s="2"/>
      <c r="D99" s="2">
        <v>9180</v>
      </c>
      <c r="F99" s="2"/>
      <c r="G99" s="2"/>
      <c r="H99" s="2"/>
      <c r="I99" s="2"/>
      <c r="J99" s="2"/>
    </row>
    <row r="100" spans="1:10" ht="15" x14ac:dyDescent="0.4">
      <c r="A100" s="191" t="s">
        <v>1850</v>
      </c>
      <c r="D100" s="11">
        <v>3910</v>
      </c>
      <c r="F100" s="2"/>
      <c r="G100" s="2"/>
      <c r="H100" s="2"/>
      <c r="I100" s="2"/>
      <c r="J100" s="2"/>
    </row>
    <row r="101" spans="1:10" x14ac:dyDescent="0.25">
      <c r="A101" s="191" t="s">
        <v>1182</v>
      </c>
      <c r="C101" s="2"/>
      <c r="D101" s="2">
        <f>SUM(D96:D100)</f>
        <v>26640</v>
      </c>
      <c r="F101" s="2"/>
      <c r="G101" s="2"/>
      <c r="H101" s="2"/>
      <c r="I101" s="2"/>
      <c r="J101" s="2"/>
    </row>
    <row r="102" spans="1:10" x14ac:dyDescent="0.25">
      <c r="C102" s="2"/>
      <c r="D102" s="2"/>
      <c r="E102" s="2"/>
      <c r="F102" s="2"/>
      <c r="G102" s="2"/>
      <c r="H102" s="2"/>
      <c r="I102" s="2"/>
      <c r="J102" s="2"/>
    </row>
    <row r="103" spans="1:10" ht="13.8" x14ac:dyDescent="0.3">
      <c r="A103" s="17" t="s">
        <v>49</v>
      </c>
      <c r="D103" s="2"/>
      <c r="E103" s="2">
        <v>3873</v>
      </c>
      <c r="F103" s="2">
        <v>5936</v>
      </c>
      <c r="G103" s="2">
        <v>4260</v>
      </c>
      <c r="H103" s="2">
        <v>4260</v>
      </c>
      <c r="I103" s="2"/>
      <c r="J103" s="2"/>
    </row>
    <row r="104" spans="1:10" hidden="1" x14ac:dyDescent="0.25">
      <c r="A104" s="191" t="s">
        <v>1410</v>
      </c>
      <c r="D104" s="2">
        <v>4770</v>
      </c>
      <c r="E104" s="2"/>
      <c r="F104" s="2"/>
      <c r="G104" s="2"/>
      <c r="H104" s="2"/>
      <c r="I104" s="2"/>
      <c r="J104" s="2"/>
    </row>
    <row r="105" spans="1:10" x14ac:dyDescent="0.25">
      <c r="C105" s="2"/>
      <c r="D105" s="2"/>
      <c r="E105" s="2"/>
      <c r="F105" s="2"/>
      <c r="G105" s="2"/>
      <c r="H105" s="2"/>
      <c r="I105" s="2"/>
      <c r="J105" s="2"/>
    </row>
    <row r="106" spans="1:10" ht="13.8" x14ac:dyDescent="0.3">
      <c r="A106" s="53" t="s">
        <v>1792</v>
      </c>
      <c r="C106" s="2"/>
      <c r="D106" s="2"/>
      <c r="E106" s="2"/>
      <c r="F106" s="2"/>
      <c r="G106" s="2"/>
      <c r="H106" s="2"/>
      <c r="I106" s="2"/>
      <c r="J106" s="2"/>
    </row>
    <row r="107" spans="1:10" x14ac:dyDescent="0.25">
      <c r="C107" s="2"/>
      <c r="D107" s="2"/>
      <c r="E107" s="2"/>
      <c r="F107" s="2"/>
      <c r="G107" s="2"/>
      <c r="H107" s="2"/>
      <c r="I107" s="2"/>
      <c r="J107" s="2"/>
    </row>
    <row r="108" spans="1:10" ht="13.8" x14ac:dyDescent="0.3">
      <c r="A108" s="193" t="s">
        <v>6</v>
      </c>
      <c r="C108" s="2"/>
      <c r="D108" s="8" t="s">
        <v>386</v>
      </c>
      <c r="E108" s="2">
        <v>4549</v>
      </c>
      <c r="F108" s="2">
        <v>25445</v>
      </c>
      <c r="G108" s="2">
        <v>25445</v>
      </c>
      <c r="H108" s="2">
        <v>11845</v>
      </c>
      <c r="I108" s="2"/>
      <c r="J108" s="2"/>
    </row>
    <row r="109" spans="1:10" x14ac:dyDescent="0.25">
      <c r="A109" s="191" t="s">
        <v>7</v>
      </c>
      <c r="C109" s="2"/>
      <c r="D109" s="2">
        <v>6500</v>
      </c>
      <c r="E109" s="2"/>
      <c r="F109" s="2"/>
      <c r="G109" s="2"/>
      <c r="H109" s="2"/>
      <c r="I109" s="2"/>
      <c r="J109" s="2"/>
    </row>
    <row r="110" spans="1:10" x14ac:dyDescent="0.25">
      <c r="A110" s="191" t="s">
        <v>500</v>
      </c>
      <c r="C110" s="2"/>
      <c r="D110" s="2">
        <v>350</v>
      </c>
      <c r="E110" s="2"/>
      <c r="F110" s="2"/>
      <c r="G110" s="2"/>
      <c r="H110" s="2"/>
      <c r="I110" s="2"/>
      <c r="J110" s="2"/>
    </row>
    <row r="111" spans="1:10" x14ac:dyDescent="0.25">
      <c r="A111" s="191" t="s">
        <v>8</v>
      </c>
      <c r="C111" s="2"/>
      <c r="D111" s="2">
        <v>600</v>
      </c>
      <c r="E111" s="2"/>
      <c r="F111" s="2"/>
      <c r="G111" s="2"/>
      <c r="H111" s="2"/>
      <c r="I111" s="2"/>
      <c r="J111" s="2"/>
    </row>
    <row r="112" spans="1:10" x14ac:dyDescent="0.25">
      <c r="A112" s="191" t="s">
        <v>1702</v>
      </c>
      <c r="C112" s="1"/>
      <c r="D112" s="2">
        <v>3000</v>
      </c>
      <c r="E112" s="1"/>
      <c r="F112" s="1"/>
      <c r="G112" s="1"/>
      <c r="H112" s="1"/>
      <c r="I112" s="1"/>
      <c r="J112" s="1"/>
    </row>
    <row r="113" spans="1:10" ht="16.8" x14ac:dyDescent="0.55000000000000004">
      <c r="A113" s="191" t="s">
        <v>1851</v>
      </c>
      <c r="C113" s="1"/>
      <c r="D113" s="2">
        <v>600</v>
      </c>
      <c r="E113" s="79"/>
      <c r="F113" s="1"/>
      <c r="G113" s="1"/>
      <c r="H113" s="1"/>
      <c r="I113" s="1"/>
      <c r="J113" s="1"/>
    </row>
    <row r="114" spans="1:10" ht="16.8" x14ac:dyDescent="0.55000000000000004">
      <c r="A114" s="191" t="s">
        <v>1373</v>
      </c>
      <c r="C114" s="79"/>
      <c r="D114" s="11">
        <v>795</v>
      </c>
      <c r="E114" s="2"/>
      <c r="F114" s="79"/>
      <c r="G114" s="79"/>
      <c r="H114" s="79"/>
      <c r="I114" s="79"/>
      <c r="J114" s="79"/>
    </row>
    <row r="115" spans="1:10" x14ac:dyDescent="0.25">
      <c r="A115" s="191" t="s">
        <v>1182</v>
      </c>
      <c r="C115" s="2"/>
      <c r="D115" s="2">
        <f>SUM(D109:D114)</f>
        <v>11845</v>
      </c>
      <c r="E115" s="2"/>
      <c r="F115" s="2"/>
      <c r="G115" s="2"/>
      <c r="H115" s="2"/>
      <c r="I115" s="2"/>
      <c r="J115" s="2"/>
    </row>
    <row r="116" spans="1:10" x14ac:dyDescent="0.25">
      <c r="C116" s="2"/>
      <c r="D116" s="2"/>
      <c r="F116" s="2"/>
      <c r="G116" s="2"/>
      <c r="H116" s="2"/>
      <c r="I116" s="2"/>
      <c r="J116" s="2"/>
    </row>
    <row r="117" spans="1:10" ht="13.8" x14ac:dyDescent="0.3">
      <c r="A117" s="193" t="s">
        <v>9</v>
      </c>
      <c r="C117" s="2"/>
      <c r="D117" s="2"/>
      <c r="E117" s="2">
        <v>20386</v>
      </c>
      <c r="F117" s="2">
        <v>8000</v>
      </c>
      <c r="G117" s="2">
        <v>8000</v>
      </c>
      <c r="H117" s="2">
        <v>8000</v>
      </c>
      <c r="I117" s="2"/>
      <c r="J117" s="2"/>
    </row>
    <row r="118" spans="1:10" x14ac:dyDescent="0.25">
      <c r="A118" s="191" t="s">
        <v>975</v>
      </c>
      <c r="C118" s="2"/>
      <c r="D118" s="2">
        <v>8000</v>
      </c>
      <c r="E118" s="2"/>
      <c r="F118" s="2"/>
      <c r="G118" s="2"/>
      <c r="H118" s="2"/>
      <c r="I118" s="2"/>
      <c r="J118" s="2"/>
    </row>
    <row r="119" spans="1:10" x14ac:dyDescent="0.25">
      <c r="C119" s="2"/>
      <c r="E119" s="2"/>
      <c r="F119" s="2"/>
      <c r="G119" s="2"/>
      <c r="H119" s="2"/>
      <c r="I119" s="2"/>
      <c r="J119" s="2"/>
    </row>
    <row r="120" spans="1:10" ht="13.8" x14ac:dyDescent="0.3">
      <c r="A120" s="193" t="s">
        <v>1392</v>
      </c>
      <c r="C120" s="2"/>
      <c r="D120" s="2"/>
      <c r="E120" s="2">
        <v>99</v>
      </c>
      <c r="F120" s="2">
        <v>5000</v>
      </c>
      <c r="G120" s="2">
        <v>5000</v>
      </c>
      <c r="H120" s="2">
        <v>5000</v>
      </c>
      <c r="I120" s="2"/>
      <c r="J120" s="2"/>
    </row>
    <row r="121" spans="1:10" x14ac:dyDescent="0.25">
      <c r="A121" s="191" t="s">
        <v>1624</v>
      </c>
      <c r="C121" s="2"/>
      <c r="D121" s="2">
        <v>3000</v>
      </c>
      <c r="E121" s="2"/>
      <c r="F121" s="2"/>
      <c r="G121" s="2"/>
      <c r="H121" s="2"/>
      <c r="I121" s="2"/>
      <c r="J121" s="2"/>
    </row>
    <row r="122" spans="1:10" x14ac:dyDescent="0.25">
      <c r="A122" s="191" t="s">
        <v>1783</v>
      </c>
      <c r="C122" s="2"/>
      <c r="D122" s="2">
        <v>1000</v>
      </c>
      <c r="E122" s="2"/>
      <c r="F122" s="2"/>
      <c r="G122" s="2"/>
      <c r="H122" s="2"/>
      <c r="I122" s="2"/>
      <c r="J122" s="2"/>
    </row>
    <row r="123" spans="1:10" ht="15" x14ac:dyDescent="0.4">
      <c r="A123" s="191" t="s">
        <v>1126</v>
      </c>
      <c r="C123" s="11"/>
      <c r="D123" s="11">
        <v>1000</v>
      </c>
      <c r="E123" s="2"/>
      <c r="F123" s="2"/>
      <c r="G123" s="2"/>
      <c r="H123" s="2"/>
      <c r="I123" s="2"/>
      <c r="J123" s="2"/>
    </row>
    <row r="124" spans="1:10" x14ac:dyDescent="0.25">
      <c r="A124" s="191" t="s">
        <v>1182</v>
      </c>
      <c r="C124" s="2"/>
      <c r="D124" s="2">
        <f>SUM(D121:D123)</f>
        <v>5000</v>
      </c>
      <c r="E124" s="2"/>
      <c r="F124" s="2"/>
      <c r="G124" s="2"/>
      <c r="H124" s="2"/>
      <c r="I124" s="2"/>
      <c r="J124" s="2"/>
    </row>
    <row r="125" spans="1:10" x14ac:dyDescent="0.25">
      <c r="C125" s="2"/>
      <c r="D125" s="2"/>
    </row>
    <row r="126" spans="1:10" ht="13.8" x14ac:dyDescent="0.3">
      <c r="A126" s="193" t="s">
        <v>126</v>
      </c>
      <c r="C126" s="2"/>
      <c r="D126" s="2"/>
      <c r="E126" s="2">
        <v>8501</v>
      </c>
      <c r="F126" s="2">
        <v>2000</v>
      </c>
      <c r="G126" s="2">
        <v>1000</v>
      </c>
      <c r="H126" s="2">
        <v>1000</v>
      </c>
      <c r="I126" s="2"/>
      <c r="J126" s="2"/>
    </row>
    <row r="127" spans="1:10" x14ac:dyDescent="0.25">
      <c r="A127" s="23" t="s">
        <v>1732</v>
      </c>
      <c r="C127" s="2"/>
      <c r="D127" s="2">
        <v>1000</v>
      </c>
      <c r="F127" s="2"/>
      <c r="G127" s="2"/>
      <c r="H127" s="2"/>
      <c r="I127" s="2"/>
      <c r="J127" s="2"/>
    </row>
    <row r="128" spans="1:10" x14ac:dyDescent="0.25">
      <c r="A128" s="23"/>
      <c r="C128" s="2"/>
      <c r="D128" s="2"/>
      <c r="E128" s="2"/>
      <c r="F128" s="2"/>
      <c r="G128" s="2"/>
      <c r="H128" s="2"/>
      <c r="I128" s="2"/>
      <c r="J128" s="2"/>
    </row>
    <row r="129" spans="1:10" x14ac:dyDescent="0.25">
      <c r="C129" s="2"/>
      <c r="D129" s="2"/>
      <c r="E129" s="2"/>
      <c r="F129" s="2"/>
      <c r="G129" s="2"/>
      <c r="H129" s="2"/>
      <c r="I129" s="2"/>
      <c r="J129" s="2"/>
    </row>
    <row r="130" spans="1:10" ht="13.8" x14ac:dyDescent="0.3">
      <c r="A130" s="193" t="s">
        <v>1357</v>
      </c>
      <c r="C130" s="2"/>
      <c r="D130" s="2">
        <v>125000</v>
      </c>
      <c r="E130" s="2">
        <v>182000</v>
      </c>
      <c r="F130" s="2">
        <v>185000</v>
      </c>
      <c r="G130" s="2">
        <v>125000</v>
      </c>
      <c r="H130" s="2">
        <v>125000</v>
      </c>
      <c r="I130" s="2"/>
      <c r="J130" s="2"/>
    </row>
    <row r="131" spans="1:10" x14ac:dyDescent="0.25">
      <c r="A131" s="191" t="s">
        <v>533</v>
      </c>
      <c r="C131" s="2"/>
      <c r="F131" s="2"/>
      <c r="G131" s="2"/>
      <c r="H131" s="2"/>
      <c r="I131" s="2"/>
      <c r="J131" s="2"/>
    </row>
    <row r="132" spans="1:10" x14ac:dyDescent="0.25">
      <c r="A132" s="191" t="s">
        <v>386</v>
      </c>
      <c r="C132" s="2"/>
      <c r="D132" s="2"/>
      <c r="E132" s="2"/>
      <c r="F132" s="2"/>
      <c r="G132" s="2"/>
      <c r="H132" s="2"/>
      <c r="I132" s="2"/>
      <c r="J132" s="2"/>
    </row>
    <row r="133" spans="1:10" ht="15" x14ac:dyDescent="0.4">
      <c r="A133" s="53" t="s">
        <v>1457</v>
      </c>
      <c r="E133" s="11">
        <v>0</v>
      </c>
      <c r="F133" s="11">
        <v>559000</v>
      </c>
      <c r="G133" s="11">
        <v>50000</v>
      </c>
      <c r="H133" s="11">
        <v>0</v>
      </c>
      <c r="I133" s="11"/>
      <c r="J133" s="11"/>
    </row>
    <row r="134" spans="1:10" ht="15" x14ac:dyDescent="0.4">
      <c r="A134" s="53"/>
      <c r="B134" s="192" t="s">
        <v>1715</v>
      </c>
      <c r="C134" s="192" t="s">
        <v>1766</v>
      </c>
      <c r="D134" s="192" t="s">
        <v>1985</v>
      </c>
      <c r="E134" s="11"/>
      <c r="F134" s="11"/>
      <c r="G134" s="11"/>
      <c r="H134" s="11"/>
      <c r="I134" s="11"/>
      <c r="J134" s="11"/>
    </row>
    <row r="135" spans="1:10" x14ac:dyDescent="0.25">
      <c r="A135" s="52" t="s">
        <v>1852</v>
      </c>
      <c r="B135" s="2">
        <v>0</v>
      </c>
      <c r="C135" s="16">
        <v>559000</v>
      </c>
      <c r="D135" s="16">
        <v>0</v>
      </c>
    </row>
    <row r="136" spans="1:10" ht="15" x14ac:dyDescent="0.4">
      <c r="A136" s="43" t="s">
        <v>2184</v>
      </c>
      <c r="B136" s="11">
        <v>0</v>
      </c>
      <c r="C136" s="11">
        <v>0</v>
      </c>
      <c r="D136" s="11">
        <v>0</v>
      </c>
    </row>
    <row r="137" spans="1:10" x14ac:dyDescent="0.25">
      <c r="A137" s="89"/>
      <c r="B137" s="2">
        <f>SUM(B136:B136)</f>
        <v>0</v>
      </c>
      <c r="C137" s="2">
        <f>SUM(C136:C136)</f>
        <v>0</v>
      </c>
      <c r="D137" s="2">
        <f>SUM(D135:D136)</f>
        <v>0</v>
      </c>
      <c r="E137" s="2"/>
      <c r="F137" s="2"/>
      <c r="G137" s="2"/>
      <c r="H137" s="2"/>
      <c r="I137" s="2"/>
      <c r="J137" s="2"/>
    </row>
    <row r="138" spans="1:10" x14ac:dyDescent="0.25">
      <c r="A138" s="191" t="s">
        <v>1267</v>
      </c>
      <c r="C138" s="2"/>
      <c r="D138" s="2"/>
      <c r="E138" s="2">
        <f t="shared" ref="E138:J138" si="1">SUM(E6:E133)</f>
        <v>885781</v>
      </c>
      <c r="F138" s="2">
        <f t="shared" si="1"/>
        <v>1509724</v>
      </c>
      <c r="G138" s="2">
        <f t="shared" si="1"/>
        <v>973598</v>
      </c>
      <c r="H138" s="2">
        <f t="shared" si="1"/>
        <v>909885</v>
      </c>
      <c r="I138" s="2">
        <f t="shared" si="1"/>
        <v>0</v>
      </c>
      <c r="J138" s="2">
        <f t="shared" si="1"/>
        <v>0</v>
      </c>
    </row>
    <row r="140" spans="1:10" x14ac:dyDescent="0.25">
      <c r="A140" s="191" t="s">
        <v>571</v>
      </c>
      <c r="E140" s="2">
        <f t="shared" ref="E140:J140" si="2">SUM(E6:E75)</f>
        <v>634806</v>
      </c>
      <c r="F140" s="2">
        <f t="shared" si="2"/>
        <v>688863</v>
      </c>
      <c r="G140" s="2">
        <f t="shared" si="2"/>
        <v>720183</v>
      </c>
      <c r="H140" s="2">
        <f t="shared" si="2"/>
        <v>720070</v>
      </c>
      <c r="I140" s="2">
        <f t="shared" si="2"/>
        <v>0</v>
      </c>
      <c r="J140" s="2">
        <f t="shared" si="2"/>
        <v>0</v>
      </c>
    </row>
    <row r="141" spans="1:10" x14ac:dyDescent="0.25">
      <c r="A141" s="191" t="s">
        <v>895</v>
      </c>
      <c r="E141" s="2">
        <f t="shared" ref="E141:J141" si="3">SUM(E81:E120)</f>
        <v>60474</v>
      </c>
      <c r="F141" s="2">
        <f t="shared" si="3"/>
        <v>74861</v>
      </c>
      <c r="G141" s="2">
        <f t="shared" si="3"/>
        <v>77415</v>
      </c>
      <c r="H141" s="2">
        <f t="shared" si="3"/>
        <v>63815</v>
      </c>
      <c r="I141" s="2">
        <f t="shared" si="3"/>
        <v>0</v>
      </c>
      <c r="J141" s="2">
        <f t="shared" si="3"/>
        <v>0</v>
      </c>
    </row>
    <row r="142" spans="1:10" ht="15" x14ac:dyDescent="0.4">
      <c r="A142" s="191" t="s">
        <v>896</v>
      </c>
      <c r="E142" s="11">
        <f t="shared" ref="E142:J142" si="4">SUM(E126:E133)</f>
        <v>190501</v>
      </c>
      <c r="F142" s="11">
        <f t="shared" si="4"/>
        <v>746000</v>
      </c>
      <c r="G142" s="11">
        <f t="shared" si="4"/>
        <v>176000</v>
      </c>
      <c r="H142" s="11">
        <f>SUM(H126:H133)</f>
        <v>126000</v>
      </c>
      <c r="I142" s="11">
        <f t="shared" si="4"/>
        <v>0</v>
      </c>
      <c r="J142" s="11">
        <f t="shared" si="4"/>
        <v>0</v>
      </c>
    </row>
    <row r="143" spans="1:10" x14ac:dyDescent="0.25">
      <c r="A143" s="191" t="s">
        <v>1182</v>
      </c>
      <c r="E143" s="2">
        <f t="shared" ref="E143:J143" si="5">SUM(E140:E142)</f>
        <v>885781</v>
      </c>
      <c r="F143" s="2">
        <f t="shared" si="5"/>
        <v>1509724</v>
      </c>
      <c r="G143" s="2">
        <f t="shared" si="5"/>
        <v>973598</v>
      </c>
      <c r="H143" s="2">
        <f>SUM(H140:H142)</f>
        <v>909885</v>
      </c>
      <c r="I143" s="2">
        <f t="shared" si="5"/>
        <v>0</v>
      </c>
      <c r="J143" s="2">
        <f t="shared" si="5"/>
        <v>0</v>
      </c>
    </row>
    <row r="144" spans="1:10" x14ac:dyDescent="0.25">
      <c r="G144" s="187"/>
      <c r="H144" s="187"/>
      <c r="I144" s="187"/>
      <c r="J144" s="187"/>
    </row>
    <row r="145" spans="7:10" x14ac:dyDescent="0.25">
      <c r="G145" s="187"/>
      <c r="H145" s="187"/>
      <c r="I145" s="187"/>
      <c r="J145" s="187"/>
    </row>
    <row r="146" spans="7:10" x14ac:dyDescent="0.25">
      <c r="G146" s="187"/>
      <c r="H146" s="187"/>
      <c r="I146" s="187"/>
      <c r="J146" s="187"/>
    </row>
    <row r="147" spans="7:10" x14ac:dyDescent="0.25">
      <c r="G147" s="187"/>
      <c r="H147" s="187"/>
      <c r="I147" s="187"/>
      <c r="J147" s="187"/>
    </row>
    <row r="148" spans="7:10" x14ac:dyDescent="0.25">
      <c r="G148" s="187"/>
      <c r="H148" s="187"/>
      <c r="I148" s="187"/>
      <c r="J148" s="187"/>
    </row>
    <row r="149" spans="7:10" x14ac:dyDescent="0.25">
      <c r="G149" s="187"/>
      <c r="H149" s="187"/>
      <c r="I149" s="187"/>
      <c r="J149" s="187"/>
    </row>
    <row r="150" spans="7:10" x14ac:dyDescent="0.25">
      <c r="G150" s="187"/>
      <c r="H150" s="187"/>
      <c r="I150" s="187"/>
      <c r="J150" s="187"/>
    </row>
    <row r="151" spans="7:10" x14ac:dyDescent="0.25">
      <c r="G151" s="187"/>
      <c r="H151" s="187"/>
      <c r="I151" s="187"/>
      <c r="J151" s="187"/>
    </row>
    <row r="152" spans="7:10" x14ac:dyDescent="0.25">
      <c r="G152" s="187"/>
      <c r="H152" s="187"/>
      <c r="I152" s="187"/>
      <c r="J152" s="187"/>
    </row>
    <row r="153" spans="7:10" x14ac:dyDescent="0.25">
      <c r="G153" s="187"/>
      <c r="H153" s="187"/>
      <c r="I153" s="187"/>
      <c r="J153" s="187"/>
    </row>
    <row r="154" spans="7:10" x14ac:dyDescent="0.25">
      <c r="G154" s="187"/>
      <c r="H154" s="187"/>
      <c r="I154" s="187"/>
      <c r="J154" s="187"/>
    </row>
    <row r="155" spans="7:10" x14ac:dyDescent="0.25">
      <c r="G155" s="187"/>
      <c r="H155" s="187"/>
      <c r="I155" s="187"/>
      <c r="J155" s="187"/>
    </row>
    <row r="156" spans="7:10" x14ac:dyDescent="0.25">
      <c r="G156" s="187"/>
      <c r="H156" s="187"/>
      <c r="I156" s="187"/>
      <c r="J156" s="187"/>
    </row>
    <row r="157" spans="7:10" x14ac:dyDescent="0.25">
      <c r="G157" s="187"/>
      <c r="H157" s="187"/>
      <c r="I157" s="187"/>
      <c r="J157" s="187"/>
    </row>
    <row r="158" spans="7:10" x14ac:dyDescent="0.25">
      <c r="G158" s="187"/>
      <c r="H158" s="187"/>
      <c r="I158" s="187"/>
      <c r="J158" s="187"/>
    </row>
    <row r="159" spans="7:10" x14ac:dyDescent="0.25">
      <c r="G159" s="187"/>
      <c r="H159" s="187"/>
      <c r="I159" s="187"/>
      <c r="J159" s="187"/>
    </row>
    <row r="160" spans="7:10" x14ac:dyDescent="0.25">
      <c r="G160" s="187"/>
      <c r="H160" s="187"/>
      <c r="I160" s="187"/>
      <c r="J160" s="187"/>
    </row>
    <row r="161" spans="7:10" x14ac:dyDescent="0.25">
      <c r="G161" s="187"/>
      <c r="H161" s="187"/>
      <c r="I161" s="187"/>
      <c r="J161" s="187"/>
    </row>
    <row r="162" spans="7:10" x14ac:dyDescent="0.25">
      <c r="G162" s="187"/>
      <c r="H162" s="187"/>
      <c r="I162" s="187"/>
      <c r="J162" s="187"/>
    </row>
    <row r="163" spans="7:10" x14ac:dyDescent="0.25">
      <c r="G163" s="187"/>
      <c r="H163" s="187"/>
      <c r="I163" s="187"/>
      <c r="J163" s="187"/>
    </row>
    <row r="164" spans="7:10" x14ac:dyDescent="0.25">
      <c r="G164" s="187"/>
      <c r="H164" s="187"/>
      <c r="I164" s="187"/>
    </row>
    <row r="165" spans="7:10" x14ac:dyDescent="0.25">
      <c r="G165" s="187"/>
      <c r="H165" s="187"/>
      <c r="I165" s="187"/>
    </row>
    <row r="166" spans="7:10" x14ac:dyDescent="0.25">
      <c r="G166" s="187"/>
      <c r="H166" s="187"/>
      <c r="I166" s="187"/>
    </row>
    <row r="167" spans="7:10" x14ac:dyDescent="0.25">
      <c r="G167" s="187"/>
      <c r="H167" s="187"/>
      <c r="I167" s="187"/>
    </row>
    <row r="168" spans="7:10" x14ac:dyDescent="0.25">
      <c r="G168" s="187"/>
      <c r="H168" s="187"/>
      <c r="I168" s="187"/>
    </row>
    <row r="169" spans="7:10" x14ac:dyDescent="0.25">
      <c r="G169" s="187"/>
      <c r="H169" s="187"/>
    </row>
    <row r="170" spans="7:10" x14ac:dyDescent="0.25">
      <c r="G170" s="187"/>
      <c r="H170" s="187"/>
    </row>
    <row r="171" spans="7:10" x14ac:dyDescent="0.25">
      <c r="G171" s="187"/>
      <c r="H171" s="187"/>
    </row>
    <row r="172" spans="7:10" x14ac:dyDescent="0.25">
      <c r="G172" s="187"/>
      <c r="H172" s="187"/>
    </row>
    <row r="173" spans="7:10" x14ac:dyDescent="0.25">
      <c r="G173" s="187"/>
      <c r="H173" s="187"/>
    </row>
    <row r="174" spans="7:10" x14ac:dyDescent="0.25">
      <c r="G174" s="187"/>
      <c r="H174" s="187"/>
    </row>
    <row r="175" spans="7:10" x14ac:dyDescent="0.25">
      <c r="G175" s="187"/>
      <c r="H175" s="187"/>
    </row>
    <row r="176" spans="7:10" x14ac:dyDescent="0.25">
      <c r="G176" s="187"/>
      <c r="H176" s="187"/>
    </row>
    <row r="177" spans="7:8" x14ac:dyDescent="0.25">
      <c r="G177" s="187"/>
      <c r="H177" s="187"/>
    </row>
    <row r="178" spans="7:8" x14ac:dyDescent="0.25">
      <c r="G178" s="187"/>
      <c r="H178" s="187"/>
    </row>
    <row r="179" spans="7:8" x14ac:dyDescent="0.25">
      <c r="G179" s="187"/>
      <c r="H179" s="187"/>
    </row>
  </sheetData>
  <mergeCells count="1">
    <mergeCell ref="A1:J1"/>
  </mergeCells>
  <phoneticPr fontId="0" type="noConversion"/>
  <printOptions gridLines="1"/>
  <pageMargins left="0.75" right="0.16" top="0.51" bottom="0.22" header="0.5" footer="0.5"/>
  <pageSetup scale="95" fitToHeight="17" orientation="landscape" r:id="rId1"/>
  <headerFooter alignWithMargins="0"/>
  <rowBreaks count="1" manualBreakCount="1">
    <brk id="107" max="7"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197"/>
  <sheetViews>
    <sheetView zoomScaleNormal="100" zoomScaleSheetLayoutView="100" workbookViewId="0">
      <selection sqref="A1:J1"/>
    </sheetView>
  </sheetViews>
  <sheetFormatPr defaultColWidth="8.88671875" defaultRowHeight="12.75" customHeight="1" x14ac:dyDescent="0.25"/>
  <cols>
    <col min="1" max="1" width="44.44140625" style="191" customWidth="1"/>
    <col min="2" max="2" width="9.5546875" style="191" bestFit="1" customWidth="1"/>
    <col min="3" max="3" width="10.109375" style="191" customWidth="1"/>
    <col min="4" max="4" width="12" style="191" customWidth="1"/>
    <col min="5" max="6" width="9.109375" style="191" bestFit="1" customWidth="1"/>
    <col min="7" max="7" width="11" style="2" bestFit="1" customWidth="1"/>
    <col min="8" max="8" width="14.109375" style="191" bestFit="1" customWidth="1"/>
    <col min="9" max="10" width="9.5546875" style="191" customWidth="1"/>
    <col min="11" max="16384" width="8.88671875" style="191"/>
  </cols>
  <sheetData>
    <row r="1" spans="1:11" ht="13.2" x14ac:dyDescent="0.25">
      <c r="A1" s="194" t="e">
        <f>#REF!</f>
        <v>#REF!</v>
      </c>
      <c r="B1" s="194"/>
      <c r="C1" s="194"/>
      <c r="D1" s="194"/>
      <c r="E1" s="194"/>
      <c r="F1" s="194"/>
      <c r="G1" s="194"/>
      <c r="H1" s="194"/>
      <c r="I1" s="194"/>
      <c r="J1" s="194"/>
    </row>
    <row r="2" spans="1:11" ht="17.399999999999999" x14ac:dyDescent="0.3">
      <c r="A2" s="153" t="s">
        <v>1954</v>
      </c>
      <c r="B2" s="153"/>
      <c r="C2" s="153"/>
      <c r="D2" s="153"/>
      <c r="E2" s="153"/>
      <c r="F2" s="153"/>
    </row>
    <row r="3" spans="1:11" ht="13.2" x14ac:dyDescent="0.25">
      <c r="B3" s="2"/>
      <c r="C3" s="2"/>
      <c r="D3" s="2"/>
      <c r="E3" s="2"/>
      <c r="F3" s="2"/>
    </row>
    <row r="4" spans="1:11" ht="13.2" x14ac:dyDescent="0.25">
      <c r="B4" s="2"/>
      <c r="C4" s="2"/>
      <c r="D4" s="2"/>
      <c r="E4" s="167" t="s">
        <v>232</v>
      </c>
      <c r="F4" s="167" t="s">
        <v>233</v>
      </c>
      <c r="G4" s="167" t="s">
        <v>69</v>
      </c>
      <c r="H4" s="167" t="s">
        <v>399</v>
      </c>
      <c r="I4" s="16" t="s">
        <v>303</v>
      </c>
      <c r="J4" s="16" t="s">
        <v>336</v>
      </c>
    </row>
    <row r="5" spans="1:11" ht="15" x14ac:dyDescent="0.4">
      <c r="B5" s="2"/>
      <c r="C5" s="2"/>
      <c r="D5" s="2"/>
      <c r="E5" s="192" t="s">
        <v>1715</v>
      </c>
      <c r="F5" s="192" t="s">
        <v>1766</v>
      </c>
      <c r="G5" s="192" t="s">
        <v>1985</v>
      </c>
      <c r="H5" s="192" t="s">
        <v>1985</v>
      </c>
      <c r="I5" s="192" t="s">
        <v>1985</v>
      </c>
      <c r="J5" s="192" t="s">
        <v>1985</v>
      </c>
    </row>
    <row r="6" spans="1:11" ht="13.8" x14ac:dyDescent="0.3">
      <c r="A6" s="193" t="s">
        <v>1082</v>
      </c>
      <c r="B6" s="2"/>
      <c r="C6" s="2"/>
      <c r="D6" s="2"/>
      <c r="E6" s="2">
        <v>40257</v>
      </c>
      <c r="F6" s="65">
        <v>39988</v>
      </c>
      <c r="G6" s="65">
        <v>77740</v>
      </c>
      <c r="H6" s="65">
        <v>39988</v>
      </c>
      <c r="I6" s="65"/>
      <c r="J6" s="65"/>
      <c r="K6" s="65"/>
    </row>
    <row r="7" spans="1:11" ht="13.2" x14ac:dyDescent="0.25">
      <c r="A7" s="191" t="s">
        <v>141</v>
      </c>
      <c r="B7" s="2">
        <v>52</v>
      </c>
      <c r="C7" s="2">
        <v>769</v>
      </c>
      <c r="D7" s="2">
        <f>ROUND(B7*C7,0)</f>
        <v>39988</v>
      </c>
      <c r="E7" s="2"/>
      <c r="F7" s="2"/>
      <c r="H7" s="2"/>
      <c r="I7" s="2"/>
      <c r="J7" s="2"/>
      <c r="K7" s="2"/>
    </row>
    <row r="8" spans="1:11" ht="15" x14ac:dyDescent="0.4">
      <c r="A8" s="191" t="s">
        <v>2037</v>
      </c>
      <c r="B8" s="2">
        <v>0</v>
      </c>
      <c r="C8" s="2">
        <v>710</v>
      </c>
      <c r="D8" s="11">
        <f>ROUND(B8*C8,0)</f>
        <v>0</v>
      </c>
      <c r="E8" s="2"/>
      <c r="F8" s="2"/>
      <c r="H8" s="2"/>
      <c r="I8" s="2"/>
      <c r="J8" s="2"/>
      <c r="K8" s="2"/>
    </row>
    <row r="9" spans="1:11" ht="13.2" x14ac:dyDescent="0.25">
      <c r="B9" s="2"/>
      <c r="C9" s="2"/>
      <c r="D9" s="2">
        <f>SUM(D7:D8)</f>
        <v>39988</v>
      </c>
      <c r="E9" s="2"/>
      <c r="F9" s="2"/>
      <c r="H9" s="2"/>
      <c r="I9" s="2"/>
      <c r="J9" s="2"/>
      <c r="K9" s="2"/>
    </row>
    <row r="10" spans="1:11" ht="13.2" x14ac:dyDescent="0.25">
      <c r="B10" s="2"/>
      <c r="C10" s="2"/>
      <c r="D10" s="2"/>
      <c r="E10" s="2"/>
      <c r="F10" s="2"/>
      <c r="H10" s="2"/>
      <c r="I10" s="2"/>
      <c r="J10" s="2"/>
      <c r="K10" s="2"/>
    </row>
    <row r="11" spans="1:11" ht="13.8" x14ac:dyDescent="0.3">
      <c r="A11" s="193" t="s">
        <v>1083</v>
      </c>
      <c r="B11" s="2"/>
      <c r="C11" s="2"/>
      <c r="D11" s="2"/>
      <c r="E11" s="2">
        <v>71048</v>
      </c>
      <c r="F11" s="2">
        <v>81567</v>
      </c>
      <c r="G11" s="2">
        <v>83263</v>
      </c>
      <c r="H11" s="2">
        <v>81567</v>
      </c>
      <c r="I11" s="2"/>
      <c r="J11" s="2"/>
      <c r="K11" s="74"/>
    </row>
    <row r="12" spans="1:11" ht="13.2" x14ac:dyDescent="0.25">
      <c r="A12" s="191" t="s">
        <v>380</v>
      </c>
      <c r="B12" s="2">
        <v>52</v>
      </c>
      <c r="C12" s="2">
        <v>1539</v>
      </c>
      <c r="D12" s="2">
        <f>ROUND(B12*C12,0)</f>
        <v>80028</v>
      </c>
      <c r="E12" s="2"/>
      <c r="F12" s="2"/>
      <c r="H12" s="2"/>
      <c r="I12" s="2"/>
      <c r="J12" s="2"/>
      <c r="K12" s="2"/>
    </row>
    <row r="13" spans="1:11" ht="15" x14ac:dyDescent="0.4">
      <c r="A13" s="191" t="s">
        <v>912</v>
      </c>
      <c r="B13" s="2"/>
      <c r="C13" s="2"/>
      <c r="D13" s="11">
        <f>+C12</f>
        <v>1539</v>
      </c>
      <c r="E13" s="2"/>
      <c r="F13" s="74"/>
      <c r="G13" s="74"/>
      <c r="H13" s="74"/>
      <c r="I13" s="74"/>
      <c r="J13" s="74"/>
      <c r="K13" s="2"/>
    </row>
    <row r="14" spans="1:11" ht="13.2" x14ac:dyDescent="0.25">
      <c r="A14" s="191" t="s">
        <v>1182</v>
      </c>
      <c r="B14" s="2"/>
      <c r="C14" s="2"/>
      <c r="D14" s="2">
        <f>SUM(D12:D13)</f>
        <v>81567</v>
      </c>
      <c r="E14" s="2"/>
      <c r="F14" s="2"/>
      <c r="H14" s="2"/>
      <c r="I14" s="2"/>
      <c r="J14" s="2"/>
      <c r="K14" s="2"/>
    </row>
    <row r="15" spans="1:11" ht="13.2" x14ac:dyDescent="0.25">
      <c r="B15" s="2"/>
      <c r="C15" s="2"/>
      <c r="D15" s="2"/>
      <c r="E15" s="2"/>
      <c r="F15" s="2"/>
      <c r="H15" s="2"/>
      <c r="I15" s="2"/>
      <c r="J15" s="2"/>
      <c r="K15" s="2"/>
    </row>
    <row r="16" spans="1:11" ht="13.8" x14ac:dyDescent="0.3">
      <c r="A16" s="193" t="s">
        <v>1084</v>
      </c>
      <c r="B16" s="2"/>
      <c r="C16" s="2"/>
      <c r="D16" s="2"/>
      <c r="E16" s="2">
        <v>63287</v>
      </c>
      <c r="F16" s="2">
        <v>62964</v>
      </c>
      <c r="G16" s="2">
        <v>64289</v>
      </c>
      <c r="H16" s="2">
        <v>62964</v>
      </c>
      <c r="I16" s="2"/>
      <c r="J16" s="2"/>
      <c r="K16" s="65"/>
    </row>
    <row r="17" spans="1:11" ht="13.2" x14ac:dyDescent="0.25">
      <c r="A17" s="191" t="s">
        <v>601</v>
      </c>
      <c r="B17" s="2">
        <v>52</v>
      </c>
      <c r="C17" s="2">
        <v>1188</v>
      </c>
      <c r="D17" s="2">
        <f>ROUND(B17*C17,0)</f>
        <v>61776</v>
      </c>
      <c r="E17" s="2"/>
      <c r="F17" s="2"/>
      <c r="H17" s="2"/>
      <c r="I17" s="2"/>
      <c r="J17" s="2"/>
      <c r="K17" s="2"/>
    </row>
    <row r="18" spans="1:11" ht="15" x14ac:dyDescent="0.4">
      <c r="A18" s="191" t="s">
        <v>912</v>
      </c>
      <c r="B18" s="2"/>
      <c r="C18" s="2"/>
      <c r="D18" s="11">
        <f>+C17</f>
        <v>1188</v>
      </c>
      <c r="E18" s="2"/>
      <c r="F18" s="65"/>
      <c r="G18" s="65"/>
      <c r="H18" s="65"/>
      <c r="I18" s="65"/>
      <c r="J18" s="65"/>
      <c r="K18" s="2"/>
    </row>
    <row r="19" spans="1:11" ht="13.2" x14ac:dyDescent="0.25">
      <c r="A19" s="191" t="s">
        <v>1182</v>
      </c>
      <c r="B19" s="2"/>
      <c r="C19" s="2"/>
      <c r="D19" s="2">
        <f>SUM(D17:D18)</f>
        <v>62964</v>
      </c>
      <c r="E19" s="2"/>
      <c r="F19" s="2"/>
      <c r="H19" s="2"/>
      <c r="I19" s="2"/>
      <c r="J19" s="2"/>
      <c r="K19" s="2"/>
    </row>
    <row r="20" spans="1:11" ht="13.2" x14ac:dyDescent="0.25">
      <c r="D20" s="2"/>
      <c r="E20" s="2"/>
      <c r="F20" s="2"/>
      <c r="H20" s="2"/>
      <c r="I20" s="2"/>
      <c r="J20" s="2"/>
      <c r="K20" s="2"/>
    </row>
    <row r="21" spans="1:11" ht="13.8" x14ac:dyDescent="0.3">
      <c r="A21" s="193" t="s">
        <v>1085</v>
      </c>
      <c r="D21" s="2"/>
      <c r="E21" s="2">
        <v>43700</v>
      </c>
      <c r="F21" s="2">
        <v>56016</v>
      </c>
      <c r="G21" s="2">
        <v>64278</v>
      </c>
      <c r="H21" s="2">
        <v>63014</v>
      </c>
      <c r="I21" s="2"/>
      <c r="J21" s="2"/>
      <c r="K21" s="65"/>
    </row>
    <row r="22" spans="1:11" ht="13.2" x14ac:dyDescent="0.25">
      <c r="A22" s="191" t="s">
        <v>587</v>
      </c>
      <c r="B22" s="2">
        <v>1325</v>
      </c>
      <c r="C22" s="12">
        <v>28.14</v>
      </c>
      <c r="D22" s="2">
        <f>ROUND(B22*C22,0)</f>
        <v>37286</v>
      </c>
      <c r="E22" s="2"/>
      <c r="F22" s="2"/>
      <c r="H22" s="2"/>
      <c r="I22" s="2"/>
      <c r="J22" s="2"/>
      <c r="K22" s="2"/>
    </row>
    <row r="23" spans="1:11" ht="15" x14ac:dyDescent="0.4">
      <c r="A23" s="191" t="s">
        <v>1736</v>
      </c>
      <c r="B23" s="2">
        <v>1456</v>
      </c>
      <c r="C23" s="12">
        <v>17.670000000000002</v>
      </c>
      <c r="D23" s="11">
        <f>ROUND(B23*C23,0)</f>
        <v>25728</v>
      </c>
      <c r="E23" s="2"/>
      <c r="F23" s="65"/>
      <c r="G23" s="65"/>
      <c r="H23" s="65"/>
      <c r="I23" s="65"/>
      <c r="J23" s="65"/>
      <c r="K23" s="2"/>
    </row>
    <row r="24" spans="1:11" ht="13.2" x14ac:dyDescent="0.25">
      <c r="B24" s="2"/>
      <c r="C24" s="12"/>
      <c r="D24" s="2">
        <f>SUM(D22:D23)</f>
        <v>63014</v>
      </c>
      <c r="E24" s="2"/>
      <c r="F24" s="2"/>
      <c r="H24" s="2"/>
      <c r="I24" s="2"/>
      <c r="J24" s="2"/>
      <c r="K24" s="2"/>
    </row>
    <row r="25" spans="1:11" ht="13.2" x14ac:dyDescent="0.25">
      <c r="D25" s="2"/>
      <c r="E25" s="2"/>
      <c r="F25" s="2"/>
      <c r="H25" s="2"/>
      <c r="I25" s="2"/>
      <c r="J25" s="2"/>
      <c r="K25" s="2"/>
    </row>
    <row r="26" spans="1:11" ht="13.8" x14ac:dyDescent="0.3">
      <c r="A26" s="53" t="s">
        <v>107</v>
      </c>
      <c r="B26" s="2"/>
      <c r="C26" s="12"/>
      <c r="D26" s="2"/>
      <c r="E26" s="2">
        <v>3956</v>
      </c>
      <c r="F26" s="2">
        <v>4142</v>
      </c>
      <c r="G26" s="2">
        <v>4228</v>
      </c>
      <c r="H26" s="2">
        <v>4142</v>
      </c>
      <c r="I26" s="2"/>
      <c r="J26" s="2"/>
      <c r="K26" s="2"/>
    </row>
    <row r="27" spans="1:11" ht="13.2" x14ac:dyDescent="0.25">
      <c r="A27" s="52" t="s">
        <v>1704</v>
      </c>
      <c r="B27" s="2">
        <v>105</v>
      </c>
      <c r="C27" s="12">
        <f>+C7/40*1.5</f>
        <v>28.837500000000002</v>
      </c>
      <c r="D27" s="2">
        <f>C27*B27</f>
        <v>3027.9375</v>
      </c>
      <c r="E27" s="2"/>
      <c r="F27" s="2"/>
      <c r="H27" s="2"/>
      <c r="I27" s="2"/>
      <c r="J27" s="2"/>
      <c r="K27" s="2"/>
    </row>
    <row r="28" spans="1:11" ht="15" x14ac:dyDescent="0.4">
      <c r="A28" s="52" t="s">
        <v>1703</v>
      </c>
      <c r="B28" s="2">
        <v>25</v>
      </c>
      <c r="C28" s="12">
        <f>+C17/40*1.5</f>
        <v>44.55</v>
      </c>
      <c r="D28" s="11">
        <f>C28*B28</f>
        <v>1113.75</v>
      </c>
      <c r="E28" s="2"/>
      <c r="F28" s="2"/>
      <c r="H28" s="2"/>
      <c r="I28" s="2"/>
      <c r="J28" s="2"/>
      <c r="K28" s="2"/>
    </row>
    <row r="29" spans="1:11" ht="13.2" x14ac:dyDescent="0.25">
      <c r="A29" s="52"/>
      <c r="B29" s="2"/>
      <c r="C29" s="12"/>
      <c r="D29" s="2">
        <f>SUM(D27:D28)</f>
        <v>4141.6875</v>
      </c>
      <c r="E29" s="2"/>
      <c r="F29" s="2"/>
      <c r="H29" s="2"/>
      <c r="I29" s="2"/>
      <c r="J29" s="2"/>
      <c r="K29" s="2"/>
    </row>
    <row r="30" spans="1:11" ht="13.2" x14ac:dyDescent="0.25">
      <c r="A30" s="16"/>
      <c r="B30" s="2"/>
      <c r="C30" s="12"/>
      <c r="D30" s="2"/>
      <c r="E30" s="2"/>
      <c r="F30" s="2"/>
      <c r="H30" s="2"/>
      <c r="I30" s="2"/>
      <c r="J30" s="2"/>
      <c r="K30" s="2"/>
    </row>
    <row r="31" spans="1:11" ht="13.8" x14ac:dyDescent="0.3">
      <c r="A31" s="193" t="s">
        <v>1086</v>
      </c>
      <c r="B31" s="75"/>
      <c r="D31" s="2"/>
      <c r="E31" s="2">
        <v>18537</v>
      </c>
      <c r="F31" s="2">
        <v>18718</v>
      </c>
      <c r="G31" s="2">
        <v>22475</v>
      </c>
      <c r="H31" s="2">
        <v>19254</v>
      </c>
      <c r="I31" s="2"/>
      <c r="J31" s="2"/>
      <c r="K31" s="2"/>
    </row>
    <row r="32" spans="1:11" ht="13.2" hidden="1" x14ac:dyDescent="0.25">
      <c r="A32" s="13" t="s">
        <v>1183</v>
      </c>
      <c r="B32" s="2">
        <f>D9</f>
        <v>39988</v>
      </c>
      <c r="C32" s="14">
        <v>7.6499999999999999E-2</v>
      </c>
      <c r="D32" s="2">
        <f>ROUND(B32*C32,0)</f>
        <v>3059</v>
      </c>
      <c r="E32" s="2"/>
      <c r="F32" s="2"/>
      <c r="H32" s="2"/>
      <c r="I32" s="2"/>
      <c r="J32" s="2"/>
      <c r="K32" s="2"/>
    </row>
    <row r="33" spans="1:11" ht="13.2" hidden="1" x14ac:dyDescent="0.25">
      <c r="A33" s="13" t="s">
        <v>1184</v>
      </c>
      <c r="B33" s="2">
        <f>+D14</f>
        <v>81567</v>
      </c>
      <c r="C33" s="14">
        <v>7.6499999999999999E-2</v>
      </c>
      <c r="D33" s="2">
        <f>ROUND(B33*C33,0)</f>
        <v>6240</v>
      </c>
      <c r="E33" s="2"/>
      <c r="F33" s="2"/>
      <c r="H33" s="2"/>
      <c r="I33" s="2"/>
      <c r="J33" s="2"/>
      <c r="K33" s="2"/>
    </row>
    <row r="34" spans="1:11" ht="13.2" hidden="1" x14ac:dyDescent="0.25">
      <c r="A34" s="13" t="s">
        <v>1185</v>
      </c>
      <c r="B34" s="2">
        <f>+D19</f>
        <v>62964</v>
      </c>
      <c r="C34" s="14">
        <v>7.6499999999999999E-2</v>
      </c>
      <c r="D34" s="2">
        <f>ROUND(B34*C34,0)</f>
        <v>4817</v>
      </c>
      <c r="E34" s="2"/>
      <c r="F34" s="2"/>
      <c r="H34" s="2"/>
      <c r="I34" s="2"/>
      <c r="J34" s="2"/>
      <c r="K34" s="2"/>
    </row>
    <row r="35" spans="1:11" ht="13.2" hidden="1" x14ac:dyDescent="0.25">
      <c r="A35" s="13" t="s">
        <v>1186</v>
      </c>
      <c r="B35" s="2">
        <f>+D24</f>
        <v>63014</v>
      </c>
      <c r="C35" s="14">
        <v>7.6499999999999999E-2</v>
      </c>
      <c r="D35" s="2">
        <f>ROUND(B35*C35,0)</f>
        <v>4821</v>
      </c>
      <c r="E35" s="2"/>
      <c r="F35" s="2"/>
      <c r="H35" s="2"/>
      <c r="I35" s="2"/>
      <c r="J35" s="2"/>
      <c r="K35" s="2"/>
    </row>
    <row r="36" spans="1:11" ht="15" hidden="1" x14ac:dyDescent="0.4">
      <c r="A36" s="13" t="s">
        <v>1334</v>
      </c>
      <c r="B36" s="2">
        <f>+D29</f>
        <v>4141.6875</v>
      </c>
      <c r="C36" s="14">
        <v>7.6499999999999999E-2</v>
      </c>
      <c r="D36" s="11">
        <f>ROUND(B36*C36,0)</f>
        <v>317</v>
      </c>
      <c r="E36" s="2"/>
      <c r="F36" s="2"/>
      <c r="H36" s="2"/>
      <c r="I36" s="2"/>
      <c r="J36" s="2"/>
      <c r="K36" s="2"/>
    </row>
    <row r="37" spans="1:11" ht="13.2" hidden="1" x14ac:dyDescent="0.25">
      <c r="A37" s="191" t="s">
        <v>1182</v>
      </c>
      <c r="B37" s="2"/>
      <c r="C37" s="14"/>
      <c r="D37" s="2">
        <f>SUM(D32:D36)</f>
        <v>19254</v>
      </c>
      <c r="E37" s="2"/>
      <c r="F37" s="2"/>
      <c r="H37" s="2"/>
      <c r="I37" s="2"/>
      <c r="J37" s="2"/>
      <c r="K37" s="2"/>
    </row>
    <row r="38" spans="1:11" ht="13.2" x14ac:dyDescent="0.25">
      <c r="D38" s="2"/>
      <c r="E38" s="2"/>
      <c r="F38" s="2"/>
      <c r="H38" s="2"/>
      <c r="I38" s="2"/>
      <c r="J38" s="2"/>
      <c r="K38" s="2"/>
    </row>
    <row r="39" spans="1:11" ht="13.8" x14ac:dyDescent="0.3">
      <c r="A39" s="15" t="s">
        <v>1087</v>
      </c>
      <c r="D39" s="2"/>
      <c r="E39" s="2">
        <v>20903</v>
      </c>
      <c r="F39" s="2">
        <v>22922</v>
      </c>
      <c r="G39" s="2">
        <v>27886</v>
      </c>
      <c r="H39" s="2">
        <v>21469</v>
      </c>
      <c r="I39" s="2"/>
      <c r="J39" s="2"/>
      <c r="K39" s="2"/>
    </row>
    <row r="40" spans="1:11" ht="13.2" hidden="1" x14ac:dyDescent="0.25">
      <c r="A40" s="13" t="s">
        <v>1183</v>
      </c>
      <c r="B40" s="2">
        <f>D9</f>
        <v>39988</v>
      </c>
      <c r="C40" s="14">
        <v>0.1138</v>
      </c>
      <c r="D40" s="2">
        <f>ROUND(B40*C40,0)</f>
        <v>4551</v>
      </c>
      <c r="E40" s="2"/>
      <c r="F40" s="2"/>
      <c r="H40" s="2"/>
      <c r="I40" s="2"/>
      <c r="J40" s="2"/>
      <c r="K40" s="2"/>
    </row>
    <row r="41" spans="1:11" ht="13.2" hidden="1" x14ac:dyDescent="0.25">
      <c r="A41" s="13" t="s">
        <v>1184</v>
      </c>
      <c r="B41" s="2">
        <f>+D14</f>
        <v>81567</v>
      </c>
      <c r="C41" s="14">
        <v>0.1138</v>
      </c>
      <c r="D41" s="2">
        <f>ROUND(B41*C41,0)</f>
        <v>9282</v>
      </c>
      <c r="E41" s="2"/>
      <c r="F41" s="2"/>
      <c r="H41" s="2"/>
      <c r="I41" s="2"/>
      <c r="J41" s="2"/>
      <c r="K41" s="65"/>
    </row>
    <row r="42" spans="1:11" ht="13.2" hidden="1" x14ac:dyDescent="0.25">
      <c r="A42" s="13" t="s">
        <v>1185</v>
      </c>
      <c r="B42" s="2">
        <f>+D19</f>
        <v>62964</v>
      </c>
      <c r="C42" s="14">
        <v>0.1138</v>
      </c>
      <c r="D42" s="2">
        <f>ROUND(B42*C42,0)</f>
        <v>7165</v>
      </c>
      <c r="E42" s="2"/>
      <c r="F42" s="2"/>
      <c r="H42" s="2"/>
      <c r="I42" s="2"/>
      <c r="J42" s="2"/>
      <c r="K42" s="65"/>
    </row>
    <row r="43" spans="1:11" ht="15" hidden="1" x14ac:dyDescent="0.4">
      <c r="A43" s="13" t="s">
        <v>1705</v>
      </c>
      <c r="B43" s="2">
        <f>+D29</f>
        <v>4141.6875</v>
      </c>
      <c r="C43" s="14">
        <v>0.1138</v>
      </c>
      <c r="D43" s="11">
        <f>ROUND(B43*C43,0)</f>
        <v>471</v>
      </c>
      <c r="E43" s="2"/>
      <c r="F43" s="65"/>
      <c r="G43" s="65"/>
      <c r="H43" s="65"/>
      <c r="I43" s="65"/>
      <c r="J43" s="65"/>
      <c r="K43" s="2"/>
    </row>
    <row r="44" spans="1:11" ht="13.2" hidden="1" x14ac:dyDescent="0.25">
      <c r="A44" s="191" t="s">
        <v>1182</v>
      </c>
      <c r="D44" s="2">
        <f>SUM(D40:D43)</f>
        <v>21469</v>
      </c>
      <c r="E44" s="2"/>
      <c r="F44" s="65"/>
      <c r="G44" s="65"/>
      <c r="H44" s="65"/>
      <c r="I44" s="65"/>
      <c r="J44" s="65"/>
      <c r="K44" s="2"/>
    </row>
    <row r="45" spans="1:11" ht="13.2" x14ac:dyDescent="0.25">
      <c r="D45" s="2"/>
      <c r="E45" s="2"/>
      <c r="F45" s="2"/>
      <c r="H45" s="2"/>
      <c r="I45" s="2"/>
      <c r="J45" s="2"/>
      <c r="K45" s="2"/>
    </row>
    <row r="46" spans="1:11" ht="13.8" x14ac:dyDescent="0.3">
      <c r="A46" s="193" t="s">
        <v>1088</v>
      </c>
      <c r="D46" s="2"/>
      <c r="E46" s="2">
        <v>48561</v>
      </c>
      <c r="F46" s="2">
        <v>51750</v>
      </c>
      <c r="G46" s="2">
        <v>54900</v>
      </c>
      <c r="H46" s="2">
        <v>54900</v>
      </c>
      <c r="I46" s="2"/>
      <c r="J46" s="2"/>
      <c r="K46" s="2"/>
    </row>
    <row r="47" spans="1:11" ht="13.2" x14ac:dyDescent="0.25">
      <c r="A47" s="191" t="s">
        <v>224</v>
      </c>
      <c r="B47" s="2">
        <v>3</v>
      </c>
      <c r="C47" s="2">
        <v>18300</v>
      </c>
      <c r="D47" s="2">
        <f>ROUND(B47*C47,0)</f>
        <v>54900</v>
      </c>
      <c r="E47" s="2"/>
      <c r="F47" s="2"/>
      <c r="H47" s="2"/>
      <c r="I47" s="2"/>
      <c r="J47" s="2"/>
      <c r="K47" s="65"/>
    </row>
    <row r="48" spans="1:11" ht="13.2" x14ac:dyDescent="0.25">
      <c r="D48" s="2"/>
      <c r="E48" s="2"/>
      <c r="F48" s="2"/>
      <c r="H48" s="2"/>
      <c r="I48" s="2"/>
      <c r="J48" s="2"/>
      <c r="K48" s="2"/>
    </row>
    <row r="49" spans="1:11" ht="13.8" x14ac:dyDescent="0.3">
      <c r="A49" s="193" t="s">
        <v>1089</v>
      </c>
      <c r="D49" s="2"/>
      <c r="E49" s="2">
        <v>3561</v>
      </c>
      <c r="F49" s="65">
        <v>3510</v>
      </c>
      <c r="G49" s="65">
        <v>3510</v>
      </c>
      <c r="H49" s="65">
        <v>3510</v>
      </c>
      <c r="I49" s="65"/>
      <c r="J49" s="65"/>
      <c r="K49" s="2"/>
    </row>
    <row r="50" spans="1:11" ht="13.2" x14ac:dyDescent="0.25">
      <c r="A50" s="191" t="s">
        <v>406</v>
      </c>
      <c r="B50" s="2">
        <v>3</v>
      </c>
      <c r="C50" s="2">
        <v>1300</v>
      </c>
      <c r="D50" s="2">
        <f>ROUND(B50*C50,0)</f>
        <v>3900</v>
      </c>
      <c r="E50" s="2"/>
      <c r="F50" s="2"/>
      <c r="H50" s="2"/>
      <c r="I50" s="2"/>
      <c r="J50" s="2"/>
      <c r="K50" s="2"/>
    </row>
    <row r="51" spans="1:11" ht="15" x14ac:dyDescent="0.4">
      <c r="A51" s="191" t="s">
        <v>226</v>
      </c>
      <c r="B51" s="2"/>
      <c r="C51" s="2"/>
      <c r="D51" s="11">
        <f>-C50*B50*0.1</f>
        <v>-390</v>
      </c>
      <c r="E51" s="2"/>
      <c r="F51" s="2"/>
      <c r="H51" s="2"/>
      <c r="I51" s="2"/>
      <c r="J51" s="2"/>
      <c r="K51" s="2"/>
    </row>
    <row r="52" spans="1:11" ht="13.2" x14ac:dyDescent="0.25">
      <c r="A52" s="191" t="s">
        <v>751</v>
      </c>
      <c r="B52" s="2"/>
      <c r="C52" s="2"/>
      <c r="D52" s="2">
        <f>SUM(D50:D51)</f>
        <v>3510</v>
      </c>
      <c r="E52" s="2"/>
      <c r="F52" s="2"/>
      <c r="H52" s="2"/>
      <c r="I52" s="2"/>
      <c r="J52" s="2"/>
      <c r="K52" s="2"/>
    </row>
    <row r="53" spans="1:11" ht="13.2" x14ac:dyDescent="0.25">
      <c r="D53" s="2"/>
      <c r="E53" s="2"/>
      <c r="F53" s="2"/>
      <c r="H53" s="2"/>
      <c r="I53" s="2"/>
      <c r="J53" s="2"/>
      <c r="K53" s="2"/>
    </row>
    <row r="54" spans="1:11" ht="13.8" x14ac:dyDescent="0.3">
      <c r="A54" s="193" t="s">
        <v>1090</v>
      </c>
      <c r="D54" s="2"/>
      <c r="E54" s="2">
        <v>402</v>
      </c>
      <c r="F54" s="2">
        <v>405</v>
      </c>
      <c r="G54" s="2">
        <v>405</v>
      </c>
      <c r="H54" s="2">
        <v>405</v>
      </c>
      <c r="I54" s="2"/>
      <c r="J54" s="2"/>
      <c r="K54" s="2"/>
    </row>
    <row r="55" spans="1:11" ht="13.2" hidden="1" x14ac:dyDescent="0.25">
      <c r="A55" s="191" t="s">
        <v>406</v>
      </c>
      <c r="B55" s="2">
        <v>3</v>
      </c>
      <c r="C55" s="2">
        <v>135</v>
      </c>
      <c r="D55" s="2">
        <f>ROUND(B55*C55,0)</f>
        <v>405</v>
      </c>
      <c r="E55" s="2"/>
      <c r="F55" s="2"/>
      <c r="H55" s="2"/>
      <c r="I55" s="2"/>
      <c r="J55" s="2"/>
      <c r="K55" s="2"/>
    </row>
    <row r="56" spans="1:11" ht="13.2" x14ac:dyDescent="0.25">
      <c r="D56" s="2"/>
      <c r="E56" s="2"/>
      <c r="F56" s="2"/>
      <c r="H56" s="2"/>
      <c r="I56" s="2"/>
      <c r="J56" s="2"/>
      <c r="K56" s="65"/>
    </row>
    <row r="57" spans="1:11" ht="13.8" x14ac:dyDescent="0.3">
      <c r="A57" s="193" t="s">
        <v>1091</v>
      </c>
      <c r="D57" s="2"/>
      <c r="E57" s="2">
        <v>1180</v>
      </c>
      <c r="F57" s="2">
        <v>1230</v>
      </c>
      <c r="G57" s="2">
        <v>1890</v>
      </c>
      <c r="H57" s="2">
        <v>1890</v>
      </c>
      <c r="I57" s="2"/>
      <c r="J57" s="2"/>
      <c r="K57" s="3"/>
    </row>
    <row r="58" spans="1:11" ht="13.2" hidden="1" x14ac:dyDescent="0.25">
      <c r="A58" s="191" t="s">
        <v>406</v>
      </c>
      <c r="B58" s="2">
        <v>3</v>
      </c>
      <c r="C58" s="2">
        <v>630</v>
      </c>
      <c r="D58" s="2">
        <f>ROUND(B58*C58,0)</f>
        <v>1890</v>
      </c>
      <c r="E58" s="2"/>
      <c r="F58" s="65"/>
      <c r="G58" s="65"/>
      <c r="H58" s="65"/>
      <c r="I58" s="65"/>
      <c r="J58" s="65"/>
      <c r="K58" s="3"/>
    </row>
    <row r="59" spans="1:11" ht="13.2" x14ac:dyDescent="0.25">
      <c r="D59" s="2"/>
      <c r="E59" s="2"/>
      <c r="F59" s="3"/>
      <c r="G59" s="3"/>
      <c r="H59" s="3"/>
      <c r="I59" s="3"/>
      <c r="J59" s="3"/>
      <c r="K59" s="3"/>
    </row>
    <row r="60" spans="1:11" ht="13.8" x14ac:dyDescent="0.3">
      <c r="A60" s="193" t="s">
        <v>1092</v>
      </c>
      <c r="D60" s="2"/>
      <c r="E60" s="2">
        <v>5162</v>
      </c>
      <c r="F60" s="3">
        <v>7164</v>
      </c>
      <c r="G60" s="3">
        <v>8646</v>
      </c>
      <c r="H60" s="3">
        <v>7452</v>
      </c>
      <c r="I60" s="3"/>
      <c r="J60" s="3"/>
      <c r="K60" s="3"/>
    </row>
    <row r="61" spans="1:11" ht="13.2" hidden="1" x14ac:dyDescent="0.25">
      <c r="A61" s="13" t="s">
        <v>1183</v>
      </c>
      <c r="B61" s="2">
        <f>+D9</f>
        <v>39988</v>
      </c>
      <c r="C61" s="14">
        <v>1.6000000000000001E-3</v>
      </c>
      <c r="D61" s="2">
        <f>ROUND(B61*C61,0)</f>
        <v>64</v>
      </c>
      <c r="E61" s="2"/>
      <c r="F61" s="3"/>
      <c r="G61" s="3"/>
      <c r="H61" s="3"/>
      <c r="I61" s="3"/>
      <c r="J61" s="3"/>
      <c r="K61" s="3"/>
    </row>
    <row r="62" spans="1:11" ht="13.2" hidden="1" x14ac:dyDescent="0.25">
      <c r="A62" s="13" t="s">
        <v>1188</v>
      </c>
      <c r="B62" s="2">
        <f>+D14</f>
        <v>81567</v>
      </c>
      <c r="C62" s="14">
        <v>3.49E-2</v>
      </c>
      <c r="D62" s="2">
        <f>ROUND(B62*C62,0)</f>
        <v>2847</v>
      </c>
      <c r="E62" s="2"/>
      <c r="F62" s="3"/>
      <c r="G62" s="3"/>
      <c r="H62" s="3"/>
      <c r="I62" s="3"/>
      <c r="J62" s="3"/>
      <c r="K62" s="3"/>
    </row>
    <row r="63" spans="1:11" ht="13.2" hidden="1" x14ac:dyDescent="0.25">
      <c r="A63" s="13" t="s">
        <v>462</v>
      </c>
      <c r="B63" s="2">
        <f>+D19</f>
        <v>62964</v>
      </c>
      <c r="C63" s="14">
        <v>3.49E-2</v>
      </c>
      <c r="D63" s="2">
        <f>ROUND(B63*C63,0)</f>
        <v>2197</v>
      </c>
      <c r="E63" s="2"/>
      <c r="F63" s="3"/>
      <c r="G63" s="3"/>
      <c r="H63" s="3"/>
      <c r="I63" s="3"/>
      <c r="J63" s="3"/>
      <c r="K63" s="3"/>
    </row>
    <row r="64" spans="1:11" ht="13.2" hidden="1" x14ac:dyDescent="0.25">
      <c r="A64" s="13" t="s">
        <v>1189</v>
      </c>
      <c r="B64" s="2">
        <f>+D24</f>
        <v>63014</v>
      </c>
      <c r="C64" s="14">
        <v>3.49E-2</v>
      </c>
      <c r="D64" s="2">
        <f>ROUND(B64*C64,0)</f>
        <v>2199</v>
      </c>
      <c r="E64" s="2"/>
      <c r="F64" s="3"/>
      <c r="G64" s="3"/>
      <c r="H64" s="3"/>
      <c r="I64" s="3"/>
      <c r="J64" s="3"/>
      <c r="K64" s="3"/>
    </row>
    <row r="65" spans="1:11" ht="15" hidden="1" x14ac:dyDescent="0.4">
      <c r="A65" s="13" t="s">
        <v>1706</v>
      </c>
      <c r="B65" s="2">
        <f>+D29</f>
        <v>4141.6875</v>
      </c>
      <c r="C65" s="14">
        <v>3.49E-2</v>
      </c>
      <c r="D65" s="11">
        <f>ROUND(B65*C65,0)</f>
        <v>145</v>
      </c>
      <c r="E65" s="2"/>
      <c r="F65" s="3"/>
      <c r="G65" s="3"/>
      <c r="H65" s="3"/>
      <c r="I65" s="3"/>
      <c r="J65" s="3"/>
      <c r="K65" s="3"/>
    </row>
    <row r="66" spans="1:11" ht="13.2" hidden="1" x14ac:dyDescent="0.25">
      <c r="A66" s="191" t="s">
        <v>1182</v>
      </c>
      <c r="D66" s="2">
        <f>SUM(D61:D65)</f>
        <v>7452</v>
      </c>
      <c r="E66" s="2"/>
      <c r="F66" s="3"/>
      <c r="G66" s="3"/>
      <c r="H66" s="3"/>
      <c r="I66" s="3"/>
      <c r="J66" s="3"/>
      <c r="K66" s="3"/>
    </row>
    <row r="67" spans="1:11" ht="13.2" x14ac:dyDescent="0.25">
      <c r="D67" s="2"/>
      <c r="E67" s="2"/>
      <c r="F67" s="3"/>
      <c r="G67" s="3"/>
      <c r="H67" s="3"/>
      <c r="I67" s="3"/>
      <c r="J67" s="3"/>
      <c r="K67" s="3"/>
    </row>
    <row r="68" spans="1:11" ht="13.8" x14ac:dyDescent="0.3">
      <c r="A68" s="193" t="s">
        <v>1093</v>
      </c>
      <c r="D68" s="2"/>
      <c r="E68" s="2">
        <v>158</v>
      </c>
      <c r="F68" s="3">
        <v>175</v>
      </c>
      <c r="G68" s="3">
        <v>175</v>
      </c>
      <c r="H68" s="3">
        <v>130</v>
      </c>
      <c r="I68" s="3"/>
      <c r="J68" s="3"/>
      <c r="K68" s="3"/>
    </row>
    <row r="69" spans="1:11" ht="13.2" hidden="1" x14ac:dyDescent="0.25">
      <c r="A69" s="13" t="s">
        <v>1183</v>
      </c>
      <c r="B69" s="2">
        <v>1</v>
      </c>
      <c r="C69" s="2">
        <v>26</v>
      </c>
      <c r="D69" s="2">
        <f>ROUND(B69*C69,0)</f>
        <v>26</v>
      </c>
      <c r="E69" s="2"/>
      <c r="F69" s="3"/>
      <c r="G69" s="3"/>
      <c r="H69" s="3"/>
      <c r="I69" s="3"/>
      <c r="J69" s="3"/>
      <c r="K69" s="3"/>
    </row>
    <row r="70" spans="1:11" ht="13.2" hidden="1" x14ac:dyDescent="0.25">
      <c r="A70" s="13" t="s">
        <v>1184</v>
      </c>
      <c r="B70" s="2">
        <v>1</v>
      </c>
      <c r="C70" s="2">
        <v>26</v>
      </c>
      <c r="D70" s="2">
        <f>ROUND(B70*C70,0)</f>
        <v>26</v>
      </c>
      <c r="E70" s="2"/>
      <c r="F70" s="3"/>
      <c r="G70" s="3"/>
      <c r="H70" s="3"/>
      <c r="I70" s="3"/>
      <c r="J70" s="3"/>
      <c r="K70" s="3"/>
    </row>
    <row r="71" spans="1:11" ht="13.2" hidden="1" x14ac:dyDescent="0.25">
      <c r="A71" s="13" t="s">
        <v>1185</v>
      </c>
      <c r="B71" s="2">
        <v>1</v>
      </c>
      <c r="C71" s="2">
        <v>26</v>
      </c>
      <c r="D71" s="2">
        <f>ROUND(B71*C71,0)</f>
        <v>26</v>
      </c>
      <c r="E71" s="2"/>
      <c r="F71" s="3"/>
      <c r="G71" s="3"/>
      <c r="H71" s="3"/>
      <c r="I71" s="3"/>
      <c r="J71" s="3"/>
      <c r="K71" s="3"/>
    </row>
    <row r="72" spans="1:11" ht="13.2" hidden="1" x14ac:dyDescent="0.25">
      <c r="A72" s="13" t="s">
        <v>2172</v>
      </c>
      <c r="B72" s="2">
        <v>2</v>
      </c>
      <c r="C72" s="2">
        <v>26</v>
      </c>
      <c r="D72" s="2">
        <f>ROUND(B72*C72,0)</f>
        <v>52</v>
      </c>
      <c r="E72" s="2"/>
      <c r="F72" s="3"/>
      <c r="G72" s="3"/>
      <c r="H72" s="3"/>
      <c r="I72" s="3"/>
      <c r="J72" s="3"/>
      <c r="K72" s="74"/>
    </row>
    <row r="73" spans="1:11" ht="13.2" hidden="1" x14ac:dyDescent="0.25">
      <c r="A73" s="13" t="s">
        <v>2173</v>
      </c>
      <c r="B73" s="2">
        <v>0</v>
      </c>
      <c r="C73" s="14">
        <v>1.8E-3</v>
      </c>
      <c r="D73" s="18">
        <f>ROUND(B73*C73,0)</f>
        <v>0</v>
      </c>
      <c r="E73" s="2"/>
      <c r="F73" s="3"/>
      <c r="G73" s="3"/>
      <c r="H73" s="3"/>
      <c r="I73" s="3"/>
      <c r="J73" s="3"/>
      <c r="K73" s="3"/>
    </row>
    <row r="74" spans="1:11" ht="13.2" hidden="1" x14ac:dyDescent="0.25">
      <c r="A74" s="191" t="s">
        <v>1182</v>
      </c>
      <c r="B74" s="2" t="s">
        <v>386</v>
      </c>
      <c r="C74" s="14" t="s">
        <v>386</v>
      </c>
      <c r="D74" s="2">
        <f>SUM(D69:D73)</f>
        <v>130</v>
      </c>
      <c r="E74" s="2"/>
      <c r="F74" s="74"/>
      <c r="G74" s="74"/>
      <c r="H74" s="74"/>
      <c r="I74" s="74"/>
      <c r="J74" s="74"/>
      <c r="K74" s="3"/>
    </row>
    <row r="75" spans="1:11" ht="13.2" x14ac:dyDescent="0.25">
      <c r="D75" s="2"/>
      <c r="E75" s="2"/>
      <c r="F75" s="3"/>
      <c r="G75" s="3"/>
      <c r="H75" s="3"/>
      <c r="I75" s="3"/>
      <c r="J75" s="3"/>
      <c r="K75" s="3"/>
    </row>
    <row r="76" spans="1:11" ht="13.8" x14ac:dyDescent="0.3">
      <c r="A76" s="193" t="s">
        <v>1094</v>
      </c>
      <c r="D76" s="2"/>
      <c r="E76" s="2">
        <v>1765</v>
      </c>
      <c r="F76" s="3">
        <v>2995</v>
      </c>
      <c r="G76" s="3">
        <v>2995</v>
      </c>
      <c r="H76" s="3">
        <v>2995</v>
      </c>
      <c r="I76" s="3"/>
      <c r="J76" s="3"/>
      <c r="K76" s="74"/>
    </row>
    <row r="77" spans="1:11" ht="13.2" x14ac:dyDescent="0.25">
      <c r="A77" s="191" t="s">
        <v>1567</v>
      </c>
      <c r="D77" s="2">
        <v>2500</v>
      </c>
      <c r="E77" s="2"/>
      <c r="F77" s="3"/>
      <c r="G77" s="3"/>
      <c r="H77" s="3"/>
      <c r="I77" s="3"/>
      <c r="J77" s="3"/>
      <c r="K77" s="3"/>
    </row>
    <row r="78" spans="1:11" ht="13.2" x14ac:dyDescent="0.25">
      <c r="A78" s="191" t="s">
        <v>1568</v>
      </c>
      <c r="C78" s="191">
        <v>1</v>
      </c>
      <c r="D78" s="2">
        <v>195</v>
      </c>
      <c r="E78" s="2"/>
      <c r="F78" s="74"/>
      <c r="G78" s="74"/>
      <c r="H78" s="74"/>
      <c r="I78" s="74"/>
      <c r="J78" s="74"/>
      <c r="K78" s="3"/>
    </row>
    <row r="79" spans="1:11" ht="15" x14ac:dyDescent="0.4">
      <c r="A79" s="191" t="s">
        <v>1569</v>
      </c>
      <c r="C79" s="191">
        <v>1</v>
      </c>
      <c r="D79" s="11">
        <v>300</v>
      </c>
      <c r="E79" s="2"/>
      <c r="F79" s="3"/>
      <c r="G79" s="3"/>
      <c r="H79" s="3"/>
      <c r="I79" s="3"/>
      <c r="J79" s="3"/>
      <c r="K79" s="3"/>
    </row>
    <row r="80" spans="1:11" ht="13.2" x14ac:dyDescent="0.25">
      <c r="D80" s="2">
        <f>SUM(D77:D79)</f>
        <v>2995</v>
      </c>
      <c r="E80" s="2"/>
      <c r="F80" s="3"/>
      <c r="G80" s="3"/>
      <c r="H80" s="3"/>
      <c r="I80" s="3"/>
      <c r="J80" s="3"/>
      <c r="K80" s="3"/>
    </row>
    <row r="81" spans="1:11" ht="13.2" x14ac:dyDescent="0.25">
      <c r="A81" s="191" t="s">
        <v>386</v>
      </c>
      <c r="D81" s="2" t="s">
        <v>386</v>
      </c>
      <c r="E81" s="2"/>
      <c r="F81" s="3"/>
      <c r="G81" s="3"/>
      <c r="H81" s="3"/>
      <c r="I81" s="3"/>
      <c r="J81" s="3"/>
      <c r="K81" s="3"/>
    </row>
    <row r="82" spans="1:11" ht="13.8" x14ac:dyDescent="0.3">
      <c r="A82" s="145" t="s">
        <v>787</v>
      </c>
      <c r="B82" s="138"/>
      <c r="C82" s="138"/>
      <c r="D82" s="138"/>
      <c r="E82" s="2">
        <v>0</v>
      </c>
      <c r="F82" s="3">
        <v>0</v>
      </c>
      <c r="G82" s="3">
        <v>0</v>
      </c>
      <c r="H82" s="3">
        <v>0</v>
      </c>
      <c r="I82" s="3"/>
      <c r="J82" s="3"/>
      <c r="K82" s="74"/>
    </row>
    <row r="83" spans="1:11" ht="13.2" x14ac:dyDescent="0.25">
      <c r="A83" s="146" t="s">
        <v>892</v>
      </c>
      <c r="B83" s="143" t="s">
        <v>243</v>
      </c>
      <c r="C83" s="143" t="s">
        <v>1589</v>
      </c>
      <c r="D83" s="143"/>
      <c r="E83" s="2"/>
      <c r="F83" s="3"/>
      <c r="G83" s="3"/>
      <c r="H83" s="3"/>
      <c r="I83" s="3"/>
      <c r="J83" s="3"/>
      <c r="K83" s="3"/>
    </row>
    <row r="84" spans="1:11" ht="13.2" x14ac:dyDescent="0.25">
      <c r="A84" s="138" t="s">
        <v>1864</v>
      </c>
      <c r="B84" s="138">
        <v>3</v>
      </c>
      <c r="C84" s="138">
        <v>100</v>
      </c>
      <c r="D84" s="138">
        <v>0</v>
      </c>
      <c r="E84" s="2"/>
      <c r="F84" s="3"/>
      <c r="G84" s="3"/>
      <c r="H84" s="3"/>
      <c r="I84" s="3"/>
      <c r="J84" s="3"/>
      <c r="K84" s="3"/>
    </row>
    <row r="85" spans="1:11" ht="13.2" x14ac:dyDescent="0.25">
      <c r="A85" s="138" t="s">
        <v>1865</v>
      </c>
      <c r="B85" s="138">
        <v>4</v>
      </c>
      <c r="C85" s="138">
        <v>300</v>
      </c>
      <c r="D85" s="138">
        <v>0</v>
      </c>
      <c r="E85" s="2"/>
      <c r="F85" s="3"/>
      <c r="G85" s="3"/>
      <c r="H85" s="3"/>
      <c r="I85" s="3"/>
      <c r="J85" s="3"/>
      <c r="K85" s="3"/>
    </row>
    <row r="86" spans="1:11" ht="13.2" x14ac:dyDescent="0.25">
      <c r="A86" s="138" t="s">
        <v>1866</v>
      </c>
      <c r="B86" s="138">
        <v>1</v>
      </c>
      <c r="C86" s="138">
        <v>150</v>
      </c>
      <c r="D86" s="138">
        <v>0</v>
      </c>
      <c r="E86" s="2"/>
      <c r="F86" s="3"/>
      <c r="G86" s="3"/>
      <c r="H86" s="3"/>
      <c r="I86" s="3"/>
      <c r="J86" s="3"/>
      <c r="K86" s="3"/>
    </row>
    <row r="87" spans="1:11" ht="13.2" x14ac:dyDescent="0.25">
      <c r="A87" s="138" t="s">
        <v>1867</v>
      </c>
      <c r="B87" s="138">
        <v>2</v>
      </c>
      <c r="C87" s="138">
        <v>150</v>
      </c>
      <c r="D87" s="138">
        <v>0</v>
      </c>
      <c r="E87" s="2"/>
      <c r="F87" s="3"/>
      <c r="G87" s="3"/>
      <c r="H87" s="3"/>
      <c r="I87" s="3"/>
      <c r="J87" s="3"/>
      <c r="K87" s="74"/>
    </row>
    <row r="88" spans="1:11" ht="15" x14ac:dyDescent="0.4">
      <c r="A88" s="138"/>
      <c r="B88" s="138"/>
      <c r="C88" s="138"/>
      <c r="D88" s="144">
        <v>0</v>
      </c>
      <c r="E88" s="2"/>
      <c r="F88" s="3"/>
      <c r="G88" s="3"/>
      <c r="H88" s="3"/>
      <c r="I88" s="3"/>
      <c r="J88" s="3"/>
      <c r="K88" s="74"/>
    </row>
    <row r="89" spans="1:11" ht="13.2" x14ac:dyDescent="0.25">
      <c r="A89" s="147" t="s">
        <v>1182</v>
      </c>
      <c r="B89" s="138"/>
      <c r="C89" s="138"/>
      <c r="D89" s="138">
        <f>SUM(D84:D88)</f>
        <v>0</v>
      </c>
      <c r="E89" s="2"/>
      <c r="F89" s="3"/>
      <c r="G89" s="3"/>
      <c r="H89" s="3"/>
      <c r="I89" s="3"/>
      <c r="J89" s="3"/>
      <c r="K89" s="74"/>
    </row>
    <row r="90" spans="1:11" ht="13.8" x14ac:dyDescent="0.3">
      <c r="A90" s="193"/>
      <c r="E90" s="2"/>
      <c r="F90" s="3"/>
      <c r="G90" s="3"/>
      <c r="H90" s="3"/>
      <c r="I90" s="3"/>
      <c r="J90" s="3"/>
      <c r="K90" s="3"/>
    </row>
    <row r="91" spans="1:11" ht="13.8" x14ac:dyDescent="0.3">
      <c r="A91" s="193" t="s">
        <v>1095</v>
      </c>
      <c r="D91" s="2"/>
      <c r="E91" s="2">
        <v>35</v>
      </c>
      <c r="F91" s="3">
        <v>655</v>
      </c>
      <c r="G91" s="3">
        <v>655</v>
      </c>
      <c r="H91" s="3">
        <v>655</v>
      </c>
      <c r="I91" s="3"/>
      <c r="J91" s="3"/>
      <c r="K91" s="3"/>
    </row>
    <row r="92" spans="1:11" ht="13.2" x14ac:dyDescent="0.25">
      <c r="A92" s="191" t="s">
        <v>1521</v>
      </c>
      <c r="D92" s="2">
        <v>295</v>
      </c>
      <c r="E92" s="2"/>
      <c r="F92" s="3"/>
      <c r="G92" s="3"/>
      <c r="H92" s="3"/>
      <c r="I92" s="3"/>
      <c r="J92" s="3"/>
      <c r="K92" s="3"/>
    </row>
    <row r="93" spans="1:11" ht="15" x14ac:dyDescent="0.4">
      <c r="A93" s="191" t="s">
        <v>1522</v>
      </c>
      <c r="D93" s="11">
        <v>360</v>
      </c>
      <c r="E93" s="2"/>
      <c r="F93" s="74"/>
      <c r="G93" s="74"/>
      <c r="H93" s="74"/>
      <c r="I93" s="74"/>
      <c r="J93" s="74"/>
      <c r="K93" s="3"/>
    </row>
    <row r="94" spans="1:11" ht="13.2" x14ac:dyDescent="0.25">
      <c r="D94" s="2">
        <f>SUM(D92:D93)</f>
        <v>655</v>
      </c>
      <c r="E94" s="2"/>
      <c r="F94" s="3"/>
      <c r="G94" s="3"/>
      <c r="H94" s="3"/>
      <c r="I94" s="3"/>
      <c r="J94" s="3"/>
      <c r="K94" s="74"/>
    </row>
    <row r="95" spans="1:11" ht="13.2" x14ac:dyDescent="0.25">
      <c r="D95" s="2"/>
      <c r="E95" s="2"/>
      <c r="F95" s="3"/>
      <c r="G95" s="3"/>
      <c r="H95" s="3"/>
      <c r="I95" s="3"/>
      <c r="J95" s="3"/>
      <c r="K95" s="3"/>
    </row>
    <row r="96" spans="1:11" ht="13.2" x14ac:dyDescent="0.25">
      <c r="A96" s="105" t="s">
        <v>84</v>
      </c>
      <c r="E96" s="2">
        <v>6</v>
      </c>
      <c r="F96" s="3">
        <v>25</v>
      </c>
      <c r="G96" s="3">
        <v>25</v>
      </c>
      <c r="H96" s="3">
        <v>25</v>
      </c>
      <c r="I96" s="3"/>
      <c r="J96" s="3"/>
      <c r="K96" s="3"/>
    </row>
    <row r="97" spans="1:11" ht="13.2" x14ac:dyDescent="0.25">
      <c r="A97" s="2" t="s">
        <v>309</v>
      </c>
      <c r="D97" s="191">
        <v>25</v>
      </c>
      <c r="E97" s="2"/>
      <c r="F97" s="3"/>
      <c r="G97" s="3"/>
      <c r="H97" s="3"/>
      <c r="I97" s="3"/>
      <c r="J97" s="3"/>
      <c r="K97" s="3"/>
    </row>
    <row r="98" spans="1:11" ht="13.2" x14ac:dyDescent="0.25">
      <c r="E98" s="2"/>
      <c r="F98" s="74"/>
      <c r="G98" s="74"/>
      <c r="H98" s="74"/>
      <c r="I98" s="74"/>
      <c r="J98" s="74"/>
      <c r="K98" s="3"/>
    </row>
    <row r="99" spans="1:11" ht="13.8" x14ac:dyDescent="0.3">
      <c r="A99" s="193" t="s">
        <v>1096</v>
      </c>
      <c r="E99" s="2">
        <v>1135</v>
      </c>
      <c r="F99" s="74">
        <v>1250</v>
      </c>
      <c r="G99" s="74">
        <v>1375</v>
      </c>
      <c r="H99" s="74">
        <v>1375</v>
      </c>
      <c r="I99" s="74"/>
      <c r="J99" s="74"/>
      <c r="K99" s="3"/>
    </row>
    <row r="100" spans="1:11" ht="13.2" x14ac:dyDescent="0.25">
      <c r="A100" s="191" t="s">
        <v>1219</v>
      </c>
      <c r="B100" s="2">
        <v>550</v>
      </c>
      <c r="C100" s="12">
        <v>2.5</v>
      </c>
      <c r="D100" s="2">
        <f>+C100*B100</f>
        <v>1375</v>
      </c>
      <c r="E100" s="2"/>
      <c r="F100" s="74"/>
      <c r="G100" s="74"/>
      <c r="H100" s="74"/>
      <c r="I100" s="74"/>
      <c r="J100" s="74"/>
      <c r="K100" s="3"/>
    </row>
    <row r="101" spans="1:11" ht="13.2" x14ac:dyDescent="0.25">
      <c r="B101" s="2"/>
      <c r="D101" s="14"/>
      <c r="E101" s="2"/>
      <c r="F101" s="3"/>
      <c r="G101" s="3"/>
      <c r="H101" s="3"/>
      <c r="I101" s="3"/>
      <c r="J101" s="3"/>
      <c r="K101" s="3"/>
    </row>
    <row r="102" spans="1:11" ht="13.8" x14ac:dyDescent="0.3">
      <c r="A102" s="193" t="s">
        <v>1097</v>
      </c>
      <c r="B102" s="2"/>
      <c r="D102" s="14"/>
      <c r="E102" s="2">
        <v>2145</v>
      </c>
      <c r="F102" s="3">
        <v>2335</v>
      </c>
      <c r="G102" s="3">
        <v>2290</v>
      </c>
      <c r="H102" s="3">
        <v>2290</v>
      </c>
      <c r="I102" s="3"/>
      <c r="J102" s="3"/>
      <c r="K102" s="3"/>
    </row>
    <row r="103" spans="1:11" ht="13.2" x14ac:dyDescent="0.25">
      <c r="A103" s="191" t="s">
        <v>897</v>
      </c>
      <c r="B103" s="2"/>
      <c r="D103" s="2">
        <v>850</v>
      </c>
      <c r="E103" s="2"/>
      <c r="F103" s="3"/>
      <c r="G103" s="3"/>
      <c r="H103" s="3"/>
      <c r="I103" s="3"/>
      <c r="J103" s="3"/>
      <c r="K103" s="3"/>
    </row>
    <row r="104" spans="1:11" ht="13.2" x14ac:dyDescent="0.25">
      <c r="A104" s="2" t="s">
        <v>833</v>
      </c>
      <c r="B104" s="2">
        <v>12</v>
      </c>
      <c r="C104" s="2">
        <v>40</v>
      </c>
      <c r="D104" s="2">
        <f>C104*B104</f>
        <v>480</v>
      </c>
      <c r="E104" s="2"/>
      <c r="F104" s="3"/>
      <c r="G104" s="3"/>
      <c r="H104" s="3"/>
      <c r="I104" s="3"/>
      <c r="J104" s="3"/>
      <c r="K104" s="3"/>
    </row>
    <row r="105" spans="1:11" ht="13.2" x14ac:dyDescent="0.25">
      <c r="A105" s="2" t="s">
        <v>834</v>
      </c>
      <c r="B105" s="2">
        <v>12</v>
      </c>
      <c r="C105" s="2">
        <v>40</v>
      </c>
      <c r="D105" s="2">
        <f>C105*B105</f>
        <v>480</v>
      </c>
      <c r="E105" s="2"/>
      <c r="F105" s="74"/>
      <c r="G105" s="74"/>
      <c r="H105" s="74"/>
      <c r="I105" s="74"/>
      <c r="J105" s="74"/>
      <c r="K105" s="3"/>
    </row>
    <row r="106" spans="1:11" ht="15" x14ac:dyDescent="0.4">
      <c r="A106" s="2" t="s">
        <v>835</v>
      </c>
      <c r="B106" s="2">
        <v>12</v>
      </c>
      <c r="C106" s="2">
        <v>40</v>
      </c>
      <c r="D106" s="11">
        <f>C106*B106</f>
        <v>480</v>
      </c>
      <c r="E106" s="2"/>
      <c r="F106" s="3"/>
      <c r="G106" s="3"/>
      <c r="H106" s="3"/>
      <c r="I106" s="3"/>
      <c r="J106" s="3"/>
      <c r="K106" s="3"/>
    </row>
    <row r="107" spans="1:11" ht="13.2" x14ac:dyDescent="0.25">
      <c r="A107" s="191" t="s">
        <v>1182</v>
      </c>
      <c r="B107" s="2"/>
      <c r="D107" s="2">
        <f>SUM(D103:D106)</f>
        <v>2290</v>
      </c>
      <c r="E107" s="2"/>
      <c r="F107" s="3"/>
      <c r="G107" s="3"/>
      <c r="H107" s="3"/>
      <c r="I107" s="3"/>
      <c r="J107" s="3"/>
      <c r="K107" s="3"/>
    </row>
    <row r="108" spans="1:11" ht="13.2" x14ac:dyDescent="0.25">
      <c r="B108" s="2"/>
      <c r="D108" s="2"/>
      <c r="E108" s="2"/>
      <c r="F108" s="3"/>
      <c r="G108" s="3"/>
      <c r="H108" s="3"/>
      <c r="I108" s="3"/>
      <c r="J108" s="3"/>
      <c r="K108" s="3"/>
    </row>
    <row r="109" spans="1:11" ht="13.2" x14ac:dyDescent="0.25">
      <c r="D109" s="2"/>
      <c r="E109" s="2"/>
      <c r="F109" s="3"/>
      <c r="G109" s="3"/>
      <c r="H109" s="3"/>
      <c r="I109" s="3"/>
      <c r="J109" s="3"/>
      <c r="K109" s="3"/>
    </row>
    <row r="110" spans="1:11" ht="13.8" x14ac:dyDescent="0.3">
      <c r="A110" s="193" t="s">
        <v>1098</v>
      </c>
      <c r="D110" s="2"/>
      <c r="E110" s="2">
        <v>340</v>
      </c>
      <c r="F110" s="3">
        <v>1140</v>
      </c>
      <c r="G110" s="3">
        <v>550</v>
      </c>
      <c r="H110" s="3">
        <v>550</v>
      </c>
      <c r="I110" s="3"/>
      <c r="J110" s="3"/>
      <c r="K110" s="3"/>
    </row>
    <row r="111" spans="1:11" ht="13.2" x14ac:dyDescent="0.25">
      <c r="A111" s="191" t="s">
        <v>1523</v>
      </c>
      <c r="B111" s="2">
        <v>1</v>
      </c>
      <c r="C111" s="191">
        <v>175</v>
      </c>
      <c r="D111" s="2">
        <f>C111*B111</f>
        <v>175</v>
      </c>
      <c r="E111" s="2"/>
      <c r="F111" s="3"/>
      <c r="G111" s="3"/>
      <c r="H111" s="3"/>
      <c r="I111" s="3"/>
      <c r="J111" s="3"/>
      <c r="K111" s="3"/>
    </row>
    <row r="112" spans="1:11" ht="13.2" x14ac:dyDescent="0.25">
      <c r="A112" s="191" t="s">
        <v>2038</v>
      </c>
      <c r="B112" s="2">
        <v>1</v>
      </c>
      <c r="C112" s="191">
        <v>125</v>
      </c>
      <c r="D112" s="2">
        <f t="shared" ref="D112:D118" si="0">C112*B112</f>
        <v>125</v>
      </c>
      <c r="E112" s="2"/>
      <c r="F112" s="3"/>
      <c r="G112" s="3"/>
      <c r="H112" s="3"/>
      <c r="I112" s="3"/>
      <c r="J112" s="3"/>
      <c r="K112" s="3"/>
    </row>
    <row r="113" spans="1:11" ht="13.2" x14ac:dyDescent="0.25">
      <c r="A113" s="191" t="s">
        <v>2040</v>
      </c>
      <c r="B113" s="2">
        <v>0</v>
      </c>
      <c r="C113" s="191">
        <v>125</v>
      </c>
      <c r="D113" s="2">
        <f t="shared" si="0"/>
        <v>0</v>
      </c>
      <c r="E113" s="2"/>
      <c r="F113" s="3"/>
      <c r="G113" s="3"/>
      <c r="H113" s="3"/>
      <c r="I113" s="3"/>
      <c r="J113" s="3"/>
      <c r="K113" s="3"/>
    </row>
    <row r="114" spans="1:11" ht="13.2" x14ac:dyDescent="0.25">
      <c r="A114" s="191" t="s">
        <v>1524</v>
      </c>
      <c r="B114" s="2">
        <v>1</v>
      </c>
      <c r="C114" s="191">
        <v>75</v>
      </c>
      <c r="D114" s="2">
        <f t="shared" si="0"/>
        <v>75</v>
      </c>
      <c r="E114" s="2"/>
      <c r="F114" s="3"/>
      <c r="G114" s="3"/>
      <c r="H114" s="3"/>
      <c r="I114" s="3"/>
      <c r="J114" s="3"/>
      <c r="K114" s="3"/>
    </row>
    <row r="115" spans="1:11" ht="13.2" x14ac:dyDescent="0.25">
      <c r="A115" s="191" t="s">
        <v>177</v>
      </c>
      <c r="B115" s="2">
        <v>3</v>
      </c>
      <c r="C115" s="191">
        <v>30</v>
      </c>
      <c r="D115" s="2">
        <f t="shared" si="0"/>
        <v>90</v>
      </c>
      <c r="E115" s="2"/>
      <c r="F115" s="3"/>
      <c r="G115" s="3"/>
      <c r="H115" s="3"/>
      <c r="I115" s="3"/>
      <c r="J115" s="3"/>
      <c r="K115" s="3"/>
    </row>
    <row r="116" spans="1:11" ht="13.2" x14ac:dyDescent="0.25">
      <c r="A116" s="191" t="s">
        <v>1525</v>
      </c>
      <c r="B116" s="2">
        <v>1</v>
      </c>
      <c r="C116" s="191">
        <v>85</v>
      </c>
      <c r="D116" s="2">
        <f t="shared" si="0"/>
        <v>85</v>
      </c>
      <c r="E116" s="2"/>
      <c r="F116" s="3"/>
      <c r="G116" s="3"/>
      <c r="H116" s="3"/>
      <c r="I116" s="3"/>
      <c r="J116" s="3"/>
      <c r="K116" s="3"/>
    </row>
    <row r="117" spans="1:11" ht="13.2" hidden="1" x14ac:dyDescent="0.25">
      <c r="A117" s="191" t="s">
        <v>1526</v>
      </c>
      <c r="B117" s="2">
        <v>1</v>
      </c>
      <c r="D117" s="2">
        <f t="shared" si="0"/>
        <v>0</v>
      </c>
      <c r="E117" s="2"/>
      <c r="F117" s="3"/>
      <c r="G117" s="3"/>
      <c r="H117" s="3"/>
      <c r="I117" s="3"/>
      <c r="J117" s="3"/>
      <c r="K117" s="74"/>
    </row>
    <row r="118" spans="1:11" ht="15" x14ac:dyDescent="0.4">
      <c r="A118" s="191" t="s">
        <v>2039</v>
      </c>
      <c r="B118" s="2">
        <v>0</v>
      </c>
      <c r="C118" s="191">
        <v>250</v>
      </c>
      <c r="D118" s="11">
        <f t="shared" si="0"/>
        <v>0</v>
      </c>
      <c r="E118" s="2"/>
      <c r="F118" s="3"/>
      <c r="G118" s="3"/>
      <c r="H118" s="3"/>
      <c r="I118" s="3"/>
      <c r="J118" s="3"/>
      <c r="K118" s="74"/>
    </row>
    <row r="119" spans="1:11" ht="13.2" x14ac:dyDescent="0.25">
      <c r="A119" s="191" t="s">
        <v>1182</v>
      </c>
      <c r="D119" s="2">
        <f>SUM(D111:D118)</f>
        <v>550</v>
      </c>
      <c r="E119" s="2"/>
      <c r="F119" s="3"/>
      <c r="G119" s="3"/>
      <c r="H119" s="3"/>
      <c r="I119" s="3"/>
      <c r="J119" s="3"/>
      <c r="K119" s="3"/>
    </row>
    <row r="120" spans="1:11" ht="13.2" x14ac:dyDescent="0.25">
      <c r="D120" s="2"/>
      <c r="E120" s="2"/>
      <c r="F120" s="3"/>
      <c r="G120" s="3"/>
      <c r="H120" s="3"/>
      <c r="I120" s="3"/>
      <c r="J120" s="3"/>
      <c r="K120" s="3"/>
    </row>
    <row r="121" spans="1:11" ht="13.8" x14ac:dyDescent="0.3">
      <c r="A121" s="17" t="s">
        <v>1099</v>
      </c>
      <c r="D121" s="2"/>
      <c r="E121" s="2">
        <v>2125</v>
      </c>
      <c r="F121" s="3">
        <v>3155</v>
      </c>
      <c r="G121" s="3">
        <v>2340</v>
      </c>
      <c r="H121" s="3">
        <v>2340</v>
      </c>
      <c r="I121" s="3"/>
      <c r="J121" s="3"/>
      <c r="K121" s="3"/>
    </row>
    <row r="122" spans="1:11" ht="13.2" x14ac:dyDescent="0.25">
      <c r="A122" s="191" t="s">
        <v>818</v>
      </c>
      <c r="D122" s="2">
        <v>2340</v>
      </c>
      <c r="E122" s="2"/>
      <c r="F122" s="3"/>
      <c r="G122" s="3"/>
      <c r="H122" s="3"/>
      <c r="I122" s="3"/>
      <c r="J122" s="3"/>
      <c r="K122" s="3"/>
    </row>
    <row r="123" spans="1:11" ht="13.2" x14ac:dyDescent="0.25">
      <c r="D123" s="2"/>
      <c r="E123" s="2"/>
      <c r="F123" s="3"/>
      <c r="G123" s="3"/>
      <c r="H123" s="3"/>
      <c r="I123" s="3"/>
      <c r="J123" s="3"/>
      <c r="K123" s="3"/>
    </row>
    <row r="124" spans="1:11" ht="13.8" x14ac:dyDescent="0.3">
      <c r="A124" s="193" t="s">
        <v>1100</v>
      </c>
      <c r="D124" s="2"/>
      <c r="E124" s="2">
        <v>295</v>
      </c>
      <c r="F124" s="74">
        <v>225</v>
      </c>
      <c r="G124" s="74">
        <v>350</v>
      </c>
      <c r="H124" s="74">
        <v>350</v>
      </c>
      <c r="I124" s="74"/>
      <c r="J124" s="74"/>
      <c r="K124" s="3"/>
    </row>
    <row r="125" spans="1:11" ht="13.2" x14ac:dyDescent="0.25">
      <c r="A125" s="191" t="s">
        <v>1570</v>
      </c>
      <c r="D125" s="2">
        <v>350</v>
      </c>
      <c r="E125" s="2"/>
      <c r="F125" s="3"/>
      <c r="G125" s="3"/>
      <c r="H125" s="3"/>
      <c r="I125" s="3"/>
      <c r="J125" s="3"/>
      <c r="K125" s="3"/>
    </row>
    <row r="126" spans="1:11" ht="13.2" x14ac:dyDescent="0.25">
      <c r="D126" s="2"/>
      <c r="E126" s="2"/>
      <c r="F126" s="3"/>
      <c r="G126" s="3"/>
      <c r="H126" s="3"/>
      <c r="I126" s="3"/>
      <c r="J126" s="3"/>
      <c r="K126" s="3"/>
    </row>
    <row r="127" spans="1:11" ht="13.8" x14ac:dyDescent="0.3">
      <c r="A127" s="53" t="s">
        <v>1571</v>
      </c>
      <c r="B127" s="106"/>
      <c r="C127" s="8"/>
      <c r="D127" s="8"/>
      <c r="E127" s="8">
        <v>0</v>
      </c>
      <c r="F127" s="74">
        <v>3200</v>
      </c>
      <c r="G127" s="74">
        <v>2300</v>
      </c>
      <c r="H127" s="74">
        <v>2300</v>
      </c>
      <c r="I127" s="74"/>
      <c r="J127" s="74"/>
      <c r="K127" s="3"/>
    </row>
    <row r="128" spans="1:11" ht="15" x14ac:dyDescent="0.4">
      <c r="A128" s="2" t="s">
        <v>1737</v>
      </c>
      <c r="B128" s="2">
        <v>1</v>
      </c>
      <c r="C128" s="2">
        <v>2300</v>
      </c>
      <c r="D128" s="9">
        <f>C128*B128</f>
        <v>2300</v>
      </c>
      <c r="E128" s="8"/>
      <c r="F128" s="3"/>
      <c r="G128" s="3"/>
      <c r="H128" s="3"/>
      <c r="I128" s="3"/>
      <c r="J128" s="3"/>
      <c r="K128" s="3"/>
    </row>
    <row r="129" spans="1:11" ht="13.2" x14ac:dyDescent="0.25">
      <c r="A129" s="2"/>
      <c r="B129" s="2"/>
      <c r="C129" s="2"/>
      <c r="D129" s="8">
        <f>SUM(D128:D128)</f>
        <v>2300</v>
      </c>
      <c r="E129" s="8"/>
      <c r="F129" s="3"/>
      <c r="G129" s="3"/>
      <c r="H129" s="3"/>
      <c r="I129" s="3"/>
      <c r="J129" s="3"/>
      <c r="K129" s="3"/>
    </row>
    <row r="130" spans="1:11" ht="13.2" x14ac:dyDescent="0.25">
      <c r="A130" s="191" t="s">
        <v>386</v>
      </c>
      <c r="D130" s="2" t="s">
        <v>386</v>
      </c>
      <c r="E130" s="2"/>
      <c r="F130" s="3"/>
      <c r="G130" s="3"/>
      <c r="H130" s="3"/>
      <c r="I130" s="3"/>
      <c r="J130" s="3"/>
      <c r="K130" s="3"/>
    </row>
    <row r="131" spans="1:11" ht="13.8" x14ac:dyDescent="0.3">
      <c r="A131" s="193" t="s">
        <v>1101</v>
      </c>
      <c r="D131" s="2"/>
      <c r="E131" s="2">
        <v>862</v>
      </c>
      <c r="F131" s="3">
        <v>2700</v>
      </c>
      <c r="G131" s="3">
        <v>2700</v>
      </c>
      <c r="H131" s="3">
        <v>2700</v>
      </c>
      <c r="I131" s="3"/>
      <c r="J131" s="3"/>
      <c r="K131" s="3"/>
    </row>
    <row r="132" spans="1:11" ht="13.2" x14ac:dyDescent="0.25">
      <c r="A132" s="191" t="s">
        <v>175</v>
      </c>
      <c r="D132" s="2">
        <v>2700</v>
      </c>
      <c r="E132" s="2"/>
      <c r="F132" s="3"/>
      <c r="G132" s="3"/>
      <c r="H132" s="3"/>
      <c r="I132" s="3"/>
      <c r="J132" s="3"/>
      <c r="K132" s="3"/>
    </row>
    <row r="133" spans="1:11" ht="15" x14ac:dyDescent="0.4">
      <c r="A133" s="2" t="s">
        <v>1572</v>
      </c>
      <c r="B133" s="2">
        <v>0</v>
      </c>
      <c r="C133" s="2">
        <v>0</v>
      </c>
      <c r="D133" s="11">
        <f>C133*B133</f>
        <v>0</v>
      </c>
      <c r="E133" s="2"/>
      <c r="F133" s="3"/>
      <c r="G133" s="3"/>
      <c r="H133" s="3"/>
      <c r="I133" s="3"/>
      <c r="J133" s="3"/>
      <c r="K133" s="3"/>
    </row>
    <row r="134" spans="1:11" ht="13.2" x14ac:dyDescent="0.25">
      <c r="A134" s="24" t="s">
        <v>1182</v>
      </c>
      <c r="B134" s="2"/>
      <c r="C134" s="2"/>
      <c r="D134" s="2">
        <f>SUM(D132:D133)</f>
        <v>2700</v>
      </c>
      <c r="E134" s="2"/>
      <c r="F134" s="3"/>
      <c r="G134" s="3"/>
      <c r="H134" s="3"/>
      <c r="I134" s="3"/>
      <c r="J134" s="3"/>
      <c r="K134" s="3"/>
    </row>
    <row r="135" spans="1:11" ht="13.2" x14ac:dyDescent="0.25">
      <c r="D135" s="2"/>
      <c r="E135" s="2"/>
      <c r="F135" s="3"/>
      <c r="G135" s="3"/>
      <c r="H135" s="3"/>
      <c r="I135" s="3"/>
      <c r="J135" s="3"/>
      <c r="K135" s="3"/>
    </row>
    <row r="136" spans="1:11" ht="13.8" x14ac:dyDescent="0.3">
      <c r="A136" s="53" t="s">
        <v>556</v>
      </c>
      <c r="B136" s="19"/>
      <c r="C136" s="19"/>
      <c r="D136" s="19"/>
      <c r="E136" s="2">
        <v>1081</v>
      </c>
      <c r="F136" s="3">
        <v>2073</v>
      </c>
      <c r="G136" s="3">
        <v>2073</v>
      </c>
      <c r="H136" s="3">
        <v>2073</v>
      </c>
      <c r="I136" s="3"/>
      <c r="J136" s="3"/>
      <c r="K136" s="3"/>
    </row>
    <row r="137" spans="1:11" ht="13.2" x14ac:dyDescent="0.25">
      <c r="A137" s="2" t="s">
        <v>1284</v>
      </c>
      <c r="B137" s="2"/>
      <c r="C137" s="2"/>
      <c r="D137" s="2">
        <v>198</v>
      </c>
      <c r="E137" s="2"/>
      <c r="F137" s="3"/>
      <c r="G137" s="3"/>
      <c r="H137" s="3"/>
      <c r="I137" s="3"/>
      <c r="J137" s="3"/>
      <c r="K137" s="3"/>
    </row>
    <row r="138" spans="1:11" ht="13.2" x14ac:dyDescent="0.25">
      <c r="A138" s="2" t="s">
        <v>32</v>
      </c>
      <c r="B138" s="2"/>
      <c r="C138" s="2"/>
      <c r="D138" s="2">
        <v>875</v>
      </c>
      <c r="E138" s="2"/>
      <c r="F138" s="3"/>
      <c r="G138" s="3"/>
      <c r="H138" s="3"/>
      <c r="I138" s="3"/>
      <c r="J138" s="3"/>
      <c r="K138" s="3"/>
    </row>
    <row r="139" spans="1:11" ht="15" x14ac:dyDescent="0.4">
      <c r="A139" s="2" t="s">
        <v>1472</v>
      </c>
      <c r="B139" s="2"/>
      <c r="C139" s="2"/>
      <c r="D139" s="11">
        <v>1000</v>
      </c>
      <c r="E139" s="2"/>
      <c r="F139" s="3"/>
      <c r="G139" s="3"/>
      <c r="H139" s="3"/>
      <c r="I139" s="3"/>
      <c r="J139" s="3"/>
      <c r="K139" s="3"/>
    </row>
    <row r="140" spans="1:11" ht="13.2" x14ac:dyDescent="0.25">
      <c r="A140" s="24" t="s">
        <v>1182</v>
      </c>
      <c r="B140" s="2"/>
      <c r="C140" s="2"/>
      <c r="D140" s="2">
        <f>SUM(D137:D139)</f>
        <v>2073</v>
      </c>
      <c r="E140" s="2"/>
      <c r="F140" s="3"/>
      <c r="G140" s="3"/>
      <c r="H140" s="3"/>
      <c r="I140" s="3"/>
      <c r="J140" s="3"/>
      <c r="K140" s="3"/>
    </row>
    <row r="141" spans="1:11" ht="13.2" x14ac:dyDescent="0.25">
      <c r="D141" s="2"/>
      <c r="E141" s="2"/>
      <c r="F141" s="3"/>
      <c r="G141" s="3"/>
      <c r="H141" s="3"/>
      <c r="I141" s="3"/>
      <c r="J141" s="3"/>
      <c r="K141" s="3"/>
    </row>
    <row r="142" spans="1:11" ht="13.8" x14ac:dyDescent="0.3">
      <c r="A142" s="193" t="s">
        <v>1102</v>
      </c>
      <c r="E142" s="2">
        <v>455</v>
      </c>
      <c r="F142" s="3">
        <v>2120</v>
      </c>
      <c r="G142" s="3">
        <v>1850</v>
      </c>
      <c r="H142" s="3">
        <v>1850</v>
      </c>
      <c r="I142" s="3"/>
      <c r="J142" s="3"/>
      <c r="K142" s="74"/>
    </row>
    <row r="143" spans="1:11" ht="13.8" x14ac:dyDescent="0.3">
      <c r="A143" s="102" t="s">
        <v>1527</v>
      </c>
      <c r="E143" s="2"/>
      <c r="F143" s="3"/>
      <c r="G143" s="3"/>
      <c r="H143" s="3"/>
      <c r="I143" s="3"/>
      <c r="J143" s="3"/>
      <c r="K143" s="3"/>
    </row>
    <row r="144" spans="1:11" ht="13.2" x14ac:dyDescent="0.25">
      <c r="A144" s="23" t="s">
        <v>2041</v>
      </c>
      <c r="B144" s="191">
        <v>1</v>
      </c>
      <c r="C144" s="191">
        <v>450</v>
      </c>
      <c r="D144" s="2">
        <f>C144*B144</f>
        <v>450</v>
      </c>
      <c r="E144" s="2"/>
      <c r="F144" s="3"/>
      <c r="G144" s="3"/>
      <c r="H144" s="3"/>
      <c r="I144" s="3"/>
      <c r="J144" s="3"/>
      <c r="K144" s="3"/>
    </row>
    <row r="145" spans="1:11" ht="13.2" x14ac:dyDescent="0.25">
      <c r="A145" s="23" t="s">
        <v>2042</v>
      </c>
      <c r="B145" s="191">
        <v>0</v>
      </c>
      <c r="C145" s="191">
        <v>300</v>
      </c>
      <c r="D145" s="2">
        <f>C145*B145</f>
        <v>0</v>
      </c>
      <c r="E145" s="2"/>
      <c r="F145" s="3"/>
      <c r="G145" s="3"/>
      <c r="H145" s="3"/>
      <c r="I145" s="3"/>
      <c r="J145" s="3"/>
      <c r="K145" s="3"/>
    </row>
    <row r="146" spans="1:11" ht="13.2" x14ac:dyDescent="0.25">
      <c r="A146" s="191" t="s">
        <v>2043</v>
      </c>
      <c r="B146" s="191">
        <v>3</v>
      </c>
      <c r="C146" s="191">
        <v>200</v>
      </c>
      <c r="D146" s="2">
        <f>C146*B146</f>
        <v>600</v>
      </c>
      <c r="E146" s="2"/>
      <c r="F146" s="3"/>
      <c r="G146" s="3"/>
      <c r="H146" s="3"/>
      <c r="I146" s="3"/>
      <c r="J146" s="3"/>
      <c r="K146" s="3"/>
    </row>
    <row r="147" spans="1:11" ht="13.2" x14ac:dyDescent="0.25">
      <c r="A147" s="191" t="s">
        <v>1573</v>
      </c>
      <c r="B147" s="191">
        <v>1</v>
      </c>
      <c r="C147" s="191">
        <v>400</v>
      </c>
      <c r="D147" s="2">
        <f>C147*B147</f>
        <v>400</v>
      </c>
      <c r="E147" s="2"/>
      <c r="F147" s="3"/>
      <c r="G147" s="3"/>
      <c r="H147" s="3"/>
      <c r="I147" s="3"/>
      <c r="J147" s="3"/>
      <c r="K147" s="3"/>
    </row>
    <row r="148" spans="1:11" ht="15" x14ac:dyDescent="0.4">
      <c r="A148" s="191" t="s">
        <v>2044</v>
      </c>
      <c r="B148" s="191">
        <v>1</v>
      </c>
      <c r="C148" s="191">
        <v>400</v>
      </c>
      <c r="D148" s="11">
        <f>C148*B148</f>
        <v>400</v>
      </c>
      <c r="E148" s="2"/>
      <c r="F148" s="3"/>
      <c r="G148" s="3"/>
      <c r="H148" s="3"/>
      <c r="I148" s="3"/>
      <c r="J148" s="3"/>
      <c r="K148" s="199"/>
    </row>
    <row r="149" spans="1:11" ht="13.2" x14ac:dyDescent="0.25">
      <c r="D149" s="2">
        <f>SUM(D144:D148)</f>
        <v>1850</v>
      </c>
      <c r="E149" s="2"/>
      <c r="F149" s="3"/>
      <c r="G149" s="3"/>
      <c r="H149" s="3"/>
      <c r="I149" s="3"/>
      <c r="J149" s="3"/>
      <c r="K149" s="199"/>
    </row>
    <row r="150" spans="1:11" ht="13.2" x14ac:dyDescent="0.25">
      <c r="D150" s="2"/>
      <c r="E150" s="2"/>
      <c r="F150" s="3"/>
      <c r="G150" s="3"/>
      <c r="H150" s="3"/>
      <c r="I150" s="3"/>
      <c r="J150" s="3"/>
      <c r="K150" s="3"/>
    </row>
    <row r="151" spans="1:11" ht="15" x14ac:dyDescent="0.4">
      <c r="A151" s="193" t="s">
        <v>1103</v>
      </c>
      <c r="D151" s="37"/>
      <c r="E151" s="2">
        <v>0</v>
      </c>
      <c r="F151" s="3">
        <v>900</v>
      </c>
      <c r="G151" s="3">
        <v>900</v>
      </c>
      <c r="H151" s="3">
        <v>900</v>
      </c>
      <c r="I151" s="3"/>
      <c r="J151" s="3"/>
      <c r="K151" s="31"/>
    </row>
    <row r="152" spans="1:11" ht="13.2" x14ac:dyDescent="0.25">
      <c r="A152" s="191" t="s">
        <v>1306</v>
      </c>
      <c r="D152" s="2">
        <v>500</v>
      </c>
      <c r="E152" s="2"/>
      <c r="F152" s="3"/>
      <c r="G152" s="3"/>
      <c r="H152" s="3"/>
      <c r="I152" s="3"/>
      <c r="J152" s="3"/>
      <c r="K152" s="2"/>
    </row>
    <row r="153" spans="1:11" ht="15" x14ac:dyDescent="0.4">
      <c r="A153" s="191" t="s">
        <v>221</v>
      </c>
      <c r="D153" s="11">
        <v>400</v>
      </c>
      <c r="E153" s="2"/>
      <c r="F153" s="3"/>
      <c r="G153" s="3"/>
      <c r="H153" s="3"/>
      <c r="I153" s="3"/>
      <c r="J153" s="3"/>
      <c r="K153" s="2"/>
    </row>
    <row r="154" spans="1:11" ht="13.2" x14ac:dyDescent="0.25">
      <c r="A154" s="191" t="s">
        <v>1182</v>
      </c>
      <c r="D154" s="2">
        <f>SUM(D152:D153)</f>
        <v>900</v>
      </c>
      <c r="E154" s="2"/>
      <c r="F154" s="3"/>
      <c r="G154" s="3"/>
      <c r="H154" s="3"/>
      <c r="I154" s="3"/>
      <c r="J154" s="3"/>
      <c r="K154" s="2"/>
    </row>
    <row r="155" spans="1:11" ht="13.2" x14ac:dyDescent="0.25">
      <c r="D155" s="2"/>
      <c r="E155" s="2"/>
      <c r="F155" s="3"/>
      <c r="G155" s="3"/>
      <c r="H155" s="3"/>
      <c r="I155" s="3"/>
      <c r="J155" s="3"/>
      <c r="K155" s="2"/>
    </row>
    <row r="156" spans="1:11" ht="13.8" x14ac:dyDescent="0.3">
      <c r="A156" s="62" t="s">
        <v>1165</v>
      </c>
      <c r="B156" s="70"/>
      <c r="C156" s="61"/>
      <c r="D156" s="73" t="s">
        <v>386</v>
      </c>
      <c r="E156" s="73"/>
      <c r="F156" s="3"/>
      <c r="G156" s="3"/>
      <c r="H156" s="3"/>
      <c r="I156" s="3"/>
      <c r="J156" s="3"/>
      <c r="K156" s="2"/>
    </row>
    <row r="157" spans="1:11" ht="15" x14ac:dyDescent="0.4">
      <c r="A157" s="41" t="s">
        <v>1166</v>
      </c>
      <c r="B157" s="45">
        <v>0</v>
      </c>
      <c r="C157" s="3">
        <v>0</v>
      </c>
      <c r="D157" s="31">
        <v>0</v>
      </c>
      <c r="E157" s="72"/>
      <c r="F157" s="199">
        <v>0</v>
      </c>
      <c r="G157" s="199">
        <v>40000</v>
      </c>
      <c r="H157" s="199">
        <v>0</v>
      </c>
      <c r="I157" s="199"/>
      <c r="J157" s="199"/>
      <c r="K157" s="2"/>
    </row>
    <row r="158" spans="1:11" ht="13.2" x14ac:dyDescent="0.25">
      <c r="A158" s="41"/>
      <c r="B158" s="45"/>
      <c r="C158" s="3"/>
      <c r="D158" s="3">
        <f>SUM(D157:D157)</f>
        <v>0</v>
      </c>
      <c r="E158" s="72"/>
      <c r="F158" s="199"/>
      <c r="G158" s="199"/>
      <c r="H158" s="199"/>
      <c r="I158" s="199"/>
      <c r="J158" s="199"/>
      <c r="K158" s="2"/>
    </row>
    <row r="159" spans="1:11" ht="13.2" x14ac:dyDescent="0.25">
      <c r="D159" s="2"/>
      <c r="E159" s="2"/>
      <c r="F159" s="3"/>
      <c r="G159" s="3"/>
      <c r="H159" s="3"/>
      <c r="I159" s="3"/>
      <c r="J159" s="3"/>
      <c r="K159" s="2"/>
    </row>
    <row r="160" spans="1:11" ht="15" x14ac:dyDescent="0.4">
      <c r="A160" s="53" t="s">
        <v>557</v>
      </c>
      <c r="B160" s="8"/>
      <c r="C160" s="8"/>
      <c r="D160" s="8"/>
      <c r="E160" s="11">
        <v>0</v>
      </c>
      <c r="F160" s="31">
        <v>12400</v>
      </c>
      <c r="G160" s="31">
        <v>2500</v>
      </c>
      <c r="H160" s="31">
        <v>2500</v>
      </c>
      <c r="I160" s="31">
        <v>0</v>
      </c>
      <c r="J160" s="31">
        <v>0</v>
      </c>
      <c r="K160" s="137"/>
    </row>
    <row r="161" spans="1:11" ht="13.2" x14ac:dyDescent="0.25">
      <c r="A161" s="2" t="s">
        <v>1574</v>
      </c>
      <c r="B161" s="2">
        <v>2</v>
      </c>
      <c r="C161" s="2">
        <v>1250</v>
      </c>
      <c r="D161" s="2">
        <f>+C161*B161</f>
        <v>2500</v>
      </c>
      <c r="E161" s="2"/>
      <c r="F161" s="2"/>
      <c r="H161" s="2"/>
      <c r="I161" s="2"/>
      <c r="J161" s="2"/>
      <c r="K161" s="2"/>
    </row>
    <row r="162" spans="1:11" ht="12.75" customHeight="1" x14ac:dyDescent="0.4">
      <c r="A162" s="138" t="s">
        <v>1868</v>
      </c>
      <c r="B162" s="2">
        <v>0</v>
      </c>
      <c r="C162" s="2">
        <v>9900</v>
      </c>
      <c r="D162" s="11">
        <f>C162*B162</f>
        <v>0</v>
      </c>
      <c r="E162" s="2"/>
      <c r="F162" s="2"/>
      <c r="H162" s="2"/>
      <c r="I162" s="2"/>
      <c r="J162" s="2"/>
      <c r="K162" s="2"/>
    </row>
    <row r="163" spans="1:11" ht="12.75" customHeight="1" x14ac:dyDescent="0.25">
      <c r="A163" s="24" t="s">
        <v>1182</v>
      </c>
      <c r="B163" s="2"/>
      <c r="C163" s="2"/>
      <c r="D163" s="2">
        <f>SUM(D161:D162)</f>
        <v>2500</v>
      </c>
      <c r="E163" s="2"/>
      <c r="F163" s="2"/>
      <c r="H163" s="2"/>
      <c r="I163" s="2"/>
      <c r="J163" s="2"/>
      <c r="K163" s="2"/>
    </row>
    <row r="164" spans="1:11" ht="12.75" customHeight="1" x14ac:dyDescent="0.3">
      <c r="A164" s="59" t="s">
        <v>386</v>
      </c>
      <c r="D164" s="2"/>
      <c r="E164" s="2"/>
      <c r="F164" s="2"/>
      <c r="H164" s="2"/>
      <c r="I164" s="2"/>
      <c r="J164" s="2"/>
      <c r="K164" s="2"/>
    </row>
    <row r="165" spans="1:11" ht="12.75" customHeight="1" x14ac:dyDescent="0.25">
      <c r="A165" s="20" t="s">
        <v>1267</v>
      </c>
      <c r="D165" s="2"/>
      <c r="E165" s="2">
        <f t="shared" ref="E165:J165" si="1">SUM(E6:E160)</f>
        <v>330956</v>
      </c>
      <c r="F165" s="2">
        <f t="shared" si="1"/>
        <v>385724</v>
      </c>
      <c r="G165" s="2">
        <f t="shared" si="1"/>
        <v>476588</v>
      </c>
      <c r="H165" s="2">
        <f t="shared" si="1"/>
        <v>383588</v>
      </c>
      <c r="I165" s="2">
        <f t="shared" si="1"/>
        <v>0</v>
      </c>
      <c r="J165" s="2">
        <f t="shared" si="1"/>
        <v>0</v>
      </c>
      <c r="K165" s="2"/>
    </row>
    <row r="166" spans="1:11" ht="12.75" customHeight="1" x14ac:dyDescent="0.25">
      <c r="A166" s="20"/>
      <c r="D166" s="2"/>
      <c r="E166" s="2"/>
      <c r="F166" s="2"/>
      <c r="H166" s="2"/>
      <c r="I166" s="2"/>
      <c r="J166" s="2"/>
      <c r="K166" s="2"/>
    </row>
    <row r="167" spans="1:11" ht="12.75" customHeight="1" x14ac:dyDescent="0.25">
      <c r="A167" s="191" t="s">
        <v>571</v>
      </c>
      <c r="E167" s="2">
        <f t="shared" ref="E167:J167" si="2">SUM(E6:E74)</f>
        <v>320712</v>
      </c>
      <c r="F167" s="2">
        <f t="shared" si="2"/>
        <v>350551</v>
      </c>
      <c r="G167" s="2">
        <f t="shared" si="2"/>
        <v>413685</v>
      </c>
      <c r="H167" s="2">
        <f t="shared" si="2"/>
        <v>360685</v>
      </c>
      <c r="I167" s="2">
        <f t="shared" si="2"/>
        <v>0</v>
      </c>
      <c r="J167" s="2">
        <f t="shared" si="2"/>
        <v>0</v>
      </c>
      <c r="K167" s="2"/>
    </row>
    <row r="168" spans="1:11" ht="12.75" customHeight="1" x14ac:dyDescent="0.25">
      <c r="A168" s="191" t="s">
        <v>895</v>
      </c>
      <c r="E168" s="2">
        <f t="shared" ref="E168:J168" si="3">SUM(E76:E152)</f>
        <v>10244</v>
      </c>
      <c r="F168" s="2">
        <f t="shared" si="3"/>
        <v>22773</v>
      </c>
      <c r="G168" s="2">
        <f t="shared" si="3"/>
        <v>20403</v>
      </c>
      <c r="H168" s="2">
        <f t="shared" si="3"/>
        <v>20403</v>
      </c>
      <c r="I168" s="2">
        <f t="shared" si="3"/>
        <v>0</v>
      </c>
      <c r="J168" s="2">
        <f t="shared" si="3"/>
        <v>0</v>
      </c>
      <c r="K168" s="2"/>
    </row>
    <row r="169" spans="1:11" ht="12.75" customHeight="1" x14ac:dyDescent="0.4">
      <c r="A169" s="191" t="s">
        <v>896</v>
      </c>
      <c r="E169" s="11">
        <f t="shared" ref="E169:H169" si="4">+E160+E157</f>
        <v>0</v>
      </c>
      <c r="F169" s="11">
        <f t="shared" si="4"/>
        <v>12400</v>
      </c>
      <c r="G169" s="11">
        <f t="shared" si="4"/>
        <v>42500</v>
      </c>
      <c r="H169" s="11">
        <f t="shared" si="4"/>
        <v>2500</v>
      </c>
      <c r="I169" s="11">
        <f>+I160+I157</f>
        <v>0</v>
      </c>
      <c r="J169" s="11">
        <f>+J160+J157</f>
        <v>0</v>
      </c>
      <c r="K169" s="11"/>
    </row>
    <row r="170" spans="1:11" ht="12.75" customHeight="1" x14ac:dyDescent="0.25">
      <c r="E170" s="2">
        <f t="shared" ref="E170:H170" si="5">SUM(E167:E169)</f>
        <v>330956</v>
      </c>
      <c r="F170" s="2">
        <f t="shared" si="5"/>
        <v>385724</v>
      </c>
      <c r="G170" s="2">
        <f t="shared" si="5"/>
        <v>476588</v>
      </c>
      <c r="H170" s="2">
        <f t="shared" si="5"/>
        <v>383588</v>
      </c>
      <c r="I170" s="2">
        <f>SUM(I167:I169)</f>
        <v>0</v>
      </c>
      <c r="J170" s="2">
        <f>SUM(J167:J169)</f>
        <v>0</v>
      </c>
      <c r="K170" s="2"/>
    </row>
    <row r="171" spans="1:11" ht="12.75" customHeight="1" x14ac:dyDescent="0.25">
      <c r="F171" s="2"/>
      <c r="H171" s="2"/>
      <c r="I171" s="2"/>
      <c r="J171" s="2"/>
      <c r="K171" s="2"/>
    </row>
    <row r="172" spans="1:11" ht="12.75" customHeight="1" x14ac:dyDescent="0.25">
      <c r="H172" s="2"/>
      <c r="I172" s="2"/>
      <c r="J172" s="2"/>
      <c r="K172" s="2"/>
    </row>
    <row r="173" spans="1:11" ht="12.75" customHeight="1" x14ac:dyDescent="0.25">
      <c r="H173" s="2"/>
      <c r="I173" s="2"/>
      <c r="J173" s="2"/>
      <c r="K173" s="2"/>
    </row>
    <row r="174" spans="1:11" ht="12.75" customHeight="1" x14ac:dyDescent="0.25">
      <c r="H174" s="2"/>
      <c r="I174" s="2"/>
      <c r="J174" s="2"/>
      <c r="K174" s="2"/>
    </row>
    <row r="175" spans="1:11" ht="12.75" customHeight="1" x14ac:dyDescent="0.25">
      <c r="H175" s="2"/>
      <c r="I175" s="2"/>
      <c r="J175" s="2"/>
      <c r="K175" s="2"/>
    </row>
    <row r="176" spans="1:11" ht="12.75" customHeight="1" x14ac:dyDescent="0.25">
      <c r="H176" s="2"/>
      <c r="I176" s="2"/>
      <c r="J176" s="2"/>
      <c r="K176" s="2"/>
    </row>
    <row r="177" spans="8:11" ht="12.75" customHeight="1" x14ac:dyDescent="0.25">
      <c r="H177" s="2"/>
      <c r="I177" s="2"/>
      <c r="J177" s="2"/>
      <c r="K177" s="2"/>
    </row>
    <row r="178" spans="8:11" ht="12.75" customHeight="1" x14ac:dyDescent="0.25">
      <c r="H178" s="2"/>
      <c r="I178" s="2"/>
      <c r="J178" s="2"/>
      <c r="K178" s="2"/>
    </row>
    <row r="179" spans="8:11" ht="12.75" customHeight="1" x14ac:dyDescent="0.25">
      <c r="H179" s="2"/>
      <c r="I179" s="2"/>
      <c r="J179" s="2"/>
      <c r="K179" s="2"/>
    </row>
    <row r="180" spans="8:11" ht="12.75" customHeight="1" x14ac:dyDescent="0.25">
      <c r="H180" s="2"/>
      <c r="I180" s="2"/>
      <c r="J180" s="2"/>
    </row>
    <row r="181" spans="8:11" ht="12.75" customHeight="1" x14ac:dyDescent="0.25">
      <c r="H181" s="2"/>
      <c r="I181" s="2"/>
      <c r="J181" s="2"/>
    </row>
    <row r="182" spans="8:11" ht="12.75" customHeight="1" x14ac:dyDescent="0.25">
      <c r="H182" s="2"/>
      <c r="I182" s="2"/>
      <c r="J182" s="2"/>
    </row>
    <row r="183" spans="8:11" ht="12.75" customHeight="1" x14ac:dyDescent="0.25">
      <c r="H183" s="2"/>
      <c r="I183" s="2"/>
      <c r="J183" s="2"/>
    </row>
    <row r="184" spans="8:11" ht="12.75" customHeight="1" x14ac:dyDescent="0.25">
      <c r="H184" s="2"/>
      <c r="I184" s="2"/>
      <c r="J184" s="2"/>
    </row>
    <row r="185" spans="8:11" ht="12.75" customHeight="1" x14ac:dyDescent="0.25">
      <c r="H185" s="2"/>
      <c r="I185" s="2"/>
      <c r="J185" s="2"/>
    </row>
    <row r="186" spans="8:11" ht="12.75" customHeight="1" x14ac:dyDescent="0.25">
      <c r="H186" s="2"/>
      <c r="I186" s="2"/>
      <c r="J186" s="2"/>
    </row>
    <row r="187" spans="8:11" ht="12.75" customHeight="1" x14ac:dyDescent="0.25">
      <c r="H187" s="2"/>
      <c r="I187" s="2"/>
      <c r="J187" s="2"/>
    </row>
    <row r="188" spans="8:11" ht="12.75" customHeight="1" x14ac:dyDescent="0.25">
      <c r="H188" s="2"/>
      <c r="I188" s="2"/>
      <c r="J188" s="2"/>
    </row>
    <row r="189" spans="8:11" ht="12.75" customHeight="1" x14ac:dyDescent="0.25">
      <c r="H189" s="2"/>
      <c r="I189" s="2"/>
      <c r="J189" s="2"/>
    </row>
    <row r="190" spans="8:11" ht="12.75" customHeight="1" x14ac:dyDescent="0.25">
      <c r="H190" s="2"/>
      <c r="I190" s="2"/>
      <c r="J190" s="2"/>
    </row>
    <row r="191" spans="8:11" ht="12.75" customHeight="1" x14ac:dyDescent="0.25">
      <c r="H191" s="2"/>
      <c r="I191" s="2"/>
      <c r="J191" s="2"/>
    </row>
    <row r="192" spans="8:11" ht="12.75" customHeight="1" x14ac:dyDescent="0.25">
      <c r="H192" s="2"/>
      <c r="I192" s="2"/>
      <c r="J192" s="2"/>
    </row>
    <row r="193" spans="8:10" ht="12.75" customHeight="1" x14ac:dyDescent="0.25">
      <c r="H193" s="2"/>
      <c r="I193" s="2"/>
      <c r="J193" s="2"/>
    </row>
    <row r="194" spans="8:10" ht="12.75" customHeight="1" x14ac:dyDescent="0.25">
      <c r="H194" s="2"/>
      <c r="I194" s="2"/>
      <c r="J194" s="2"/>
    </row>
    <row r="195" spans="8:10" ht="12.75" customHeight="1" x14ac:dyDescent="0.25">
      <c r="H195" s="2"/>
      <c r="I195" s="2"/>
      <c r="J195" s="2"/>
    </row>
    <row r="196" spans="8:10" ht="12.75" customHeight="1" x14ac:dyDescent="0.25">
      <c r="H196" s="2"/>
      <c r="I196" s="2"/>
      <c r="J196" s="2"/>
    </row>
    <row r="197" spans="8:10" ht="12.75" customHeight="1" x14ac:dyDescent="0.25">
      <c r="H197" s="2"/>
      <c r="I197" s="2"/>
      <c r="J197" s="2"/>
    </row>
  </sheetData>
  <mergeCells count="1">
    <mergeCell ref="A1:J1"/>
  </mergeCells>
  <phoneticPr fontId="5" type="noConversion"/>
  <printOptions gridLines="1"/>
  <pageMargins left="0.75" right="0.16" top="0.51" bottom="0.22" header="0.5" footer="0.5"/>
  <pageSetup scale="94" fitToHeight="4" orientation="landscape" r:id="rId1"/>
  <headerFooter alignWithMargins="0"/>
  <rowBreaks count="2" manualBreakCount="2">
    <brk id="109" max="7" man="1"/>
    <brk id="141" max="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162"/>
  <sheetViews>
    <sheetView zoomScaleNormal="100" zoomScaleSheetLayoutView="100" workbookViewId="0">
      <selection sqref="A1:J1"/>
    </sheetView>
  </sheetViews>
  <sheetFormatPr defaultColWidth="8.88671875" defaultRowHeight="13.2" x14ac:dyDescent="0.25"/>
  <cols>
    <col min="1" max="1" width="44.44140625" style="7" customWidth="1"/>
    <col min="2" max="2" width="8.6640625" style="7" bestFit="1" customWidth="1"/>
    <col min="3" max="3" width="9.6640625" style="7" bestFit="1" customWidth="1"/>
    <col min="4" max="4" width="11" style="7" bestFit="1" customWidth="1"/>
    <col min="5" max="5" width="13.6640625" style="7" customWidth="1"/>
    <col min="6" max="6" width="10.33203125" style="7" bestFit="1" customWidth="1"/>
    <col min="7" max="7" width="14.44140625" style="7" bestFit="1" customWidth="1"/>
    <col min="8" max="8" width="14" style="7" bestFit="1" customWidth="1"/>
    <col min="9" max="10" width="9.5546875" style="7" customWidth="1"/>
    <col min="11" max="11" width="0" style="7" hidden="1" customWidth="1"/>
    <col min="12" max="16384" width="8.88671875" style="7"/>
  </cols>
  <sheetData>
    <row r="1" spans="1:10" x14ac:dyDescent="0.25">
      <c r="A1" s="194" t="e">
        <f>#REF!</f>
        <v>#REF!</v>
      </c>
      <c r="B1" s="195"/>
      <c r="C1" s="195"/>
      <c r="D1" s="195"/>
      <c r="E1" s="195"/>
      <c r="F1" s="195"/>
      <c r="G1" s="195"/>
      <c r="H1" s="195"/>
      <c r="I1" s="195"/>
      <c r="J1" s="195"/>
    </row>
    <row r="2" spans="1:10" ht="17.399999999999999" x14ac:dyDescent="0.3">
      <c r="A2" s="153" t="s">
        <v>1955</v>
      </c>
      <c r="B2" s="153"/>
      <c r="C2" s="153"/>
      <c r="D2" s="153"/>
      <c r="E2" s="153"/>
      <c r="F2" s="153"/>
    </row>
    <row r="3" spans="1:10" x14ac:dyDescent="0.25">
      <c r="B3" s="2"/>
      <c r="C3" s="2"/>
      <c r="D3" s="2"/>
      <c r="E3" s="2"/>
      <c r="F3" s="2"/>
    </row>
    <row r="4" spans="1:10" x14ac:dyDescent="0.25">
      <c r="B4" s="2"/>
      <c r="C4" s="2"/>
      <c r="D4" s="2"/>
      <c r="E4" s="167" t="s">
        <v>232</v>
      </c>
      <c r="F4" s="167" t="s">
        <v>233</v>
      </c>
      <c r="G4" s="167" t="s">
        <v>69</v>
      </c>
      <c r="H4" s="167" t="s">
        <v>399</v>
      </c>
      <c r="I4" s="16" t="s">
        <v>303</v>
      </c>
      <c r="J4" s="16" t="s">
        <v>336</v>
      </c>
    </row>
    <row r="5" spans="1:10" ht="15" x14ac:dyDescent="0.4">
      <c r="B5" s="2"/>
      <c r="C5" s="2"/>
      <c r="D5" s="2"/>
      <c r="E5" s="164" t="s">
        <v>1715</v>
      </c>
      <c r="F5" s="164" t="s">
        <v>1766</v>
      </c>
      <c r="G5" s="164" t="s">
        <v>1985</v>
      </c>
      <c r="H5" s="164" t="s">
        <v>1985</v>
      </c>
      <c r="I5" s="164" t="s">
        <v>1985</v>
      </c>
      <c r="J5" s="164" t="s">
        <v>1985</v>
      </c>
    </row>
    <row r="6" spans="1:10" ht="13.8" x14ac:dyDescent="0.3">
      <c r="A6" s="177" t="s">
        <v>2</v>
      </c>
      <c r="B6" s="2"/>
      <c r="C6" s="2"/>
      <c r="D6" s="2"/>
      <c r="E6" s="2">
        <v>50520</v>
      </c>
      <c r="F6" s="2">
        <v>50492</v>
      </c>
      <c r="G6" s="2">
        <v>50492</v>
      </c>
      <c r="H6" s="2">
        <v>50492</v>
      </c>
      <c r="I6" s="2"/>
      <c r="J6" s="2"/>
    </row>
    <row r="7" spans="1:10" x14ac:dyDescent="0.25">
      <c r="A7" s="176" t="s">
        <v>434</v>
      </c>
      <c r="B7" s="2">
        <v>52</v>
      </c>
      <c r="C7" s="2">
        <v>971</v>
      </c>
      <c r="D7" s="2">
        <f>ROUND(B7*C7,0)</f>
        <v>50492</v>
      </c>
      <c r="E7" s="2"/>
      <c r="F7" s="2"/>
      <c r="G7" s="2"/>
      <c r="H7" s="2"/>
      <c r="I7" s="2"/>
      <c r="J7" s="2"/>
    </row>
    <row r="8" spans="1:10" x14ac:dyDescent="0.25">
      <c r="A8" s="176"/>
      <c r="B8" s="2"/>
      <c r="C8" s="2"/>
      <c r="D8" s="2"/>
      <c r="E8" s="2"/>
      <c r="F8" s="2"/>
      <c r="G8" s="2"/>
      <c r="H8" s="2"/>
      <c r="I8" s="2"/>
      <c r="J8" s="2"/>
    </row>
    <row r="9" spans="1:10" ht="13.8" x14ac:dyDescent="0.3">
      <c r="A9" s="177" t="s">
        <v>238</v>
      </c>
      <c r="B9" s="2"/>
      <c r="C9" s="2"/>
      <c r="D9" s="2"/>
      <c r="E9" s="2">
        <v>183012</v>
      </c>
      <c r="F9" s="2">
        <v>187448</v>
      </c>
      <c r="G9" s="2">
        <v>188262</v>
      </c>
      <c r="H9" s="2">
        <v>188262</v>
      </c>
      <c r="I9" s="2"/>
      <c r="J9" s="2"/>
    </row>
    <row r="10" spans="1:10" x14ac:dyDescent="0.25">
      <c r="A10" s="176" t="s">
        <v>239</v>
      </c>
      <c r="B10" s="2">
        <v>52</v>
      </c>
      <c r="C10" s="2">
        <v>1998</v>
      </c>
      <c r="D10" s="2">
        <f>ROUND(B10*C10,0)</f>
        <v>103896</v>
      </c>
      <c r="E10" s="2"/>
      <c r="F10" s="2"/>
      <c r="G10" s="2"/>
      <c r="H10" s="2"/>
      <c r="I10" s="2"/>
      <c r="J10" s="2"/>
    </row>
    <row r="11" spans="1:10" x14ac:dyDescent="0.25">
      <c r="A11" s="176" t="s">
        <v>1485</v>
      </c>
      <c r="B11" s="2">
        <v>52</v>
      </c>
      <c r="C11" s="2">
        <v>1584</v>
      </c>
      <c r="D11" s="2">
        <f>ROUND(B11*C11,0)</f>
        <v>82368</v>
      </c>
      <c r="E11" s="2"/>
      <c r="F11" s="2"/>
      <c r="G11" s="2"/>
      <c r="H11" s="2"/>
      <c r="I11" s="2"/>
      <c r="J11" s="2"/>
    </row>
    <row r="12" spans="1:10" ht="15" x14ac:dyDescent="0.4">
      <c r="A12" s="176" t="s">
        <v>912</v>
      </c>
      <c r="B12" s="2" t="s">
        <v>386</v>
      </c>
      <c r="C12" s="2" t="s">
        <v>386</v>
      </c>
      <c r="D12" s="11">
        <f>+C10</f>
        <v>1998</v>
      </c>
      <c r="E12" s="2"/>
      <c r="F12" s="2"/>
      <c r="G12" s="2"/>
      <c r="H12" s="2"/>
      <c r="I12" s="2"/>
      <c r="J12" s="2"/>
    </row>
    <row r="13" spans="1:10" x14ac:dyDescent="0.25">
      <c r="A13" s="176" t="s">
        <v>1182</v>
      </c>
      <c r="B13" s="2"/>
      <c r="C13" s="2"/>
      <c r="D13" s="2">
        <f>SUM(D10:D12)</f>
        <v>188262</v>
      </c>
      <c r="E13" s="2"/>
      <c r="F13" s="2"/>
      <c r="G13" s="2"/>
      <c r="H13" s="2"/>
      <c r="I13" s="2"/>
      <c r="J13" s="2"/>
    </row>
    <row r="14" spans="1:10" x14ac:dyDescent="0.25">
      <c r="A14" s="176"/>
      <c r="B14" s="2"/>
      <c r="C14" s="2"/>
      <c r="D14" s="2"/>
      <c r="E14" s="2"/>
      <c r="F14" s="2"/>
      <c r="G14" s="2"/>
      <c r="H14" s="2"/>
      <c r="I14" s="2"/>
      <c r="J14" s="2"/>
    </row>
    <row r="15" spans="1:10" ht="13.8" x14ac:dyDescent="0.3">
      <c r="A15" s="177" t="s">
        <v>750</v>
      </c>
      <c r="B15" s="176"/>
      <c r="C15" s="176"/>
      <c r="D15" s="2"/>
      <c r="E15" s="2">
        <v>13771</v>
      </c>
      <c r="F15" s="2">
        <v>12080</v>
      </c>
      <c r="G15" s="2">
        <v>19120</v>
      </c>
      <c r="H15" s="2">
        <v>19120</v>
      </c>
      <c r="I15" s="2"/>
      <c r="J15" s="2"/>
    </row>
    <row r="16" spans="1:10" x14ac:dyDescent="0.25">
      <c r="A16" s="176" t="s">
        <v>2101</v>
      </c>
      <c r="B16" s="2">
        <v>1320</v>
      </c>
      <c r="C16" s="14">
        <v>14</v>
      </c>
      <c r="D16" s="2">
        <f>ROUND(B16*C16,0)</f>
        <v>18480</v>
      </c>
      <c r="E16" s="2"/>
      <c r="F16" s="2"/>
      <c r="G16" s="2"/>
      <c r="H16" s="2"/>
      <c r="I16" s="2"/>
      <c r="J16" s="2"/>
    </row>
    <row r="17" spans="1:10" s="169" customFormat="1" ht="15" x14ac:dyDescent="0.4">
      <c r="A17" s="176" t="s">
        <v>1661</v>
      </c>
      <c r="B17" s="2">
        <v>64</v>
      </c>
      <c r="C17" s="14">
        <v>10</v>
      </c>
      <c r="D17" s="11">
        <f>+C17*B17</f>
        <v>640</v>
      </c>
      <c r="E17" s="2"/>
      <c r="F17" s="2"/>
      <c r="G17" s="2"/>
      <c r="H17" s="2"/>
      <c r="I17" s="2"/>
      <c r="J17" s="2"/>
    </row>
    <row r="18" spans="1:10" x14ac:dyDescent="0.25">
      <c r="A18" s="176"/>
      <c r="B18" s="2"/>
      <c r="C18" s="14"/>
      <c r="D18" s="2">
        <f>SUM(D16:D17)</f>
        <v>19120</v>
      </c>
      <c r="E18" s="2"/>
      <c r="F18" s="2"/>
      <c r="G18" s="2"/>
      <c r="H18" s="2"/>
      <c r="I18" s="2"/>
      <c r="J18" s="2"/>
    </row>
    <row r="19" spans="1:10" x14ac:dyDescent="0.25">
      <c r="A19" s="176"/>
      <c r="B19" s="2"/>
      <c r="C19" s="14"/>
      <c r="D19" s="2"/>
      <c r="E19" s="2"/>
      <c r="F19" s="2"/>
      <c r="G19" s="2"/>
      <c r="H19" s="2"/>
      <c r="I19" s="2"/>
      <c r="J19" s="2"/>
    </row>
    <row r="20" spans="1:10" s="165" customFormat="1" x14ac:dyDescent="0.25">
      <c r="A20" s="176"/>
      <c r="B20" s="2"/>
      <c r="C20" s="14"/>
      <c r="D20" s="2"/>
      <c r="E20" s="2"/>
      <c r="F20" s="2"/>
      <c r="G20" s="2"/>
      <c r="H20" s="2"/>
      <c r="I20" s="2"/>
      <c r="J20" s="2"/>
    </row>
    <row r="21" spans="1:10" s="165" customFormat="1" ht="13.8" x14ac:dyDescent="0.3">
      <c r="A21" s="53" t="s">
        <v>1987</v>
      </c>
      <c r="B21" s="2"/>
      <c r="C21" s="14"/>
      <c r="D21" s="2"/>
      <c r="E21" s="2">
        <v>36</v>
      </c>
      <c r="F21" s="2">
        <v>0</v>
      </c>
      <c r="G21" s="2">
        <v>0</v>
      </c>
      <c r="H21" s="2">
        <v>0</v>
      </c>
      <c r="I21" s="2"/>
      <c r="J21" s="2"/>
    </row>
    <row r="22" spans="1:10" s="165" customFormat="1" ht="13.8" x14ac:dyDescent="0.3">
      <c r="A22" s="53"/>
      <c r="B22" s="2"/>
      <c r="C22" s="14"/>
      <c r="D22" s="2"/>
      <c r="E22" s="2"/>
      <c r="F22" s="2"/>
      <c r="G22" s="2"/>
      <c r="H22" s="2"/>
      <c r="I22" s="2"/>
      <c r="J22" s="2"/>
    </row>
    <row r="23" spans="1:10" s="165" customFormat="1" x14ac:dyDescent="0.25">
      <c r="A23" s="176"/>
      <c r="B23" s="2"/>
      <c r="C23" s="14"/>
      <c r="D23" s="2"/>
      <c r="E23" s="2"/>
      <c r="F23" s="2"/>
      <c r="G23" s="2"/>
      <c r="H23" s="2"/>
      <c r="I23" s="2"/>
      <c r="J23" s="2"/>
    </row>
    <row r="24" spans="1:10" s="165" customFormat="1" ht="13.8" x14ac:dyDescent="0.3">
      <c r="A24" s="177" t="s">
        <v>200</v>
      </c>
      <c r="B24" s="176"/>
      <c r="C24" s="176"/>
      <c r="D24" s="2"/>
      <c r="E24" s="2">
        <v>18965</v>
      </c>
      <c r="F24" s="2">
        <v>19127</v>
      </c>
      <c r="G24" s="2">
        <v>19728</v>
      </c>
      <c r="H24" s="2">
        <v>19728</v>
      </c>
      <c r="I24" s="2"/>
      <c r="J24" s="2"/>
    </row>
    <row r="25" spans="1:10" hidden="1" x14ac:dyDescent="0.25">
      <c r="A25" s="13" t="s">
        <v>844</v>
      </c>
      <c r="B25" s="2">
        <f>+D7</f>
        <v>50492</v>
      </c>
      <c r="C25" s="14">
        <v>7.6499999999999999E-2</v>
      </c>
      <c r="D25" s="2">
        <f>ROUND(B25*C25,0)</f>
        <v>3863</v>
      </c>
      <c r="E25" s="2"/>
      <c r="F25" s="2"/>
      <c r="G25" s="2"/>
      <c r="H25" s="2"/>
      <c r="I25" s="2"/>
      <c r="J25" s="2"/>
    </row>
    <row r="26" spans="1:10" hidden="1" x14ac:dyDescent="0.25">
      <c r="A26" s="13" t="s">
        <v>1406</v>
      </c>
      <c r="B26" s="2">
        <f>+D13</f>
        <v>188262</v>
      </c>
      <c r="C26" s="14">
        <v>7.6499999999999999E-2</v>
      </c>
      <c r="D26" s="2">
        <f>ROUND(B26*C26,0)</f>
        <v>14402</v>
      </c>
      <c r="E26" s="2"/>
      <c r="F26" s="2"/>
      <c r="G26" s="2"/>
      <c r="H26" s="2"/>
      <c r="I26" s="2"/>
      <c r="J26" s="2"/>
    </row>
    <row r="27" spans="1:10" ht="15" hidden="1" x14ac:dyDescent="0.4">
      <c r="A27" s="13" t="s">
        <v>183</v>
      </c>
      <c r="B27" s="2">
        <f>+D18</f>
        <v>19120</v>
      </c>
      <c r="C27" s="14">
        <v>7.6499999999999999E-2</v>
      </c>
      <c r="D27" s="11">
        <f>ROUND(B27*C27,0)</f>
        <v>1463</v>
      </c>
      <c r="E27" s="2"/>
      <c r="F27" s="2"/>
      <c r="G27" s="2"/>
      <c r="H27" s="2"/>
      <c r="I27" s="2"/>
      <c r="J27" s="2"/>
    </row>
    <row r="28" spans="1:10" hidden="1" x14ac:dyDescent="0.25">
      <c r="A28" s="176" t="s">
        <v>1182</v>
      </c>
      <c r="B28" s="176"/>
      <c r="C28" s="176"/>
      <c r="D28" s="2">
        <f>SUM(D25:D27)</f>
        <v>19728</v>
      </c>
      <c r="E28" s="2"/>
      <c r="F28" s="2"/>
      <c r="G28" s="2"/>
      <c r="H28" s="2"/>
      <c r="I28" s="2"/>
      <c r="J28" s="2"/>
    </row>
    <row r="29" spans="1:10" x14ac:dyDescent="0.25">
      <c r="A29" s="176"/>
      <c r="B29" s="176"/>
      <c r="C29" s="176"/>
      <c r="D29" s="2"/>
      <c r="E29" s="2"/>
      <c r="F29" s="2"/>
      <c r="G29" s="2"/>
      <c r="H29" s="2"/>
      <c r="I29" s="2"/>
      <c r="J29" s="2"/>
    </row>
    <row r="30" spans="1:10" ht="13.8" x14ac:dyDescent="0.3">
      <c r="A30" s="15" t="s">
        <v>201</v>
      </c>
      <c r="B30" s="176"/>
      <c r="C30" s="176"/>
      <c r="D30" s="2"/>
      <c r="E30" s="2">
        <v>26095</v>
      </c>
      <c r="F30" s="2">
        <v>28910</v>
      </c>
      <c r="G30" s="2">
        <v>27170</v>
      </c>
      <c r="H30" s="2">
        <v>27170</v>
      </c>
      <c r="I30" s="2"/>
      <c r="J30" s="2"/>
    </row>
    <row r="31" spans="1:10" hidden="1" x14ac:dyDescent="0.25">
      <c r="A31" s="13" t="s">
        <v>844</v>
      </c>
      <c r="B31" s="2">
        <f>+B25</f>
        <v>50492</v>
      </c>
      <c r="C31" s="14">
        <v>0.1138</v>
      </c>
      <c r="D31" s="2">
        <f>ROUND(B31*C31,0)</f>
        <v>5746</v>
      </c>
      <c r="E31" s="2"/>
      <c r="F31" s="2"/>
      <c r="G31" s="2"/>
      <c r="H31" s="2"/>
      <c r="I31" s="2"/>
      <c r="J31" s="2"/>
    </row>
    <row r="32" spans="1:10" ht="15" hidden="1" x14ac:dyDescent="0.4">
      <c r="A32" s="13" t="s">
        <v>1406</v>
      </c>
      <c r="B32" s="2">
        <f>+D13</f>
        <v>188262</v>
      </c>
      <c r="C32" s="14">
        <v>0.1138</v>
      </c>
      <c r="D32" s="11">
        <f>ROUND(B32*C32,0)</f>
        <v>21424</v>
      </c>
      <c r="E32" s="2"/>
      <c r="F32" s="2"/>
      <c r="G32" s="2"/>
      <c r="H32" s="2"/>
      <c r="I32" s="2"/>
      <c r="J32" s="2"/>
    </row>
    <row r="33" spans="1:10" hidden="1" x14ac:dyDescent="0.25">
      <c r="A33" s="176" t="s">
        <v>1182</v>
      </c>
      <c r="B33" s="176" t="s">
        <v>386</v>
      </c>
      <c r="C33" s="2" t="s">
        <v>386</v>
      </c>
      <c r="D33" s="2">
        <f>SUM(D31:D32)</f>
        <v>27170</v>
      </c>
      <c r="E33" s="2"/>
      <c r="F33" s="2"/>
      <c r="G33" s="2"/>
      <c r="H33" s="2"/>
      <c r="I33" s="2"/>
      <c r="J33" s="2"/>
    </row>
    <row r="34" spans="1:10" x14ac:dyDescent="0.25">
      <c r="A34" s="176"/>
      <c r="B34" s="176"/>
      <c r="C34" s="176"/>
      <c r="D34" s="2"/>
      <c r="E34" s="2"/>
      <c r="F34" s="2"/>
      <c r="G34" s="2"/>
      <c r="H34" s="2"/>
      <c r="I34" s="2"/>
      <c r="J34" s="2"/>
    </row>
    <row r="35" spans="1:10" ht="13.8" x14ac:dyDescent="0.3">
      <c r="A35" s="177" t="s">
        <v>625</v>
      </c>
      <c r="B35" s="176"/>
      <c r="C35" s="176"/>
      <c r="D35" s="2"/>
      <c r="E35" s="2">
        <v>45816</v>
      </c>
      <c r="F35" s="2">
        <v>51750</v>
      </c>
      <c r="G35" s="2">
        <v>54900</v>
      </c>
      <c r="H35" s="2">
        <v>54900</v>
      </c>
      <c r="I35" s="2"/>
      <c r="J35" s="2"/>
    </row>
    <row r="36" spans="1:10" x14ac:dyDescent="0.25">
      <c r="A36" s="176" t="s">
        <v>406</v>
      </c>
      <c r="B36" s="2">
        <v>3</v>
      </c>
      <c r="C36" s="2">
        <v>18300</v>
      </c>
      <c r="D36" s="2">
        <f>ROUND(B36*C36,0)</f>
        <v>54900</v>
      </c>
      <c r="E36" s="2"/>
      <c r="F36" s="2"/>
      <c r="G36" s="2"/>
      <c r="H36" s="2"/>
      <c r="I36" s="2"/>
      <c r="J36" s="2"/>
    </row>
    <row r="37" spans="1:10" x14ac:dyDescent="0.25">
      <c r="A37" s="176"/>
      <c r="B37" s="176"/>
      <c r="C37" s="176"/>
      <c r="D37" s="2"/>
      <c r="E37" s="2"/>
      <c r="F37" s="2"/>
      <c r="G37" s="2"/>
      <c r="H37" s="2"/>
      <c r="I37" s="2"/>
      <c r="J37" s="2"/>
    </row>
    <row r="38" spans="1:10" ht="13.8" x14ac:dyDescent="0.3">
      <c r="A38" s="177" t="s">
        <v>938</v>
      </c>
      <c r="B38" s="176"/>
      <c r="C38" s="176"/>
      <c r="D38" s="2"/>
      <c r="E38" s="2">
        <v>3363</v>
      </c>
      <c r="F38" s="2">
        <v>3510</v>
      </c>
      <c r="G38" s="2">
        <v>3510</v>
      </c>
      <c r="H38" s="2">
        <v>3510</v>
      </c>
      <c r="I38" s="2"/>
      <c r="J38" s="2"/>
    </row>
    <row r="39" spans="1:10" x14ac:dyDescent="0.25">
      <c r="A39" s="176" t="s">
        <v>406</v>
      </c>
      <c r="B39" s="2">
        <v>3</v>
      </c>
      <c r="C39" s="2">
        <v>1300</v>
      </c>
      <c r="D39" s="2">
        <f>ROUND(B39*C39,0)</f>
        <v>3900</v>
      </c>
      <c r="E39" s="2"/>
      <c r="F39" s="2"/>
      <c r="G39" s="2"/>
      <c r="H39" s="2"/>
      <c r="I39" s="2"/>
      <c r="J39" s="2"/>
    </row>
    <row r="40" spans="1:10" ht="15" x14ac:dyDescent="0.4">
      <c r="A40" s="176" t="s">
        <v>226</v>
      </c>
      <c r="B40" s="176"/>
      <c r="C40" s="176"/>
      <c r="D40" s="11">
        <f>+C39*-0.1*3</f>
        <v>-390</v>
      </c>
      <c r="E40" s="2"/>
      <c r="F40" s="2"/>
      <c r="G40" s="2"/>
      <c r="H40" s="2"/>
      <c r="I40" s="2"/>
      <c r="J40" s="2"/>
    </row>
    <row r="41" spans="1:10" x14ac:dyDescent="0.25">
      <c r="A41" s="176" t="s">
        <v>1182</v>
      </c>
      <c r="B41" s="176"/>
      <c r="C41" s="176"/>
      <c r="D41" s="2">
        <f>SUM(D39:D40)</f>
        <v>3510</v>
      </c>
      <c r="E41" s="2"/>
      <c r="F41" s="2"/>
      <c r="G41" s="2"/>
      <c r="H41" s="2"/>
      <c r="I41" s="2"/>
      <c r="J41" s="2"/>
    </row>
    <row r="42" spans="1:10" x14ac:dyDescent="0.25">
      <c r="A42" s="176"/>
      <c r="B42" s="176"/>
      <c r="C42" s="176"/>
      <c r="D42" s="2"/>
      <c r="E42" s="2"/>
      <c r="F42" s="2"/>
      <c r="G42" s="2"/>
      <c r="H42" s="2"/>
      <c r="I42" s="2"/>
      <c r="J42" s="2"/>
    </row>
    <row r="43" spans="1:10" ht="13.8" x14ac:dyDescent="0.3">
      <c r="A43" s="177" t="s">
        <v>740</v>
      </c>
      <c r="B43" s="176"/>
      <c r="C43" s="176"/>
      <c r="D43" s="2"/>
      <c r="E43" s="2">
        <v>458</v>
      </c>
      <c r="F43" s="2">
        <v>405</v>
      </c>
      <c r="G43" s="2">
        <v>405</v>
      </c>
      <c r="H43" s="2">
        <v>405</v>
      </c>
      <c r="I43" s="2"/>
      <c r="J43" s="2"/>
    </row>
    <row r="44" spans="1:10" hidden="1" x14ac:dyDescent="0.25">
      <c r="A44" s="176" t="s">
        <v>406</v>
      </c>
      <c r="B44" s="2">
        <v>3</v>
      </c>
      <c r="C44" s="2">
        <v>135</v>
      </c>
      <c r="D44" s="2">
        <f>ROUND(B44*C44,0)</f>
        <v>405</v>
      </c>
      <c r="E44" s="2"/>
      <c r="F44" s="2"/>
      <c r="G44" s="2"/>
      <c r="H44" s="2"/>
      <c r="I44" s="2"/>
      <c r="J44" s="2"/>
    </row>
    <row r="45" spans="1:10" x14ac:dyDescent="0.25">
      <c r="A45" s="176"/>
      <c r="B45" s="176"/>
      <c r="C45" s="176"/>
      <c r="D45" s="2"/>
      <c r="E45" s="2"/>
      <c r="F45" s="2"/>
      <c r="G45" s="2"/>
      <c r="H45" s="2"/>
      <c r="I45" s="2"/>
      <c r="J45" s="2"/>
    </row>
    <row r="46" spans="1:10" ht="13.8" x14ac:dyDescent="0.3">
      <c r="A46" s="177" t="s">
        <v>741</v>
      </c>
      <c r="B46" s="176"/>
      <c r="C46" s="176"/>
      <c r="D46" s="2"/>
      <c r="E46" s="2">
        <v>1229</v>
      </c>
      <c r="F46" s="2">
        <v>1230</v>
      </c>
      <c r="G46" s="2">
        <v>1890</v>
      </c>
      <c r="H46" s="2">
        <v>1890</v>
      </c>
      <c r="I46" s="2"/>
      <c r="J46" s="2"/>
    </row>
    <row r="47" spans="1:10" hidden="1" x14ac:dyDescent="0.25">
      <c r="A47" s="176" t="s">
        <v>406</v>
      </c>
      <c r="B47" s="2">
        <v>3</v>
      </c>
      <c r="C47" s="2">
        <v>630</v>
      </c>
      <c r="D47" s="2">
        <f>ROUND(B47*C47,0)</f>
        <v>1890</v>
      </c>
      <c r="E47" s="2"/>
      <c r="F47" s="2"/>
      <c r="G47" s="2"/>
      <c r="H47" s="2"/>
      <c r="I47" s="2"/>
      <c r="J47" s="2"/>
    </row>
    <row r="48" spans="1:10" x14ac:dyDescent="0.25">
      <c r="A48" s="176"/>
      <c r="B48" s="176"/>
      <c r="C48" s="176"/>
      <c r="D48" s="2"/>
      <c r="E48" s="2"/>
      <c r="F48" s="2"/>
      <c r="G48" s="2"/>
      <c r="H48" s="2"/>
      <c r="I48" s="2"/>
      <c r="J48" s="2"/>
    </row>
    <row r="49" spans="1:10" ht="13.8" x14ac:dyDescent="0.3">
      <c r="A49" s="177" t="s">
        <v>742</v>
      </c>
      <c r="B49" s="176"/>
      <c r="C49" s="176"/>
      <c r="D49" s="2"/>
      <c r="E49" s="2">
        <v>2376</v>
      </c>
      <c r="F49" s="2">
        <v>2956</v>
      </c>
      <c r="G49" s="2">
        <v>3068</v>
      </c>
      <c r="H49" s="2">
        <v>3068</v>
      </c>
      <c r="I49" s="2"/>
      <c r="J49" s="2"/>
    </row>
    <row r="50" spans="1:10" hidden="1" x14ac:dyDescent="0.25">
      <c r="A50" s="13" t="s">
        <v>844</v>
      </c>
      <c r="B50" s="2">
        <f>+B31</f>
        <v>50492</v>
      </c>
      <c r="C50" s="14">
        <v>1.6000000000000001E-3</v>
      </c>
      <c r="D50" s="2">
        <f>ROUND(B50*C50,0)</f>
        <v>81</v>
      </c>
      <c r="E50" s="2"/>
      <c r="F50" s="2"/>
      <c r="G50" s="2"/>
      <c r="H50" s="2"/>
      <c r="I50" s="2"/>
      <c r="J50" s="2"/>
    </row>
    <row r="51" spans="1:10" hidden="1" x14ac:dyDescent="0.25">
      <c r="A51" s="13" t="s">
        <v>1406</v>
      </c>
      <c r="B51" s="2">
        <f>+D13</f>
        <v>188262</v>
      </c>
      <c r="C51" s="14">
        <v>1.5699999999999999E-2</v>
      </c>
      <c r="D51" s="2">
        <f>ROUND(B51*C51,0)</f>
        <v>2956</v>
      </c>
      <c r="E51" s="2"/>
      <c r="F51" s="2"/>
      <c r="G51" s="2"/>
      <c r="H51" s="2"/>
      <c r="I51" s="2"/>
      <c r="J51" s="2"/>
    </row>
    <row r="52" spans="1:10" ht="15" hidden="1" x14ac:dyDescent="0.4">
      <c r="A52" s="13" t="s">
        <v>183</v>
      </c>
      <c r="B52" s="2">
        <f>+D18</f>
        <v>19120</v>
      </c>
      <c r="C52" s="14">
        <v>1.6000000000000001E-3</v>
      </c>
      <c r="D52" s="11">
        <f>ROUND(B52*C52,0)</f>
        <v>31</v>
      </c>
      <c r="E52" s="2"/>
      <c r="F52" s="2"/>
      <c r="G52" s="2"/>
      <c r="H52" s="2"/>
      <c r="I52" s="2"/>
      <c r="J52" s="2"/>
    </row>
    <row r="53" spans="1:10" hidden="1" x14ac:dyDescent="0.25">
      <c r="A53" s="176" t="s">
        <v>1182</v>
      </c>
      <c r="B53" s="176"/>
      <c r="C53" s="176"/>
      <c r="D53" s="2">
        <f>SUM(D50:D52)</f>
        <v>3068</v>
      </c>
      <c r="E53" s="2"/>
      <c r="F53" s="2"/>
      <c r="G53" s="2"/>
      <c r="H53" s="2"/>
      <c r="I53" s="2"/>
      <c r="J53" s="2"/>
    </row>
    <row r="54" spans="1:10" x14ac:dyDescent="0.25">
      <c r="A54" s="176"/>
      <c r="B54" s="176"/>
      <c r="C54" s="176"/>
      <c r="D54" s="2"/>
      <c r="E54" s="2"/>
      <c r="F54" s="2"/>
      <c r="G54" s="2"/>
      <c r="H54" s="2"/>
      <c r="I54" s="2"/>
      <c r="J54" s="2"/>
    </row>
    <row r="55" spans="1:10" ht="13.8" x14ac:dyDescent="0.3">
      <c r="A55" s="177" t="s">
        <v>341</v>
      </c>
      <c r="B55" s="176"/>
      <c r="C55" s="176"/>
      <c r="D55" s="2"/>
      <c r="E55" s="2">
        <v>117</v>
      </c>
      <c r="F55" s="2">
        <v>134</v>
      </c>
      <c r="G55" s="2">
        <v>112</v>
      </c>
      <c r="H55" s="2">
        <v>112</v>
      </c>
      <c r="I55" s="2"/>
      <c r="J55" s="2"/>
    </row>
    <row r="56" spans="1:10" hidden="1" x14ac:dyDescent="0.25">
      <c r="A56" s="13" t="s">
        <v>844</v>
      </c>
      <c r="B56" s="2">
        <v>1</v>
      </c>
      <c r="C56" s="2">
        <v>26</v>
      </c>
      <c r="D56" s="2">
        <f>ROUND(B56*C56,0)</f>
        <v>26</v>
      </c>
      <c r="E56" s="2"/>
      <c r="F56" s="2"/>
      <c r="G56" s="2"/>
      <c r="H56" s="2"/>
      <c r="I56" s="2"/>
      <c r="J56" s="2"/>
    </row>
    <row r="57" spans="1:10" hidden="1" x14ac:dyDescent="0.25">
      <c r="A57" s="13" t="s">
        <v>1406</v>
      </c>
      <c r="B57" s="2">
        <v>2</v>
      </c>
      <c r="C57" s="2">
        <v>26</v>
      </c>
      <c r="D57" s="2">
        <f>ROUND(B57*C57,0)</f>
        <v>52</v>
      </c>
      <c r="E57" s="2"/>
      <c r="F57" s="2"/>
      <c r="G57" s="2"/>
      <c r="H57" s="2"/>
      <c r="I57" s="2"/>
      <c r="J57" s="2"/>
    </row>
    <row r="58" spans="1:10" ht="15" hidden="1" x14ac:dyDescent="0.4">
      <c r="A58" s="13" t="s">
        <v>183</v>
      </c>
      <c r="B58" s="2">
        <f>D18</f>
        <v>19120</v>
      </c>
      <c r="C58" s="14">
        <v>1.8E-3</v>
      </c>
      <c r="D58" s="11">
        <f>ROUND(B58*C58,0)</f>
        <v>34</v>
      </c>
      <c r="E58" s="2"/>
      <c r="F58" s="2"/>
      <c r="G58" s="2"/>
      <c r="H58" s="2"/>
      <c r="I58" s="2"/>
      <c r="J58" s="2"/>
    </row>
    <row r="59" spans="1:10" hidden="1" x14ac:dyDescent="0.25">
      <c r="A59" s="176" t="s">
        <v>1182</v>
      </c>
      <c r="B59" s="176"/>
      <c r="C59" s="176"/>
      <c r="D59" s="2">
        <f>SUM(D56:D58)</f>
        <v>112</v>
      </c>
      <c r="E59" s="2"/>
      <c r="F59" s="2"/>
      <c r="G59" s="2"/>
      <c r="H59" s="2"/>
      <c r="I59" s="2"/>
      <c r="J59" s="2"/>
    </row>
    <row r="60" spans="1:10" x14ac:dyDescent="0.25">
      <c r="A60" s="176"/>
      <c r="B60" s="176"/>
      <c r="C60" s="176"/>
      <c r="D60" s="2"/>
      <c r="E60" s="2"/>
      <c r="F60" s="2"/>
      <c r="G60" s="2"/>
      <c r="H60" s="2"/>
      <c r="I60" s="2"/>
      <c r="J60" s="2"/>
    </row>
    <row r="61" spans="1:10" ht="13.8" x14ac:dyDescent="0.3">
      <c r="A61" s="177" t="s">
        <v>342</v>
      </c>
      <c r="B61" s="176"/>
      <c r="C61" s="176"/>
      <c r="D61" s="2"/>
      <c r="E61" s="2">
        <v>1696</v>
      </c>
      <c r="F61" s="2">
        <v>1200</v>
      </c>
      <c r="G61" s="2">
        <v>1200</v>
      </c>
      <c r="H61" s="2">
        <v>1200</v>
      </c>
      <c r="I61" s="2"/>
      <c r="J61" s="2"/>
    </row>
    <row r="62" spans="1:10" x14ac:dyDescent="0.25">
      <c r="A62" s="176" t="s">
        <v>343</v>
      </c>
      <c r="B62" s="176"/>
      <c r="C62" s="2"/>
      <c r="D62" s="2">
        <v>1200</v>
      </c>
      <c r="E62" s="2"/>
      <c r="F62" s="2"/>
      <c r="G62" s="2"/>
      <c r="H62" s="2"/>
      <c r="I62" s="2"/>
      <c r="J62" s="2"/>
    </row>
    <row r="63" spans="1:10" x14ac:dyDescent="0.25">
      <c r="A63" s="176"/>
      <c r="B63" s="176"/>
      <c r="C63" s="2"/>
      <c r="D63" s="2"/>
      <c r="E63" s="2"/>
      <c r="F63" s="2"/>
      <c r="G63" s="2"/>
      <c r="H63" s="2"/>
      <c r="I63" s="2"/>
      <c r="J63" s="2"/>
    </row>
    <row r="64" spans="1:10" ht="13.8" x14ac:dyDescent="0.3">
      <c r="A64" s="177" t="s">
        <v>1486</v>
      </c>
      <c r="B64" s="176"/>
      <c r="C64" s="2"/>
      <c r="D64" s="2">
        <v>800</v>
      </c>
      <c r="E64" s="2">
        <v>12</v>
      </c>
      <c r="F64" s="2">
        <v>800</v>
      </c>
      <c r="G64" s="2">
        <v>800</v>
      </c>
      <c r="H64" s="2">
        <v>800</v>
      </c>
      <c r="I64" s="2"/>
      <c r="J64" s="2"/>
    </row>
    <row r="65" spans="1:10" x14ac:dyDescent="0.25">
      <c r="A65" s="23" t="s">
        <v>1538</v>
      </c>
      <c r="B65" s="176"/>
      <c r="C65" s="2"/>
      <c r="D65" s="2"/>
      <c r="E65" s="2"/>
      <c r="F65" s="2"/>
      <c r="G65" s="2"/>
      <c r="H65" s="2"/>
      <c r="I65" s="2"/>
      <c r="J65" s="2"/>
    </row>
    <row r="66" spans="1:10" x14ac:dyDescent="0.25">
      <c r="A66" s="23" t="s">
        <v>1487</v>
      </c>
      <c r="B66" s="176"/>
      <c r="C66" s="2"/>
      <c r="D66" s="176"/>
      <c r="E66" s="176"/>
      <c r="F66" s="176"/>
      <c r="G66" s="176"/>
      <c r="H66" s="178"/>
      <c r="I66" s="2"/>
      <c r="J66" s="2"/>
    </row>
    <row r="67" spans="1:10" x14ac:dyDescent="0.25">
      <c r="A67" s="176"/>
      <c r="B67" s="176"/>
      <c r="C67" s="18"/>
      <c r="D67" s="2"/>
      <c r="E67" s="2"/>
      <c r="F67" s="2"/>
      <c r="G67" s="2"/>
      <c r="H67" s="2"/>
      <c r="I67" s="160"/>
      <c r="J67" s="161"/>
    </row>
    <row r="68" spans="1:10" ht="13.8" x14ac:dyDescent="0.3">
      <c r="A68" s="177" t="s">
        <v>350</v>
      </c>
      <c r="B68" s="176"/>
      <c r="C68" s="2"/>
      <c r="D68" s="2"/>
      <c r="E68" s="2">
        <v>34</v>
      </c>
      <c r="F68" s="2">
        <v>400</v>
      </c>
      <c r="G68" s="2">
        <v>300</v>
      </c>
      <c r="H68" s="2">
        <v>300</v>
      </c>
      <c r="I68" s="2"/>
      <c r="J68" s="2"/>
    </row>
    <row r="69" spans="1:10" x14ac:dyDescent="0.25">
      <c r="A69" s="176" t="s">
        <v>1065</v>
      </c>
      <c r="B69" s="176"/>
      <c r="C69" s="2"/>
      <c r="D69" s="2">
        <v>300</v>
      </c>
      <c r="E69" s="2"/>
      <c r="F69" s="2"/>
      <c r="G69" s="2"/>
      <c r="H69" s="2"/>
      <c r="I69" s="2"/>
      <c r="J69" s="2"/>
    </row>
    <row r="70" spans="1:10" x14ac:dyDescent="0.25">
      <c r="A70" s="176"/>
      <c r="B70" s="176"/>
      <c r="C70" s="2"/>
      <c r="D70" s="2"/>
      <c r="E70" s="2"/>
      <c r="F70" s="2"/>
      <c r="G70" s="2"/>
      <c r="H70" s="2"/>
      <c r="I70" s="2"/>
      <c r="J70" s="2"/>
    </row>
    <row r="71" spans="1:10" ht="13.8" x14ac:dyDescent="0.3">
      <c r="A71" s="177" t="s">
        <v>829</v>
      </c>
      <c r="B71" s="176"/>
      <c r="C71" s="2"/>
      <c r="D71" s="2"/>
      <c r="E71" s="2">
        <v>40</v>
      </c>
      <c r="F71" s="2">
        <v>100</v>
      </c>
      <c r="G71" s="2">
        <v>100</v>
      </c>
      <c r="H71" s="2">
        <v>100</v>
      </c>
      <c r="I71" s="2"/>
      <c r="J71" s="2"/>
    </row>
    <row r="72" spans="1:10" x14ac:dyDescent="0.25">
      <c r="A72" s="176" t="s">
        <v>381</v>
      </c>
      <c r="B72" s="2" t="s">
        <v>386</v>
      </c>
      <c r="C72" s="2"/>
      <c r="D72" s="2">
        <v>100</v>
      </c>
      <c r="E72" s="2"/>
      <c r="F72" s="2"/>
      <c r="G72" s="2"/>
      <c r="H72" s="2"/>
      <c r="I72" s="2"/>
      <c r="J72" s="2"/>
    </row>
    <row r="73" spans="1:10" x14ac:dyDescent="0.25">
      <c r="A73" s="176"/>
      <c r="B73" s="176"/>
      <c r="C73" s="2"/>
      <c r="D73" s="2"/>
      <c r="E73" s="2"/>
      <c r="F73" s="2"/>
      <c r="G73" s="2"/>
      <c r="H73" s="2"/>
      <c r="I73" s="2"/>
      <c r="J73" s="2"/>
    </row>
    <row r="74" spans="1:10" ht="13.8" x14ac:dyDescent="0.3">
      <c r="A74" s="177" t="s">
        <v>1462</v>
      </c>
      <c r="B74" s="176"/>
      <c r="C74" s="2"/>
      <c r="D74" s="2"/>
      <c r="E74" s="2">
        <v>2688</v>
      </c>
      <c r="F74" s="2">
        <v>2865</v>
      </c>
      <c r="G74" s="2">
        <v>2915</v>
      </c>
      <c r="H74" s="2">
        <v>2915</v>
      </c>
      <c r="I74" s="2"/>
      <c r="J74" s="2"/>
    </row>
    <row r="75" spans="1:10" x14ac:dyDescent="0.25">
      <c r="A75" s="176" t="s">
        <v>897</v>
      </c>
      <c r="B75" s="176"/>
      <c r="C75" s="2"/>
      <c r="D75" s="2">
        <v>875</v>
      </c>
      <c r="E75" s="2"/>
      <c r="F75" s="2"/>
      <c r="G75" s="2"/>
      <c r="H75" s="2"/>
      <c r="I75" s="2"/>
      <c r="J75" s="2"/>
    </row>
    <row r="76" spans="1:10" ht="15" x14ac:dyDescent="0.4">
      <c r="A76" s="176" t="s">
        <v>1259</v>
      </c>
      <c r="B76" s="176"/>
      <c r="C76" s="11"/>
      <c r="D76" s="11">
        <v>2040</v>
      </c>
      <c r="E76" s="2"/>
      <c r="F76" s="2"/>
      <c r="G76" s="2"/>
      <c r="H76" s="2"/>
      <c r="I76" s="2"/>
      <c r="J76" s="2"/>
    </row>
    <row r="77" spans="1:10" x14ac:dyDescent="0.25">
      <c r="A77" s="176" t="s">
        <v>1182</v>
      </c>
      <c r="B77" s="176"/>
      <c r="C77" s="2"/>
      <c r="D77" s="2">
        <f>SUM(D75:D76)</f>
        <v>2915</v>
      </c>
      <c r="E77" s="2"/>
      <c r="F77" s="2"/>
      <c r="G77" s="2"/>
      <c r="H77" s="2"/>
      <c r="I77" s="2"/>
      <c r="J77" s="2"/>
    </row>
    <row r="78" spans="1:10" x14ac:dyDescent="0.25">
      <c r="A78" s="176"/>
      <c r="B78" s="176"/>
      <c r="C78" s="18"/>
      <c r="D78" s="2"/>
      <c r="E78" s="2"/>
      <c r="F78" s="2"/>
      <c r="G78" s="2"/>
      <c r="H78" s="2"/>
      <c r="I78" s="2"/>
      <c r="J78" s="2"/>
    </row>
    <row r="79" spans="1:10" ht="13.8" x14ac:dyDescent="0.3">
      <c r="A79" s="177" t="s">
        <v>134</v>
      </c>
      <c r="B79" s="176"/>
      <c r="C79" s="2"/>
      <c r="D79" s="2"/>
      <c r="E79" s="2">
        <v>2375</v>
      </c>
      <c r="F79" s="2">
        <v>2359</v>
      </c>
      <c r="G79" s="2">
        <v>2459</v>
      </c>
      <c r="H79" s="2">
        <v>2459</v>
      </c>
      <c r="I79" s="2"/>
      <c r="J79" s="2"/>
    </row>
    <row r="80" spans="1:10" x14ac:dyDescent="0.25">
      <c r="A80" s="176" t="s">
        <v>135</v>
      </c>
      <c r="B80" s="176"/>
      <c r="C80" s="2"/>
      <c r="D80" s="2">
        <v>504</v>
      </c>
      <c r="E80" s="2"/>
      <c r="F80" s="2"/>
      <c r="G80" s="2"/>
      <c r="H80" s="2"/>
      <c r="I80" s="2"/>
      <c r="J80" s="2"/>
    </row>
    <row r="81" spans="1:10" x14ac:dyDescent="0.25">
      <c r="A81" s="176" t="s">
        <v>1288</v>
      </c>
      <c r="B81" s="176"/>
      <c r="C81" s="2"/>
      <c r="D81" s="2">
        <v>25</v>
      </c>
      <c r="E81" s="2"/>
      <c r="F81" s="2"/>
      <c r="G81" s="2"/>
      <c r="H81" s="2"/>
      <c r="I81" s="2"/>
      <c r="J81" s="2"/>
    </row>
    <row r="82" spans="1:10" x14ac:dyDescent="0.25">
      <c r="A82" s="176" t="s">
        <v>1894</v>
      </c>
      <c r="B82" s="176"/>
      <c r="C82" s="2"/>
      <c r="D82" s="2">
        <v>80</v>
      </c>
      <c r="E82" s="2"/>
      <c r="F82" s="2"/>
      <c r="G82" s="2"/>
      <c r="H82" s="2"/>
      <c r="I82" s="2"/>
      <c r="J82" s="2"/>
    </row>
    <row r="83" spans="1:10" x14ac:dyDescent="0.25">
      <c r="A83" s="176" t="s">
        <v>1895</v>
      </c>
      <c r="B83" s="176"/>
      <c r="C83" s="2"/>
      <c r="D83" s="2">
        <v>150</v>
      </c>
      <c r="E83" s="2"/>
      <c r="F83" s="2"/>
      <c r="G83" s="2"/>
      <c r="H83" s="2"/>
      <c r="I83" s="2"/>
      <c r="J83" s="2"/>
    </row>
    <row r="84" spans="1:10" x14ac:dyDescent="0.25">
      <c r="A84" s="176" t="s">
        <v>1896</v>
      </c>
      <c r="B84" s="176"/>
      <c r="C84" s="2"/>
      <c r="D84" s="2">
        <v>300</v>
      </c>
      <c r="E84" s="2"/>
      <c r="F84" s="2"/>
      <c r="G84" s="2"/>
      <c r="H84" s="2"/>
      <c r="I84" s="2"/>
      <c r="J84" s="2"/>
    </row>
    <row r="85" spans="1:10" x14ac:dyDescent="0.25">
      <c r="A85" s="176" t="s">
        <v>1066</v>
      </c>
      <c r="B85" s="176"/>
      <c r="C85" s="2"/>
      <c r="D85" s="2">
        <v>100</v>
      </c>
      <c r="E85" s="2"/>
      <c r="F85" s="2"/>
      <c r="G85" s="2"/>
      <c r="H85" s="2"/>
      <c r="I85" s="2"/>
      <c r="J85" s="2"/>
    </row>
    <row r="86" spans="1:10" x14ac:dyDescent="0.25">
      <c r="A86" s="176" t="s">
        <v>2102</v>
      </c>
      <c r="B86" s="176"/>
      <c r="C86" s="2"/>
      <c r="D86" s="2">
        <v>100</v>
      </c>
      <c r="E86" s="2"/>
      <c r="F86" s="2"/>
      <c r="G86" s="2"/>
      <c r="H86" s="2"/>
      <c r="I86" s="2"/>
      <c r="J86" s="2"/>
    </row>
    <row r="87" spans="1:10" ht="15" x14ac:dyDescent="0.4">
      <c r="A87" s="176" t="s">
        <v>113</v>
      </c>
      <c r="B87" s="176"/>
      <c r="C87" s="11"/>
      <c r="D87" s="11">
        <v>1200</v>
      </c>
      <c r="E87" s="2"/>
      <c r="F87" s="2"/>
      <c r="G87" s="2"/>
      <c r="H87" s="2"/>
      <c r="I87" s="2"/>
      <c r="J87" s="2"/>
    </row>
    <row r="88" spans="1:10" x14ac:dyDescent="0.25">
      <c r="A88" s="176" t="s">
        <v>1182</v>
      </c>
      <c r="B88" s="176"/>
      <c r="C88" s="2"/>
      <c r="D88" s="2">
        <f>SUM(D80:D87)</f>
        <v>2459</v>
      </c>
      <c r="E88" s="2"/>
      <c r="F88" s="2"/>
      <c r="G88" s="2"/>
      <c r="H88" s="2"/>
      <c r="I88" s="2"/>
      <c r="J88" s="2"/>
    </row>
    <row r="89" spans="1:10" x14ac:dyDescent="0.25">
      <c r="A89" s="176"/>
      <c r="B89" s="176"/>
      <c r="C89" s="18"/>
      <c r="D89" s="2"/>
      <c r="E89" s="2"/>
      <c r="F89" s="176"/>
      <c r="G89" s="176"/>
      <c r="H89" s="178"/>
      <c r="I89" s="160"/>
      <c r="J89" s="161"/>
    </row>
    <row r="90" spans="1:10" ht="13.8" x14ac:dyDescent="0.3">
      <c r="A90" s="17" t="s">
        <v>1057</v>
      </c>
      <c r="B90" s="176"/>
      <c r="C90" s="2"/>
      <c r="D90" s="2"/>
      <c r="E90" s="2">
        <v>1746</v>
      </c>
      <c r="F90" s="2">
        <v>3692</v>
      </c>
      <c r="G90" s="2">
        <v>1920</v>
      </c>
      <c r="H90" s="2">
        <v>1920</v>
      </c>
      <c r="I90" s="2"/>
      <c r="J90" s="2"/>
    </row>
    <row r="91" spans="1:10" x14ac:dyDescent="0.25">
      <c r="A91" s="176" t="s">
        <v>815</v>
      </c>
      <c r="B91" s="176"/>
      <c r="C91" s="2"/>
      <c r="D91" s="2">
        <v>1920</v>
      </c>
      <c r="E91" s="2"/>
      <c r="F91" s="2"/>
      <c r="G91" s="2"/>
      <c r="H91" s="2"/>
      <c r="I91" s="2"/>
      <c r="J91" s="2"/>
    </row>
    <row r="92" spans="1:10" x14ac:dyDescent="0.25">
      <c r="A92" s="176"/>
      <c r="B92" s="176"/>
      <c r="C92" s="2"/>
      <c r="D92" s="2"/>
      <c r="E92" s="2"/>
      <c r="F92" s="176"/>
      <c r="G92" s="176"/>
      <c r="H92" s="178"/>
      <c r="I92" s="160"/>
      <c r="J92" s="161"/>
    </row>
    <row r="93" spans="1:10" ht="13.8" x14ac:dyDescent="0.3">
      <c r="A93" s="177" t="s">
        <v>673</v>
      </c>
      <c r="B93" s="176"/>
      <c r="C93" s="2"/>
      <c r="D93" s="2"/>
      <c r="E93" s="2">
        <v>43</v>
      </c>
      <c r="F93" s="2">
        <v>750</v>
      </c>
      <c r="G93" s="2">
        <v>750</v>
      </c>
      <c r="H93" s="2">
        <v>750</v>
      </c>
      <c r="I93" s="2"/>
      <c r="J93" s="2"/>
    </row>
    <row r="94" spans="1:10" x14ac:dyDescent="0.25">
      <c r="A94" s="176" t="s">
        <v>1443</v>
      </c>
      <c r="B94" s="176"/>
      <c r="C94" s="2"/>
      <c r="D94" s="2">
        <v>750</v>
      </c>
      <c r="E94" s="2"/>
      <c r="F94" s="2"/>
      <c r="G94" s="2"/>
      <c r="H94" s="2"/>
      <c r="I94" s="2"/>
      <c r="J94" s="2"/>
    </row>
    <row r="95" spans="1:10" x14ac:dyDescent="0.25">
      <c r="A95" s="176"/>
      <c r="B95" s="176"/>
      <c r="C95" s="2"/>
      <c r="D95" s="2"/>
      <c r="E95" s="2"/>
      <c r="F95" s="2"/>
      <c r="G95" s="2"/>
      <c r="H95" s="2"/>
      <c r="I95" s="2"/>
      <c r="J95" s="2"/>
    </row>
    <row r="96" spans="1:10" ht="13.8" x14ac:dyDescent="0.3">
      <c r="A96" s="177" t="s">
        <v>1444</v>
      </c>
      <c r="B96" s="176"/>
      <c r="C96" s="2"/>
      <c r="D96" s="2"/>
      <c r="E96" s="2">
        <v>3030</v>
      </c>
      <c r="F96" s="2">
        <v>3950</v>
      </c>
      <c r="G96" s="2">
        <v>4530</v>
      </c>
      <c r="H96" s="2">
        <v>4530</v>
      </c>
      <c r="I96" s="2"/>
      <c r="J96" s="2"/>
    </row>
    <row r="97" spans="1:10" x14ac:dyDescent="0.25">
      <c r="A97" s="176" t="s">
        <v>806</v>
      </c>
      <c r="B97" s="176"/>
      <c r="C97" s="2"/>
      <c r="D97" s="2">
        <v>780</v>
      </c>
      <c r="E97" s="2"/>
      <c r="F97" s="2"/>
      <c r="G97" s="2"/>
      <c r="H97" s="2"/>
      <c r="I97" s="2"/>
      <c r="J97" s="2"/>
    </row>
    <row r="98" spans="1:10" x14ac:dyDescent="0.25">
      <c r="A98" s="176" t="s">
        <v>1897</v>
      </c>
      <c r="B98" s="176"/>
      <c r="C98" s="2"/>
      <c r="D98" s="2">
        <v>750</v>
      </c>
      <c r="E98" s="2"/>
      <c r="F98" s="2"/>
      <c r="G98" s="2"/>
      <c r="H98" s="2"/>
      <c r="I98" s="2"/>
      <c r="J98" s="2"/>
    </row>
    <row r="99" spans="1:10" ht="15" x14ac:dyDescent="0.4">
      <c r="A99" s="176" t="s">
        <v>1656</v>
      </c>
      <c r="B99" s="176"/>
      <c r="C99" s="2"/>
      <c r="D99" s="11">
        <v>3000</v>
      </c>
      <c r="E99" s="2"/>
      <c r="F99" s="2"/>
      <c r="G99" s="2"/>
      <c r="H99" s="2"/>
      <c r="I99" s="2"/>
      <c r="J99" s="2"/>
    </row>
    <row r="100" spans="1:10" x14ac:dyDescent="0.25">
      <c r="A100" s="176" t="s">
        <v>1182</v>
      </c>
      <c r="B100" s="176"/>
      <c r="C100" s="2"/>
      <c r="D100" s="2">
        <f>SUM(D97:D99)</f>
        <v>4530</v>
      </c>
      <c r="E100" s="2"/>
      <c r="F100" s="2"/>
      <c r="G100" s="2"/>
      <c r="H100" s="2"/>
      <c r="I100" s="2"/>
      <c r="J100" s="2"/>
    </row>
    <row r="101" spans="1:10" x14ac:dyDescent="0.25">
      <c r="A101" s="176"/>
      <c r="B101" s="176"/>
      <c r="C101" s="2"/>
      <c r="D101" s="2"/>
      <c r="E101" s="2"/>
      <c r="F101" s="2"/>
      <c r="G101" s="2"/>
      <c r="H101" s="2"/>
      <c r="I101" s="2"/>
      <c r="J101" s="2"/>
    </row>
    <row r="102" spans="1:10" ht="13.8" x14ac:dyDescent="0.3">
      <c r="A102" s="177" t="s">
        <v>979</v>
      </c>
      <c r="B102" s="176"/>
      <c r="C102" s="2"/>
      <c r="D102" s="2"/>
      <c r="E102" s="2">
        <v>1051</v>
      </c>
      <c r="F102" s="2">
        <v>500</v>
      </c>
      <c r="G102" s="2">
        <v>500</v>
      </c>
      <c r="H102" s="2">
        <v>500</v>
      </c>
      <c r="I102" s="2"/>
      <c r="J102" s="2"/>
    </row>
    <row r="103" spans="1:10" x14ac:dyDescent="0.25">
      <c r="A103" s="176" t="s">
        <v>1714</v>
      </c>
      <c r="B103" s="176"/>
      <c r="C103" s="2"/>
      <c r="D103" s="2">
        <v>500</v>
      </c>
      <c r="E103" s="2"/>
      <c r="F103" s="2"/>
      <c r="G103" s="2"/>
      <c r="H103" s="2"/>
      <c r="I103" s="2"/>
      <c r="J103" s="2"/>
    </row>
    <row r="104" spans="1:10" x14ac:dyDescent="0.25">
      <c r="A104" s="176"/>
      <c r="B104" s="176"/>
      <c r="C104" s="2"/>
      <c r="D104" s="2"/>
      <c r="E104" s="2"/>
      <c r="F104" s="2"/>
      <c r="G104" s="2"/>
      <c r="H104" s="2"/>
      <c r="I104" s="2"/>
      <c r="J104" s="2"/>
    </row>
    <row r="105" spans="1:10" ht="13.8" x14ac:dyDescent="0.3">
      <c r="A105" s="177" t="s">
        <v>127</v>
      </c>
      <c r="B105" s="176"/>
      <c r="C105" s="2"/>
      <c r="D105" s="2"/>
      <c r="E105" s="2">
        <v>598</v>
      </c>
      <c r="F105" s="2">
        <v>2500</v>
      </c>
      <c r="G105" s="2">
        <v>2500</v>
      </c>
      <c r="H105" s="2">
        <v>2500</v>
      </c>
      <c r="I105" s="2"/>
      <c r="J105" s="2"/>
    </row>
    <row r="106" spans="1:10" x14ac:dyDescent="0.25">
      <c r="A106" s="23" t="s">
        <v>1657</v>
      </c>
      <c r="B106" s="176"/>
      <c r="C106" s="2"/>
      <c r="D106" s="2">
        <v>2000</v>
      </c>
      <c r="E106" s="2"/>
      <c r="F106" s="176"/>
      <c r="G106" s="176"/>
      <c r="H106" s="178"/>
      <c r="I106" s="160"/>
      <c r="J106" s="161"/>
    </row>
    <row r="107" spans="1:10" ht="15" x14ac:dyDescent="0.4">
      <c r="A107" s="23" t="s">
        <v>1658</v>
      </c>
      <c r="B107" s="176"/>
      <c r="C107" s="2"/>
      <c r="D107" s="11">
        <v>500</v>
      </c>
      <c r="E107" s="2"/>
      <c r="F107" s="176"/>
      <c r="G107" s="176"/>
      <c r="H107" s="178"/>
      <c r="I107" s="160"/>
      <c r="J107" s="161"/>
    </row>
    <row r="108" spans="1:10" x14ac:dyDescent="0.25">
      <c r="A108" s="23" t="s">
        <v>1182</v>
      </c>
      <c r="B108" s="176"/>
      <c r="C108" s="2"/>
      <c r="D108" s="2">
        <f>SUM(D106:D107)</f>
        <v>2500</v>
      </c>
      <c r="E108" s="2"/>
      <c r="F108" s="176"/>
      <c r="G108" s="176"/>
      <c r="H108" s="178"/>
      <c r="I108" s="160"/>
      <c r="J108" s="161"/>
    </row>
    <row r="109" spans="1:10" x14ac:dyDescent="0.25">
      <c r="A109" s="23"/>
      <c r="B109" s="176"/>
      <c r="C109" s="2"/>
      <c r="D109" s="2"/>
      <c r="E109" s="2"/>
      <c r="F109" s="176"/>
      <c r="G109" s="176"/>
      <c r="H109" s="178"/>
      <c r="I109" s="160"/>
      <c r="J109" s="161"/>
    </row>
    <row r="110" spans="1:10" x14ac:dyDescent="0.25">
      <c r="A110" s="176"/>
      <c r="B110" s="176"/>
      <c r="C110" s="2"/>
      <c r="D110" s="2"/>
      <c r="E110" s="2"/>
      <c r="F110" s="2"/>
      <c r="G110" s="2"/>
      <c r="H110" s="2"/>
      <c r="I110" s="2"/>
      <c r="J110" s="2"/>
    </row>
    <row r="111" spans="1:10" ht="13.8" x14ac:dyDescent="0.3">
      <c r="A111" s="177" t="s">
        <v>980</v>
      </c>
      <c r="B111" s="176"/>
      <c r="C111" s="2"/>
      <c r="D111" s="2"/>
      <c r="E111" s="2">
        <v>0</v>
      </c>
      <c r="F111" s="2">
        <v>250</v>
      </c>
      <c r="G111" s="2">
        <v>250</v>
      </c>
      <c r="H111" s="2">
        <v>250</v>
      </c>
      <c r="I111" s="2"/>
      <c r="J111" s="2"/>
    </row>
    <row r="112" spans="1:10" x14ac:dyDescent="0.25">
      <c r="A112" s="176" t="s">
        <v>1411</v>
      </c>
      <c r="B112" s="176"/>
      <c r="C112" s="2"/>
      <c r="D112" s="2">
        <v>250</v>
      </c>
      <c r="E112" s="2"/>
      <c r="F112" s="2"/>
      <c r="G112" s="2"/>
      <c r="H112" s="2"/>
      <c r="I112" s="2"/>
      <c r="J112" s="2"/>
    </row>
    <row r="113" spans="1:10" x14ac:dyDescent="0.25">
      <c r="A113" s="176"/>
      <c r="B113" s="176"/>
      <c r="C113" s="2"/>
      <c r="D113" s="2"/>
      <c r="E113" s="2"/>
      <c r="F113" s="2"/>
      <c r="G113" s="2"/>
      <c r="H113" s="2"/>
      <c r="I113" s="2"/>
      <c r="J113" s="2"/>
    </row>
    <row r="114" spans="1:10" ht="13.8" x14ac:dyDescent="0.3">
      <c r="A114" s="177" t="s">
        <v>727</v>
      </c>
      <c r="B114" s="176"/>
      <c r="C114" s="2"/>
      <c r="D114" s="2"/>
      <c r="E114" s="2">
        <v>1372</v>
      </c>
      <c r="F114" s="2">
        <v>500</v>
      </c>
      <c r="G114" s="2">
        <v>1000</v>
      </c>
      <c r="H114" s="2">
        <v>1000</v>
      </c>
      <c r="I114" s="2"/>
      <c r="J114" s="2"/>
    </row>
    <row r="115" spans="1:10" x14ac:dyDescent="0.25">
      <c r="A115" s="176" t="s">
        <v>2103</v>
      </c>
      <c r="B115" s="176"/>
      <c r="C115" s="2"/>
      <c r="D115" s="2">
        <v>1000</v>
      </c>
      <c r="E115" s="2"/>
      <c r="F115" s="2"/>
      <c r="G115" s="2"/>
      <c r="H115" s="2"/>
      <c r="I115" s="2"/>
      <c r="J115" s="2"/>
    </row>
    <row r="116" spans="1:10" x14ac:dyDescent="0.25">
      <c r="A116" s="176"/>
      <c r="B116" s="176"/>
      <c r="C116" s="19"/>
      <c r="D116" s="2"/>
      <c r="E116" s="2"/>
      <c r="F116" s="2"/>
      <c r="G116" s="2"/>
      <c r="H116" s="2"/>
      <c r="I116" s="2"/>
      <c r="J116" s="2"/>
    </row>
    <row r="117" spans="1:10" ht="15" x14ac:dyDescent="0.4">
      <c r="A117" s="177" t="s">
        <v>728</v>
      </c>
      <c r="B117" s="176"/>
      <c r="C117" s="2"/>
      <c r="D117" s="176"/>
      <c r="E117" s="11">
        <v>0</v>
      </c>
      <c r="F117" s="11">
        <v>0</v>
      </c>
      <c r="G117" s="11">
        <v>0</v>
      </c>
      <c r="H117" s="11">
        <v>0</v>
      </c>
      <c r="I117" s="11">
        <v>0</v>
      </c>
      <c r="J117" s="11">
        <v>0</v>
      </c>
    </row>
    <row r="118" spans="1:10" ht="15" x14ac:dyDescent="0.4">
      <c r="A118" s="176" t="s">
        <v>1659</v>
      </c>
      <c r="B118" s="176"/>
      <c r="C118" s="2"/>
      <c r="D118" s="11">
        <v>0</v>
      </c>
      <c r="E118" s="11"/>
      <c r="F118" s="11"/>
      <c r="G118" s="11"/>
      <c r="H118" s="11"/>
      <c r="I118" s="11"/>
      <c r="J118" s="11"/>
    </row>
    <row r="119" spans="1:10" x14ac:dyDescent="0.25">
      <c r="A119" s="176"/>
      <c r="B119" s="176"/>
      <c r="C119" s="2"/>
      <c r="D119" s="2"/>
      <c r="E119" s="3"/>
      <c r="F119" s="176"/>
      <c r="G119" s="176"/>
      <c r="H119" s="178"/>
      <c r="I119" s="160"/>
      <c r="J119" s="161"/>
    </row>
    <row r="120" spans="1:10" x14ac:dyDescent="0.25">
      <c r="A120" s="176" t="s">
        <v>1267</v>
      </c>
      <c r="B120" s="176"/>
      <c r="C120" s="2"/>
      <c r="D120" s="2"/>
      <c r="E120" s="2">
        <f t="shared" ref="E120:J120" si="0">SUM(E6:E119)</f>
        <v>360443</v>
      </c>
      <c r="F120" s="2">
        <f t="shared" si="0"/>
        <v>377908</v>
      </c>
      <c r="G120" s="2">
        <f t="shared" si="0"/>
        <v>387881</v>
      </c>
      <c r="H120" s="2">
        <f t="shared" si="0"/>
        <v>387881</v>
      </c>
      <c r="I120" s="2">
        <f t="shared" si="0"/>
        <v>0</v>
      </c>
      <c r="J120" s="2">
        <f t="shared" si="0"/>
        <v>0</v>
      </c>
    </row>
    <row r="121" spans="1:10" x14ac:dyDescent="0.25">
      <c r="A121" s="176"/>
      <c r="B121" s="176"/>
      <c r="C121" s="2"/>
      <c r="D121" s="176"/>
      <c r="E121" s="176"/>
      <c r="F121" s="176"/>
      <c r="G121" s="176"/>
      <c r="H121" s="178"/>
      <c r="I121" s="160"/>
      <c r="J121" s="161"/>
    </row>
    <row r="122" spans="1:10" x14ac:dyDescent="0.25">
      <c r="A122" s="176" t="s">
        <v>571</v>
      </c>
      <c r="B122" s="176"/>
      <c r="C122" s="176"/>
      <c r="D122" s="176"/>
      <c r="E122" s="2">
        <f>SUM(E6:E58)</f>
        <v>345758</v>
      </c>
      <c r="F122" s="2">
        <f>SUM(F6:F58)</f>
        <v>358042</v>
      </c>
      <c r="G122" s="2">
        <f>SUM(G6:G58)</f>
        <v>368657</v>
      </c>
      <c r="H122" s="2">
        <f>SUM(H6:H58)</f>
        <v>368657</v>
      </c>
      <c r="I122" s="2">
        <f>SUM(I6:I59)</f>
        <v>0</v>
      </c>
      <c r="J122" s="2">
        <f>SUM(J6:J59)</f>
        <v>0</v>
      </c>
    </row>
    <row r="123" spans="1:10" x14ac:dyDescent="0.25">
      <c r="A123" s="176" t="s">
        <v>895</v>
      </c>
      <c r="B123" s="176"/>
      <c r="C123" s="176"/>
      <c r="D123" s="176"/>
      <c r="E123" s="2">
        <f>SUM(E61:E114)</f>
        <v>14685</v>
      </c>
      <c r="F123" s="2">
        <f>SUM(F61:F114)</f>
        <v>19866</v>
      </c>
      <c r="G123" s="2">
        <f>SUM(G61:G114)</f>
        <v>19224</v>
      </c>
      <c r="H123" s="2">
        <f>SUM(H61:H114)</f>
        <v>19224</v>
      </c>
      <c r="I123" s="2">
        <f>SUM(I62:I114)</f>
        <v>0</v>
      </c>
      <c r="J123" s="2">
        <f>SUM(J62:J114)</f>
        <v>0</v>
      </c>
    </row>
    <row r="124" spans="1:10" ht="15" x14ac:dyDescent="0.4">
      <c r="A124" s="176" t="s">
        <v>896</v>
      </c>
      <c r="B124" s="176"/>
      <c r="C124" s="176"/>
      <c r="D124" s="176"/>
      <c r="E124" s="11">
        <f t="shared" ref="E124:J124" si="1">SUM(E117:E119)</f>
        <v>0</v>
      </c>
      <c r="F124" s="11">
        <f t="shared" si="1"/>
        <v>0</v>
      </c>
      <c r="G124" s="11">
        <f t="shared" si="1"/>
        <v>0</v>
      </c>
      <c r="H124" s="11">
        <f t="shared" si="1"/>
        <v>0</v>
      </c>
      <c r="I124" s="11">
        <f t="shared" si="1"/>
        <v>0</v>
      </c>
      <c r="J124" s="11">
        <f t="shared" si="1"/>
        <v>0</v>
      </c>
    </row>
    <row r="125" spans="1:10" x14ac:dyDescent="0.25">
      <c r="A125" s="176" t="s">
        <v>1182</v>
      </c>
      <c r="B125" s="176"/>
      <c r="C125" s="176"/>
      <c r="D125" s="176"/>
      <c r="E125" s="2">
        <f t="shared" ref="E125:J125" si="2">SUM(E122:E124)</f>
        <v>360443</v>
      </c>
      <c r="F125" s="2">
        <f t="shared" si="2"/>
        <v>377908</v>
      </c>
      <c r="G125" s="2">
        <f t="shared" si="2"/>
        <v>387881</v>
      </c>
      <c r="H125" s="2">
        <f t="shared" si="2"/>
        <v>387881</v>
      </c>
      <c r="I125" s="2">
        <f t="shared" si="2"/>
        <v>0</v>
      </c>
      <c r="J125" s="2">
        <f t="shared" si="2"/>
        <v>0</v>
      </c>
    </row>
    <row r="126" spans="1:10" x14ac:dyDescent="0.25">
      <c r="H126" s="178"/>
      <c r="I126" s="160"/>
      <c r="J126" s="161"/>
    </row>
    <row r="127" spans="1:10" x14ac:dyDescent="0.25">
      <c r="H127" s="178"/>
      <c r="I127" s="160"/>
      <c r="J127" s="161"/>
    </row>
    <row r="128" spans="1:10" x14ac:dyDescent="0.25">
      <c r="H128" s="178"/>
      <c r="I128" s="160"/>
      <c r="J128" s="161"/>
    </row>
    <row r="129" spans="8:10" x14ac:dyDescent="0.25">
      <c r="H129" s="178"/>
      <c r="I129" s="160"/>
      <c r="J129" s="161"/>
    </row>
    <row r="130" spans="8:10" x14ac:dyDescent="0.25">
      <c r="H130" s="178"/>
      <c r="I130" s="160"/>
      <c r="J130" s="161"/>
    </row>
    <row r="131" spans="8:10" x14ac:dyDescent="0.25">
      <c r="H131" s="178"/>
      <c r="I131" s="160"/>
      <c r="J131" s="161"/>
    </row>
    <row r="132" spans="8:10" x14ac:dyDescent="0.25">
      <c r="H132" s="178"/>
      <c r="I132" s="160"/>
      <c r="J132" s="161"/>
    </row>
    <row r="133" spans="8:10" x14ac:dyDescent="0.25">
      <c r="H133" s="178"/>
      <c r="I133" s="160"/>
      <c r="J133" s="161"/>
    </row>
    <row r="134" spans="8:10" x14ac:dyDescent="0.25">
      <c r="H134" s="178"/>
      <c r="I134" s="160"/>
      <c r="J134" s="161"/>
    </row>
    <row r="135" spans="8:10" x14ac:dyDescent="0.25">
      <c r="H135" s="178"/>
      <c r="I135" s="160"/>
      <c r="J135" s="161"/>
    </row>
    <row r="136" spans="8:10" x14ac:dyDescent="0.25">
      <c r="H136" s="178"/>
      <c r="I136" s="160"/>
      <c r="J136" s="161"/>
    </row>
    <row r="137" spans="8:10" x14ac:dyDescent="0.25">
      <c r="H137" s="178"/>
      <c r="I137" s="160"/>
      <c r="J137" s="161"/>
    </row>
    <row r="138" spans="8:10" x14ac:dyDescent="0.25">
      <c r="H138" s="178"/>
      <c r="I138" s="160"/>
      <c r="J138" s="161"/>
    </row>
    <row r="139" spans="8:10" x14ac:dyDescent="0.25">
      <c r="H139" s="178"/>
      <c r="I139" s="160"/>
      <c r="J139" s="161"/>
    </row>
    <row r="140" spans="8:10" x14ac:dyDescent="0.25">
      <c r="H140" s="178"/>
      <c r="I140" s="160"/>
      <c r="J140" s="161"/>
    </row>
    <row r="141" spans="8:10" x14ac:dyDescent="0.25">
      <c r="H141" s="178"/>
      <c r="I141" s="160"/>
      <c r="J141" s="161"/>
    </row>
    <row r="142" spans="8:10" x14ac:dyDescent="0.25">
      <c r="H142" s="178"/>
      <c r="I142" s="160"/>
      <c r="J142" s="161"/>
    </row>
    <row r="143" spans="8:10" x14ac:dyDescent="0.25">
      <c r="H143" s="178"/>
      <c r="I143" s="160"/>
      <c r="J143" s="161"/>
    </row>
    <row r="144" spans="8:10" x14ac:dyDescent="0.25">
      <c r="H144" s="178"/>
      <c r="I144" s="160"/>
      <c r="J144" s="161"/>
    </row>
    <row r="145" spans="8:10" x14ac:dyDescent="0.25">
      <c r="H145" s="178"/>
      <c r="I145" s="160"/>
      <c r="J145" s="161"/>
    </row>
    <row r="146" spans="8:10" x14ac:dyDescent="0.25">
      <c r="H146" s="178"/>
      <c r="I146" s="160"/>
      <c r="J146" s="161"/>
    </row>
    <row r="147" spans="8:10" x14ac:dyDescent="0.25">
      <c r="I147" s="160"/>
      <c r="J147" s="161"/>
    </row>
    <row r="148" spans="8:10" x14ac:dyDescent="0.25">
      <c r="I148" s="160"/>
      <c r="J148" s="161"/>
    </row>
    <row r="149" spans="8:10" x14ac:dyDescent="0.25">
      <c r="I149" s="160"/>
      <c r="J149" s="161"/>
    </row>
    <row r="150" spans="8:10" x14ac:dyDescent="0.25">
      <c r="I150" s="160"/>
      <c r="J150" s="161"/>
    </row>
    <row r="151" spans="8:10" x14ac:dyDescent="0.25">
      <c r="I151" s="160"/>
      <c r="J151" s="161"/>
    </row>
    <row r="152" spans="8:10" x14ac:dyDescent="0.25">
      <c r="I152" s="160"/>
      <c r="J152" s="161"/>
    </row>
    <row r="153" spans="8:10" x14ac:dyDescent="0.25">
      <c r="I153" s="160"/>
      <c r="J153" s="161"/>
    </row>
    <row r="154" spans="8:10" x14ac:dyDescent="0.25">
      <c r="I154" s="160"/>
      <c r="J154" s="161"/>
    </row>
    <row r="155" spans="8:10" x14ac:dyDescent="0.25">
      <c r="I155" s="160"/>
      <c r="J155" s="161"/>
    </row>
    <row r="156" spans="8:10" x14ac:dyDescent="0.25">
      <c r="I156" s="160"/>
      <c r="J156" s="161"/>
    </row>
    <row r="157" spans="8:10" x14ac:dyDescent="0.25">
      <c r="I157" s="160"/>
      <c r="J157" s="161"/>
    </row>
    <row r="158" spans="8:10" x14ac:dyDescent="0.25">
      <c r="I158" s="160"/>
      <c r="J158" s="161"/>
    </row>
    <row r="159" spans="8:10" x14ac:dyDescent="0.25">
      <c r="I159" s="160"/>
      <c r="J159" s="161"/>
    </row>
    <row r="160" spans="8:10" x14ac:dyDescent="0.25">
      <c r="I160" s="160"/>
      <c r="J160" s="161"/>
    </row>
    <row r="161" spans="9:10" x14ac:dyDescent="0.25">
      <c r="I161" s="160"/>
      <c r="J161" s="161"/>
    </row>
    <row r="162" spans="9:10" x14ac:dyDescent="0.25">
      <c r="I162" s="160"/>
    </row>
  </sheetData>
  <mergeCells count="1">
    <mergeCell ref="A1:J1"/>
  </mergeCells>
  <phoneticPr fontId="0" type="noConversion"/>
  <printOptions gridLines="1"/>
  <pageMargins left="0.75" right="0.16" top="0.51" bottom="0.22" header="0.5" footer="0.5"/>
  <pageSetup scale="95" fitToHeight="16" orientation="landscape" r:id="rId1"/>
  <headerFooter alignWithMargins="0"/>
  <rowBreaks count="1" manualBreakCount="1">
    <brk id="63" max="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359"/>
  <sheetViews>
    <sheetView zoomScaleNormal="100" zoomScaleSheetLayoutView="100" workbookViewId="0">
      <selection sqref="A1:J1"/>
    </sheetView>
  </sheetViews>
  <sheetFormatPr defaultColWidth="51.109375" defaultRowHeight="13.2" x14ac:dyDescent="0.25"/>
  <cols>
    <col min="1" max="1" width="51.109375" style="191" customWidth="1"/>
    <col min="2" max="6" width="10.88671875" style="191" customWidth="1"/>
    <col min="7" max="7" width="11.6640625" style="191" bestFit="1" customWidth="1"/>
    <col min="8" max="8" width="13.5546875" style="191" bestFit="1" customWidth="1"/>
    <col min="9" max="10" width="10.88671875" style="191" customWidth="1"/>
    <col min="11" max="76" width="12.6640625" style="191" customWidth="1"/>
    <col min="77" max="16384" width="51.109375" style="191"/>
  </cols>
  <sheetData>
    <row r="1" spans="1:10" x14ac:dyDescent="0.25">
      <c r="A1" s="194" t="e">
        <f>#REF!</f>
        <v>#REF!</v>
      </c>
      <c r="B1" s="195"/>
      <c r="C1" s="195"/>
      <c r="D1" s="195"/>
      <c r="E1" s="195"/>
      <c r="F1" s="195"/>
      <c r="G1" s="195"/>
      <c r="H1" s="195"/>
      <c r="I1" s="195"/>
      <c r="J1" s="195"/>
    </row>
    <row r="2" spans="1:10" ht="17.399999999999999" x14ac:dyDescent="0.3">
      <c r="A2" s="153" t="s">
        <v>1949</v>
      </c>
      <c r="B2" s="153"/>
      <c r="C2" s="153"/>
      <c r="D2" s="153"/>
      <c r="E2" s="153"/>
      <c r="F2" s="153"/>
    </row>
    <row r="3" spans="1:10" x14ac:dyDescent="0.25">
      <c r="B3" s="2"/>
      <c r="C3" s="2"/>
      <c r="D3" s="2"/>
      <c r="E3" s="2"/>
      <c r="F3" s="2"/>
    </row>
    <row r="4" spans="1:10" x14ac:dyDescent="0.25">
      <c r="B4" s="2"/>
      <c r="C4" s="2"/>
      <c r="D4" s="2"/>
      <c r="E4" s="16" t="s">
        <v>232</v>
      </c>
      <c r="F4" s="16" t="s">
        <v>233</v>
      </c>
      <c r="G4" s="16" t="s">
        <v>69</v>
      </c>
      <c r="H4" s="16" t="s">
        <v>399</v>
      </c>
      <c r="I4" s="16" t="s">
        <v>303</v>
      </c>
      <c r="J4" s="16" t="s">
        <v>336</v>
      </c>
    </row>
    <row r="5" spans="1:10" ht="15" x14ac:dyDescent="0.4">
      <c r="B5" s="2"/>
      <c r="C5" s="2"/>
      <c r="D5" s="2"/>
      <c r="E5" s="192" t="s">
        <v>1715</v>
      </c>
      <c r="F5" s="192" t="s">
        <v>1766</v>
      </c>
      <c r="G5" s="192" t="s">
        <v>1985</v>
      </c>
      <c r="H5" s="192" t="s">
        <v>1985</v>
      </c>
      <c r="I5" s="192" t="s">
        <v>1985</v>
      </c>
      <c r="J5" s="192" t="s">
        <v>1985</v>
      </c>
    </row>
    <row r="6" spans="1:10" ht="13.8" x14ac:dyDescent="0.3">
      <c r="A6" s="193" t="s">
        <v>729</v>
      </c>
      <c r="B6" s="2"/>
      <c r="C6" s="2"/>
      <c r="D6" s="2"/>
      <c r="E6" s="2">
        <v>38499</v>
      </c>
      <c r="F6" s="2">
        <v>38896</v>
      </c>
      <c r="G6" s="2">
        <v>40092</v>
      </c>
      <c r="H6" s="2">
        <v>40092</v>
      </c>
      <c r="I6" s="2"/>
      <c r="J6" s="2"/>
    </row>
    <row r="7" spans="1:10" x14ac:dyDescent="0.25">
      <c r="A7" s="191" t="s">
        <v>388</v>
      </c>
      <c r="B7" s="2">
        <v>52</v>
      </c>
      <c r="C7" s="2">
        <v>771</v>
      </c>
      <c r="D7" s="2">
        <f>ROUND(B7*C7,0)</f>
        <v>40092</v>
      </c>
      <c r="E7" s="2"/>
      <c r="F7" s="2"/>
      <c r="G7" s="2"/>
      <c r="H7" s="2"/>
      <c r="I7" s="2"/>
      <c r="J7" s="2"/>
    </row>
    <row r="8" spans="1:10" x14ac:dyDescent="0.25">
      <c r="B8" s="2"/>
      <c r="C8" s="2"/>
      <c r="D8" s="2"/>
      <c r="E8" s="2"/>
      <c r="F8" s="2"/>
      <c r="G8" s="2"/>
      <c r="H8" s="2"/>
      <c r="I8" s="2"/>
      <c r="J8" s="2"/>
    </row>
    <row r="9" spans="1:10" ht="13.8" x14ac:dyDescent="0.3">
      <c r="A9" s="193" t="s">
        <v>1280</v>
      </c>
      <c r="B9" s="2"/>
      <c r="C9" s="2"/>
      <c r="D9" s="2"/>
      <c r="E9" s="2">
        <v>194136</v>
      </c>
      <c r="F9" s="2">
        <v>195258</v>
      </c>
      <c r="G9" s="2">
        <v>198690</v>
      </c>
      <c r="H9" s="2">
        <v>198690</v>
      </c>
      <c r="I9" s="2"/>
      <c r="J9" s="2"/>
    </row>
    <row r="10" spans="1:10" x14ac:dyDescent="0.25">
      <c r="A10" s="191" t="s">
        <v>234</v>
      </c>
      <c r="B10" s="2">
        <v>52</v>
      </c>
      <c r="C10" s="2">
        <v>1481</v>
      </c>
      <c r="D10" s="2">
        <f>ROUND(B10*C10,0)</f>
        <v>77012</v>
      </c>
      <c r="E10" s="2"/>
      <c r="F10" s="2"/>
      <c r="G10" s="2"/>
      <c r="H10" s="2"/>
      <c r="I10" s="2"/>
      <c r="J10" s="2"/>
    </row>
    <row r="11" spans="1:10" x14ac:dyDescent="0.25">
      <c r="A11" s="191" t="s">
        <v>1115</v>
      </c>
      <c r="B11" s="2">
        <v>52</v>
      </c>
      <c r="C11" s="2">
        <v>1120</v>
      </c>
      <c r="D11" s="2">
        <f>ROUND(B11*C11,0)</f>
        <v>58240</v>
      </c>
      <c r="E11" s="2"/>
      <c r="F11" s="2"/>
      <c r="G11" s="2"/>
      <c r="H11" s="2"/>
      <c r="I11" s="2"/>
      <c r="J11" s="2"/>
    </row>
    <row r="12" spans="1:10" x14ac:dyDescent="0.25">
      <c r="A12" s="191" t="s">
        <v>235</v>
      </c>
      <c r="B12" s="2">
        <v>52</v>
      </c>
      <c r="C12" s="2">
        <v>1128</v>
      </c>
      <c r="D12" s="2">
        <f>ROUND(B12*C12,0)</f>
        <v>58656</v>
      </c>
      <c r="E12" s="2"/>
      <c r="F12" s="2"/>
      <c r="G12" s="2"/>
      <c r="H12" s="2"/>
      <c r="I12" s="2"/>
      <c r="J12" s="2"/>
    </row>
    <row r="13" spans="1:10" x14ac:dyDescent="0.25">
      <c r="A13" s="191" t="s">
        <v>686</v>
      </c>
      <c r="B13" s="2">
        <v>112</v>
      </c>
      <c r="C13" s="12">
        <v>27.27</v>
      </c>
      <c r="D13" s="2">
        <f>+C13*B13</f>
        <v>3054.24</v>
      </c>
      <c r="E13" s="2"/>
      <c r="F13" s="2"/>
      <c r="G13" s="2"/>
      <c r="H13" s="2"/>
      <c r="I13" s="2"/>
      <c r="J13" s="2"/>
    </row>
    <row r="14" spans="1:10" ht="15" x14ac:dyDescent="0.4">
      <c r="A14" s="191" t="s">
        <v>912</v>
      </c>
      <c r="B14" s="2"/>
      <c r="C14" s="2"/>
      <c r="D14" s="11">
        <v>1728</v>
      </c>
      <c r="E14" s="2"/>
      <c r="F14" s="2"/>
      <c r="G14" s="2"/>
      <c r="H14" s="2"/>
      <c r="I14" s="2"/>
      <c r="J14" s="2"/>
    </row>
    <row r="15" spans="1:10" x14ac:dyDescent="0.25">
      <c r="A15" s="191" t="s">
        <v>1182</v>
      </c>
      <c r="B15" s="2"/>
      <c r="C15" s="2"/>
      <c r="D15" s="2">
        <f>SUM(D10:D14)</f>
        <v>198690.24</v>
      </c>
      <c r="E15" s="2"/>
      <c r="F15" s="2"/>
      <c r="G15" s="2"/>
      <c r="H15" s="2"/>
      <c r="I15" s="2"/>
      <c r="J15" s="2"/>
    </row>
    <row r="16" spans="1:10" x14ac:dyDescent="0.25">
      <c r="B16" s="2"/>
      <c r="C16" s="2"/>
      <c r="D16" s="2"/>
      <c r="E16" s="2"/>
      <c r="F16" s="2"/>
      <c r="G16" s="2"/>
      <c r="H16" s="2"/>
      <c r="I16" s="2"/>
      <c r="J16" s="2"/>
    </row>
    <row r="17" spans="1:10" ht="13.8" x14ac:dyDescent="0.3">
      <c r="A17" s="193" t="s">
        <v>677</v>
      </c>
      <c r="B17" s="2"/>
      <c r="C17" s="2"/>
      <c r="D17" s="2"/>
      <c r="E17" s="2">
        <v>664295</v>
      </c>
      <c r="F17" s="2">
        <v>759397</v>
      </c>
      <c r="G17" s="2">
        <v>780405</v>
      </c>
      <c r="H17" s="2">
        <v>780405</v>
      </c>
      <c r="I17" s="2"/>
      <c r="J17" s="2"/>
    </row>
    <row r="18" spans="1:10" x14ac:dyDescent="0.25">
      <c r="A18" s="187" t="s">
        <v>1299</v>
      </c>
      <c r="B18" s="186">
        <v>52</v>
      </c>
      <c r="C18" s="187">
        <v>878</v>
      </c>
      <c r="D18" s="2">
        <f t="shared" ref="D18:D35" si="0">+C18*B18</f>
        <v>45656</v>
      </c>
      <c r="E18" s="2"/>
      <c r="F18" s="2"/>
      <c r="G18" s="2"/>
      <c r="H18" s="2"/>
      <c r="I18" s="2"/>
      <c r="J18" s="2"/>
    </row>
    <row r="19" spans="1:10" x14ac:dyDescent="0.25">
      <c r="A19" s="187" t="s">
        <v>1299</v>
      </c>
      <c r="B19" s="186">
        <v>52</v>
      </c>
      <c r="C19" s="187">
        <v>797</v>
      </c>
      <c r="D19" s="2">
        <f t="shared" si="0"/>
        <v>41444</v>
      </c>
      <c r="E19" s="2"/>
      <c r="F19" s="2"/>
      <c r="G19" s="2"/>
      <c r="H19" s="2"/>
      <c r="I19" s="2"/>
      <c r="J19" s="2"/>
    </row>
    <row r="20" spans="1:10" x14ac:dyDescent="0.25">
      <c r="A20" s="187" t="s">
        <v>1299</v>
      </c>
      <c r="B20" s="186">
        <v>52</v>
      </c>
      <c r="C20" s="187">
        <v>865</v>
      </c>
      <c r="D20" s="2">
        <f t="shared" si="0"/>
        <v>44980</v>
      </c>
      <c r="E20" s="2"/>
      <c r="F20" s="2"/>
      <c r="G20" s="2"/>
      <c r="H20" s="2"/>
      <c r="I20" s="2"/>
      <c r="J20" s="2"/>
    </row>
    <row r="21" spans="1:10" x14ac:dyDescent="0.25">
      <c r="A21" s="187" t="s">
        <v>1299</v>
      </c>
      <c r="B21" s="186">
        <v>52</v>
      </c>
      <c r="C21" s="187">
        <v>865</v>
      </c>
      <c r="D21" s="2">
        <f t="shared" si="0"/>
        <v>44980</v>
      </c>
      <c r="E21" s="2"/>
      <c r="F21" s="2"/>
      <c r="G21" s="2"/>
      <c r="H21" s="2"/>
      <c r="I21" s="2"/>
      <c r="J21" s="2"/>
    </row>
    <row r="22" spans="1:10" x14ac:dyDescent="0.25">
      <c r="A22" s="187" t="s">
        <v>1299</v>
      </c>
      <c r="B22" s="186">
        <v>52</v>
      </c>
      <c r="C22" s="187">
        <v>832</v>
      </c>
      <c r="D22" s="2">
        <f t="shared" si="0"/>
        <v>43264</v>
      </c>
      <c r="E22" s="2"/>
      <c r="F22" s="2"/>
      <c r="G22" s="2"/>
      <c r="H22" s="2"/>
      <c r="I22" s="2"/>
      <c r="J22" s="2"/>
    </row>
    <row r="23" spans="1:10" x14ac:dyDescent="0.25">
      <c r="A23" s="187" t="s">
        <v>1299</v>
      </c>
      <c r="B23" s="186">
        <v>52</v>
      </c>
      <c r="C23" s="187">
        <v>878</v>
      </c>
      <c r="D23" s="2">
        <f t="shared" si="0"/>
        <v>45656</v>
      </c>
      <c r="E23" s="2"/>
      <c r="F23" s="2"/>
      <c r="G23" s="2"/>
      <c r="H23" s="2"/>
      <c r="I23" s="2"/>
      <c r="J23" s="2"/>
    </row>
    <row r="24" spans="1:10" x14ac:dyDescent="0.25">
      <c r="A24" s="187" t="s">
        <v>1299</v>
      </c>
      <c r="B24" s="186">
        <v>52</v>
      </c>
      <c r="C24" s="187">
        <v>797</v>
      </c>
      <c r="D24" s="2">
        <f t="shared" si="0"/>
        <v>41444</v>
      </c>
      <c r="E24" s="2"/>
      <c r="F24" s="2"/>
      <c r="G24" s="2"/>
      <c r="H24" s="2"/>
      <c r="I24" s="2"/>
      <c r="J24" s="2"/>
    </row>
    <row r="25" spans="1:10" x14ac:dyDescent="0.25">
      <c r="A25" s="187" t="s">
        <v>1299</v>
      </c>
      <c r="B25" s="186">
        <v>52</v>
      </c>
      <c r="C25" s="187">
        <v>848</v>
      </c>
      <c r="D25" s="2">
        <f t="shared" si="0"/>
        <v>44096</v>
      </c>
      <c r="E25" s="2"/>
      <c r="F25" s="2"/>
      <c r="G25" s="2"/>
      <c r="H25" s="2"/>
      <c r="I25" s="2"/>
      <c r="J25" s="2"/>
    </row>
    <row r="26" spans="1:10" x14ac:dyDescent="0.25">
      <c r="A26" s="187" t="s">
        <v>1299</v>
      </c>
      <c r="B26" s="186">
        <v>52</v>
      </c>
      <c r="C26" s="187">
        <v>865</v>
      </c>
      <c r="D26" s="2">
        <f t="shared" si="0"/>
        <v>44980</v>
      </c>
      <c r="E26" s="2"/>
      <c r="F26" s="2"/>
      <c r="G26" s="2"/>
      <c r="H26" s="2"/>
      <c r="I26" s="2"/>
      <c r="J26" s="2"/>
    </row>
    <row r="27" spans="1:10" x14ac:dyDescent="0.25">
      <c r="A27" s="187" t="s">
        <v>1299</v>
      </c>
      <c r="B27" s="186">
        <v>52</v>
      </c>
      <c r="C27" s="187">
        <v>865</v>
      </c>
      <c r="D27" s="2">
        <f t="shared" si="0"/>
        <v>44980</v>
      </c>
      <c r="E27" s="2"/>
      <c r="F27" s="2"/>
      <c r="G27" s="2"/>
      <c r="H27" s="2"/>
      <c r="I27" s="2"/>
      <c r="J27" s="2"/>
    </row>
    <row r="28" spans="1:10" x14ac:dyDescent="0.25">
      <c r="A28" s="187" t="s">
        <v>1299</v>
      </c>
      <c r="B28" s="186">
        <v>52</v>
      </c>
      <c r="C28" s="187">
        <v>865</v>
      </c>
      <c r="D28" s="2">
        <f t="shared" si="0"/>
        <v>44980</v>
      </c>
      <c r="E28" s="2"/>
      <c r="F28" s="2"/>
      <c r="G28" s="2"/>
      <c r="H28" s="2"/>
      <c r="I28" s="2"/>
      <c r="J28" s="2"/>
    </row>
    <row r="29" spans="1:10" x14ac:dyDescent="0.25">
      <c r="A29" s="187" t="s">
        <v>1298</v>
      </c>
      <c r="B29" s="186">
        <v>52</v>
      </c>
      <c r="C29" s="187">
        <v>924</v>
      </c>
      <c r="D29" s="2">
        <f t="shared" si="0"/>
        <v>48048</v>
      </c>
      <c r="E29" s="2"/>
      <c r="F29" s="2"/>
      <c r="G29" s="2"/>
      <c r="H29" s="2"/>
      <c r="I29" s="2"/>
      <c r="J29" s="2"/>
    </row>
    <row r="30" spans="1:10" x14ac:dyDescent="0.25">
      <c r="A30" s="187" t="s">
        <v>1298</v>
      </c>
      <c r="B30" s="186">
        <v>52</v>
      </c>
      <c r="C30" s="187">
        <v>906</v>
      </c>
      <c r="D30" s="2">
        <f t="shared" si="0"/>
        <v>47112</v>
      </c>
      <c r="E30" s="2"/>
      <c r="F30" s="2"/>
      <c r="G30" s="2"/>
      <c r="H30" s="2"/>
      <c r="I30" s="2"/>
      <c r="J30" s="2"/>
    </row>
    <row r="31" spans="1:10" x14ac:dyDescent="0.25">
      <c r="A31" s="187" t="s">
        <v>1297</v>
      </c>
      <c r="B31" s="186">
        <v>52</v>
      </c>
      <c r="C31" s="187">
        <v>983</v>
      </c>
      <c r="D31" s="2">
        <f t="shared" si="0"/>
        <v>51116</v>
      </c>
      <c r="E31" s="2"/>
      <c r="F31" s="2"/>
      <c r="G31" s="2"/>
      <c r="H31" s="2"/>
      <c r="I31" s="2"/>
      <c r="J31" s="2"/>
    </row>
    <row r="32" spans="1:10" x14ac:dyDescent="0.25">
      <c r="A32" s="187" t="s">
        <v>1802</v>
      </c>
      <c r="B32" s="186">
        <v>52</v>
      </c>
      <c r="C32" s="187">
        <v>625</v>
      </c>
      <c r="D32" s="2">
        <f t="shared" si="0"/>
        <v>32500</v>
      </c>
      <c r="E32" s="2"/>
      <c r="F32" s="2"/>
      <c r="G32" s="2"/>
      <c r="H32" s="2"/>
      <c r="I32" s="2"/>
      <c r="J32" s="2"/>
    </row>
    <row r="33" spans="1:10" x14ac:dyDescent="0.25">
      <c r="A33" s="187" t="s">
        <v>1802</v>
      </c>
      <c r="B33" s="186">
        <v>52</v>
      </c>
      <c r="C33" s="187">
        <v>625</v>
      </c>
      <c r="D33" s="2">
        <f t="shared" si="0"/>
        <v>32500</v>
      </c>
      <c r="E33" s="2"/>
      <c r="F33" s="2"/>
      <c r="G33" s="2"/>
      <c r="H33" s="2"/>
      <c r="I33" s="2"/>
      <c r="J33" s="2"/>
    </row>
    <row r="34" spans="1:10" x14ac:dyDescent="0.25">
      <c r="A34" s="187" t="s">
        <v>1802</v>
      </c>
      <c r="B34" s="186">
        <v>52</v>
      </c>
      <c r="C34" s="187">
        <v>625</v>
      </c>
      <c r="D34" s="2">
        <f t="shared" si="0"/>
        <v>32500</v>
      </c>
      <c r="E34" s="2"/>
      <c r="F34" s="2"/>
      <c r="G34" s="2"/>
      <c r="H34" s="2"/>
      <c r="I34" s="2"/>
      <c r="J34" s="2"/>
    </row>
    <row r="35" spans="1:10" x14ac:dyDescent="0.25">
      <c r="A35" s="187" t="s">
        <v>1799</v>
      </c>
      <c r="B35" s="186">
        <v>52</v>
      </c>
      <c r="C35" s="187">
        <v>797</v>
      </c>
      <c r="D35" s="2">
        <f t="shared" si="0"/>
        <v>41444</v>
      </c>
      <c r="E35" s="2"/>
      <c r="F35" s="2"/>
      <c r="G35" s="2"/>
      <c r="H35" s="2"/>
      <c r="I35" s="2"/>
      <c r="J35" s="2"/>
    </row>
    <row r="36" spans="1:10" x14ac:dyDescent="0.25">
      <c r="A36" s="188" t="s">
        <v>1785</v>
      </c>
      <c r="B36" s="2"/>
      <c r="C36" s="2"/>
      <c r="D36" s="26">
        <v>3325</v>
      </c>
      <c r="E36" s="2"/>
      <c r="F36" s="2"/>
      <c r="G36" s="2"/>
      <c r="H36" s="2"/>
      <c r="I36" s="2"/>
      <c r="J36" s="2"/>
    </row>
    <row r="37" spans="1:10" ht="15" x14ac:dyDescent="0.4">
      <c r="A37" s="191" t="s">
        <v>912</v>
      </c>
      <c r="B37" s="2" t="s">
        <v>386</v>
      </c>
      <c r="C37" s="12" t="s">
        <v>800</v>
      </c>
      <c r="D37" s="11">
        <v>5400</v>
      </c>
      <c r="E37" s="2"/>
      <c r="F37" s="2"/>
      <c r="G37" s="2"/>
      <c r="H37" s="2"/>
      <c r="I37" s="2"/>
      <c r="J37" s="2"/>
    </row>
    <row r="38" spans="1:10" x14ac:dyDescent="0.25">
      <c r="A38" s="191" t="s">
        <v>1182</v>
      </c>
      <c r="D38" s="2">
        <f>SUM(D18:D37)</f>
        <v>780405</v>
      </c>
      <c r="E38" s="2"/>
      <c r="F38" s="2"/>
      <c r="G38" s="2"/>
      <c r="H38" s="2"/>
      <c r="I38" s="2"/>
      <c r="J38" s="2"/>
    </row>
    <row r="39" spans="1:10" x14ac:dyDescent="0.25">
      <c r="D39" s="2"/>
      <c r="E39" s="2"/>
      <c r="F39" s="2"/>
      <c r="G39" s="2"/>
      <c r="H39" s="2"/>
      <c r="I39" s="2"/>
      <c r="J39" s="2"/>
    </row>
    <row r="40" spans="1:10" ht="13.8" x14ac:dyDescent="0.3">
      <c r="A40" s="193" t="s">
        <v>527</v>
      </c>
      <c r="B40" s="6"/>
      <c r="C40" s="6"/>
      <c r="D40" s="2" t="s">
        <v>386</v>
      </c>
      <c r="E40" s="2">
        <v>28432</v>
      </c>
      <c r="F40" s="2">
        <v>30000</v>
      </c>
      <c r="G40" s="2">
        <v>30000</v>
      </c>
      <c r="H40" s="2">
        <v>30000</v>
      </c>
      <c r="I40" s="2"/>
      <c r="J40" s="2"/>
    </row>
    <row r="41" spans="1:10" x14ac:dyDescent="0.25">
      <c r="A41" s="6" t="s">
        <v>492</v>
      </c>
      <c r="B41" s="2"/>
      <c r="C41" s="12"/>
      <c r="D41" s="2"/>
      <c r="E41" s="2"/>
      <c r="F41" s="2"/>
      <c r="G41" s="2"/>
      <c r="H41" s="2"/>
      <c r="I41" s="2"/>
      <c r="J41" s="2"/>
    </row>
    <row r="42" spans="1:10" x14ac:dyDescent="0.25">
      <c r="A42" s="191" t="s">
        <v>495</v>
      </c>
      <c r="B42" s="2" t="s">
        <v>386</v>
      </c>
      <c r="C42" s="12"/>
      <c r="D42" s="2">
        <v>7000</v>
      </c>
      <c r="E42" s="2"/>
      <c r="F42" s="2"/>
      <c r="G42" s="2"/>
      <c r="H42" s="2"/>
      <c r="I42" s="2"/>
      <c r="J42" s="2"/>
    </row>
    <row r="43" spans="1:10" x14ac:dyDescent="0.25">
      <c r="A43" s="191" t="s">
        <v>493</v>
      </c>
      <c r="B43" s="2"/>
      <c r="C43" s="12"/>
      <c r="D43" s="2"/>
      <c r="E43" s="2"/>
      <c r="F43" s="2"/>
      <c r="G43" s="2"/>
      <c r="H43" s="2"/>
      <c r="I43" s="2"/>
      <c r="J43" s="2"/>
    </row>
    <row r="44" spans="1:10" ht="15" x14ac:dyDescent="0.4">
      <c r="A44" s="191" t="s">
        <v>494</v>
      </c>
      <c r="B44" s="2"/>
      <c r="C44" s="12"/>
      <c r="D44" s="11">
        <v>23000</v>
      </c>
      <c r="E44" s="2"/>
      <c r="F44" s="2"/>
      <c r="G44" s="2"/>
      <c r="H44" s="2"/>
      <c r="I44" s="2"/>
      <c r="J44" s="2"/>
    </row>
    <row r="45" spans="1:10" x14ac:dyDescent="0.25">
      <c r="A45" s="191" t="s">
        <v>1182</v>
      </c>
      <c r="B45" s="2"/>
      <c r="C45" s="12"/>
      <c r="D45" s="2">
        <f>SUM(D41:D44)</f>
        <v>30000</v>
      </c>
      <c r="E45" s="2"/>
      <c r="F45" s="2"/>
      <c r="G45" s="2"/>
      <c r="H45" s="2"/>
      <c r="I45" s="2"/>
      <c r="J45" s="2"/>
    </row>
    <row r="46" spans="1:10" x14ac:dyDescent="0.25">
      <c r="D46" s="2"/>
      <c r="E46" s="2"/>
      <c r="F46" s="2"/>
      <c r="G46" s="2"/>
      <c r="H46" s="2"/>
      <c r="I46" s="2"/>
      <c r="J46" s="2"/>
    </row>
    <row r="47" spans="1:10" ht="13.8" x14ac:dyDescent="0.3">
      <c r="A47" s="193" t="s">
        <v>717</v>
      </c>
      <c r="D47" s="2"/>
      <c r="E47" s="2">
        <v>21569</v>
      </c>
      <c r="F47" s="2">
        <v>23040</v>
      </c>
      <c r="G47" s="2">
        <v>23731</v>
      </c>
      <c r="H47" s="2">
        <v>23731</v>
      </c>
      <c r="I47" s="2"/>
      <c r="J47" s="2"/>
    </row>
    <row r="48" spans="1:10" x14ac:dyDescent="0.25">
      <c r="A48" s="191" t="s">
        <v>1488</v>
      </c>
      <c r="B48" s="26">
        <v>1920</v>
      </c>
      <c r="C48" s="56">
        <v>12.36</v>
      </c>
      <c r="D48" s="26">
        <f>ROUND(B48*C48,0)</f>
        <v>23731</v>
      </c>
      <c r="E48" s="2"/>
      <c r="F48" s="2"/>
      <c r="G48" s="2"/>
      <c r="H48" s="2"/>
      <c r="I48" s="2"/>
      <c r="J48" s="2"/>
    </row>
    <row r="49" spans="1:10" x14ac:dyDescent="0.25">
      <c r="A49" s="191" t="s">
        <v>386</v>
      </c>
      <c r="D49" s="2" t="s">
        <v>386</v>
      </c>
      <c r="E49" s="2"/>
      <c r="F49" s="2"/>
      <c r="G49" s="2"/>
      <c r="H49" s="2"/>
      <c r="I49" s="2"/>
      <c r="J49" s="2"/>
    </row>
    <row r="50" spans="1:10" ht="13.8" x14ac:dyDescent="0.3">
      <c r="A50" s="193" t="s">
        <v>725</v>
      </c>
      <c r="D50" s="8" t="s">
        <v>386</v>
      </c>
      <c r="E50" s="2">
        <v>101551</v>
      </c>
      <c r="F50" s="2">
        <v>81500</v>
      </c>
      <c r="G50" s="2">
        <v>81500</v>
      </c>
      <c r="H50" s="2">
        <v>81500</v>
      </c>
      <c r="I50" s="2"/>
      <c r="J50" s="2"/>
    </row>
    <row r="51" spans="1:10" x14ac:dyDescent="0.25">
      <c r="A51" s="191" t="s">
        <v>493</v>
      </c>
      <c r="B51" s="2" t="s">
        <v>386</v>
      </c>
      <c r="D51" s="2" t="s">
        <v>386</v>
      </c>
      <c r="E51" s="2"/>
      <c r="F51" s="2"/>
      <c r="G51" s="2"/>
      <c r="H51" s="2"/>
      <c r="I51" s="2"/>
      <c r="J51" s="2"/>
    </row>
    <row r="52" spans="1:10" x14ac:dyDescent="0.25">
      <c r="A52" s="191" t="s">
        <v>494</v>
      </c>
      <c r="B52" s="2"/>
      <c r="D52" s="2">
        <v>76500</v>
      </c>
      <c r="E52" s="2"/>
      <c r="F52" s="2"/>
      <c r="G52" s="2"/>
      <c r="H52" s="2"/>
      <c r="I52" s="2"/>
      <c r="J52" s="2"/>
    </row>
    <row r="53" spans="1:10" x14ac:dyDescent="0.25">
      <c r="A53" s="6" t="s">
        <v>492</v>
      </c>
      <c r="B53" s="2"/>
      <c r="D53" s="2"/>
      <c r="E53" s="2"/>
      <c r="F53" s="2"/>
      <c r="G53" s="2"/>
      <c r="H53" s="2"/>
      <c r="I53" s="2"/>
      <c r="J53" s="2"/>
    </row>
    <row r="54" spans="1:10" ht="15" x14ac:dyDescent="0.4">
      <c r="A54" s="191" t="s">
        <v>495</v>
      </c>
      <c r="B54" s="2"/>
      <c r="D54" s="11">
        <v>5000</v>
      </c>
      <c r="E54" s="2"/>
      <c r="F54" s="2"/>
      <c r="G54" s="2"/>
      <c r="H54" s="2"/>
      <c r="I54" s="2"/>
      <c r="J54" s="2"/>
    </row>
    <row r="55" spans="1:10" x14ac:dyDescent="0.25">
      <c r="A55" s="191" t="s">
        <v>1182</v>
      </c>
      <c r="B55" s="2"/>
      <c r="D55" s="2">
        <f>SUM(D51:D54)</f>
        <v>81500</v>
      </c>
      <c r="E55" s="2"/>
      <c r="F55" s="2"/>
      <c r="G55" s="2"/>
      <c r="H55" s="2"/>
      <c r="I55" s="2"/>
      <c r="J55" s="2"/>
    </row>
    <row r="56" spans="1:10" x14ac:dyDescent="0.25">
      <c r="B56" s="2" t="s">
        <v>386</v>
      </c>
      <c r="C56" s="12" t="s">
        <v>386</v>
      </c>
      <c r="D56" s="2" t="s">
        <v>386</v>
      </c>
      <c r="E56" s="2"/>
      <c r="F56" s="2"/>
      <c r="G56" s="2"/>
      <c r="H56" s="2"/>
      <c r="I56" s="2"/>
      <c r="J56" s="2"/>
    </row>
    <row r="57" spans="1:10" ht="13.8" x14ac:dyDescent="0.3">
      <c r="A57" s="193" t="s">
        <v>943</v>
      </c>
      <c r="B57" s="2"/>
      <c r="C57" s="12"/>
      <c r="D57" s="2"/>
      <c r="E57" s="2">
        <v>80389</v>
      </c>
      <c r="F57" s="2">
        <v>86300</v>
      </c>
      <c r="G57" s="2">
        <v>88313</v>
      </c>
      <c r="H57" s="2">
        <v>88313</v>
      </c>
      <c r="I57" s="2"/>
      <c r="J57" s="2"/>
    </row>
    <row r="58" spans="1:10" hidden="1" x14ac:dyDescent="0.25">
      <c r="A58" s="13" t="s">
        <v>844</v>
      </c>
      <c r="B58" s="2">
        <f>+D7</f>
        <v>40092</v>
      </c>
      <c r="C58" s="14">
        <v>7.6499999999999999E-2</v>
      </c>
      <c r="D58" s="2">
        <f t="shared" ref="D58:D63" si="1">ROUND(B58*C58,0)</f>
        <v>3067</v>
      </c>
      <c r="E58" s="2"/>
      <c r="F58" s="2"/>
      <c r="G58" s="2"/>
      <c r="H58" s="2"/>
      <c r="I58" s="2"/>
      <c r="J58" s="2"/>
    </row>
    <row r="59" spans="1:10" hidden="1" x14ac:dyDescent="0.25">
      <c r="A59" s="13" t="s">
        <v>1406</v>
      </c>
      <c r="B59" s="2">
        <f>+D15</f>
        <v>198690.24</v>
      </c>
      <c r="C59" s="14">
        <v>7.6499999999999999E-2</v>
      </c>
      <c r="D59" s="2">
        <f t="shared" si="1"/>
        <v>15200</v>
      </c>
      <c r="E59" s="2"/>
      <c r="F59" s="2"/>
      <c r="G59" s="2"/>
      <c r="H59" s="2"/>
      <c r="I59" s="2"/>
      <c r="J59" s="2"/>
    </row>
    <row r="60" spans="1:10" hidden="1" x14ac:dyDescent="0.25">
      <c r="A60" s="13" t="s">
        <v>757</v>
      </c>
      <c r="B60" s="2">
        <f>+D38</f>
        <v>780405</v>
      </c>
      <c r="C60" s="14">
        <v>7.6499999999999999E-2</v>
      </c>
      <c r="D60" s="2">
        <f t="shared" si="1"/>
        <v>59701</v>
      </c>
      <c r="E60" s="2"/>
      <c r="F60" s="2"/>
      <c r="G60" s="2"/>
      <c r="H60" s="2"/>
      <c r="I60" s="2"/>
      <c r="J60" s="2"/>
    </row>
    <row r="61" spans="1:10" hidden="1" x14ac:dyDescent="0.25">
      <c r="A61" s="13" t="s">
        <v>845</v>
      </c>
      <c r="B61" s="2">
        <f>+D45</f>
        <v>30000</v>
      </c>
      <c r="C61" s="14">
        <v>7.6499999999999999E-2</v>
      </c>
      <c r="D61" s="2">
        <f t="shared" si="1"/>
        <v>2295</v>
      </c>
      <c r="E61" s="2"/>
      <c r="F61" s="2"/>
      <c r="G61" s="2"/>
      <c r="H61" s="2"/>
      <c r="I61" s="2"/>
      <c r="J61" s="2"/>
    </row>
    <row r="62" spans="1:10" hidden="1" x14ac:dyDescent="0.25">
      <c r="A62" s="13" t="s">
        <v>183</v>
      </c>
      <c r="B62" s="2">
        <f>+D48</f>
        <v>23731</v>
      </c>
      <c r="C62" s="14">
        <v>7.6499999999999999E-2</v>
      </c>
      <c r="D62" s="2">
        <f t="shared" si="1"/>
        <v>1815</v>
      </c>
      <c r="E62" s="2"/>
      <c r="F62" s="2"/>
      <c r="G62" s="2"/>
      <c r="H62" s="2"/>
      <c r="I62" s="2"/>
      <c r="J62" s="2"/>
    </row>
    <row r="63" spans="1:10" ht="15" hidden="1" x14ac:dyDescent="0.4">
      <c r="A63" s="13" t="s">
        <v>184</v>
      </c>
      <c r="B63" s="2">
        <f>+D55</f>
        <v>81500</v>
      </c>
      <c r="C63" s="14">
        <v>7.6499999999999999E-2</v>
      </c>
      <c r="D63" s="11">
        <f t="shared" si="1"/>
        <v>6235</v>
      </c>
      <c r="E63" s="2"/>
      <c r="F63" s="2"/>
      <c r="G63" s="2"/>
      <c r="H63" s="2"/>
      <c r="I63" s="2"/>
      <c r="J63" s="2"/>
    </row>
    <row r="64" spans="1:10" hidden="1" x14ac:dyDescent="0.25">
      <c r="A64" s="191" t="s">
        <v>1182</v>
      </c>
      <c r="D64" s="2">
        <f>SUM(D58:D63)</f>
        <v>88313</v>
      </c>
      <c r="E64" s="2"/>
      <c r="F64" s="2"/>
      <c r="G64" s="2"/>
      <c r="H64" s="2"/>
      <c r="I64" s="2"/>
      <c r="J64" s="2"/>
    </row>
    <row r="65" spans="1:10" x14ac:dyDescent="0.25">
      <c r="D65" s="2"/>
      <c r="E65" s="2"/>
      <c r="F65" s="2"/>
      <c r="G65" s="2"/>
      <c r="H65" s="2"/>
      <c r="I65" s="2"/>
      <c r="J65" s="2"/>
    </row>
    <row r="66" spans="1:10" ht="13.8" x14ac:dyDescent="0.3">
      <c r="A66" s="15" t="s">
        <v>1351</v>
      </c>
      <c r="D66" s="2"/>
      <c r="E66" s="2">
        <v>112617</v>
      </c>
      <c r="F66" s="2">
        <v>134264</v>
      </c>
      <c r="G66" s="2">
        <v>128672</v>
      </c>
      <c r="H66" s="2">
        <v>128672</v>
      </c>
      <c r="I66" s="2"/>
      <c r="J66" s="2"/>
    </row>
    <row r="67" spans="1:10" hidden="1" x14ac:dyDescent="0.25">
      <c r="A67" s="13" t="s">
        <v>844</v>
      </c>
      <c r="B67" s="2">
        <f>+B58</f>
        <v>40092</v>
      </c>
      <c r="C67" s="14">
        <v>0.1138</v>
      </c>
      <c r="D67" s="2">
        <f>ROUND(B67*C67,0)</f>
        <v>4562</v>
      </c>
      <c r="E67" s="2"/>
      <c r="F67" s="2"/>
      <c r="G67" s="2"/>
      <c r="H67" s="2"/>
      <c r="I67" s="2"/>
      <c r="J67" s="2"/>
    </row>
    <row r="68" spans="1:10" hidden="1" x14ac:dyDescent="0.25">
      <c r="A68" s="23">
        <v>8103</v>
      </c>
      <c r="B68" s="2">
        <f>+D15</f>
        <v>198690.24</v>
      </c>
      <c r="C68" s="14">
        <v>0.1138</v>
      </c>
      <c r="D68" s="2">
        <f>ROUND(B68*C68,0)</f>
        <v>22611</v>
      </c>
      <c r="E68" s="2"/>
      <c r="F68" s="2"/>
      <c r="G68" s="2"/>
      <c r="H68" s="2"/>
      <c r="I68" s="2"/>
      <c r="J68" s="2"/>
    </row>
    <row r="69" spans="1:10" hidden="1" x14ac:dyDescent="0.25">
      <c r="A69" s="13" t="s">
        <v>757</v>
      </c>
      <c r="B69" s="2">
        <f>+D38</f>
        <v>780405</v>
      </c>
      <c r="C69" s="14">
        <v>0.1138</v>
      </c>
      <c r="D69" s="2">
        <f>ROUND(B69*C69,0)</f>
        <v>88810</v>
      </c>
      <c r="E69" s="2"/>
      <c r="F69" s="2"/>
      <c r="G69" s="2"/>
      <c r="H69" s="2"/>
      <c r="I69" s="2"/>
      <c r="J69" s="2"/>
    </row>
    <row r="70" spans="1:10" hidden="1" x14ac:dyDescent="0.25">
      <c r="A70" s="13" t="s">
        <v>845</v>
      </c>
      <c r="B70" s="2">
        <f>+B61</f>
        <v>30000</v>
      </c>
      <c r="C70" s="14">
        <v>0.1138</v>
      </c>
      <c r="D70" s="2">
        <f>ROUND(B70*C70,0)</f>
        <v>3414</v>
      </c>
      <c r="E70" s="2"/>
      <c r="F70" s="2"/>
      <c r="G70" s="2"/>
      <c r="H70" s="2"/>
      <c r="I70" s="2"/>
      <c r="J70" s="2"/>
    </row>
    <row r="71" spans="1:10" ht="15" hidden="1" x14ac:dyDescent="0.4">
      <c r="A71" s="13" t="s">
        <v>184</v>
      </c>
      <c r="B71" s="2">
        <f>+D55</f>
        <v>81500</v>
      </c>
      <c r="C71" s="14">
        <v>0.1138</v>
      </c>
      <c r="D71" s="11">
        <f>ROUND(B71*C71,0)</f>
        <v>9275</v>
      </c>
      <c r="E71" s="2"/>
      <c r="F71" s="2"/>
      <c r="G71" s="2"/>
      <c r="H71" s="2"/>
      <c r="I71" s="2"/>
      <c r="J71" s="2"/>
    </row>
    <row r="72" spans="1:10" hidden="1" x14ac:dyDescent="0.25">
      <c r="A72" s="191" t="s">
        <v>1182</v>
      </c>
      <c r="D72" s="2">
        <f>SUM(D67:D71)</f>
        <v>128672</v>
      </c>
      <c r="E72" s="2"/>
      <c r="F72" s="2"/>
      <c r="G72" s="2"/>
      <c r="H72" s="2"/>
      <c r="I72" s="2"/>
      <c r="J72" s="2"/>
    </row>
    <row r="73" spans="1:10" x14ac:dyDescent="0.25">
      <c r="D73" s="2"/>
      <c r="E73" s="2"/>
      <c r="F73" s="2"/>
      <c r="G73" s="2"/>
      <c r="H73" s="2"/>
      <c r="I73" s="2"/>
      <c r="J73" s="2"/>
    </row>
    <row r="74" spans="1:10" ht="13.8" x14ac:dyDescent="0.3">
      <c r="A74" s="193" t="s">
        <v>1352</v>
      </c>
      <c r="D74" s="2"/>
      <c r="E74" s="2">
        <v>341159</v>
      </c>
      <c r="F74" s="2">
        <v>379500</v>
      </c>
      <c r="G74" s="2">
        <v>402600</v>
      </c>
      <c r="H74" s="2">
        <v>402600</v>
      </c>
      <c r="I74" s="2"/>
      <c r="J74" s="2"/>
    </row>
    <row r="75" spans="1:10" x14ac:dyDescent="0.25">
      <c r="A75" s="191" t="s">
        <v>297</v>
      </c>
      <c r="B75" s="2">
        <v>18</v>
      </c>
      <c r="C75" s="2">
        <v>18300</v>
      </c>
      <c r="D75" s="2">
        <f>ROUND(B75*C75,0)</f>
        <v>329400</v>
      </c>
      <c r="E75" s="2"/>
      <c r="F75" s="2"/>
      <c r="G75" s="2"/>
      <c r="H75" s="2"/>
      <c r="I75" s="2"/>
      <c r="J75" s="2"/>
    </row>
    <row r="76" spans="1:10" x14ac:dyDescent="0.25">
      <c r="A76" s="191" t="s">
        <v>298</v>
      </c>
      <c r="B76" s="2">
        <v>1</v>
      </c>
      <c r="C76" s="2">
        <v>18300</v>
      </c>
      <c r="D76" s="2">
        <f>ROUND(B76*C76,0)</f>
        <v>18300</v>
      </c>
      <c r="E76" s="2"/>
      <c r="F76" s="2"/>
      <c r="G76" s="2"/>
      <c r="H76" s="2"/>
      <c r="I76" s="2"/>
      <c r="J76" s="2"/>
    </row>
    <row r="77" spans="1:10" ht="15" x14ac:dyDescent="0.4">
      <c r="A77" s="191" t="s">
        <v>338</v>
      </c>
      <c r="B77" s="2">
        <v>3</v>
      </c>
      <c r="C77" s="2">
        <v>18300</v>
      </c>
      <c r="D77" s="11">
        <f>ROUND(B77*C77,0)</f>
        <v>54900</v>
      </c>
      <c r="E77" s="2"/>
      <c r="F77" s="2"/>
      <c r="G77" s="2"/>
      <c r="H77" s="2"/>
      <c r="I77" s="2"/>
      <c r="J77" s="2"/>
    </row>
    <row r="78" spans="1:10" x14ac:dyDescent="0.25">
      <c r="A78" s="191" t="s">
        <v>751</v>
      </c>
      <c r="B78" s="2"/>
      <c r="C78" s="2"/>
      <c r="D78" s="2">
        <f>SUM(D75:D77)</f>
        <v>402600</v>
      </c>
      <c r="E78" s="2"/>
      <c r="F78" s="2"/>
      <c r="G78" s="2"/>
      <c r="H78" s="2"/>
      <c r="I78" s="2"/>
      <c r="J78" s="2"/>
    </row>
    <row r="79" spans="1:10" x14ac:dyDescent="0.25">
      <c r="D79" s="2"/>
      <c r="E79" s="2"/>
    </row>
    <row r="80" spans="1:10" ht="13.8" x14ac:dyDescent="0.3">
      <c r="A80" s="193" t="s">
        <v>1353</v>
      </c>
      <c r="D80" s="2"/>
      <c r="E80" s="2">
        <v>24335</v>
      </c>
      <c r="F80" s="2">
        <v>20020</v>
      </c>
      <c r="G80" s="2">
        <v>25740</v>
      </c>
      <c r="H80" s="2">
        <v>25740</v>
      </c>
      <c r="I80" s="2"/>
      <c r="J80" s="2"/>
    </row>
    <row r="81" spans="1:10" x14ac:dyDescent="0.25">
      <c r="A81" s="191" t="s">
        <v>406</v>
      </c>
      <c r="B81" s="2">
        <v>22</v>
      </c>
      <c r="C81" s="2">
        <v>1300</v>
      </c>
      <c r="D81" s="2">
        <f>ROUND(B81*C81,0)</f>
        <v>28600</v>
      </c>
      <c r="E81" s="2"/>
      <c r="F81" s="2"/>
      <c r="G81" s="2"/>
      <c r="H81" s="2"/>
      <c r="I81" s="2"/>
      <c r="J81" s="2"/>
    </row>
    <row r="82" spans="1:10" ht="15" x14ac:dyDescent="0.4">
      <c r="A82" s="191" t="s">
        <v>583</v>
      </c>
      <c r="B82" s="2"/>
      <c r="C82" s="2"/>
      <c r="D82" s="11">
        <f>+D81*-0.1</f>
        <v>-2860</v>
      </c>
      <c r="E82" s="2"/>
      <c r="F82" s="2"/>
      <c r="G82" s="2"/>
      <c r="H82" s="2"/>
      <c r="I82" s="2"/>
      <c r="J82" s="2"/>
    </row>
    <row r="83" spans="1:10" x14ac:dyDescent="0.25">
      <c r="B83" s="2"/>
      <c r="C83" s="2"/>
      <c r="D83" s="2">
        <f>SUM(D81:D82)</f>
        <v>25740</v>
      </c>
      <c r="E83" s="2"/>
      <c r="F83" s="2"/>
      <c r="G83" s="2"/>
      <c r="H83" s="2"/>
      <c r="I83" s="2"/>
      <c r="J83" s="2"/>
    </row>
    <row r="84" spans="1:10" x14ac:dyDescent="0.25">
      <c r="D84" s="2"/>
      <c r="E84" s="2"/>
      <c r="F84" s="2"/>
      <c r="G84" s="2"/>
      <c r="H84" s="2"/>
      <c r="I84" s="2"/>
      <c r="J84" s="2"/>
    </row>
    <row r="85" spans="1:10" ht="13.8" x14ac:dyDescent="0.3">
      <c r="A85" s="193" t="s">
        <v>531</v>
      </c>
      <c r="D85" s="2"/>
      <c r="E85" s="2">
        <v>921</v>
      </c>
      <c r="F85" s="2">
        <v>1170</v>
      </c>
      <c r="G85" s="2">
        <v>1170</v>
      </c>
      <c r="H85" s="2">
        <v>1170</v>
      </c>
      <c r="I85" s="2"/>
      <c r="J85" s="2"/>
    </row>
    <row r="86" spans="1:10" ht="12" hidden="1" customHeight="1" x14ac:dyDescent="0.25">
      <c r="A86" s="191" t="s">
        <v>222</v>
      </c>
      <c r="B86" s="2">
        <v>1</v>
      </c>
      <c r="C86" s="2">
        <v>135</v>
      </c>
      <c r="D86" s="2">
        <f>ROUND(B86*C86,0)</f>
        <v>135</v>
      </c>
      <c r="E86" s="2"/>
      <c r="F86" s="2"/>
      <c r="G86" s="2"/>
      <c r="H86" s="2"/>
      <c r="I86" s="2"/>
      <c r="J86" s="2"/>
    </row>
    <row r="87" spans="1:10" hidden="1" x14ac:dyDescent="0.25">
      <c r="A87" s="191" t="s">
        <v>337</v>
      </c>
      <c r="B87" s="2">
        <v>3</v>
      </c>
      <c r="C87" s="2">
        <v>135</v>
      </c>
      <c r="D87" s="2">
        <f>ROUND(B87*C87,0)</f>
        <v>405</v>
      </c>
      <c r="E87" s="2"/>
      <c r="F87" s="2"/>
      <c r="G87" s="2"/>
      <c r="H87" s="2"/>
      <c r="I87" s="2"/>
      <c r="J87" s="2"/>
    </row>
    <row r="88" spans="1:10" ht="15" hidden="1" x14ac:dyDescent="0.4">
      <c r="A88" s="191" t="s">
        <v>307</v>
      </c>
      <c r="B88" s="2">
        <v>18</v>
      </c>
      <c r="C88" s="2">
        <v>35</v>
      </c>
      <c r="D88" s="11">
        <f>ROUND(B88*C88,0)</f>
        <v>630</v>
      </c>
      <c r="E88" s="2"/>
      <c r="F88" s="2"/>
      <c r="G88" s="2"/>
      <c r="H88" s="2"/>
      <c r="I88" s="2"/>
      <c r="J88" s="2"/>
    </row>
    <row r="89" spans="1:10" hidden="1" x14ac:dyDescent="0.25">
      <c r="A89" s="191" t="s">
        <v>1182</v>
      </c>
      <c r="D89" s="2">
        <f>SUM(D86:D88)</f>
        <v>1170</v>
      </c>
      <c r="E89" s="2"/>
      <c r="F89" s="2"/>
      <c r="G89" s="2"/>
      <c r="H89" s="2"/>
      <c r="I89" s="2"/>
      <c r="J89" s="2"/>
    </row>
    <row r="90" spans="1:10" x14ac:dyDescent="0.25">
      <c r="D90" s="2"/>
      <c r="E90" s="2"/>
      <c r="F90" s="2"/>
      <c r="G90" s="2"/>
      <c r="H90" s="2"/>
      <c r="I90" s="2"/>
      <c r="J90" s="2"/>
    </row>
    <row r="91" spans="1:10" ht="13.8" x14ac:dyDescent="0.3">
      <c r="A91" s="193" t="s">
        <v>939</v>
      </c>
      <c r="D91" s="2"/>
      <c r="E91" s="2">
        <v>7194</v>
      </c>
      <c r="F91" s="2">
        <v>9020</v>
      </c>
      <c r="G91" s="2">
        <v>13860</v>
      </c>
      <c r="H91" s="2">
        <v>13860</v>
      </c>
      <c r="I91" s="2"/>
      <c r="J91" s="2"/>
    </row>
    <row r="92" spans="1:10" hidden="1" x14ac:dyDescent="0.25">
      <c r="A92" s="191" t="s">
        <v>222</v>
      </c>
      <c r="B92" s="2">
        <v>1</v>
      </c>
      <c r="C92" s="2">
        <v>630</v>
      </c>
      <c r="D92" s="2">
        <f>ROUND(B92*C92,0)</f>
        <v>630</v>
      </c>
      <c r="E92" s="2"/>
      <c r="F92" s="2"/>
      <c r="G92" s="2"/>
      <c r="H92" s="2"/>
      <c r="I92" s="2"/>
      <c r="J92" s="2"/>
    </row>
    <row r="93" spans="1:10" ht="15" hidden="1" x14ac:dyDescent="0.4">
      <c r="A93" s="191" t="s">
        <v>1348</v>
      </c>
      <c r="B93" s="2">
        <v>21</v>
      </c>
      <c r="C93" s="2">
        <v>630</v>
      </c>
      <c r="D93" s="11">
        <f>ROUND(B93*C93,0)</f>
        <v>13230</v>
      </c>
      <c r="E93" s="2"/>
      <c r="F93" s="2"/>
      <c r="G93" s="2"/>
      <c r="H93" s="2"/>
      <c r="I93" s="2"/>
      <c r="J93" s="2"/>
    </row>
    <row r="94" spans="1:10" hidden="1" x14ac:dyDescent="0.25">
      <c r="A94" s="191" t="s">
        <v>1182</v>
      </c>
      <c r="D94" s="2">
        <f>SUM(D92:D93)</f>
        <v>13860</v>
      </c>
      <c r="E94" s="2"/>
      <c r="F94" s="2"/>
      <c r="G94" s="2"/>
      <c r="H94" s="2"/>
      <c r="I94" s="2"/>
      <c r="J94" s="2"/>
    </row>
    <row r="95" spans="1:10" x14ac:dyDescent="0.25">
      <c r="D95" s="2"/>
      <c r="E95" s="2"/>
      <c r="F95" s="2"/>
      <c r="G95" s="2"/>
      <c r="H95" s="2"/>
      <c r="I95" s="2"/>
      <c r="J95" s="2"/>
    </row>
    <row r="96" spans="1:10" ht="13.8" x14ac:dyDescent="0.3">
      <c r="A96" s="193" t="s">
        <v>940</v>
      </c>
      <c r="D96" s="2"/>
      <c r="E96" s="2">
        <v>24167</v>
      </c>
      <c r="F96" s="2">
        <v>34315</v>
      </c>
      <c r="G96" s="2">
        <v>37260</v>
      </c>
      <c r="H96" s="2">
        <v>37260</v>
      </c>
      <c r="I96" s="2"/>
      <c r="J96" s="2"/>
    </row>
    <row r="97" spans="1:10" hidden="1" x14ac:dyDescent="0.25">
      <c r="A97" s="13" t="s">
        <v>844</v>
      </c>
      <c r="B97" s="2">
        <f>+B67</f>
        <v>40092</v>
      </c>
      <c r="C97" s="14">
        <v>1.6000000000000001E-3</v>
      </c>
      <c r="D97" s="2">
        <f>ROUND(B97*C97,0)-3</f>
        <v>61</v>
      </c>
      <c r="E97" s="2"/>
      <c r="F97" s="2"/>
      <c r="G97" s="2"/>
      <c r="H97" s="2"/>
      <c r="I97" s="2"/>
      <c r="J97" s="2"/>
    </row>
    <row r="98" spans="1:10" hidden="1" x14ac:dyDescent="0.25">
      <c r="A98" s="13" t="s">
        <v>1406</v>
      </c>
      <c r="B98" s="2">
        <f>+D15</f>
        <v>198690.24</v>
      </c>
      <c r="C98" s="14">
        <v>3.4000000000000002E-2</v>
      </c>
      <c r="D98" s="2">
        <f>ROUND(B98*C98,0)-25</f>
        <v>6730</v>
      </c>
      <c r="E98" s="2"/>
      <c r="F98" s="2"/>
      <c r="G98" s="2"/>
      <c r="H98" s="2"/>
      <c r="I98" s="2"/>
      <c r="J98" s="2"/>
    </row>
    <row r="99" spans="1:10" hidden="1" x14ac:dyDescent="0.25">
      <c r="A99" s="13" t="s">
        <v>757</v>
      </c>
      <c r="B99" s="2">
        <f>+D38</f>
        <v>780405</v>
      </c>
      <c r="C99" s="14">
        <v>3.4000000000000002E-2</v>
      </c>
      <c r="D99" s="2">
        <f>ROUND(B99*C99,0)</f>
        <v>26534</v>
      </c>
      <c r="E99" s="2"/>
      <c r="F99" s="2"/>
      <c r="G99" s="2"/>
      <c r="H99" s="2"/>
      <c r="I99" s="2"/>
      <c r="J99" s="2"/>
    </row>
    <row r="100" spans="1:10" hidden="1" x14ac:dyDescent="0.25">
      <c r="A100" s="13" t="s">
        <v>1997</v>
      </c>
      <c r="B100" s="2">
        <f>ROUND(+D45,0)</f>
        <v>30000</v>
      </c>
      <c r="C100" s="14">
        <v>2.7900000000000001E-2</v>
      </c>
      <c r="D100" s="2">
        <f>ROUND(B100*C100,0)</f>
        <v>837</v>
      </c>
      <c r="E100" s="2"/>
      <c r="F100" s="2"/>
      <c r="G100" s="2"/>
      <c r="H100" s="2"/>
      <c r="I100" s="2"/>
      <c r="J100" s="2"/>
    </row>
    <row r="101" spans="1:10" hidden="1" x14ac:dyDescent="0.25">
      <c r="A101" s="13" t="s">
        <v>183</v>
      </c>
      <c r="B101" s="2">
        <f>+D48</f>
        <v>23731</v>
      </c>
      <c r="C101" s="14">
        <v>3.4000000000000002E-2</v>
      </c>
      <c r="D101" s="2">
        <f>ROUND(B101*C101,0)</f>
        <v>807</v>
      </c>
      <c r="E101" s="2"/>
      <c r="F101" s="2"/>
      <c r="G101" s="2"/>
      <c r="H101" s="2"/>
      <c r="I101" s="2"/>
      <c r="J101" s="2"/>
    </row>
    <row r="102" spans="1:10" ht="15" hidden="1" x14ac:dyDescent="0.4">
      <c r="A102" s="13" t="s">
        <v>1998</v>
      </c>
      <c r="B102" s="2">
        <f>ROUND(D55,0)</f>
        <v>81500</v>
      </c>
      <c r="C102" s="14">
        <v>2.7900000000000001E-2</v>
      </c>
      <c r="D102" s="11">
        <f>ROUND(B102*C102,0)+17</f>
        <v>2291</v>
      </c>
      <c r="E102" s="2"/>
      <c r="F102" s="2"/>
      <c r="G102" s="2"/>
      <c r="H102" s="2"/>
      <c r="I102" s="2"/>
      <c r="J102" s="2"/>
    </row>
    <row r="103" spans="1:10" hidden="1" x14ac:dyDescent="0.25">
      <c r="A103" s="191" t="s">
        <v>1182</v>
      </c>
      <c r="D103" s="2">
        <f>SUM(D97:D102)</f>
        <v>37260</v>
      </c>
      <c r="E103" s="2"/>
      <c r="F103" s="2"/>
      <c r="G103" s="2"/>
      <c r="H103" s="2"/>
      <c r="I103" s="2"/>
      <c r="J103" s="2"/>
    </row>
    <row r="104" spans="1:10" x14ac:dyDescent="0.25">
      <c r="D104" s="2"/>
      <c r="E104" s="2"/>
      <c r="F104" s="2"/>
      <c r="G104" s="2"/>
      <c r="H104" s="2"/>
      <c r="I104" s="2"/>
      <c r="J104" s="2"/>
    </row>
    <row r="105" spans="1:10" ht="13.8" x14ac:dyDescent="0.3">
      <c r="A105" s="193" t="s">
        <v>941</v>
      </c>
      <c r="D105" s="2"/>
      <c r="E105" s="2">
        <v>754</v>
      </c>
      <c r="F105" s="2">
        <v>863</v>
      </c>
      <c r="G105" s="2">
        <v>864</v>
      </c>
      <c r="H105" s="2">
        <v>641</v>
      </c>
      <c r="I105" s="2"/>
      <c r="J105" s="2"/>
    </row>
    <row r="106" spans="1:10" hidden="1" x14ac:dyDescent="0.25">
      <c r="A106" s="191" t="s">
        <v>591</v>
      </c>
      <c r="B106" s="2">
        <v>23</v>
      </c>
      <c r="C106" s="2">
        <v>26</v>
      </c>
      <c r="D106" s="2">
        <f>ROUND(B106*C106,0)</f>
        <v>598</v>
      </c>
      <c r="E106" s="2"/>
      <c r="F106" s="2"/>
      <c r="G106" s="2"/>
      <c r="H106" s="2"/>
      <c r="I106" s="2"/>
      <c r="J106" s="2"/>
    </row>
    <row r="107" spans="1:10" ht="15" hidden="1" x14ac:dyDescent="0.4">
      <c r="A107" s="191" t="s">
        <v>1052</v>
      </c>
      <c r="B107" s="2">
        <f>+B62</f>
        <v>23731</v>
      </c>
      <c r="C107" s="87">
        <v>1.8E-3</v>
      </c>
      <c r="D107" s="11">
        <f>ROUND(B107*C107,0)</f>
        <v>43</v>
      </c>
      <c r="E107" s="2"/>
      <c r="F107" s="2"/>
      <c r="G107" s="2"/>
      <c r="H107" s="2"/>
      <c r="I107" s="2"/>
      <c r="J107" s="2"/>
    </row>
    <row r="108" spans="1:10" hidden="1" x14ac:dyDescent="0.25">
      <c r="A108" s="191" t="s">
        <v>1182</v>
      </c>
      <c r="D108" s="2">
        <f>SUM(D106:D107)</f>
        <v>641</v>
      </c>
      <c r="E108" s="2"/>
      <c r="F108" s="2"/>
      <c r="G108" s="2"/>
      <c r="H108" s="2"/>
      <c r="I108" s="2"/>
      <c r="J108" s="2"/>
    </row>
    <row r="109" spans="1:10" x14ac:dyDescent="0.25">
      <c r="D109" s="2"/>
      <c r="E109" s="2"/>
      <c r="F109" s="2"/>
      <c r="G109" s="2"/>
      <c r="H109" s="2"/>
      <c r="I109" s="2"/>
      <c r="J109" s="2"/>
    </row>
    <row r="110" spans="1:10" ht="13.8" x14ac:dyDescent="0.3">
      <c r="A110" s="193" t="s">
        <v>942</v>
      </c>
      <c r="D110" s="2"/>
      <c r="E110" s="2">
        <v>1835</v>
      </c>
      <c r="F110" s="2">
        <v>2200</v>
      </c>
      <c r="G110" s="2">
        <v>2200</v>
      </c>
      <c r="H110" s="2">
        <v>2200</v>
      </c>
      <c r="I110" s="2"/>
      <c r="J110" s="2"/>
    </row>
    <row r="111" spans="1:10" x14ac:dyDescent="0.25">
      <c r="A111" s="191" t="s">
        <v>1680</v>
      </c>
      <c r="C111" s="2"/>
      <c r="D111" s="2">
        <v>2200</v>
      </c>
      <c r="E111" s="2"/>
      <c r="F111" s="2"/>
      <c r="G111" s="2"/>
      <c r="H111" s="2"/>
      <c r="I111" s="2"/>
      <c r="J111" s="2"/>
    </row>
    <row r="112" spans="1:10" x14ac:dyDescent="0.25">
      <c r="A112" s="191" t="s">
        <v>1900</v>
      </c>
      <c r="C112" s="18"/>
      <c r="D112" s="2"/>
      <c r="E112" s="2"/>
      <c r="F112" s="2"/>
      <c r="G112" s="2"/>
      <c r="H112" s="2"/>
      <c r="I112" s="2"/>
      <c r="J112" s="2"/>
    </row>
    <row r="113" spans="1:10" x14ac:dyDescent="0.25">
      <c r="A113" s="191" t="s">
        <v>386</v>
      </c>
      <c r="C113" s="2"/>
      <c r="D113" s="2" t="s">
        <v>386</v>
      </c>
      <c r="E113" s="2"/>
      <c r="F113" s="2"/>
      <c r="G113" s="2"/>
      <c r="H113" s="2"/>
      <c r="I113" s="2"/>
      <c r="J113" s="2"/>
    </row>
    <row r="114" spans="1:10" ht="13.8" x14ac:dyDescent="0.3">
      <c r="A114" s="193" t="s">
        <v>956</v>
      </c>
      <c r="C114" s="18"/>
      <c r="D114" s="2"/>
      <c r="E114" s="2">
        <v>1457</v>
      </c>
      <c r="F114" s="2">
        <v>1200</v>
      </c>
      <c r="G114" s="2">
        <v>1400</v>
      </c>
      <c r="H114" s="2">
        <v>1400</v>
      </c>
      <c r="I114" s="2"/>
      <c r="J114" s="2"/>
    </row>
    <row r="115" spans="1:10" x14ac:dyDescent="0.25">
      <c r="A115" s="191" t="s">
        <v>598</v>
      </c>
      <c r="C115" s="2"/>
      <c r="D115" s="2">
        <v>1400</v>
      </c>
      <c r="E115" s="2"/>
      <c r="F115" s="2"/>
      <c r="G115" s="2"/>
      <c r="H115" s="2"/>
      <c r="I115" s="2"/>
      <c r="J115" s="2"/>
    </row>
    <row r="116" spans="1:10" x14ac:dyDescent="0.25">
      <c r="C116" s="18"/>
      <c r="D116" s="2"/>
      <c r="E116" s="2"/>
      <c r="F116" s="2"/>
      <c r="G116" s="2"/>
      <c r="H116" s="2"/>
      <c r="I116" s="2"/>
      <c r="J116" s="2"/>
    </row>
    <row r="117" spans="1:10" ht="13.8" x14ac:dyDescent="0.3">
      <c r="A117" s="193" t="s">
        <v>957</v>
      </c>
      <c r="C117" s="2"/>
      <c r="D117" s="2"/>
      <c r="E117" s="2">
        <v>6751</v>
      </c>
      <c r="F117" s="2">
        <v>9700</v>
      </c>
      <c r="G117" s="2">
        <v>8500</v>
      </c>
      <c r="H117" s="2">
        <v>8500</v>
      </c>
      <c r="I117" s="2"/>
      <c r="J117" s="2"/>
    </row>
    <row r="118" spans="1:10" x14ac:dyDescent="0.25">
      <c r="A118" s="6" t="s">
        <v>958</v>
      </c>
      <c r="B118" s="6"/>
      <c r="C118" s="18"/>
      <c r="D118" s="2">
        <v>5500</v>
      </c>
      <c r="E118" s="2"/>
      <c r="F118" s="2"/>
      <c r="G118" s="2"/>
      <c r="H118" s="2"/>
      <c r="I118" s="2"/>
      <c r="J118" s="2"/>
    </row>
    <row r="119" spans="1:10" x14ac:dyDescent="0.25">
      <c r="A119" s="191" t="s">
        <v>1681</v>
      </c>
      <c r="C119" s="2"/>
      <c r="D119" s="2"/>
      <c r="E119" s="2"/>
      <c r="F119" s="2"/>
      <c r="G119" s="2"/>
      <c r="H119" s="2"/>
      <c r="I119" s="2"/>
      <c r="J119" s="2"/>
    </row>
    <row r="120" spans="1:10" x14ac:dyDescent="0.25">
      <c r="A120" s="25" t="s">
        <v>67</v>
      </c>
      <c r="B120" s="25"/>
      <c r="C120" s="26"/>
      <c r="D120" s="50">
        <v>3000</v>
      </c>
      <c r="E120" s="2"/>
      <c r="F120" s="2"/>
      <c r="G120" s="2"/>
      <c r="H120" s="2"/>
      <c r="I120" s="2"/>
      <c r="J120" s="2"/>
    </row>
    <row r="121" spans="1:10" x14ac:dyDescent="0.25">
      <c r="A121" s="25" t="s">
        <v>1182</v>
      </c>
      <c r="B121" s="25"/>
      <c r="C121" s="26"/>
      <c r="D121" s="26">
        <f>SUM(D118:D120)</f>
        <v>8500</v>
      </c>
      <c r="E121" s="2"/>
      <c r="F121" s="2"/>
      <c r="G121" s="2"/>
      <c r="H121" s="2"/>
      <c r="I121" s="2"/>
      <c r="J121" s="2"/>
    </row>
    <row r="122" spans="1:10" x14ac:dyDescent="0.25">
      <c r="A122" s="25"/>
      <c r="B122" s="25"/>
      <c r="C122" s="26"/>
      <c r="D122" s="26"/>
      <c r="E122" s="2"/>
      <c r="F122" s="2"/>
      <c r="G122" s="2"/>
      <c r="H122" s="2"/>
      <c r="I122" s="2"/>
      <c r="J122" s="2"/>
    </row>
    <row r="123" spans="1:10" ht="13.8" x14ac:dyDescent="0.3">
      <c r="A123" s="193" t="s">
        <v>959</v>
      </c>
      <c r="C123" s="2"/>
      <c r="D123" s="2"/>
      <c r="E123" s="2">
        <v>11495</v>
      </c>
      <c r="F123" s="2">
        <v>9780</v>
      </c>
      <c r="G123" s="2">
        <v>10380</v>
      </c>
      <c r="H123" s="2">
        <v>10380</v>
      </c>
      <c r="I123" s="2"/>
      <c r="J123" s="2"/>
    </row>
    <row r="124" spans="1:10" x14ac:dyDescent="0.25">
      <c r="A124" s="191" t="s">
        <v>635</v>
      </c>
      <c r="B124" s="2">
        <v>18</v>
      </c>
      <c r="C124" s="2">
        <v>200</v>
      </c>
      <c r="D124" s="2">
        <f t="shared" ref="D124:D131" si="2">ROUND(B124*C124,0)</f>
        <v>3600</v>
      </c>
      <c r="E124" s="2"/>
      <c r="F124" s="2"/>
      <c r="G124" s="2"/>
      <c r="H124" s="2"/>
      <c r="I124" s="2"/>
      <c r="J124" s="2"/>
    </row>
    <row r="125" spans="1:10" x14ac:dyDescent="0.25">
      <c r="A125" s="191" t="s">
        <v>878</v>
      </c>
      <c r="B125" s="2">
        <v>18</v>
      </c>
      <c r="C125" s="2">
        <v>203</v>
      </c>
      <c r="D125" s="2">
        <f t="shared" si="2"/>
        <v>3654</v>
      </c>
      <c r="E125" s="2"/>
      <c r="F125" s="2"/>
      <c r="G125" s="2"/>
      <c r="H125" s="2"/>
      <c r="I125" s="2"/>
      <c r="J125" s="2"/>
    </row>
    <row r="126" spans="1:10" x14ac:dyDescent="0.25">
      <c r="A126" s="191" t="s">
        <v>1006</v>
      </c>
      <c r="B126" s="2">
        <v>2</v>
      </c>
      <c r="C126" s="2">
        <v>130</v>
      </c>
      <c r="D126" s="2">
        <f t="shared" si="2"/>
        <v>260</v>
      </c>
      <c r="E126" s="2"/>
      <c r="F126" s="2"/>
      <c r="G126" s="2"/>
      <c r="H126" s="2"/>
      <c r="I126" s="2"/>
      <c r="J126" s="2"/>
    </row>
    <row r="127" spans="1:10" x14ac:dyDescent="0.25">
      <c r="A127" s="191" t="s">
        <v>1007</v>
      </c>
      <c r="B127" s="2">
        <v>2</v>
      </c>
      <c r="C127" s="2">
        <v>203</v>
      </c>
      <c r="D127" s="2">
        <f t="shared" si="2"/>
        <v>406</v>
      </c>
      <c r="E127" s="2"/>
      <c r="F127" s="2"/>
      <c r="G127" s="2"/>
      <c r="H127" s="2"/>
      <c r="I127" s="2"/>
      <c r="J127" s="2"/>
    </row>
    <row r="128" spans="1:10" x14ac:dyDescent="0.25">
      <c r="A128" s="191" t="s">
        <v>1008</v>
      </c>
      <c r="B128" s="2">
        <v>1</v>
      </c>
      <c r="C128" s="2">
        <v>225</v>
      </c>
      <c r="D128" s="2">
        <f t="shared" si="2"/>
        <v>225</v>
      </c>
      <c r="E128" s="2"/>
      <c r="F128" s="2"/>
      <c r="G128" s="2"/>
      <c r="H128" s="2"/>
      <c r="I128" s="2"/>
      <c r="J128" s="2"/>
    </row>
    <row r="129" spans="1:10" x14ac:dyDescent="0.25">
      <c r="A129" s="191" t="s">
        <v>1682</v>
      </c>
      <c r="B129" s="2">
        <v>1</v>
      </c>
      <c r="C129" s="2">
        <v>255</v>
      </c>
      <c r="D129" s="2">
        <f t="shared" si="2"/>
        <v>255</v>
      </c>
      <c r="E129" s="2"/>
      <c r="F129" s="2"/>
      <c r="G129" s="2"/>
      <c r="H129" s="2"/>
      <c r="I129" s="2"/>
      <c r="J129" s="2"/>
    </row>
    <row r="130" spans="1:10" x14ac:dyDescent="0.25">
      <c r="A130" s="191" t="s">
        <v>2124</v>
      </c>
      <c r="B130" s="2">
        <v>4</v>
      </c>
      <c r="C130" s="2">
        <v>150</v>
      </c>
      <c r="D130" s="2">
        <v>600</v>
      </c>
      <c r="E130" s="2"/>
      <c r="F130" s="2"/>
      <c r="G130" s="2"/>
      <c r="H130" s="2"/>
      <c r="I130" s="2"/>
      <c r="J130" s="2"/>
    </row>
    <row r="131" spans="1:10" ht="15" x14ac:dyDescent="0.4">
      <c r="A131" s="191" t="s">
        <v>1009</v>
      </c>
      <c r="B131" s="2">
        <v>23</v>
      </c>
      <c r="C131" s="11">
        <v>60</v>
      </c>
      <c r="D131" s="11">
        <f t="shared" si="2"/>
        <v>1380</v>
      </c>
      <c r="E131" s="2"/>
      <c r="F131" s="2"/>
      <c r="G131" s="2"/>
      <c r="H131" s="2"/>
      <c r="I131" s="2"/>
      <c r="J131" s="2"/>
    </row>
    <row r="132" spans="1:10" x14ac:dyDescent="0.25">
      <c r="A132" s="191" t="s">
        <v>1182</v>
      </c>
      <c r="C132" s="2"/>
      <c r="D132" s="2">
        <f>SUM(D124:D131)</f>
        <v>10380</v>
      </c>
      <c r="E132" s="2"/>
      <c r="F132" s="2"/>
      <c r="G132" s="2"/>
      <c r="H132" s="2"/>
      <c r="I132" s="2"/>
      <c r="J132" s="2"/>
    </row>
    <row r="133" spans="1:10" x14ac:dyDescent="0.25">
      <c r="C133" s="2"/>
      <c r="D133" s="2"/>
      <c r="E133" s="2"/>
      <c r="F133" s="2"/>
      <c r="G133" s="2"/>
      <c r="H133" s="2"/>
      <c r="I133" s="2"/>
      <c r="J133" s="2"/>
    </row>
    <row r="134" spans="1:10" ht="13.8" x14ac:dyDescent="0.3">
      <c r="A134" s="193" t="s">
        <v>1021</v>
      </c>
      <c r="C134" s="2"/>
      <c r="D134" s="2"/>
      <c r="E134" s="2">
        <v>194</v>
      </c>
      <c r="F134" s="2">
        <v>1000</v>
      </c>
      <c r="G134" s="2">
        <v>1000</v>
      </c>
      <c r="H134" s="2">
        <v>1000</v>
      </c>
      <c r="I134" s="2"/>
      <c r="J134" s="2"/>
    </row>
    <row r="135" spans="1:10" x14ac:dyDescent="0.25">
      <c r="A135" s="23" t="s">
        <v>1268</v>
      </c>
      <c r="C135" s="2"/>
      <c r="D135" s="2">
        <v>1000</v>
      </c>
      <c r="E135" s="2"/>
      <c r="F135" s="2"/>
      <c r="G135" s="2"/>
      <c r="H135" s="2"/>
      <c r="I135" s="2"/>
      <c r="J135" s="2"/>
    </row>
    <row r="136" spans="1:10" x14ac:dyDescent="0.25">
      <c r="C136" s="18"/>
      <c r="D136" s="2"/>
      <c r="E136" s="2"/>
      <c r="F136" s="2"/>
      <c r="G136" s="2"/>
      <c r="H136" s="2"/>
      <c r="I136" s="2"/>
      <c r="J136" s="2"/>
    </row>
    <row r="137" spans="1:10" ht="13.8" x14ac:dyDescent="0.3">
      <c r="A137" s="193" t="s">
        <v>1269</v>
      </c>
      <c r="C137" s="2"/>
      <c r="D137" s="2"/>
      <c r="E137" s="2">
        <v>35</v>
      </c>
      <c r="F137" s="2">
        <v>100</v>
      </c>
      <c r="G137" s="2">
        <v>500</v>
      </c>
      <c r="H137" s="2">
        <v>500</v>
      </c>
      <c r="I137" s="2"/>
      <c r="J137" s="2"/>
    </row>
    <row r="138" spans="1:10" x14ac:dyDescent="0.25">
      <c r="A138" s="191" t="s">
        <v>2125</v>
      </c>
      <c r="C138" s="2"/>
      <c r="D138" s="2">
        <v>500</v>
      </c>
      <c r="E138" s="2"/>
      <c r="F138" s="2"/>
      <c r="G138" s="2"/>
      <c r="H138" s="2"/>
      <c r="I138" s="2"/>
      <c r="J138" s="2"/>
    </row>
    <row r="139" spans="1:10" x14ac:dyDescent="0.25">
      <c r="C139" s="2"/>
      <c r="D139" s="2"/>
      <c r="E139" s="2"/>
      <c r="F139" s="2"/>
      <c r="G139" s="2"/>
      <c r="H139" s="2"/>
      <c r="I139" s="2"/>
      <c r="J139" s="2"/>
    </row>
    <row r="140" spans="1:10" ht="13.8" x14ac:dyDescent="0.3">
      <c r="A140" s="193" t="s">
        <v>1470</v>
      </c>
      <c r="C140" s="2"/>
      <c r="D140" s="2"/>
      <c r="E140" s="2">
        <v>40</v>
      </c>
      <c r="F140" s="2">
        <v>50</v>
      </c>
      <c r="G140" s="2">
        <v>50</v>
      </c>
      <c r="H140" s="2">
        <v>50</v>
      </c>
      <c r="I140" s="2"/>
      <c r="J140" s="2"/>
    </row>
    <row r="141" spans="1:10" ht="13.8" x14ac:dyDescent="0.3">
      <c r="A141" s="193"/>
      <c r="C141" s="18"/>
      <c r="D141" s="2">
        <v>50</v>
      </c>
      <c r="E141" s="2"/>
      <c r="F141" s="2"/>
      <c r="G141" s="2"/>
      <c r="H141" s="2"/>
      <c r="I141" s="2"/>
      <c r="J141" s="2"/>
    </row>
    <row r="142" spans="1:10" x14ac:dyDescent="0.25">
      <c r="C142" s="2"/>
      <c r="D142" s="2"/>
      <c r="E142" s="2"/>
      <c r="F142" s="2"/>
      <c r="G142" s="2"/>
      <c r="H142" s="2"/>
      <c r="I142" s="2"/>
      <c r="J142" s="2"/>
    </row>
    <row r="143" spans="1:10" ht="13.8" x14ac:dyDescent="0.3">
      <c r="A143" s="193" t="s">
        <v>1270</v>
      </c>
      <c r="C143" s="2"/>
      <c r="D143" s="2"/>
      <c r="E143" s="2">
        <v>13300</v>
      </c>
      <c r="F143" s="2">
        <v>13100</v>
      </c>
      <c r="G143" s="2">
        <v>13925</v>
      </c>
      <c r="H143" s="2">
        <v>13925</v>
      </c>
      <c r="I143" s="2"/>
      <c r="J143" s="2"/>
    </row>
    <row r="144" spans="1:10" x14ac:dyDescent="0.25">
      <c r="A144" s="191" t="s">
        <v>166</v>
      </c>
      <c r="B144" s="2"/>
      <c r="C144" s="2"/>
      <c r="D144" s="2">
        <v>13300</v>
      </c>
      <c r="E144" s="2"/>
      <c r="F144" s="2"/>
      <c r="G144" s="2"/>
      <c r="H144" s="2"/>
      <c r="I144" s="2"/>
      <c r="J144" s="2"/>
    </row>
    <row r="145" spans="1:10" x14ac:dyDescent="0.25">
      <c r="A145" s="191" t="s">
        <v>1196</v>
      </c>
      <c r="B145" s="2"/>
      <c r="C145" s="2"/>
      <c r="D145" s="18">
        <v>625</v>
      </c>
      <c r="E145" s="2"/>
      <c r="F145" s="2"/>
      <c r="G145" s="2"/>
      <c r="H145" s="2"/>
      <c r="I145" s="2"/>
      <c r="J145" s="2"/>
    </row>
    <row r="146" spans="1:10" x14ac:dyDescent="0.25">
      <c r="A146" s="191" t="s">
        <v>1182</v>
      </c>
      <c r="B146" s="2"/>
      <c r="C146" s="2"/>
      <c r="D146" s="2">
        <f>SUM(D144:D145)</f>
        <v>13925</v>
      </c>
      <c r="E146" s="2"/>
      <c r="F146" s="2"/>
      <c r="G146" s="2"/>
      <c r="H146" s="2"/>
      <c r="I146" s="2"/>
      <c r="J146" s="2"/>
    </row>
    <row r="147" spans="1:10" x14ac:dyDescent="0.25">
      <c r="B147" s="2"/>
      <c r="C147" s="2"/>
      <c r="D147" s="2"/>
      <c r="E147" s="2"/>
      <c r="F147" s="2"/>
      <c r="G147" s="2"/>
      <c r="H147" s="2"/>
      <c r="I147" s="2"/>
      <c r="J147" s="2"/>
    </row>
    <row r="148" spans="1:10" ht="13.8" x14ac:dyDescent="0.3">
      <c r="A148" s="193" t="s">
        <v>586</v>
      </c>
      <c r="B148" s="2"/>
      <c r="C148" s="18"/>
      <c r="D148" s="2"/>
      <c r="E148" s="2">
        <v>8858</v>
      </c>
      <c r="F148" s="2">
        <v>10500</v>
      </c>
      <c r="G148" s="2">
        <v>8800</v>
      </c>
      <c r="H148" s="2">
        <v>8800</v>
      </c>
      <c r="I148" s="2"/>
      <c r="J148" s="2"/>
    </row>
    <row r="149" spans="1:10" x14ac:dyDescent="0.25">
      <c r="A149" s="191" t="s">
        <v>166</v>
      </c>
      <c r="B149" s="2"/>
      <c r="C149" s="12"/>
      <c r="D149" s="2">
        <v>8800</v>
      </c>
      <c r="E149" s="2"/>
      <c r="F149" s="2"/>
      <c r="G149" s="2"/>
      <c r="H149" s="2"/>
      <c r="I149" s="2"/>
      <c r="J149" s="2"/>
    </row>
    <row r="150" spans="1:10" x14ac:dyDescent="0.25">
      <c r="B150" s="2"/>
      <c r="C150" s="12"/>
      <c r="D150" s="2"/>
      <c r="E150" s="2"/>
      <c r="F150" s="2"/>
      <c r="G150" s="2"/>
      <c r="H150" s="2"/>
      <c r="I150" s="2"/>
      <c r="J150" s="2"/>
    </row>
    <row r="151" spans="1:10" x14ac:dyDescent="0.25">
      <c r="B151" s="2"/>
      <c r="C151" s="2"/>
      <c r="D151" s="2"/>
      <c r="E151" s="2"/>
      <c r="F151" s="2"/>
      <c r="G151" s="2"/>
      <c r="H151" s="2"/>
      <c r="I151" s="2"/>
      <c r="J151" s="2"/>
    </row>
    <row r="152" spans="1:10" ht="13.8" x14ac:dyDescent="0.3">
      <c r="A152" s="193" t="s">
        <v>1439</v>
      </c>
      <c r="B152" s="2"/>
      <c r="C152" s="2"/>
      <c r="D152" s="2"/>
      <c r="E152" s="2">
        <v>853</v>
      </c>
      <c r="F152" s="2">
        <v>875</v>
      </c>
      <c r="G152" s="2">
        <v>905</v>
      </c>
      <c r="H152" s="2">
        <v>905</v>
      </c>
      <c r="I152" s="2"/>
      <c r="J152" s="2"/>
    </row>
    <row r="153" spans="1:10" x14ac:dyDescent="0.25">
      <c r="A153" s="191" t="s">
        <v>889</v>
      </c>
      <c r="B153" s="2"/>
      <c r="C153" s="2"/>
      <c r="D153" s="2">
        <v>905</v>
      </c>
      <c r="E153" s="2"/>
      <c r="F153" s="2"/>
      <c r="G153" s="2"/>
      <c r="H153" s="2"/>
      <c r="I153" s="2"/>
      <c r="J153" s="2"/>
    </row>
    <row r="154" spans="1:10" x14ac:dyDescent="0.25">
      <c r="B154" s="2"/>
      <c r="C154" s="2"/>
      <c r="D154" s="2"/>
      <c r="E154" s="2"/>
      <c r="F154" s="2"/>
      <c r="G154" s="2"/>
      <c r="H154" s="2"/>
      <c r="I154" s="2"/>
      <c r="J154" s="2"/>
    </row>
    <row r="155" spans="1:10" ht="13.8" x14ac:dyDescent="0.3">
      <c r="A155" s="193" t="s">
        <v>167</v>
      </c>
      <c r="B155" s="2"/>
      <c r="C155" s="2"/>
      <c r="D155" s="2"/>
      <c r="E155" s="2">
        <v>226</v>
      </c>
      <c r="F155" s="2">
        <v>242</v>
      </c>
      <c r="G155" s="2">
        <v>242</v>
      </c>
      <c r="H155" s="2">
        <v>242</v>
      </c>
      <c r="I155" s="2"/>
      <c r="J155" s="2"/>
    </row>
    <row r="156" spans="1:10" x14ac:dyDescent="0.25">
      <c r="A156" s="191" t="s">
        <v>889</v>
      </c>
      <c r="B156" s="2"/>
      <c r="C156" s="2"/>
      <c r="D156" s="2">
        <v>242</v>
      </c>
      <c r="E156" s="2"/>
      <c r="F156" s="2"/>
      <c r="G156" s="2"/>
      <c r="H156" s="2"/>
      <c r="I156" s="2"/>
      <c r="J156" s="2"/>
    </row>
    <row r="157" spans="1:10" x14ac:dyDescent="0.25">
      <c r="C157" s="2"/>
      <c r="D157" s="2"/>
      <c r="E157" s="2"/>
      <c r="F157" s="2"/>
      <c r="G157" s="2"/>
      <c r="H157" s="2"/>
      <c r="I157" s="2"/>
      <c r="J157" s="2"/>
    </row>
    <row r="158" spans="1:10" ht="13.8" x14ac:dyDescent="0.3">
      <c r="A158" s="193" t="s">
        <v>1440</v>
      </c>
      <c r="C158" s="2"/>
      <c r="D158" s="2"/>
      <c r="E158" s="2">
        <v>71147</v>
      </c>
      <c r="F158" s="2">
        <v>92875</v>
      </c>
      <c r="G158" s="2">
        <v>93084</v>
      </c>
      <c r="H158" s="2">
        <v>93084</v>
      </c>
      <c r="I158" s="2"/>
      <c r="J158" s="2"/>
    </row>
    <row r="159" spans="1:10" x14ac:dyDescent="0.25">
      <c r="A159" s="191" t="s">
        <v>1219</v>
      </c>
      <c r="B159" s="2">
        <v>8640</v>
      </c>
      <c r="C159" s="12">
        <v>2.5</v>
      </c>
      <c r="D159" s="2">
        <f>ROUND(B159*C159,0)</f>
        <v>21600</v>
      </c>
      <c r="E159" s="2"/>
      <c r="F159" s="2"/>
      <c r="G159" s="2"/>
      <c r="H159" s="2"/>
      <c r="I159" s="2"/>
      <c r="J159" s="2"/>
    </row>
    <row r="160" spans="1:10" ht="15" x14ac:dyDescent="0.4">
      <c r="A160" s="191" t="s">
        <v>1218</v>
      </c>
      <c r="B160" s="2">
        <v>25530</v>
      </c>
      <c r="C160" s="12">
        <v>2.8</v>
      </c>
      <c r="D160" s="11">
        <f>ROUND(B160*C160,0)</f>
        <v>71484</v>
      </c>
      <c r="E160" s="2"/>
      <c r="F160" s="2"/>
      <c r="G160" s="2"/>
      <c r="H160" s="2"/>
      <c r="I160" s="2"/>
      <c r="J160" s="2"/>
    </row>
    <row r="161" spans="1:10" x14ac:dyDescent="0.25">
      <c r="A161" s="191" t="s">
        <v>1182</v>
      </c>
      <c r="B161" s="2"/>
      <c r="C161" s="2"/>
      <c r="D161" s="2">
        <f>SUM(D159:D160)</f>
        <v>93084</v>
      </c>
      <c r="E161" s="2"/>
      <c r="F161" s="2"/>
      <c r="G161" s="2"/>
      <c r="H161" s="2"/>
      <c r="I161" s="2"/>
      <c r="J161" s="2"/>
    </row>
    <row r="162" spans="1:10" x14ac:dyDescent="0.25">
      <c r="B162" s="2"/>
      <c r="C162" s="2"/>
      <c r="D162" s="2"/>
      <c r="E162" s="2"/>
      <c r="F162" s="2"/>
      <c r="G162" s="2"/>
      <c r="H162" s="2"/>
      <c r="I162" s="2"/>
      <c r="J162" s="2"/>
    </row>
    <row r="163" spans="1:10" ht="13.8" x14ac:dyDescent="0.3">
      <c r="A163" s="193" t="s">
        <v>1441</v>
      </c>
      <c r="B163" s="2"/>
      <c r="C163" s="2"/>
      <c r="D163" s="2"/>
      <c r="E163" s="2">
        <v>5521</v>
      </c>
      <c r="F163" s="2">
        <v>6327</v>
      </c>
      <c r="G163" s="2">
        <v>6227</v>
      </c>
      <c r="H163" s="2">
        <v>6227</v>
      </c>
      <c r="I163" s="2"/>
      <c r="J163" s="2"/>
    </row>
    <row r="164" spans="1:10" x14ac:dyDescent="0.25">
      <c r="A164" s="191" t="s">
        <v>897</v>
      </c>
      <c r="B164" s="2"/>
      <c r="C164" s="2"/>
      <c r="D164" s="2">
        <v>1775</v>
      </c>
      <c r="E164" s="2"/>
      <c r="F164" s="2"/>
      <c r="G164" s="2"/>
      <c r="H164" s="2"/>
      <c r="I164" s="2"/>
      <c r="J164" s="2"/>
    </row>
    <row r="165" spans="1:10" x14ac:dyDescent="0.25">
      <c r="A165" s="191" t="s">
        <v>1197</v>
      </c>
      <c r="B165" s="2">
        <v>3</v>
      </c>
      <c r="C165" s="2"/>
      <c r="D165" s="2">
        <v>2760</v>
      </c>
      <c r="E165" s="2"/>
      <c r="F165" s="2"/>
      <c r="G165" s="2"/>
      <c r="H165" s="2"/>
      <c r="I165" s="2"/>
      <c r="J165" s="2"/>
    </row>
    <row r="166" spans="1:10" ht="15" x14ac:dyDescent="0.4">
      <c r="A166" s="191" t="s">
        <v>599</v>
      </c>
      <c r="B166" s="2">
        <v>12</v>
      </c>
      <c r="C166" s="2">
        <v>141</v>
      </c>
      <c r="D166" s="11">
        <f>B166*C166</f>
        <v>1692</v>
      </c>
      <c r="E166" s="2"/>
      <c r="F166" s="2"/>
      <c r="G166" s="2"/>
      <c r="H166" s="2"/>
      <c r="I166" s="2"/>
      <c r="J166" s="2"/>
    </row>
    <row r="167" spans="1:10" x14ac:dyDescent="0.25">
      <c r="B167" s="2"/>
      <c r="C167" s="2"/>
      <c r="D167" s="2">
        <f>SUM(D164:D166)</f>
        <v>6227</v>
      </c>
      <c r="E167" s="2"/>
      <c r="F167" s="2"/>
      <c r="G167" s="2"/>
      <c r="H167" s="2"/>
      <c r="I167" s="2"/>
      <c r="J167" s="2"/>
    </row>
    <row r="168" spans="1:10" x14ac:dyDescent="0.25">
      <c r="C168" s="18"/>
      <c r="D168" s="2"/>
      <c r="E168" s="2"/>
      <c r="F168" s="2"/>
      <c r="G168" s="2"/>
      <c r="H168" s="2"/>
      <c r="I168" s="2"/>
      <c r="J168" s="2"/>
    </row>
    <row r="169" spans="1:10" ht="13.8" x14ac:dyDescent="0.3">
      <c r="A169" s="193" t="s">
        <v>487</v>
      </c>
      <c r="C169" s="2"/>
      <c r="D169" s="2"/>
      <c r="E169" s="2">
        <v>160</v>
      </c>
      <c r="F169" s="2">
        <v>450</v>
      </c>
      <c r="G169" s="2">
        <v>450</v>
      </c>
      <c r="H169" s="2">
        <v>450</v>
      </c>
      <c r="I169" s="2"/>
      <c r="J169" s="2"/>
    </row>
    <row r="170" spans="1:10" x14ac:dyDescent="0.25">
      <c r="A170" s="191" t="s">
        <v>2126</v>
      </c>
      <c r="B170" s="2" t="s">
        <v>386</v>
      </c>
      <c r="C170" s="2"/>
      <c r="D170" s="2">
        <v>450</v>
      </c>
      <c r="E170" s="2"/>
      <c r="F170" s="2"/>
      <c r="G170" s="2"/>
      <c r="H170" s="2"/>
      <c r="I170" s="2"/>
      <c r="J170" s="2"/>
    </row>
    <row r="171" spans="1:10" x14ac:dyDescent="0.25">
      <c r="C171" s="2"/>
      <c r="D171" s="2"/>
      <c r="E171" s="2"/>
      <c r="F171" s="2"/>
      <c r="G171" s="2"/>
      <c r="H171" s="2"/>
      <c r="I171" s="2"/>
      <c r="J171" s="2"/>
    </row>
    <row r="172" spans="1:10" ht="13.8" x14ac:dyDescent="0.3">
      <c r="A172" s="17" t="s">
        <v>1365</v>
      </c>
      <c r="C172" s="2"/>
      <c r="D172" s="2"/>
      <c r="E172" s="2">
        <v>30393</v>
      </c>
      <c r="F172" s="2">
        <v>16482</v>
      </c>
      <c r="G172" s="2">
        <v>33430</v>
      </c>
      <c r="H172" s="2">
        <v>33430</v>
      </c>
      <c r="I172" s="2"/>
      <c r="J172" s="2"/>
    </row>
    <row r="173" spans="1:10" x14ac:dyDescent="0.25">
      <c r="A173" s="191" t="s">
        <v>1640</v>
      </c>
      <c r="C173" s="2"/>
      <c r="D173" s="2">
        <v>33430</v>
      </c>
      <c r="E173" s="2"/>
      <c r="F173" s="2"/>
      <c r="G173" s="2"/>
      <c r="H173" s="2"/>
      <c r="I173" s="2"/>
      <c r="J173" s="2"/>
    </row>
    <row r="174" spans="1:10" x14ac:dyDescent="0.25">
      <c r="C174" s="2"/>
      <c r="D174" s="2"/>
      <c r="E174" s="2"/>
      <c r="F174" s="2"/>
      <c r="G174" s="2"/>
      <c r="H174" s="2"/>
      <c r="I174" s="2"/>
      <c r="J174" s="2"/>
    </row>
    <row r="175" spans="1:10" ht="13.8" x14ac:dyDescent="0.3">
      <c r="A175" s="193" t="s">
        <v>1366</v>
      </c>
      <c r="C175" s="2"/>
      <c r="D175" s="2"/>
      <c r="E175" s="2">
        <v>73</v>
      </c>
      <c r="F175" s="2">
        <v>500</v>
      </c>
      <c r="G175" s="2">
        <v>500</v>
      </c>
      <c r="H175" s="2">
        <v>500</v>
      </c>
      <c r="I175" s="2"/>
      <c r="J175" s="2"/>
    </row>
    <row r="176" spans="1:10" x14ac:dyDescent="0.25">
      <c r="A176" s="191" t="s">
        <v>1683</v>
      </c>
      <c r="C176" s="2"/>
      <c r="D176" s="2">
        <v>500</v>
      </c>
      <c r="E176" s="2"/>
      <c r="F176" s="2"/>
      <c r="G176" s="2"/>
      <c r="H176" s="2"/>
      <c r="I176" s="2"/>
      <c r="J176" s="2"/>
    </row>
    <row r="177" spans="1:10" x14ac:dyDescent="0.25">
      <c r="C177" s="2"/>
      <c r="D177" s="2"/>
      <c r="E177" s="2"/>
      <c r="F177" s="2"/>
      <c r="G177" s="2"/>
      <c r="H177" s="2"/>
      <c r="I177" s="2"/>
      <c r="J177" s="2"/>
    </row>
    <row r="178" spans="1:10" ht="13.8" x14ac:dyDescent="0.3">
      <c r="A178" s="193" t="s">
        <v>286</v>
      </c>
      <c r="C178" s="2"/>
      <c r="D178" s="8" t="s">
        <v>386</v>
      </c>
      <c r="E178" s="2">
        <v>12706</v>
      </c>
      <c r="F178" s="2">
        <v>20500</v>
      </c>
      <c r="G178" s="2">
        <v>7000</v>
      </c>
      <c r="H178" s="2">
        <v>7000</v>
      </c>
      <c r="I178" s="2"/>
      <c r="J178" s="2"/>
    </row>
    <row r="179" spans="1:10" x14ac:dyDescent="0.25">
      <c r="A179" s="191" t="s">
        <v>287</v>
      </c>
      <c r="C179" s="2"/>
      <c r="D179" s="2"/>
      <c r="E179" s="2"/>
      <c r="F179" s="2"/>
      <c r="G179" s="2"/>
      <c r="H179" s="2"/>
      <c r="I179" s="2"/>
      <c r="J179" s="2"/>
    </row>
    <row r="180" spans="1:10" x14ac:dyDescent="0.25">
      <c r="A180" s="191" t="s">
        <v>1684</v>
      </c>
      <c r="C180" s="2"/>
      <c r="D180" s="2">
        <v>5000</v>
      </c>
      <c r="E180" s="2"/>
      <c r="F180" s="2"/>
      <c r="G180" s="2"/>
      <c r="H180" s="2"/>
    </row>
    <row r="181" spans="1:10" x14ac:dyDescent="0.25">
      <c r="A181" s="25" t="s">
        <v>1901</v>
      </c>
      <c r="B181" s="25"/>
      <c r="C181" s="26"/>
      <c r="D181" s="50">
        <v>2000</v>
      </c>
      <c r="E181" s="2"/>
    </row>
    <row r="182" spans="1:10" x14ac:dyDescent="0.25">
      <c r="A182" s="191" t="s">
        <v>1182</v>
      </c>
      <c r="B182" s="25"/>
      <c r="C182" s="26"/>
      <c r="D182" s="26">
        <f>SUM(D180:D181)</f>
        <v>7000</v>
      </c>
      <c r="E182" s="2"/>
    </row>
    <row r="183" spans="1:10" x14ac:dyDescent="0.25">
      <c r="A183" s="25"/>
      <c r="B183" s="25"/>
      <c r="C183" s="26"/>
      <c r="D183" s="26"/>
      <c r="E183" s="2"/>
      <c r="I183" s="2"/>
      <c r="J183" s="2"/>
    </row>
    <row r="184" spans="1:10" ht="13.8" x14ac:dyDescent="0.3">
      <c r="A184" s="193" t="s">
        <v>1389</v>
      </c>
      <c r="C184" s="2"/>
      <c r="D184" s="2"/>
      <c r="E184" s="2">
        <v>10115</v>
      </c>
      <c r="F184" s="2">
        <v>10050</v>
      </c>
      <c r="G184" s="2">
        <v>15050</v>
      </c>
      <c r="H184" s="2">
        <v>15050</v>
      </c>
      <c r="I184" s="2"/>
      <c r="J184" s="2"/>
    </row>
    <row r="185" spans="1:10" x14ac:dyDescent="0.25">
      <c r="A185" s="191" t="s">
        <v>1322</v>
      </c>
      <c r="C185" s="8"/>
      <c r="D185" s="8" t="s">
        <v>386</v>
      </c>
      <c r="E185" s="2"/>
      <c r="F185" s="2"/>
      <c r="G185" s="2"/>
      <c r="H185" s="2"/>
      <c r="I185" s="2"/>
      <c r="J185" s="2"/>
    </row>
    <row r="186" spans="1:10" x14ac:dyDescent="0.25">
      <c r="A186" s="191" t="s">
        <v>20</v>
      </c>
      <c r="C186" s="2"/>
      <c r="D186" s="2">
        <v>500</v>
      </c>
      <c r="E186" s="2"/>
      <c r="F186" s="2"/>
      <c r="G186" s="2"/>
      <c r="H186" s="2"/>
      <c r="I186" s="2"/>
      <c r="J186" s="2"/>
    </row>
    <row r="187" spans="1:10" x14ac:dyDescent="0.25">
      <c r="A187" s="25" t="s">
        <v>114</v>
      </c>
      <c r="B187" s="25"/>
      <c r="C187" s="26"/>
      <c r="D187" s="26">
        <v>600</v>
      </c>
      <c r="E187" s="2"/>
      <c r="F187" s="2"/>
      <c r="G187" s="2"/>
      <c r="H187" s="2"/>
      <c r="I187" s="2"/>
      <c r="J187" s="2"/>
    </row>
    <row r="188" spans="1:10" x14ac:dyDescent="0.25">
      <c r="A188" s="25" t="s">
        <v>1902</v>
      </c>
      <c r="B188" s="25"/>
      <c r="C188" s="26"/>
      <c r="D188" s="26"/>
      <c r="E188" s="2"/>
      <c r="F188" s="2"/>
      <c r="G188" s="2"/>
      <c r="H188" s="2"/>
      <c r="I188" s="2"/>
      <c r="J188" s="2"/>
    </row>
    <row r="189" spans="1:10" x14ac:dyDescent="0.25">
      <c r="A189" s="25" t="s">
        <v>524</v>
      </c>
      <c r="B189" s="25"/>
      <c r="C189" s="26"/>
      <c r="D189" s="26">
        <v>200</v>
      </c>
      <c r="E189" s="2"/>
      <c r="F189" s="2"/>
      <c r="G189" s="2"/>
      <c r="H189" s="2"/>
      <c r="I189" s="2"/>
      <c r="J189" s="2"/>
    </row>
    <row r="190" spans="1:10" x14ac:dyDescent="0.25">
      <c r="A190" s="25" t="s">
        <v>525</v>
      </c>
      <c r="B190" s="25"/>
      <c r="C190" s="26"/>
      <c r="D190" s="26">
        <v>600</v>
      </c>
      <c r="E190" s="2"/>
      <c r="F190" s="2"/>
      <c r="G190" s="2"/>
      <c r="H190" s="2"/>
      <c r="I190" s="2"/>
      <c r="J190" s="2"/>
    </row>
    <row r="191" spans="1:10" x14ac:dyDescent="0.25">
      <c r="A191" s="25" t="s">
        <v>526</v>
      </c>
      <c r="B191" s="25"/>
      <c r="C191" s="26"/>
      <c r="D191" s="26">
        <v>100</v>
      </c>
      <c r="E191" s="2"/>
      <c r="F191" s="2"/>
      <c r="G191" s="2"/>
      <c r="H191" s="2"/>
      <c r="I191" s="2"/>
      <c r="J191" s="2"/>
    </row>
    <row r="192" spans="1:10" x14ac:dyDescent="0.25">
      <c r="A192" s="25" t="s">
        <v>990</v>
      </c>
      <c r="B192" s="25"/>
      <c r="C192" s="26"/>
      <c r="D192" s="26">
        <v>50</v>
      </c>
      <c r="E192" s="2"/>
      <c r="F192" s="2"/>
      <c r="G192" s="2"/>
      <c r="H192" s="2"/>
      <c r="I192" s="2"/>
      <c r="J192" s="2"/>
    </row>
    <row r="193" spans="1:10" x14ac:dyDescent="0.25">
      <c r="A193" s="25" t="s">
        <v>1685</v>
      </c>
      <c r="B193" s="25"/>
      <c r="C193" s="26"/>
      <c r="D193" s="26">
        <v>2000</v>
      </c>
      <c r="E193" s="2"/>
      <c r="F193" s="2"/>
      <c r="G193" s="2"/>
      <c r="H193" s="2"/>
      <c r="I193" s="2"/>
      <c r="J193" s="2"/>
    </row>
    <row r="194" spans="1:10" x14ac:dyDescent="0.25">
      <c r="A194" s="25" t="s">
        <v>1686</v>
      </c>
      <c r="B194" s="25"/>
      <c r="C194" s="26"/>
      <c r="D194" s="26">
        <v>4100</v>
      </c>
      <c r="E194" s="2"/>
      <c r="F194" s="2"/>
      <c r="G194" s="2"/>
      <c r="H194" s="2"/>
      <c r="I194" s="2"/>
      <c r="J194" s="2"/>
    </row>
    <row r="195" spans="1:10" x14ac:dyDescent="0.25">
      <c r="A195" s="25" t="s">
        <v>304</v>
      </c>
      <c r="B195" s="25"/>
      <c r="C195" s="26"/>
      <c r="D195" s="26">
        <v>900</v>
      </c>
      <c r="E195" s="2"/>
      <c r="F195" s="2"/>
      <c r="G195" s="2"/>
      <c r="H195" s="2"/>
      <c r="I195" s="2"/>
      <c r="J195" s="2"/>
    </row>
    <row r="196" spans="1:10" x14ac:dyDescent="0.25">
      <c r="A196" s="25" t="s">
        <v>305</v>
      </c>
      <c r="B196" s="25"/>
      <c r="C196" s="26"/>
      <c r="D196" s="26">
        <v>500</v>
      </c>
      <c r="E196" s="2"/>
      <c r="F196" s="2"/>
      <c r="G196" s="2"/>
      <c r="H196" s="2"/>
      <c r="I196" s="2"/>
      <c r="J196" s="2"/>
    </row>
    <row r="197" spans="1:10" x14ac:dyDescent="0.25">
      <c r="A197" s="25" t="s">
        <v>1176</v>
      </c>
      <c r="B197" s="25"/>
      <c r="C197" s="26"/>
      <c r="D197" s="26">
        <v>500</v>
      </c>
      <c r="E197" s="2"/>
      <c r="F197" s="2"/>
      <c r="G197" s="2"/>
      <c r="H197" s="2"/>
      <c r="I197" s="2"/>
      <c r="J197" s="2"/>
    </row>
    <row r="198" spans="1:10" ht="15" x14ac:dyDescent="0.4">
      <c r="A198" s="25" t="s">
        <v>2127</v>
      </c>
      <c r="B198" s="25"/>
      <c r="C198" s="55"/>
      <c r="D198" s="18">
        <v>5000</v>
      </c>
      <c r="E198" s="2"/>
      <c r="F198" s="2"/>
      <c r="G198" s="2"/>
      <c r="H198" s="2"/>
      <c r="I198" s="2"/>
      <c r="J198" s="2"/>
    </row>
    <row r="199" spans="1:10" x14ac:dyDescent="0.25">
      <c r="A199" s="191" t="s">
        <v>1182</v>
      </c>
      <c r="C199" s="2"/>
      <c r="D199" s="2">
        <f>SUM(D186:D198)</f>
        <v>15050</v>
      </c>
      <c r="E199" s="2"/>
      <c r="F199" s="2"/>
      <c r="G199" s="2"/>
      <c r="H199" s="2"/>
      <c r="I199" s="2"/>
      <c r="J199" s="2"/>
    </row>
    <row r="200" spans="1:10" x14ac:dyDescent="0.25">
      <c r="C200" s="2"/>
      <c r="D200" s="2"/>
      <c r="E200" s="2"/>
      <c r="F200" s="2"/>
      <c r="G200" s="2"/>
      <c r="H200" s="2"/>
      <c r="I200" s="2"/>
      <c r="J200" s="2"/>
    </row>
    <row r="201" spans="1:10" ht="13.8" x14ac:dyDescent="0.3">
      <c r="A201" s="193" t="s">
        <v>419</v>
      </c>
      <c r="C201" s="2"/>
      <c r="D201" s="2"/>
      <c r="E201" s="2">
        <v>143759</v>
      </c>
      <c r="F201" s="2">
        <v>112000</v>
      </c>
      <c r="G201" s="2">
        <v>125000</v>
      </c>
      <c r="H201" s="2">
        <v>125000</v>
      </c>
      <c r="I201" s="2"/>
      <c r="J201" s="2"/>
    </row>
    <row r="202" spans="1:10" ht="15.6" x14ac:dyDescent="0.3">
      <c r="A202" s="100" t="s">
        <v>1701</v>
      </c>
      <c r="C202" s="2"/>
      <c r="D202" s="2">
        <v>125000</v>
      </c>
      <c r="E202" s="2"/>
      <c r="F202" s="2"/>
      <c r="G202" s="2"/>
      <c r="H202" s="2"/>
      <c r="I202" s="2"/>
      <c r="J202" s="2"/>
    </row>
    <row r="203" spans="1:10" x14ac:dyDescent="0.25">
      <c r="C203" s="18"/>
      <c r="D203" s="2"/>
      <c r="E203" s="2"/>
      <c r="F203" s="2"/>
      <c r="G203" s="2"/>
      <c r="H203" s="2"/>
      <c r="I203" s="2"/>
      <c r="J203" s="2"/>
    </row>
    <row r="204" spans="1:10" ht="13.8" x14ac:dyDescent="0.3">
      <c r="A204" s="193" t="s">
        <v>1287</v>
      </c>
      <c r="C204" s="2"/>
      <c r="D204" s="2"/>
      <c r="E204" s="2">
        <v>702</v>
      </c>
      <c r="F204" s="2">
        <v>2160</v>
      </c>
      <c r="G204" s="2">
        <v>2598</v>
      </c>
      <c r="H204" s="2">
        <v>2598</v>
      </c>
      <c r="I204" s="2"/>
      <c r="J204" s="2"/>
    </row>
    <row r="205" spans="1:10" x14ac:dyDescent="0.25">
      <c r="A205" s="191" t="s">
        <v>57</v>
      </c>
      <c r="C205" s="2"/>
      <c r="D205" s="2"/>
      <c r="E205" s="2"/>
      <c r="F205" s="2"/>
      <c r="G205" s="2"/>
      <c r="H205" s="2"/>
      <c r="I205" s="2"/>
      <c r="J205" s="2"/>
    </row>
    <row r="206" spans="1:10" x14ac:dyDescent="0.25">
      <c r="A206" s="191" t="s">
        <v>1903</v>
      </c>
      <c r="C206" s="2"/>
      <c r="D206" s="2">
        <v>1950</v>
      </c>
      <c r="E206" s="2"/>
      <c r="F206" s="2"/>
      <c r="G206" s="2"/>
      <c r="H206" s="2"/>
      <c r="I206" s="2"/>
      <c r="J206" s="2"/>
    </row>
    <row r="207" spans="1:10" ht="15" x14ac:dyDescent="0.4">
      <c r="A207" s="191" t="s">
        <v>52</v>
      </c>
      <c r="C207" s="2"/>
      <c r="D207" s="11">
        <v>648</v>
      </c>
      <c r="E207" s="2"/>
      <c r="F207" s="2"/>
      <c r="G207" s="2"/>
      <c r="H207" s="2"/>
    </row>
    <row r="208" spans="1:10" x14ac:dyDescent="0.25">
      <c r="A208" s="191" t="s">
        <v>1182</v>
      </c>
      <c r="C208" s="2"/>
      <c r="D208" s="2">
        <f>SUM(D205:D207)</f>
        <v>2598</v>
      </c>
      <c r="E208" s="2"/>
      <c r="F208" s="2"/>
      <c r="I208" s="2"/>
      <c r="J208" s="2"/>
    </row>
    <row r="209" spans="1:10" x14ac:dyDescent="0.25">
      <c r="C209" s="2"/>
      <c r="D209" s="2"/>
      <c r="E209" s="2"/>
      <c r="I209" s="2"/>
      <c r="J209" s="2"/>
    </row>
    <row r="210" spans="1:10" ht="13.8" x14ac:dyDescent="0.3">
      <c r="A210" s="193" t="s">
        <v>1234</v>
      </c>
      <c r="B210" s="6"/>
      <c r="C210" s="2"/>
      <c r="D210" s="2"/>
      <c r="E210" s="2">
        <v>13240</v>
      </c>
      <c r="F210" s="2">
        <v>30100</v>
      </c>
      <c r="G210" s="2">
        <v>17400</v>
      </c>
      <c r="H210" s="2">
        <v>17400</v>
      </c>
      <c r="I210" s="2"/>
      <c r="J210" s="2"/>
    </row>
    <row r="211" spans="1:10" x14ac:dyDescent="0.25">
      <c r="A211" s="191" t="s">
        <v>1553</v>
      </c>
      <c r="C211" s="2"/>
      <c r="D211" s="2">
        <v>5000</v>
      </c>
      <c r="E211" s="2"/>
      <c r="F211" s="2"/>
      <c r="G211" s="2"/>
      <c r="H211" s="2"/>
      <c r="I211" s="2"/>
      <c r="J211" s="2"/>
    </row>
    <row r="212" spans="1:10" ht="15" x14ac:dyDescent="0.4">
      <c r="A212" s="191" t="s">
        <v>1489</v>
      </c>
      <c r="C212" s="2"/>
      <c r="D212" s="11">
        <v>12400</v>
      </c>
      <c r="E212" s="2"/>
      <c r="F212" s="2"/>
      <c r="G212" s="2"/>
      <c r="H212" s="2"/>
      <c r="I212" s="2"/>
      <c r="J212" s="2"/>
    </row>
    <row r="213" spans="1:10" x14ac:dyDescent="0.25">
      <c r="A213" s="191" t="s">
        <v>1182</v>
      </c>
      <c r="C213" s="2"/>
      <c r="D213" s="2">
        <f>SUM(D211:D212)</f>
        <v>17400</v>
      </c>
      <c r="E213" s="2"/>
      <c r="F213" s="2"/>
      <c r="G213" s="2"/>
      <c r="H213" s="2"/>
      <c r="I213" s="2"/>
      <c r="J213" s="2"/>
    </row>
    <row r="214" spans="1:10" x14ac:dyDescent="0.25">
      <c r="C214" s="2"/>
      <c r="D214" s="2"/>
      <c r="E214" s="2"/>
      <c r="F214" s="2"/>
      <c r="G214" s="2"/>
      <c r="H214" s="2"/>
      <c r="I214" s="2"/>
      <c r="J214" s="2"/>
    </row>
    <row r="215" spans="1:10" ht="13.8" x14ac:dyDescent="0.3">
      <c r="A215" s="193" t="s">
        <v>1235</v>
      </c>
      <c r="C215" s="2"/>
      <c r="D215" s="2"/>
      <c r="E215" s="2">
        <v>86997</v>
      </c>
      <c r="F215" s="2">
        <v>115000</v>
      </c>
      <c r="G215" s="2">
        <v>130000</v>
      </c>
      <c r="H215" s="2">
        <v>130000</v>
      </c>
      <c r="I215" s="2"/>
      <c r="J215" s="2"/>
    </row>
    <row r="216" spans="1:10" x14ac:dyDescent="0.25">
      <c r="A216" s="191" t="s">
        <v>1260</v>
      </c>
      <c r="C216" s="2"/>
      <c r="D216" s="2">
        <v>130000</v>
      </c>
      <c r="E216" s="2"/>
      <c r="F216" s="2"/>
      <c r="G216" s="2"/>
      <c r="H216" s="2"/>
      <c r="I216" s="2"/>
      <c r="J216" s="2"/>
    </row>
    <row r="217" spans="1:10" x14ac:dyDescent="0.25">
      <c r="A217" s="191" t="s">
        <v>1687</v>
      </c>
      <c r="C217" s="2"/>
      <c r="E217" s="2"/>
      <c r="F217" s="2"/>
      <c r="G217" s="2"/>
      <c r="H217" s="2"/>
      <c r="I217" s="2"/>
      <c r="J217" s="2"/>
    </row>
    <row r="218" spans="1:10" x14ac:dyDescent="0.25">
      <c r="C218" s="2"/>
      <c r="D218" s="2"/>
      <c r="E218" s="2"/>
      <c r="F218" s="2"/>
      <c r="G218" s="2"/>
      <c r="H218" s="2"/>
      <c r="I218" s="2"/>
      <c r="J218" s="2"/>
    </row>
    <row r="219" spans="1:10" ht="13.8" x14ac:dyDescent="0.3">
      <c r="A219" s="193" t="s">
        <v>1016</v>
      </c>
      <c r="C219" s="2"/>
      <c r="D219" s="2"/>
      <c r="E219" s="2">
        <v>3188</v>
      </c>
      <c r="F219" s="2">
        <v>2000</v>
      </c>
      <c r="G219" s="2">
        <v>2000</v>
      </c>
      <c r="H219" s="2">
        <v>2000</v>
      </c>
      <c r="I219" s="2"/>
      <c r="J219" s="2"/>
    </row>
    <row r="220" spans="1:10" x14ac:dyDescent="0.25">
      <c r="A220" s="191" t="s">
        <v>83</v>
      </c>
      <c r="C220" s="2"/>
      <c r="D220" s="2">
        <v>2000</v>
      </c>
      <c r="E220" s="2"/>
      <c r="F220" s="2"/>
      <c r="G220" s="2"/>
      <c r="H220" s="2"/>
      <c r="I220" s="2"/>
      <c r="J220" s="2"/>
    </row>
    <row r="221" spans="1:10" x14ac:dyDescent="0.25">
      <c r="C221" s="2"/>
      <c r="D221" s="2"/>
      <c r="E221" s="2"/>
      <c r="F221" s="2"/>
      <c r="G221" s="2"/>
      <c r="H221" s="2"/>
      <c r="I221" s="2"/>
      <c r="J221" s="2"/>
    </row>
    <row r="222" spans="1:10" ht="13.8" x14ac:dyDescent="0.3">
      <c r="A222" s="193" t="s">
        <v>1254</v>
      </c>
      <c r="C222" s="2"/>
      <c r="D222" s="2"/>
      <c r="E222" s="2">
        <v>2935</v>
      </c>
      <c r="F222" s="2">
        <v>18000</v>
      </c>
      <c r="G222" s="2">
        <v>18000</v>
      </c>
      <c r="H222" s="2">
        <v>18000</v>
      </c>
      <c r="I222" s="2"/>
      <c r="J222" s="2"/>
    </row>
    <row r="223" spans="1:10" x14ac:dyDescent="0.25">
      <c r="A223" s="191" t="s">
        <v>1255</v>
      </c>
      <c r="C223" s="2"/>
      <c r="D223" s="2">
        <v>18000</v>
      </c>
      <c r="F223" s="2"/>
      <c r="G223" s="2"/>
      <c r="H223" s="2"/>
      <c r="I223" s="2"/>
      <c r="J223" s="2"/>
    </row>
    <row r="224" spans="1:10" x14ac:dyDescent="0.25">
      <c r="A224" s="191" t="s">
        <v>1688</v>
      </c>
      <c r="C224" s="2"/>
      <c r="E224" s="2"/>
      <c r="F224" s="2"/>
      <c r="G224" s="2"/>
      <c r="H224" s="2"/>
      <c r="I224" s="2"/>
      <c r="J224" s="2"/>
    </row>
    <row r="225" spans="1:10" x14ac:dyDescent="0.25">
      <c r="C225" s="2"/>
      <c r="D225" s="2"/>
      <c r="E225" s="2"/>
      <c r="F225" s="2"/>
      <c r="G225" s="2"/>
      <c r="H225" s="2"/>
      <c r="I225" s="2"/>
      <c r="J225" s="2"/>
    </row>
    <row r="226" spans="1:10" ht="13.8" x14ac:dyDescent="0.3">
      <c r="A226" s="193" t="s">
        <v>982</v>
      </c>
      <c r="C226" s="2"/>
      <c r="D226" s="2"/>
      <c r="E226" s="2">
        <v>1143</v>
      </c>
      <c r="F226" s="2">
        <v>12500</v>
      </c>
      <c r="G226" s="2">
        <v>12500</v>
      </c>
      <c r="H226" s="2">
        <v>12500</v>
      </c>
      <c r="I226" s="2"/>
      <c r="J226" s="2"/>
    </row>
    <row r="227" spans="1:10" x14ac:dyDescent="0.25">
      <c r="A227" s="191" t="s">
        <v>1139</v>
      </c>
      <c r="C227" s="2"/>
      <c r="D227" s="2">
        <v>12500</v>
      </c>
      <c r="E227" s="2"/>
      <c r="F227" s="2"/>
      <c r="G227" s="2"/>
      <c r="H227" s="2"/>
      <c r="I227" s="2"/>
      <c r="J227" s="2"/>
    </row>
    <row r="228" spans="1:10" x14ac:dyDescent="0.25">
      <c r="C228" s="2"/>
      <c r="E228" s="2"/>
      <c r="F228" s="2"/>
      <c r="G228" s="2"/>
      <c r="H228" s="2"/>
      <c r="I228" s="2"/>
      <c r="J228" s="2"/>
    </row>
    <row r="229" spans="1:10" ht="13.8" x14ac:dyDescent="0.3">
      <c r="A229" s="193" t="s">
        <v>165</v>
      </c>
      <c r="C229" s="2"/>
      <c r="D229" s="2"/>
      <c r="E229" s="2">
        <v>9615</v>
      </c>
      <c r="F229" s="2">
        <v>10000</v>
      </c>
      <c r="G229" s="2">
        <v>10000</v>
      </c>
      <c r="H229" s="2">
        <v>10000</v>
      </c>
    </row>
    <row r="230" spans="1:10" x14ac:dyDescent="0.25">
      <c r="A230" s="191" t="s">
        <v>33</v>
      </c>
      <c r="C230" s="2"/>
      <c r="D230" s="2"/>
      <c r="E230" s="2"/>
      <c r="F230" s="2"/>
      <c r="I230" s="2"/>
      <c r="J230" s="2"/>
    </row>
    <row r="231" spans="1:10" x14ac:dyDescent="0.25">
      <c r="A231" s="191" t="s">
        <v>1208</v>
      </c>
      <c r="C231" s="2"/>
      <c r="D231" s="2"/>
      <c r="E231" s="2"/>
      <c r="G231" s="2"/>
      <c r="H231" s="2"/>
      <c r="I231" s="2"/>
      <c r="J231" s="2"/>
    </row>
    <row r="232" spans="1:10" x14ac:dyDescent="0.25">
      <c r="A232" s="191" t="s">
        <v>1209</v>
      </c>
      <c r="C232" s="2"/>
      <c r="D232" s="2">
        <v>10000</v>
      </c>
      <c r="E232" s="2"/>
      <c r="F232" s="2"/>
      <c r="G232" s="2"/>
      <c r="H232" s="2"/>
      <c r="I232" s="2"/>
      <c r="J232" s="2"/>
    </row>
    <row r="233" spans="1:10" x14ac:dyDescent="0.25">
      <c r="C233" s="2"/>
      <c r="D233" s="2"/>
      <c r="E233" s="2"/>
      <c r="F233" s="2"/>
      <c r="G233" s="2"/>
      <c r="H233" s="2"/>
      <c r="I233" s="2"/>
      <c r="J233" s="2"/>
    </row>
    <row r="234" spans="1:10" ht="13.8" x14ac:dyDescent="0.3">
      <c r="A234" s="193" t="s">
        <v>1413</v>
      </c>
      <c r="C234" s="2"/>
      <c r="D234" s="2"/>
      <c r="E234" s="2">
        <v>700</v>
      </c>
      <c r="F234" s="2">
        <v>1000</v>
      </c>
      <c r="G234" s="2">
        <v>1000</v>
      </c>
      <c r="H234" s="2">
        <v>1000</v>
      </c>
    </row>
    <row r="235" spans="1:10" x14ac:dyDescent="0.25">
      <c r="A235" s="191" t="s">
        <v>1689</v>
      </c>
      <c r="C235" s="2"/>
      <c r="D235" s="2">
        <v>1000</v>
      </c>
      <c r="E235" s="2"/>
      <c r="F235" s="2"/>
      <c r="I235" s="2"/>
      <c r="J235" s="2"/>
    </row>
    <row r="236" spans="1:10" x14ac:dyDescent="0.25">
      <c r="A236" s="191" t="s">
        <v>386</v>
      </c>
      <c r="C236" s="18"/>
      <c r="D236" s="2"/>
      <c r="E236" s="2"/>
      <c r="G236" s="2"/>
      <c r="H236" s="2"/>
      <c r="I236" s="2"/>
      <c r="J236" s="2"/>
    </row>
    <row r="237" spans="1:10" ht="13.8" x14ac:dyDescent="0.3">
      <c r="A237" s="193" t="s">
        <v>1414</v>
      </c>
      <c r="C237" s="2"/>
      <c r="D237" s="2"/>
      <c r="E237" s="2">
        <v>2620</v>
      </c>
      <c r="F237" s="2">
        <v>3250</v>
      </c>
      <c r="G237" s="2">
        <v>3250</v>
      </c>
      <c r="H237" s="2">
        <v>3250</v>
      </c>
      <c r="I237" s="2"/>
      <c r="J237" s="2"/>
    </row>
    <row r="238" spans="1:10" x14ac:dyDescent="0.25">
      <c r="A238" s="191" t="s">
        <v>1690</v>
      </c>
      <c r="C238" s="2"/>
      <c r="D238" s="2">
        <v>3250</v>
      </c>
      <c r="E238" s="2"/>
      <c r="F238" s="2"/>
      <c r="G238" s="2"/>
      <c r="H238" s="2"/>
      <c r="I238" s="2"/>
      <c r="J238" s="2"/>
    </row>
    <row r="239" spans="1:10" x14ac:dyDescent="0.25">
      <c r="A239" s="191" t="s">
        <v>386</v>
      </c>
      <c r="C239" s="2"/>
      <c r="D239" s="2" t="s">
        <v>386</v>
      </c>
      <c r="E239" s="2"/>
      <c r="F239" s="2"/>
      <c r="G239" s="2"/>
      <c r="H239" s="2"/>
      <c r="I239" s="2"/>
      <c r="J239" s="2"/>
    </row>
    <row r="240" spans="1:10" ht="13.8" x14ac:dyDescent="0.3">
      <c r="A240" s="193" t="s">
        <v>1415</v>
      </c>
      <c r="C240" s="2"/>
      <c r="D240" s="2" t="s">
        <v>386</v>
      </c>
      <c r="E240" s="2">
        <v>7942</v>
      </c>
      <c r="F240" s="2">
        <v>15000</v>
      </c>
      <c r="G240" s="2">
        <v>15000</v>
      </c>
      <c r="H240" s="2">
        <v>15000</v>
      </c>
      <c r="I240" s="2"/>
      <c r="J240" s="2"/>
    </row>
    <row r="241" spans="1:10" x14ac:dyDescent="0.25">
      <c r="A241" s="6" t="s">
        <v>53</v>
      </c>
      <c r="B241" s="6"/>
      <c r="C241" s="2"/>
      <c r="D241" s="2" t="s">
        <v>386</v>
      </c>
      <c r="E241" s="2"/>
      <c r="F241" s="2"/>
      <c r="G241" s="2"/>
      <c r="H241" s="2"/>
      <c r="I241" s="2"/>
      <c r="J241" s="2"/>
    </row>
    <row r="242" spans="1:10" x14ac:dyDescent="0.25">
      <c r="A242" s="191" t="s">
        <v>1691</v>
      </c>
      <c r="C242" s="2"/>
      <c r="D242" s="2">
        <v>8000</v>
      </c>
      <c r="E242" s="2"/>
      <c r="F242" s="2"/>
      <c r="G242" s="2"/>
      <c r="H242" s="2"/>
      <c r="I242" s="2"/>
      <c r="J242" s="2"/>
    </row>
    <row r="243" spans="1:10" ht="15" x14ac:dyDescent="0.4">
      <c r="A243" s="191" t="s">
        <v>1490</v>
      </c>
      <c r="C243" s="2"/>
      <c r="D243" s="9">
        <v>7000</v>
      </c>
      <c r="E243" s="2"/>
      <c r="F243" s="2"/>
      <c r="G243" s="2"/>
      <c r="H243" s="2"/>
      <c r="I243" s="2"/>
      <c r="J243" s="2"/>
    </row>
    <row r="244" spans="1:10" x14ac:dyDescent="0.25">
      <c r="A244" s="191" t="s">
        <v>1182</v>
      </c>
      <c r="C244" s="2"/>
      <c r="D244" s="2">
        <f>SUM(D242:D243)</f>
        <v>15000</v>
      </c>
      <c r="E244" s="2"/>
      <c r="F244" s="2"/>
      <c r="G244" s="2"/>
      <c r="H244" s="2"/>
      <c r="I244" s="2"/>
      <c r="J244" s="2"/>
    </row>
    <row r="245" spans="1:10" x14ac:dyDescent="0.25">
      <c r="C245" s="2"/>
      <c r="D245" s="2"/>
      <c r="E245" s="2"/>
      <c r="F245" s="2"/>
      <c r="G245" s="2"/>
      <c r="H245" s="2"/>
      <c r="I245" s="2"/>
      <c r="J245" s="2"/>
    </row>
    <row r="246" spans="1:10" ht="13.8" x14ac:dyDescent="0.3">
      <c r="A246" s="193" t="s">
        <v>1017</v>
      </c>
      <c r="C246" s="19"/>
      <c r="D246" s="19"/>
      <c r="E246" s="2">
        <v>120052</v>
      </c>
      <c r="F246" s="2">
        <v>99570</v>
      </c>
      <c r="G246" s="2">
        <v>120070</v>
      </c>
      <c r="H246" s="2">
        <v>105070</v>
      </c>
      <c r="I246" s="2"/>
      <c r="J246" s="2"/>
    </row>
    <row r="247" spans="1:10" x14ac:dyDescent="0.25">
      <c r="A247" s="191" t="s">
        <v>449</v>
      </c>
      <c r="C247" s="2"/>
      <c r="D247" s="2">
        <v>30000</v>
      </c>
      <c r="E247" s="2"/>
      <c r="F247" s="2"/>
      <c r="G247" s="2"/>
      <c r="H247" s="2"/>
      <c r="I247" s="2"/>
      <c r="J247" s="2"/>
    </row>
    <row r="248" spans="1:10" x14ac:dyDescent="0.25">
      <c r="A248" s="191" t="s">
        <v>1692</v>
      </c>
      <c r="C248" s="2"/>
      <c r="D248" s="2">
        <v>1000</v>
      </c>
      <c r="E248" s="2"/>
      <c r="F248" s="2"/>
      <c r="G248" s="2"/>
      <c r="H248" s="2"/>
      <c r="I248" s="2"/>
      <c r="J248" s="2"/>
    </row>
    <row r="249" spans="1:10" x14ac:dyDescent="0.25">
      <c r="A249" s="191" t="s">
        <v>551</v>
      </c>
      <c r="C249" s="2"/>
      <c r="D249" s="2">
        <v>60000</v>
      </c>
      <c r="E249" s="2"/>
      <c r="F249" s="2"/>
      <c r="G249" s="2"/>
      <c r="H249" s="2"/>
      <c r="I249" s="2"/>
      <c r="J249" s="2"/>
    </row>
    <row r="250" spans="1:10" x14ac:dyDescent="0.25">
      <c r="A250" s="191" t="s">
        <v>1491</v>
      </c>
      <c r="C250" s="2"/>
      <c r="D250" s="2">
        <v>0</v>
      </c>
      <c r="E250" s="2"/>
      <c r="F250" s="2"/>
      <c r="G250" s="2"/>
      <c r="H250" s="2"/>
      <c r="I250" s="2"/>
      <c r="J250" s="2"/>
    </row>
    <row r="251" spans="1:10" x14ac:dyDescent="0.25">
      <c r="A251" s="191" t="s">
        <v>54</v>
      </c>
      <c r="C251" s="2"/>
      <c r="D251" s="2">
        <v>1750</v>
      </c>
      <c r="E251" s="2"/>
      <c r="F251" s="2"/>
      <c r="G251" s="2"/>
      <c r="H251" s="2"/>
      <c r="I251" s="2"/>
      <c r="J251" s="2"/>
    </row>
    <row r="252" spans="1:10" x14ac:dyDescent="0.25">
      <c r="A252" s="191" t="s">
        <v>55</v>
      </c>
      <c r="C252" s="2"/>
      <c r="D252" s="2">
        <v>1700</v>
      </c>
      <c r="E252" s="2"/>
      <c r="F252" s="2"/>
      <c r="G252" s="2"/>
      <c r="H252" s="2"/>
      <c r="I252" s="2"/>
      <c r="J252" s="2"/>
    </row>
    <row r="253" spans="1:10" x14ac:dyDescent="0.25">
      <c r="A253" s="191" t="s">
        <v>56</v>
      </c>
      <c r="C253" s="2"/>
      <c r="D253" s="2">
        <v>300</v>
      </c>
      <c r="E253" s="2"/>
      <c r="F253" s="2"/>
      <c r="G253" s="2"/>
      <c r="H253" s="2"/>
      <c r="I253" s="2"/>
      <c r="J253" s="2"/>
    </row>
    <row r="254" spans="1:10" x14ac:dyDescent="0.25">
      <c r="A254" s="191" t="s">
        <v>1693</v>
      </c>
      <c r="C254" s="18"/>
      <c r="D254" s="2">
        <v>2000</v>
      </c>
      <c r="E254" s="2"/>
      <c r="F254" s="2"/>
      <c r="G254" s="2"/>
      <c r="H254" s="2"/>
      <c r="I254" s="2"/>
      <c r="J254" s="2"/>
    </row>
    <row r="255" spans="1:10" x14ac:dyDescent="0.25">
      <c r="A255" s="25" t="s">
        <v>144</v>
      </c>
      <c r="B255" s="25"/>
      <c r="C255" s="26"/>
      <c r="D255" s="26">
        <v>4220</v>
      </c>
      <c r="E255" s="2"/>
      <c r="F255" s="2"/>
      <c r="G255" s="2"/>
      <c r="H255" s="2"/>
      <c r="I255" s="2"/>
      <c r="J255" s="2"/>
    </row>
    <row r="256" spans="1:10" x14ac:dyDescent="0.25">
      <c r="A256" s="25" t="s">
        <v>1904</v>
      </c>
      <c r="B256" s="25"/>
      <c r="C256" s="26"/>
      <c r="D256" s="26">
        <v>600</v>
      </c>
      <c r="E256" s="2"/>
      <c r="F256" s="2"/>
      <c r="G256" s="2"/>
      <c r="H256" s="2"/>
      <c r="I256" s="2"/>
      <c r="J256" s="2"/>
    </row>
    <row r="257" spans="1:10" x14ac:dyDescent="0.25">
      <c r="A257" s="25" t="s">
        <v>393</v>
      </c>
      <c r="B257" s="25"/>
      <c r="C257" s="26"/>
      <c r="D257" s="26">
        <v>2500</v>
      </c>
      <c r="E257" s="2"/>
      <c r="F257" s="2"/>
      <c r="G257" s="2"/>
      <c r="H257" s="2"/>
      <c r="I257" s="2"/>
      <c r="J257" s="2"/>
    </row>
    <row r="258" spans="1:10" ht="15" x14ac:dyDescent="0.4">
      <c r="A258" s="25" t="s">
        <v>550</v>
      </c>
      <c r="B258" s="25"/>
      <c r="C258" s="55"/>
      <c r="D258" s="55">
        <v>1000</v>
      </c>
      <c r="E258" s="2"/>
      <c r="F258" s="2"/>
      <c r="G258" s="2"/>
      <c r="H258" s="2"/>
    </row>
    <row r="259" spans="1:10" x14ac:dyDescent="0.25">
      <c r="A259" s="191" t="s">
        <v>1182</v>
      </c>
      <c r="C259" s="18"/>
      <c r="D259" s="2">
        <f>SUM(D247:D258)</f>
        <v>105070</v>
      </c>
      <c r="E259" s="2"/>
      <c r="F259" s="2"/>
      <c r="I259" s="2"/>
      <c r="J259" s="2"/>
    </row>
    <row r="260" spans="1:10" x14ac:dyDescent="0.25">
      <c r="C260" s="2"/>
      <c r="D260" s="2"/>
      <c r="E260" s="2"/>
      <c r="I260" s="2"/>
      <c r="J260" s="2"/>
    </row>
    <row r="261" spans="1:10" ht="13.8" x14ac:dyDescent="0.3">
      <c r="A261" s="193" t="s">
        <v>552</v>
      </c>
      <c r="C261" s="2"/>
      <c r="D261" s="2"/>
      <c r="E261" s="2">
        <v>285471</v>
      </c>
      <c r="F261" s="2">
        <v>55000</v>
      </c>
      <c r="G261" s="2">
        <v>55000</v>
      </c>
      <c r="H261" s="2">
        <v>55000</v>
      </c>
      <c r="I261" s="2"/>
      <c r="J261" s="2"/>
    </row>
    <row r="262" spans="1:10" x14ac:dyDescent="0.25">
      <c r="A262" s="191" t="s">
        <v>553</v>
      </c>
      <c r="C262" s="2"/>
      <c r="D262" s="2"/>
      <c r="E262" s="2"/>
      <c r="F262" s="2"/>
      <c r="G262" s="2"/>
      <c r="H262" s="2"/>
      <c r="I262" s="2"/>
      <c r="J262" s="2"/>
    </row>
    <row r="263" spans="1:10" x14ac:dyDescent="0.25">
      <c r="A263" s="191" t="s">
        <v>771</v>
      </c>
      <c r="B263" s="191" t="s">
        <v>386</v>
      </c>
      <c r="C263" s="2"/>
      <c r="D263" s="2">
        <v>55000</v>
      </c>
      <c r="E263" s="2"/>
      <c r="F263" s="2"/>
      <c r="G263" s="2"/>
      <c r="H263" s="2"/>
      <c r="I263" s="2"/>
      <c r="J263" s="2"/>
    </row>
    <row r="264" spans="1:10" x14ac:dyDescent="0.25">
      <c r="C264" s="2"/>
      <c r="D264" s="2"/>
      <c r="E264" s="2"/>
      <c r="F264" s="2"/>
      <c r="G264" s="2"/>
      <c r="H264" s="2"/>
      <c r="I264" s="2"/>
      <c r="J264" s="2"/>
    </row>
    <row r="265" spans="1:10" ht="13.8" x14ac:dyDescent="0.3">
      <c r="A265" s="193" t="s">
        <v>1323</v>
      </c>
      <c r="C265" s="2"/>
      <c r="D265" s="2"/>
      <c r="E265" s="2">
        <v>9111</v>
      </c>
      <c r="F265" s="2">
        <v>10800</v>
      </c>
      <c r="G265" s="2">
        <v>9000</v>
      </c>
      <c r="H265" s="2">
        <v>9000</v>
      </c>
      <c r="I265" s="2"/>
      <c r="J265" s="2"/>
    </row>
    <row r="266" spans="1:10" x14ac:dyDescent="0.25">
      <c r="A266" s="191" t="s">
        <v>1300</v>
      </c>
      <c r="B266" s="191" t="s">
        <v>386</v>
      </c>
      <c r="C266" s="2"/>
      <c r="D266" s="2">
        <v>5000</v>
      </c>
      <c r="E266" s="2"/>
      <c r="F266" s="2"/>
      <c r="G266" s="2"/>
      <c r="H266" s="2"/>
      <c r="I266" s="2"/>
      <c r="J266" s="2"/>
    </row>
    <row r="267" spans="1:10" ht="15" x14ac:dyDescent="0.4">
      <c r="A267" s="191" t="s">
        <v>1324</v>
      </c>
      <c r="C267" s="11"/>
      <c r="D267" s="11">
        <v>4000</v>
      </c>
      <c r="E267" s="2"/>
      <c r="F267" s="2"/>
      <c r="G267" s="2"/>
      <c r="H267" s="2"/>
      <c r="I267" s="2"/>
      <c r="J267" s="2"/>
    </row>
    <row r="268" spans="1:10" x14ac:dyDescent="0.25">
      <c r="A268" s="191" t="s">
        <v>1182</v>
      </c>
      <c r="C268" s="2"/>
      <c r="D268" s="2">
        <f>SUM(D266:D267)</f>
        <v>9000</v>
      </c>
      <c r="E268" s="2"/>
      <c r="F268" s="2"/>
      <c r="G268" s="2"/>
      <c r="H268" s="2"/>
      <c r="I268" s="2"/>
      <c r="J268" s="2"/>
    </row>
    <row r="269" spans="1:10" x14ac:dyDescent="0.25">
      <c r="C269" s="2" t="s">
        <v>386</v>
      </c>
      <c r="D269" s="2" t="s">
        <v>386</v>
      </c>
      <c r="E269" s="2"/>
      <c r="F269" s="2"/>
      <c r="G269" s="2"/>
      <c r="H269" s="2"/>
      <c r="I269" s="26"/>
      <c r="J269" s="26"/>
    </row>
    <row r="270" spans="1:10" ht="15.6" x14ac:dyDescent="0.3">
      <c r="A270" s="49" t="s">
        <v>1140</v>
      </c>
      <c r="B270" s="48"/>
      <c r="C270" s="58"/>
      <c r="D270" s="58"/>
      <c r="E270" s="26">
        <v>26403</v>
      </c>
      <c r="F270" s="26">
        <v>38000</v>
      </c>
      <c r="G270" s="26">
        <v>36500</v>
      </c>
      <c r="H270" s="26">
        <v>36500</v>
      </c>
      <c r="I270" s="26"/>
      <c r="J270" s="26"/>
    </row>
    <row r="271" spans="1:10" ht="15.6" x14ac:dyDescent="0.3">
      <c r="A271" s="25" t="s">
        <v>139</v>
      </c>
      <c r="B271" s="48"/>
      <c r="C271" s="26"/>
      <c r="D271" s="26">
        <v>500</v>
      </c>
      <c r="E271" s="26"/>
      <c r="F271" s="26"/>
      <c r="G271" s="26"/>
      <c r="H271" s="26"/>
      <c r="I271" s="26"/>
      <c r="J271" s="26"/>
    </row>
    <row r="272" spans="1:10" ht="15.6" x14ac:dyDescent="0.3">
      <c r="A272" s="25" t="s">
        <v>700</v>
      </c>
      <c r="B272" s="48"/>
      <c r="C272" s="26"/>
      <c r="D272" s="26">
        <v>7500</v>
      </c>
      <c r="E272" s="26"/>
      <c r="F272" s="26"/>
      <c r="G272" s="26"/>
      <c r="H272" s="26"/>
      <c r="I272" s="26"/>
      <c r="J272" s="26"/>
    </row>
    <row r="273" spans="1:10" ht="15.6" x14ac:dyDescent="0.3">
      <c r="A273" s="25" t="s">
        <v>1029</v>
      </c>
      <c r="B273" s="48"/>
      <c r="C273" s="26"/>
      <c r="D273" s="26" t="s">
        <v>386</v>
      </c>
      <c r="E273" s="26"/>
      <c r="F273" s="26"/>
      <c r="G273" s="26"/>
      <c r="H273" s="26"/>
      <c r="I273" s="26"/>
      <c r="J273" s="26"/>
    </row>
    <row r="274" spans="1:10" ht="15.6" x14ac:dyDescent="0.3">
      <c r="A274" s="25" t="s">
        <v>196</v>
      </c>
      <c r="B274" s="48"/>
      <c r="C274" s="26"/>
      <c r="D274" s="26">
        <v>1510</v>
      </c>
      <c r="E274" s="26"/>
      <c r="F274" s="26"/>
      <c r="G274" s="26"/>
      <c r="H274" s="26"/>
      <c r="I274" s="26"/>
      <c r="J274" s="26"/>
    </row>
    <row r="275" spans="1:10" ht="15.6" x14ac:dyDescent="0.3">
      <c r="A275" s="25" t="s">
        <v>140</v>
      </c>
      <c r="B275" s="48"/>
      <c r="C275" s="26"/>
      <c r="D275" s="26">
        <v>5000</v>
      </c>
      <c r="E275" s="26"/>
      <c r="F275" s="26"/>
      <c r="G275" s="26"/>
      <c r="H275" s="26"/>
      <c r="I275" s="26"/>
      <c r="J275" s="26"/>
    </row>
    <row r="276" spans="1:10" ht="15.6" x14ac:dyDescent="0.3">
      <c r="A276" s="25" t="s">
        <v>70</v>
      </c>
      <c r="B276" s="48"/>
      <c r="C276" s="26"/>
      <c r="D276" s="26">
        <v>6940</v>
      </c>
      <c r="E276" s="26"/>
      <c r="F276" s="26"/>
      <c r="G276" s="26"/>
      <c r="H276" s="26"/>
      <c r="I276" s="26"/>
      <c r="J276" s="26"/>
    </row>
    <row r="277" spans="1:10" ht="15.6" x14ac:dyDescent="0.3">
      <c r="A277" s="25" t="s">
        <v>145</v>
      </c>
      <c r="B277" s="48"/>
      <c r="C277" s="26"/>
      <c r="D277" s="26">
        <v>0</v>
      </c>
      <c r="E277" s="26"/>
      <c r="F277" s="26"/>
      <c r="G277" s="26"/>
      <c r="H277" s="26"/>
      <c r="I277" s="26"/>
      <c r="J277" s="26"/>
    </row>
    <row r="278" spans="1:10" ht="15.6" x14ac:dyDescent="0.3">
      <c r="A278" s="25" t="s">
        <v>197</v>
      </c>
      <c r="B278" s="48"/>
      <c r="C278" s="26"/>
      <c r="D278" s="26">
        <v>2000</v>
      </c>
      <c r="E278" s="26"/>
      <c r="F278" s="26"/>
      <c r="G278" s="26"/>
      <c r="H278" s="26"/>
      <c r="I278" s="26"/>
      <c r="J278" s="26"/>
    </row>
    <row r="279" spans="1:10" ht="15.6" x14ac:dyDescent="0.3">
      <c r="A279" s="25" t="s">
        <v>198</v>
      </c>
      <c r="B279" s="48"/>
      <c r="C279" s="26"/>
      <c r="D279" s="26">
        <v>7750</v>
      </c>
      <c r="E279" s="26"/>
      <c r="F279" s="26"/>
      <c r="G279" s="26"/>
      <c r="H279" s="26"/>
      <c r="I279" s="26"/>
      <c r="J279" s="26"/>
    </row>
    <row r="280" spans="1:10" ht="15.6" x14ac:dyDescent="0.3">
      <c r="A280" s="25" t="s">
        <v>199</v>
      </c>
      <c r="B280" s="48"/>
      <c r="C280" s="26"/>
      <c r="D280" s="26">
        <v>300</v>
      </c>
      <c r="E280" s="26"/>
      <c r="F280" s="26"/>
      <c r="G280" s="26"/>
      <c r="H280" s="26"/>
      <c r="I280" s="26"/>
      <c r="J280" s="26"/>
    </row>
    <row r="281" spans="1:10" ht="15.6" x14ac:dyDescent="0.3">
      <c r="A281" s="25" t="s">
        <v>1905</v>
      </c>
      <c r="B281" s="48"/>
      <c r="C281" s="26"/>
      <c r="D281" s="26">
        <v>1000</v>
      </c>
      <c r="E281" s="26"/>
      <c r="F281" s="26"/>
      <c r="G281" s="26"/>
      <c r="H281" s="26"/>
      <c r="I281" s="2"/>
      <c r="J281" s="2"/>
    </row>
    <row r="282" spans="1:10" ht="15.6" x14ac:dyDescent="0.3">
      <c r="A282" s="25" t="s">
        <v>2128</v>
      </c>
      <c r="B282" s="48"/>
      <c r="C282" s="26"/>
      <c r="D282" s="26">
        <v>500</v>
      </c>
      <c r="E282" s="26"/>
      <c r="F282" s="26"/>
      <c r="G282" s="26"/>
      <c r="H282" s="26"/>
    </row>
    <row r="283" spans="1:10" ht="16.8" x14ac:dyDescent="0.4">
      <c r="A283" s="25" t="s">
        <v>2129</v>
      </c>
      <c r="B283" s="48"/>
      <c r="C283" s="55"/>
      <c r="D283" s="55">
        <v>3500</v>
      </c>
      <c r="E283" s="26"/>
      <c r="G283" s="2"/>
      <c r="H283" s="2"/>
    </row>
    <row r="284" spans="1:10" ht="15.6" x14ac:dyDescent="0.3">
      <c r="A284" s="25" t="s">
        <v>1182</v>
      </c>
      <c r="B284" s="48"/>
      <c r="C284" s="26"/>
      <c r="D284" s="26">
        <f>SUM(D271:D283)</f>
        <v>36500</v>
      </c>
      <c r="E284" s="26"/>
      <c r="I284" s="2"/>
      <c r="J284" s="2"/>
    </row>
    <row r="285" spans="1:10" x14ac:dyDescent="0.25">
      <c r="C285" s="2"/>
      <c r="D285" s="2"/>
      <c r="E285" s="2"/>
      <c r="F285" s="2"/>
      <c r="I285" s="2"/>
      <c r="J285" s="2"/>
    </row>
    <row r="286" spans="1:10" ht="13.8" x14ac:dyDescent="0.3">
      <c r="A286" s="193" t="s">
        <v>753</v>
      </c>
      <c r="C286" s="8" t="s">
        <v>386</v>
      </c>
      <c r="D286" s="8" t="s">
        <v>386</v>
      </c>
      <c r="E286" s="2">
        <v>8325</v>
      </c>
      <c r="F286" s="2">
        <v>12000</v>
      </c>
      <c r="G286" s="2">
        <v>12000</v>
      </c>
      <c r="H286" s="2">
        <v>12000</v>
      </c>
      <c r="I286" s="2"/>
      <c r="J286" s="2"/>
    </row>
    <row r="287" spans="1:10" x14ac:dyDescent="0.25">
      <c r="A287" s="191" t="s">
        <v>1305</v>
      </c>
      <c r="C287" s="2"/>
      <c r="D287" s="2">
        <v>12000</v>
      </c>
      <c r="E287" s="2"/>
      <c r="F287" s="2"/>
      <c r="G287" s="2"/>
      <c r="H287" s="2"/>
      <c r="I287" s="2"/>
      <c r="J287" s="2"/>
    </row>
    <row r="288" spans="1:10" x14ac:dyDescent="0.25">
      <c r="C288" s="2"/>
      <c r="D288" s="2"/>
      <c r="E288" s="2"/>
      <c r="F288" s="2"/>
      <c r="G288" s="2"/>
      <c r="H288" s="2"/>
      <c r="I288" s="2"/>
      <c r="J288" s="2"/>
    </row>
    <row r="289" spans="1:10" ht="13.8" x14ac:dyDescent="0.3">
      <c r="A289" s="193" t="s">
        <v>426</v>
      </c>
      <c r="C289" s="2"/>
      <c r="D289" s="2"/>
      <c r="E289" s="2">
        <v>0</v>
      </c>
      <c r="F289" s="2">
        <v>1000</v>
      </c>
      <c r="G289" s="2">
        <v>4000</v>
      </c>
      <c r="H289" s="2">
        <v>4000</v>
      </c>
      <c r="I289" s="2"/>
      <c r="J289" s="2"/>
    </row>
    <row r="290" spans="1:10" x14ac:dyDescent="0.25">
      <c r="A290" s="23" t="s">
        <v>1141</v>
      </c>
      <c r="C290" s="2"/>
      <c r="D290" s="2"/>
      <c r="E290" s="2"/>
      <c r="F290" s="2"/>
      <c r="G290" s="2"/>
      <c r="H290" s="2"/>
    </row>
    <row r="291" spans="1:10" x14ac:dyDescent="0.25">
      <c r="A291" s="191" t="s">
        <v>1142</v>
      </c>
      <c r="C291" s="2"/>
      <c r="D291" s="2">
        <v>4000</v>
      </c>
      <c r="E291" s="2"/>
      <c r="G291" s="2"/>
      <c r="H291" s="2"/>
    </row>
    <row r="292" spans="1:10" x14ac:dyDescent="0.25">
      <c r="C292" s="18"/>
      <c r="D292" s="2"/>
      <c r="E292" s="2"/>
    </row>
    <row r="293" spans="1:10" ht="13.8" x14ac:dyDescent="0.3">
      <c r="A293" s="193" t="s">
        <v>255</v>
      </c>
      <c r="C293" s="2"/>
      <c r="D293" s="2"/>
      <c r="E293" s="2">
        <v>2801</v>
      </c>
      <c r="F293" s="2">
        <v>4900</v>
      </c>
      <c r="G293" s="2">
        <v>4900</v>
      </c>
      <c r="H293" s="2">
        <v>4900</v>
      </c>
      <c r="I293" s="2"/>
      <c r="J293" s="2"/>
    </row>
    <row r="294" spans="1:10" x14ac:dyDescent="0.25">
      <c r="A294" s="6" t="s">
        <v>1694</v>
      </c>
      <c r="B294" s="6"/>
      <c r="C294" s="2"/>
      <c r="D294" s="2">
        <v>4900</v>
      </c>
      <c r="E294" s="2"/>
      <c r="F294" s="2"/>
      <c r="G294" s="2"/>
      <c r="H294" s="2"/>
      <c r="I294" s="2"/>
      <c r="J294" s="2"/>
    </row>
    <row r="295" spans="1:10" x14ac:dyDescent="0.25">
      <c r="A295" s="6" t="s">
        <v>1786</v>
      </c>
      <c r="B295" s="6"/>
      <c r="C295" s="2"/>
      <c r="D295" s="2"/>
      <c r="E295" s="2"/>
      <c r="F295" s="2"/>
      <c r="G295" s="2"/>
      <c r="H295" s="2"/>
      <c r="I295" s="2"/>
      <c r="J295" s="2"/>
    </row>
    <row r="296" spans="1:10" x14ac:dyDescent="0.25">
      <c r="A296" s="6"/>
      <c r="B296" s="6"/>
      <c r="C296" s="2"/>
      <c r="D296" s="2"/>
      <c r="E296" s="2"/>
      <c r="F296" s="2"/>
      <c r="G296" s="2"/>
      <c r="H296" s="2"/>
      <c r="I296" s="2"/>
      <c r="J296" s="2"/>
    </row>
    <row r="297" spans="1:10" ht="13.8" x14ac:dyDescent="0.3">
      <c r="A297" s="193" t="s">
        <v>629</v>
      </c>
      <c r="C297" s="2"/>
      <c r="D297" s="8" t="s">
        <v>386</v>
      </c>
      <c r="E297" s="2">
        <v>30060</v>
      </c>
      <c r="F297" s="2">
        <v>0</v>
      </c>
      <c r="G297" s="2"/>
      <c r="H297" s="2"/>
      <c r="I297" s="2"/>
      <c r="J297" s="2"/>
    </row>
    <row r="298" spans="1:10" x14ac:dyDescent="0.25">
      <c r="A298" s="6" t="s">
        <v>1695</v>
      </c>
      <c r="C298" s="2"/>
      <c r="D298" s="8">
        <v>0</v>
      </c>
      <c r="E298" s="2"/>
      <c r="F298" s="2"/>
      <c r="G298" s="2"/>
      <c r="H298" s="2"/>
      <c r="I298" s="2"/>
      <c r="J298" s="2"/>
    </row>
    <row r="299" spans="1:10" x14ac:dyDescent="0.25">
      <c r="C299" s="8"/>
      <c r="D299" s="2"/>
      <c r="E299" s="2"/>
      <c r="F299" s="2"/>
      <c r="G299" s="2"/>
      <c r="H299" s="2"/>
      <c r="I299" s="2"/>
      <c r="J299" s="2"/>
    </row>
    <row r="300" spans="1:10" ht="13.8" x14ac:dyDescent="0.3">
      <c r="A300" s="193" t="s">
        <v>1719</v>
      </c>
      <c r="C300" s="8"/>
      <c r="D300" s="2"/>
      <c r="E300" s="2">
        <v>18039</v>
      </c>
      <c r="F300" s="2">
        <v>3500</v>
      </c>
      <c r="G300" s="2">
        <v>0</v>
      </c>
      <c r="H300" s="2">
        <v>0</v>
      </c>
      <c r="I300" s="2"/>
      <c r="J300" s="2"/>
    </row>
    <row r="301" spans="1:10" x14ac:dyDescent="0.25">
      <c r="C301" s="8"/>
      <c r="D301" s="35">
        <v>0</v>
      </c>
      <c r="E301" s="2"/>
      <c r="F301" s="2"/>
      <c r="G301" s="2"/>
      <c r="H301" s="2"/>
      <c r="I301" s="2"/>
      <c r="J301" s="2"/>
    </row>
    <row r="302" spans="1:10" x14ac:dyDescent="0.25">
      <c r="C302" s="8"/>
      <c r="D302" s="2">
        <f>SUM(D301:D301)</f>
        <v>0</v>
      </c>
      <c r="E302" s="2"/>
      <c r="F302" s="2"/>
      <c r="G302" s="2"/>
      <c r="H302" s="2"/>
      <c r="I302" s="2"/>
      <c r="J302" s="2"/>
    </row>
    <row r="303" spans="1:10" x14ac:dyDescent="0.25">
      <c r="C303" s="8"/>
      <c r="D303" s="2"/>
      <c r="E303" s="2"/>
      <c r="F303" s="2"/>
      <c r="G303" s="2"/>
      <c r="H303" s="2"/>
      <c r="I303" s="2"/>
      <c r="J303" s="2"/>
    </row>
    <row r="304" spans="1:10" ht="13.8" x14ac:dyDescent="0.3">
      <c r="A304" s="193" t="s">
        <v>1708</v>
      </c>
      <c r="C304" s="2"/>
      <c r="D304" s="8" t="s">
        <v>386</v>
      </c>
      <c r="E304" s="2">
        <v>983665</v>
      </c>
      <c r="F304" s="2">
        <v>750000</v>
      </c>
      <c r="G304" s="2">
        <v>800000</v>
      </c>
      <c r="H304" s="2">
        <v>800000</v>
      </c>
      <c r="I304" s="2"/>
      <c r="J304" s="2"/>
    </row>
    <row r="305" spans="1:10" x14ac:dyDescent="0.25">
      <c r="A305" s="191" t="s">
        <v>209</v>
      </c>
      <c r="B305" s="2"/>
      <c r="D305" s="2">
        <v>675000</v>
      </c>
      <c r="E305" s="2"/>
      <c r="F305" s="2"/>
      <c r="G305" s="2"/>
      <c r="H305" s="2"/>
      <c r="I305" s="2"/>
      <c r="J305" s="2"/>
    </row>
    <row r="306" spans="1:10" ht="15" x14ac:dyDescent="0.4">
      <c r="A306" s="191" t="s">
        <v>58</v>
      </c>
      <c r="B306" s="2"/>
      <c r="D306" s="11">
        <v>125000</v>
      </c>
      <c r="E306" s="2"/>
      <c r="F306" s="2"/>
      <c r="G306" s="2"/>
      <c r="H306" s="2"/>
      <c r="I306" s="2"/>
      <c r="J306" s="2"/>
    </row>
    <row r="307" spans="1:10" x14ac:dyDescent="0.25">
      <c r="A307" s="191" t="s">
        <v>1182</v>
      </c>
      <c r="B307" s="2"/>
      <c r="D307" s="2">
        <f>SUM(D305:D306)</f>
        <v>800000</v>
      </c>
      <c r="E307" s="2"/>
      <c r="F307" s="2"/>
      <c r="G307" s="2"/>
      <c r="H307" s="2"/>
      <c r="I307" s="2"/>
      <c r="J307" s="2"/>
    </row>
    <row r="308" spans="1:10" x14ac:dyDescent="0.25">
      <c r="B308" s="2"/>
      <c r="D308" s="2"/>
      <c r="E308" s="2"/>
      <c r="F308" s="2"/>
      <c r="G308" s="2"/>
      <c r="H308" s="2"/>
      <c r="I308" s="2"/>
      <c r="J308" s="2"/>
    </row>
    <row r="309" spans="1:10" ht="13.8" x14ac:dyDescent="0.3">
      <c r="A309" s="193" t="s">
        <v>731</v>
      </c>
      <c r="C309" s="2"/>
      <c r="D309" s="2"/>
      <c r="E309" s="2">
        <v>12665</v>
      </c>
      <c r="F309" s="2">
        <v>12000</v>
      </c>
      <c r="G309" s="2">
        <v>65000</v>
      </c>
      <c r="H309" s="2">
        <v>53000</v>
      </c>
      <c r="I309" s="2"/>
      <c r="J309" s="2"/>
    </row>
    <row r="310" spans="1:10" ht="15" x14ac:dyDescent="0.4">
      <c r="A310" s="43" t="s">
        <v>1906</v>
      </c>
      <c r="B310" s="11"/>
      <c r="C310" s="11"/>
      <c r="D310" s="3">
        <v>3500</v>
      </c>
      <c r="E310" s="2"/>
      <c r="F310" s="2"/>
      <c r="G310" s="2"/>
      <c r="H310" s="2"/>
      <c r="I310" s="2"/>
      <c r="J310" s="2"/>
    </row>
    <row r="311" spans="1:10" ht="15" x14ac:dyDescent="0.4">
      <c r="A311" s="43" t="s">
        <v>2130</v>
      </c>
      <c r="B311" s="11"/>
      <c r="C311" s="11"/>
      <c r="D311" s="3">
        <v>0</v>
      </c>
      <c r="E311" s="2"/>
      <c r="F311" s="2"/>
      <c r="G311" s="2"/>
      <c r="H311" s="2"/>
      <c r="I311" s="2"/>
      <c r="J311" s="2"/>
    </row>
    <row r="312" spans="1:10" ht="15" x14ac:dyDescent="0.4">
      <c r="A312" s="43" t="s">
        <v>2132</v>
      </c>
      <c r="B312" s="11"/>
      <c r="C312" s="11"/>
      <c r="D312" s="3">
        <v>16000</v>
      </c>
      <c r="E312" s="2"/>
      <c r="F312" s="2"/>
      <c r="G312" s="2"/>
      <c r="H312" s="2"/>
      <c r="I312" s="2"/>
      <c r="J312" s="2"/>
    </row>
    <row r="313" spans="1:10" ht="15" x14ac:dyDescent="0.4">
      <c r="A313" s="43" t="s">
        <v>2133</v>
      </c>
      <c r="B313" s="11"/>
      <c r="C313" s="11"/>
      <c r="D313" s="3">
        <v>25000</v>
      </c>
      <c r="E313" s="2"/>
      <c r="F313" s="2"/>
      <c r="G313" s="2"/>
      <c r="H313" s="2"/>
      <c r="I313" s="2"/>
      <c r="J313" s="2"/>
    </row>
    <row r="314" spans="1:10" ht="15" x14ac:dyDescent="0.4">
      <c r="A314" s="43" t="s">
        <v>2131</v>
      </c>
      <c r="B314" s="11"/>
      <c r="C314" s="11"/>
      <c r="D314" s="31">
        <v>8500</v>
      </c>
      <c r="E314" s="2"/>
      <c r="F314" s="2"/>
      <c r="G314" s="2"/>
      <c r="H314" s="2"/>
      <c r="I314" s="2"/>
      <c r="J314" s="2"/>
    </row>
    <row r="315" spans="1:10" x14ac:dyDescent="0.25">
      <c r="A315" s="43"/>
      <c r="B315" s="2"/>
      <c r="C315" s="2"/>
      <c r="D315" s="2">
        <f>SUM(D310:D314)</f>
        <v>53000</v>
      </c>
      <c r="E315" s="2"/>
      <c r="F315" s="2"/>
      <c r="G315" s="2"/>
      <c r="H315" s="2"/>
      <c r="I315" s="2"/>
      <c r="J315" s="2"/>
    </row>
    <row r="316" spans="1:10" x14ac:dyDescent="0.25">
      <c r="A316" s="23"/>
      <c r="C316" s="2"/>
      <c r="D316" s="2"/>
      <c r="E316" s="2"/>
      <c r="F316" s="2"/>
      <c r="G316" s="2"/>
      <c r="H316" s="2"/>
      <c r="I316" s="2"/>
      <c r="J316" s="2"/>
    </row>
    <row r="317" spans="1:10" ht="13.8" x14ac:dyDescent="0.3">
      <c r="A317" s="193" t="s">
        <v>732</v>
      </c>
      <c r="B317" s="117" t="s">
        <v>1715</v>
      </c>
      <c r="C317" s="117" t="s">
        <v>1766</v>
      </c>
      <c r="D317" s="117" t="s">
        <v>1985</v>
      </c>
      <c r="E317" s="2">
        <v>960000</v>
      </c>
      <c r="F317" s="2">
        <v>990000</v>
      </c>
      <c r="G317" s="2">
        <v>1030000</v>
      </c>
      <c r="H317" s="2">
        <v>1005000</v>
      </c>
      <c r="I317" s="2"/>
      <c r="J317" s="2"/>
    </row>
    <row r="318" spans="1:10" x14ac:dyDescent="0.25">
      <c r="A318" s="191" t="s">
        <v>1023</v>
      </c>
      <c r="B318" s="2">
        <v>300000</v>
      </c>
      <c r="C318" s="2">
        <v>325000</v>
      </c>
      <c r="D318" s="2">
        <v>400000</v>
      </c>
      <c r="F318" s="2"/>
      <c r="G318" s="2"/>
      <c r="H318" s="2"/>
      <c r="I318" s="2"/>
      <c r="J318" s="2"/>
    </row>
    <row r="319" spans="1:10" x14ac:dyDescent="0.25">
      <c r="A319" s="191" t="s">
        <v>1698</v>
      </c>
      <c r="B319" s="2">
        <v>10000</v>
      </c>
      <c r="C319" s="2">
        <v>15000</v>
      </c>
      <c r="D319" s="2">
        <v>5000</v>
      </c>
      <c r="F319" s="2"/>
      <c r="G319" s="2"/>
      <c r="H319" s="2"/>
      <c r="I319" s="2"/>
      <c r="J319" s="2"/>
    </row>
    <row r="320" spans="1:10" x14ac:dyDescent="0.25">
      <c r="A320" s="191" t="s">
        <v>752</v>
      </c>
      <c r="B320" s="2">
        <v>50000</v>
      </c>
      <c r="C320" s="2">
        <v>50000</v>
      </c>
      <c r="D320" s="2">
        <v>50000</v>
      </c>
      <c r="F320" s="2"/>
      <c r="G320" s="2"/>
      <c r="H320" s="2"/>
      <c r="I320" s="119"/>
      <c r="J320" s="119"/>
    </row>
    <row r="321" spans="1:10" ht="15" x14ac:dyDescent="0.4">
      <c r="A321" s="191" t="s">
        <v>1709</v>
      </c>
      <c r="B321" s="11">
        <v>600000</v>
      </c>
      <c r="C321" s="18">
        <v>600000</v>
      </c>
      <c r="D321" s="18">
        <v>550000</v>
      </c>
      <c r="F321" s="2"/>
      <c r="G321" s="2"/>
      <c r="H321" s="2"/>
      <c r="I321" s="119"/>
      <c r="J321" s="119"/>
    </row>
    <row r="322" spans="1:10" x14ac:dyDescent="0.25">
      <c r="A322" s="191" t="s">
        <v>1182</v>
      </c>
      <c r="B322" s="2">
        <f>SUM(B318:B321)</f>
        <v>960000</v>
      </c>
      <c r="C322" s="2">
        <f>SUM(C318:C321)</f>
        <v>990000</v>
      </c>
      <c r="D322" s="2">
        <f>SUM(D318:D321)</f>
        <v>1005000</v>
      </c>
      <c r="F322" s="2"/>
      <c r="G322" s="2"/>
      <c r="H322" s="2"/>
      <c r="I322" s="119"/>
      <c r="J322" s="119"/>
    </row>
    <row r="323" spans="1:10" ht="15" x14ac:dyDescent="0.4">
      <c r="B323" s="2"/>
      <c r="C323" s="2"/>
      <c r="D323" s="2"/>
      <c r="F323" s="119"/>
      <c r="G323" s="2"/>
      <c r="H323" s="2"/>
      <c r="I323" s="11"/>
      <c r="J323" s="11"/>
    </row>
    <row r="324" spans="1:10" ht="13.8" x14ac:dyDescent="0.3">
      <c r="A324" s="193" t="s">
        <v>1256</v>
      </c>
      <c r="B324" s="117" t="s">
        <v>1715</v>
      </c>
      <c r="C324" s="117" t="s">
        <v>1766</v>
      </c>
      <c r="D324" s="117" t="s">
        <v>1985</v>
      </c>
      <c r="E324" s="2">
        <v>1552092</v>
      </c>
      <c r="F324" s="119">
        <v>2359040</v>
      </c>
      <c r="G324" s="2">
        <v>859000</v>
      </c>
      <c r="H324" s="2">
        <v>859000</v>
      </c>
      <c r="I324" s="2">
        <v>0</v>
      </c>
      <c r="J324" s="2">
        <v>0</v>
      </c>
    </row>
    <row r="325" spans="1:10" ht="15" x14ac:dyDescent="0.4">
      <c r="A325" s="42" t="s">
        <v>100</v>
      </c>
      <c r="B325" s="2">
        <v>100000</v>
      </c>
      <c r="C325" s="2">
        <v>200000</v>
      </c>
      <c r="D325" s="2">
        <v>200000</v>
      </c>
      <c r="E325" s="11"/>
      <c r="F325" s="119"/>
      <c r="G325" s="2"/>
      <c r="H325" s="2"/>
      <c r="I325" s="2"/>
      <c r="J325" s="2"/>
    </row>
    <row r="326" spans="1:10" ht="15" x14ac:dyDescent="0.4">
      <c r="A326" s="42" t="s">
        <v>1927</v>
      </c>
      <c r="B326" s="2"/>
      <c r="C326" s="2">
        <v>150000</v>
      </c>
      <c r="D326" s="2"/>
      <c r="E326" s="11"/>
      <c r="F326" s="11"/>
      <c r="G326" s="2"/>
      <c r="H326" s="2"/>
      <c r="I326" s="2"/>
      <c r="J326" s="2"/>
    </row>
    <row r="327" spans="1:10" ht="15" x14ac:dyDescent="0.4">
      <c r="A327" s="43" t="s">
        <v>1975</v>
      </c>
      <c r="B327" s="2">
        <v>2727500</v>
      </c>
      <c r="C327" s="2">
        <v>1129040</v>
      </c>
      <c r="D327" s="2"/>
      <c r="E327" s="11"/>
      <c r="F327" s="11"/>
      <c r="G327" s="2"/>
      <c r="H327" s="2"/>
      <c r="I327" s="2"/>
      <c r="J327" s="2"/>
    </row>
    <row r="328" spans="1:10" ht="15" x14ac:dyDescent="0.4">
      <c r="A328" s="42" t="s">
        <v>1928</v>
      </c>
      <c r="B328" s="2"/>
      <c r="C328" s="2">
        <v>300000</v>
      </c>
      <c r="D328" s="2"/>
      <c r="E328" s="11"/>
      <c r="F328" s="11"/>
      <c r="G328" s="2"/>
      <c r="H328" s="2"/>
      <c r="I328" s="2"/>
      <c r="J328" s="2"/>
    </row>
    <row r="329" spans="1:10" ht="15" x14ac:dyDescent="0.4">
      <c r="A329" s="43" t="s">
        <v>1660</v>
      </c>
      <c r="B329" s="47"/>
      <c r="C329" s="47"/>
      <c r="D329" s="47"/>
      <c r="E329" s="11"/>
      <c r="F329" s="2"/>
      <c r="G329" s="47"/>
      <c r="H329" s="47"/>
      <c r="I329" s="47"/>
      <c r="J329" s="47"/>
    </row>
    <row r="330" spans="1:10" ht="15" x14ac:dyDescent="0.4">
      <c r="A330" s="43" t="s">
        <v>1978</v>
      </c>
      <c r="B330" s="47"/>
      <c r="C330" s="47">
        <v>67000</v>
      </c>
      <c r="D330" s="47"/>
      <c r="E330" s="11"/>
      <c r="F330" s="2"/>
      <c r="G330" s="47"/>
      <c r="H330" s="47"/>
      <c r="I330" s="47"/>
      <c r="J330" s="47"/>
    </row>
    <row r="331" spans="1:10" ht="15" x14ac:dyDescent="0.4">
      <c r="A331" s="43" t="s">
        <v>1940</v>
      </c>
      <c r="B331" s="47">
        <v>586000</v>
      </c>
      <c r="C331" s="47"/>
      <c r="D331" s="47"/>
      <c r="E331" s="11"/>
      <c r="F331" s="2"/>
      <c r="G331" s="47"/>
      <c r="H331" s="47"/>
      <c r="I331" s="47"/>
      <c r="J331" s="47"/>
    </row>
    <row r="332" spans="1:10" ht="15" x14ac:dyDescent="0.4">
      <c r="A332" s="43" t="s">
        <v>1976</v>
      </c>
      <c r="B332" s="47"/>
      <c r="C332" s="47">
        <v>105000</v>
      </c>
      <c r="D332" s="47"/>
      <c r="E332" s="11"/>
      <c r="F332" s="2"/>
      <c r="G332" s="47"/>
      <c r="H332" s="47"/>
      <c r="I332" s="47"/>
      <c r="J332" s="47"/>
    </row>
    <row r="333" spans="1:10" ht="15" x14ac:dyDescent="0.4">
      <c r="A333" s="43" t="s">
        <v>2134</v>
      </c>
      <c r="B333" s="2"/>
      <c r="C333" s="2"/>
      <c r="D333" s="2">
        <v>50000</v>
      </c>
      <c r="E333" s="11"/>
      <c r="F333" s="2"/>
      <c r="G333" s="2"/>
      <c r="H333" s="2"/>
      <c r="I333" s="2"/>
      <c r="J333" s="2"/>
    </row>
    <row r="334" spans="1:10" ht="15" x14ac:dyDescent="0.4">
      <c r="A334" s="43" t="s">
        <v>2135</v>
      </c>
      <c r="B334" s="2"/>
      <c r="C334" s="2"/>
      <c r="D334" s="2">
        <v>100000</v>
      </c>
      <c r="E334" s="11"/>
      <c r="F334" s="2"/>
      <c r="G334" s="2"/>
      <c r="H334" s="2"/>
      <c r="I334" s="2"/>
      <c r="J334" s="2"/>
    </row>
    <row r="335" spans="1:10" ht="15" x14ac:dyDescent="0.4">
      <c r="A335" s="43" t="s">
        <v>2136</v>
      </c>
      <c r="B335" s="2"/>
      <c r="C335" s="2"/>
      <c r="D335" s="2">
        <v>50000</v>
      </c>
      <c r="E335" s="11"/>
      <c r="F335" s="2"/>
      <c r="G335" s="2"/>
      <c r="H335" s="2"/>
      <c r="I335" s="2"/>
      <c r="J335" s="2"/>
    </row>
    <row r="336" spans="1:10" ht="15" x14ac:dyDescent="0.4">
      <c r="A336" s="43" t="s">
        <v>2137</v>
      </c>
      <c r="B336" s="2"/>
      <c r="C336" s="2"/>
      <c r="D336" s="2">
        <v>29000</v>
      </c>
      <c r="E336" s="11"/>
      <c r="F336" s="2"/>
      <c r="G336" s="2"/>
      <c r="H336" s="2"/>
      <c r="I336" s="2"/>
      <c r="J336" s="2"/>
    </row>
    <row r="337" spans="1:10" ht="15" x14ac:dyDescent="0.4">
      <c r="A337" s="43" t="s">
        <v>2138</v>
      </c>
      <c r="B337" s="2"/>
      <c r="C337" s="2"/>
      <c r="D337" s="2">
        <v>35000</v>
      </c>
      <c r="E337" s="11"/>
      <c r="F337" s="2"/>
      <c r="G337" s="2"/>
      <c r="H337" s="2"/>
      <c r="I337" s="2"/>
      <c r="J337" s="2"/>
    </row>
    <row r="338" spans="1:10" ht="15" x14ac:dyDescent="0.4">
      <c r="A338" s="43" t="s">
        <v>2139</v>
      </c>
      <c r="B338" s="2"/>
      <c r="C338" s="2"/>
      <c r="D338" s="2">
        <v>180000</v>
      </c>
      <c r="E338" s="11"/>
      <c r="F338" s="2"/>
      <c r="G338" s="2"/>
      <c r="H338" s="2"/>
      <c r="I338" s="2"/>
      <c r="J338" s="2"/>
    </row>
    <row r="339" spans="1:10" ht="15" x14ac:dyDescent="0.4">
      <c r="A339" s="43" t="s">
        <v>2140</v>
      </c>
      <c r="B339" s="2"/>
      <c r="C339" s="2"/>
      <c r="D339" s="2">
        <v>180000</v>
      </c>
      <c r="E339" s="11"/>
      <c r="F339" s="2"/>
      <c r="G339" s="2"/>
      <c r="H339" s="2"/>
      <c r="I339" s="2"/>
      <c r="J339" s="2"/>
    </row>
    <row r="340" spans="1:10" ht="15" x14ac:dyDescent="0.4">
      <c r="A340" s="43" t="s">
        <v>2153</v>
      </c>
      <c r="B340" s="2"/>
      <c r="C340" s="2"/>
      <c r="D340" s="2">
        <v>35000</v>
      </c>
      <c r="E340" s="11"/>
      <c r="F340" s="2"/>
      <c r="G340" s="2"/>
      <c r="H340" s="2"/>
      <c r="I340" s="2"/>
      <c r="J340" s="2"/>
    </row>
    <row r="341" spans="1:10" ht="15" x14ac:dyDescent="0.4">
      <c r="A341" s="43" t="s">
        <v>1907</v>
      </c>
      <c r="B341" s="2"/>
      <c r="C341" s="2">
        <v>170000</v>
      </c>
      <c r="D341" s="2"/>
      <c r="E341" s="11"/>
      <c r="F341" s="2"/>
      <c r="G341" s="11"/>
      <c r="H341" s="11"/>
      <c r="I341" s="11"/>
      <c r="J341" s="11"/>
    </row>
    <row r="342" spans="1:10" ht="15" x14ac:dyDescent="0.4">
      <c r="A342" s="43" t="s">
        <v>1908</v>
      </c>
      <c r="B342" s="2"/>
      <c r="C342" s="2">
        <v>170000</v>
      </c>
      <c r="D342" s="2"/>
      <c r="E342" s="11"/>
      <c r="F342" s="2"/>
      <c r="G342" s="11"/>
      <c r="H342" s="11"/>
      <c r="I342" s="11"/>
      <c r="J342" s="11"/>
    </row>
    <row r="343" spans="1:10" x14ac:dyDescent="0.25">
      <c r="A343" s="43" t="s">
        <v>1749</v>
      </c>
      <c r="B343" s="2">
        <v>170000</v>
      </c>
      <c r="C343" s="2"/>
      <c r="D343" s="2"/>
      <c r="E343" s="2"/>
      <c r="F343" s="2"/>
      <c r="G343" s="2"/>
      <c r="H343" s="2"/>
      <c r="I343" s="2"/>
      <c r="J343" s="2"/>
    </row>
    <row r="344" spans="1:10" x14ac:dyDescent="0.25">
      <c r="A344" s="43" t="s">
        <v>1492</v>
      </c>
      <c r="B344" s="2">
        <v>125000</v>
      </c>
      <c r="C344" s="2"/>
      <c r="D344" s="2"/>
      <c r="E344" s="2"/>
      <c r="G344" s="2"/>
      <c r="H344" s="2"/>
      <c r="I344" s="2"/>
      <c r="J344" s="2"/>
    </row>
    <row r="345" spans="1:10" x14ac:dyDescent="0.25">
      <c r="A345" s="43" t="s">
        <v>1696</v>
      </c>
      <c r="B345" s="2"/>
      <c r="C345" s="2"/>
      <c r="D345" s="2"/>
      <c r="E345" s="2"/>
      <c r="G345" s="2"/>
      <c r="H345" s="2"/>
      <c r="I345" s="2"/>
      <c r="J345" s="2"/>
    </row>
    <row r="346" spans="1:10" x14ac:dyDescent="0.25">
      <c r="A346" s="43" t="s">
        <v>1697</v>
      </c>
      <c r="B346" s="2"/>
      <c r="C346" s="2"/>
      <c r="D346" s="2"/>
      <c r="E346" s="2"/>
      <c r="G346" s="2"/>
      <c r="H346" s="2"/>
      <c r="I346" s="2"/>
      <c r="J346" s="2"/>
    </row>
    <row r="347" spans="1:10" x14ac:dyDescent="0.25">
      <c r="A347" s="43" t="s">
        <v>1909</v>
      </c>
      <c r="B347" s="2"/>
      <c r="C347" s="2">
        <v>15000</v>
      </c>
      <c r="D347" s="2"/>
      <c r="E347" s="2"/>
      <c r="F347" s="2"/>
      <c r="G347" s="2"/>
      <c r="H347" s="2"/>
      <c r="I347" s="2"/>
      <c r="J347" s="2"/>
    </row>
    <row r="348" spans="1:10" x14ac:dyDescent="0.25">
      <c r="A348" s="43" t="s">
        <v>1910</v>
      </c>
      <c r="B348" s="2"/>
      <c r="C348" s="2">
        <v>28000</v>
      </c>
      <c r="D348" s="2"/>
      <c r="E348" s="2"/>
      <c r="F348" s="2"/>
      <c r="G348" s="2"/>
      <c r="H348" s="2"/>
      <c r="I348" s="2"/>
      <c r="J348" s="2"/>
    </row>
    <row r="349" spans="1:10" ht="15" x14ac:dyDescent="0.4">
      <c r="A349" s="191" t="s">
        <v>1921</v>
      </c>
      <c r="B349" s="11">
        <v>0</v>
      </c>
      <c r="C349" s="11">
        <v>0</v>
      </c>
      <c r="D349" s="11">
        <v>0</v>
      </c>
      <c r="E349" s="11">
        <v>0</v>
      </c>
      <c r="F349" s="11">
        <v>0</v>
      </c>
      <c r="G349" s="11">
        <v>0</v>
      </c>
      <c r="H349" s="11">
        <v>0</v>
      </c>
      <c r="I349" s="11">
        <v>0</v>
      </c>
      <c r="J349" s="11">
        <v>0</v>
      </c>
    </row>
    <row r="350" spans="1:10" ht="15" x14ac:dyDescent="0.4">
      <c r="A350" s="43"/>
      <c r="B350" s="11"/>
      <c r="C350" s="11"/>
      <c r="D350" s="11"/>
      <c r="E350" s="2"/>
      <c r="F350" s="11"/>
      <c r="G350" s="2"/>
      <c r="H350" s="2"/>
      <c r="I350" s="2"/>
      <c r="J350" s="2"/>
    </row>
    <row r="351" spans="1:10" x14ac:dyDescent="0.25">
      <c r="A351" s="191" t="s">
        <v>1182</v>
      </c>
      <c r="B351" s="47">
        <f>SUM(B325:B349)</f>
        <v>3708500</v>
      </c>
      <c r="C351" s="47">
        <f>SUM(C325:C349)</f>
        <v>2334040</v>
      </c>
      <c r="D351" s="47">
        <f>SUM(D325:D349)</f>
        <v>859000</v>
      </c>
      <c r="E351" s="47"/>
      <c r="F351" s="47"/>
      <c r="G351" s="47"/>
      <c r="H351" s="47"/>
      <c r="I351" s="47"/>
      <c r="J351" s="47"/>
    </row>
    <row r="352" spans="1:10" ht="15" x14ac:dyDescent="0.4">
      <c r="C352" s="11"/>
      <c r="D352" s="2"/>
    </row>
    <row r="353" spans="1:10" ht="15" x14ac:dyDescent="0.4">
      <c r="C353" s="11"/>
      <c r="D353" s="2"/>
    </row>
    <row r="354" spans="1:10" x14ac:dyDescent="0.25">
      <c r="A354" s="20" t="s">
        <v>1267</v>
      </c>
      <c r="C354" s="2"/>
      <c r="D354" s="69"/>
      <c r="E354" s="2">
        <f t="shared" ref="E354:J354" si="3">SUM(E6:E349)</f>
        <v>6096702</v>
      </c>
      <c r="F354" s="2">
        <f t="shared" si="3"/>
        <v>6646294</v>
      </c>
      <c r="G354" s="2">
        <f t="shared" si="3"/>
        <v>5388758</v>
      </c>
      <c r="H354" s="2">
        <f t="shared" si="3"/>
        <v>5336535</v>
      </c>
      <c r="I354" s="2">
        <f t="shared" si="3"/>
        <v>0</v>
      </c>
      <c r="J354" s="2">
        <f t="shared" si="3"/>
        <v>0</v>
      </c>
    </row>
    <row r="355" spans="1:10" x14ac:dyDescent="0.25">
      <c r="A355" s="20"/>
      <c r="C355" s="2"/>
      <c r="D355" s="69"/>
      <c r="E355" s="2"/>
      <c r="F355" s="2"/>
      <c r="G355" s="2"/>
      <c r="H355" s="2"/>
      <c r="I355" s="2"/>
      <c r="J355" s="2"/>
    </row>
    <row r="356" spans="1:10" x14ac:dyDescent="0.25">
      <c r="A356" s="191" t="s">
        <v>571</v>
      </c>
      <c r="C356" s="69"/>
      <c r="D356" s="69"/>
      <c r="E356" s="2">
        <f t="shared" ref="E356:J356" si="4">SUM(E6:E108)</f>
        <v>1640018</v>
      </c>
      <c r="F356" s="2">
        <f t="shared" si="4"/>
        <v>1793543</v>
      </c>
      <c r="G356" s="2">
        <f t="shared" si="4"/>
        <v>1852897</v>
      </c>
      <c r="H356" s="2">
        <f t="shared" si="4"/>
        <v>1852674</v>
      </c>
      <c r="I356" s="2">
        <f t="shared" si="4"/>
        <v>0</v>
      </c>
      <c r="J356" s="2">
        <f t="shared" si="4"/>
        <v>0</v>
      </c>
    </row>
    <row r="357" spans="1:10" x14ac:dyDescent="0.25">
      <c r="A357" s="191" t="s">
        <v>895</v>
      </c>
      <c r="C357" s="69"/>
      <c r="D357" s="69"/>
      <c r="E357" s="2">
        <f t="shared" ref="E357:J357" si="5">SUM(E110:E294)</f>
        <v>900163</v>
      </c>
      <c r="F357" s="2">
        <f t="shared" si="5"/>
        <v>738211</v>
      </c>
      <c r="G357" s="2">
        <f t="shared" si="5"/>
        <v>781861</v>
      </c>
      <c r="H357" s="2">
        <f t="shared" si="5"/>
        <v>766861</v>
      </c>
      <c r="I357" s="2">
        <f t="shared" si="5"/>
        <v>0</v>
      </c>
      <c r="J357" s="2">
        <f t="shared" si="5"/>
        <v>0</v>
      </c>
    </row>
    <row r="358" spans="1:10" ht="15" x14ac:dyDescent="0.4">
      <c r="A358" s="191" t="s">
        <v>896</v>
      </c>
      <c r="E358" s="11">
        <f>SUM(E297:E326)</f>
        <v>3556521</v>
      </c>
      <c r="F358" s="11">
        <f>SUM(F297:F326)</f>
        <v>4114540</v>
      </c>
      <c r="G358" s="11">
        <f>SUM(G297:G324)</f>
        <v>2754000</v>
      </c>
      <c r="H358" s="11">
        <f>SUM(H297:H324)</f>
        <v>2717000</v>
      </c>
      <c r="I358" s="11">
        <f>SUM(I297:I324)</f>
        <v>0</v>
      </c>
      <c r="J358" s="11">
        <f>SUM(J297:J324)</f>
        <v>0</v>
      </c>
    </row>
    <row r="359" spans="1:10" x14ac:dyDescent="0.25">
      <c r="A359" s="191" t="s">
        <v>1182</v>
      </c>
      <c r="E359" s="2">
        <f t="shared" ref="E359:J359" si="6">SUM(E356:E358)</f>
        <v>6096702</v>
      </c>
      <c r="F359" s="2">
        <f t="shared" si="6"/>
        <v>6646294</v>
      </c>
      <c r="G359" s="2">
        <f t="shared" si="6"/>
        <v>5388758</v>
      </c>
      <c r="H359" s="2">
        <f t="shared" si="6"/>
        <v>5336535</v>
      </c>
      <c r="I359" s="2">
        <f t="shared" si="6"/>
        <v>0</v>
      </c>
      <c r="J359" s="2">
        <f t="shared" si="6"/>
        <v>0</v>
      </c>
    </row>
  </sheetData>
  <sortState ref="A18:D35">
    <sortCondition ref="A18:A35"/>
  </sortState>
  <mergeCells count="1">
    <mergeCell ref="A1:J1"/>
  </mergeCells>
  <phoneticPr fontId="0" type="noConversion"/>
  <printOptions gridLines="1"/>
  <pageMargins left="0.75" right="0.16" top="0.51" bottom="0.22" header="0.5" footer="0"/>
  <pageSetup scale="83" fitToHeight="25" orientation="landscape" r:id="rId1"/>
  <headerFooter alignWithMargins="0"/>
  <rowBreaks count="6" manualBreakCount="6">
    <brk id="115" max="7" man="1"/>
    <brk id="156" max="7" man="1"/>
    <brk id="199" max="7" man="1"/>
    <brk id="239" max="7" man="1"/>
    <brk id="284" max="7" man="1"/>
    <brk id="323" max="7" man="1"/>
  </rowBreaks>
  <colBreaks count="1" manualBreakCount="1">
    <brk id="8" max="358"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233"/>
  <sheetViews>
    <sheetView view="pageBreakPreview" topLeftCell="A183" zoomScaleNormal="100" zoomScaleSheetLayoutView="100" workbookViewId="0">
      <selection activeCell="D207" sqref="D207"/>
    </sheetView>
  </sheetViews>
  <sheetFormatPr defaultColWidth="8.88671875" defaultRowHeight="13.2" x14ac:dyDescent="0.25"/>
  <cols>
    <col min="1" max="1" width="50" style="191" bestFit="1" customWidth="1"/>
    <col min="2" max="2" width="8.88671875" style="191" customWidth="1"/>
    <col min="3" max="3" width="9" style="191" bestFit="1" customWidth="1"/>
    <col min="4" max="4" width="11.44140625" style="2" bestFit="1" customWidth="1"/>
    <col min="5" max="5" width="10.44140625" style="191" bestFit="1" customWidth="1"/>
    <col min="6" max="6" width="10.33203125" style="191" bestFit="1" customWidth="1"/>
    <col min="7" max="7" width="10.88671875" style="191" bestFit="1" customWidth="1"/>
    <col min="8" max="8" width="14" style="191" bestFit="1" customWidth="1"/>
    <col min="9" max="9" width="10.33203125" style="191" bestFit="1" customWidth="1"/>
    <col min="10" max="10" width="10.88671875" style="191" customWidth="1"/>
    <col min="11" max="16384" width="8.88671875" style="191"/>
  </cols>
  <sheetData>
    <row r="1" spans="1:10" x14ac:dyDescent="0.25">
      <c r="A1" s="194" t="e">
        <f>#REF!</f>
        <v>#REF!</v>
      </c>
      <c r="B1" s="195"/>
      <c r="C1" s="195"/>
      <c r="D1" s="195"/>
      <c r="E1" s="195"/>
      <c r="F1" s="195"/>
      <c r="G1" s="195"/>
      <c r="H1" s="195"/>
      <c r="I1" s="195"/>
      <c r="J1" s="195"/>
    </row>
    <row r="2" spans="1:10" ht="17.399999999999999" x14ac:dyDescent="0.3">
      <c r="A2" s="153" t="s">
        <v>1956</v>
      </c>
      <c r="B2" s="153"/>
      <c r="C2" s="153"/>
      <c r="D2" s="153"/>
      <c r="E2" s="153"/>
      <c r="F2" s="153"/>
    </row>
    <row r="3" spans="1:10" x14ac:dyDescent="0.25">
      <c r="B3" s="2"/>
      <c r="C3" s="2"/>
      <c r="E3" s="2"/>
      <c r="F3" s="2"/>
    </row>
    <row r="4" spans="1:10" x14ac:dyDescent="0.25">
      <c r="B4" s="2"/>
      <c r="C4" s="2"/>
      <c r="E4" s="167" t="s">
        <v>232</v>
      </c>
      <c r="F4" s="167" t="s">
        <v>233</v>
      </c>
      <c r="G4" s="167" t="s">
        <v>69</v>
      </c>
      <c r="H4" s="167" t="s">
        <v>399</v>
      </c>
      <c r="I4" s="16" t="s">
        <v>303</v>
      </c>
      <c r="J4" s="16" t="s">
        <v>336</v>
      </c>
    </row>
    <row r="5" spans="1:10" ht="15" x14ac:dyDescent="0.4">
      <c r="B5" s="2"/>
      <c r="C5" s="2"/>
      <c r="E5" s="192" t="s">
        <v>1715</v>
      </c>
      <c r="F5" s="192" t="s">
        <v>1766</v>
      </c>
      <c r="G5" s="192" t="s">
        <v>1985</v>
      </c>
      <c r="H5" s="192" t="s">
        <v>1985</v>
      </c>
      <c r="I5" s="192" t="s">
        <v>1985</v>
      </c>
      <c r="J5" s="192" t="s">
        <v>1985</v>
      </c>
    </row>
    <row r="6" spans="1:10" ht="13.8" x14ac:dyDescent="0.3">
      <c r="A6" s="193" t="s">
        <v>505</v>
      </c>
      <c r="B6" s="2"/>
      <c r="C6" s="2"/>
      <c r="E6" s="2">
        <v>105834</v>
      </c>
      <c r="F6" s="2">
        <v>107176</v>
      </c>
      <c r="G6" s="2">
        <v>110381</v>
      </c>
      <c r="H6" s="2">
        <v>110381</v>
      </c>
      <c r="I6" s="2"/>
      <c r="J6" s="2"/>
    </row>
    <row r="7" spans="1:10" x14ac:dyDescent="0.25">
      <c r="A7" s="191" t="s">
        <v>960</v>
      </c>
      <c r="B7" s="2">
        <v>52</v>
      </c>
      <c r="C7" s="2">
        <v>1244</v>
      </c>
      <c r="D7" s="2">
        <f>ROUND(B7*C7,0)</f>
        <v>64688</v>
      </c>
      <c r="E7" s="2"/>
      <c r="F7" s="2"/>
      <c r="G7" s="2"/>
      <c r="H7" s="2"/>
      <c r="I7" s="2"/>
      <c r="J7" s="2"/>
    </row>
    <row r="8" spans="1:10" x14ac:dyDescent="0.25">
      <c r="A8" s="191" t="s">
        <v>961</v>
      </c>
      <c r="B8" s="2">
        <v>52</v>
      </c>
      <c r="C8" s="2">
        <v>809</v>
      </c>
      <c r="D8" s="2">
        <f>ROUND(B8*C8,0)</f>
        <v>42068</v>
      </c>
      <c r="E8" s="2"/>
      <c r="F8" s="2"/>
      <c r="G8" s="2"/>
      <c r="H8" s="2"/>
      <c r="I8" s="2"/>
      <c r="J8" s="2"/>
    </row>
    <row r="9" spans="1:10" x14ac:dyDescent="0.25">
      <c r="A9" s="191" t="s">
        <v>898</v>
      </c>
      <c r="B9" s="2">
        <v>56</v>
      </c>
      <c r="C9" s="12">
        <f>+C7/40</f>
        <v>31.1</v>
      </c>
      <c r="D9" s="2">
        <f>ROUND(B9*C9,0)</f>
        <v>1742</v>
      </c>
      <c r="E9" s="2"/>
      <c r="F9" s="2"/>
      <c r="G9" s="2"/>
      <c r="H9" s="2"/>
      <c r="I9" s="2"/>
      <c r="J9" s="2"/>
    </row>
    <row r="10" spans="1:10" x14ac:dyDescent="0.25">
      <c r="A10" s="191" t="s">
        <v>899</v>
      </c>
      <c r="B10" s="2">
        <v>56</v>
      </c>
      <c r="C10" s="12">
        <f>+C8/40</f>
        <v>20.225000000000001</v>
      </c>
      <c r="D10" s="2">
        <f>ROUND(B10*C10,0)</f>
        <v>1133</v>
      </c>
      <c r="E10" s="2"/>
      <c r="F10" s="2"/>
      <c r="G10" s="2"/>
      <c r="H10" s="2"/>
      <c r="I10" s="2"/>
      <c r="J10" s="2"/>
    </row>
    <row r="11" spans="1:10" ht="15" x14ac:dyDescent="0.4">
      <c r="A11" s="191" t="s">
        <v>912</v>
      </c>
      <c r="B11" s="2"/>
      <c r="C11" s="2"/>
      <c r="D11" s="11">
        <v>750</v>
      </c>
      <c r="E11" s="2"/>
      <c r="F11" s="2"/>
      <c r="G11" s="2"/>
      <c r="H11" s="2"/>
      <c r="I11" s="2"/>
      <c r="J11" s="2"/>
    </row>
    <row r="12" spans="1:10" x14ac:dyDescent="0.25">
      <c r="A12" s="191" t="s">
        <v>1182</v>
      </c>
      <c r="B12" s="2"/>
      <c r="C12" s="2"/>
      <c r="D12" s="2">
        <f>SUM(D7:D11)</f>
        <v>110381</v>
      </c>
      <c r="E12" s="2"/>
      <c r="F12" s="2"/>
      <c r="G12" s="2"/>
      <c r="H12" s="2"/>
      <c r="I12" s="2"/>
      <c r="J12" s="2"/>
    </row>
    <row r="13" spans="1:10" x14ac:dyDescent="0.25">
      <c r="B13" s="2"/>
      <c r="C13" s="2"/>
      <c r="E13" s="2"/>
      <c r="F13" s="2"/>
      <c r="G13" s="2"/>
      <c r="H13" s="2"/>
      <c r="I13" s="2"/>
      <c r="J13" s="2"/>
    </row>
    <row r="14" spans="1:10" ht="13.8" x14ac:dyDescent="0.3">
      <c r="A14" s="193" t="s">
        <v>506</v>
      </c>
      <c r="B14" s="2"/>
      <c r="C14" s="2"/>
      <c r="D14" s="2">
        <f t="shared" ref="D14:D20" si="0">ROUND(B14*C14,0)</f>
        <v>0</v>
      </c>
      <c r="E14" s="2">
        <v>167769</v>
      </c>
      <c r="F14" s="2">
        <v>180071</v>
      </c>
      <c r="G14" s="2">
        <v>187921</v>
      </c>
      <c r="H14" s="2">
        <v>187921</v>
      </c>
      <c r="I14" s="2"/>
      <c r="J14" s="2"/>
    </row>
    <row r="15" spans="1:10" x14ac:dyDescent="0.25">
      <c r="A15" s="172" t="s">
        <v>962</v>
      </c>
      <c r="B15" s="186">
        <v>52</v>
      </c>
      <c r="C15" s="187">
        <v>809</v>
      </c>
      <c r="D15" s="2">
        <f t="shared" si="0"/>
        <v>42068</v>
      </c>
      <c r="E15" s="2"/>
      <c r="F15" s="2"/>
      <c r="G15" s="2"/>
      <c r="H15" s="2"/>
      <c r="I15" s="2"/>
      <c r="J15" s="2"/>
    </row>
    <row r="16" spans="1:10" x14ac:dyDescent="0.25">
      <c r="A16" s="172" t="s">
        <v>1297</v>
      </c>
      <c r="B16" s="186">
        <v>52</v>
      </c>
      <c r="C16" s="187">
        <v>946</v>
      </c>
      <c r="D16" s="2">
        <f t="shared" si="0"/>
        <v>49192</v>
      </c>
      <c r="E16" s="2"/>
      <c r="F16" s="2"/>
      <c r="G16" s="2"/>
      <c r="H16" s="2"/>
      <c r="I16" s="2"/>
      <c r="J16" s="2"/>
    </row>
    <row r="17" spans="1:10" x14ac:dyDescent="0.25">
      <c r="A17" s="172" t="s">
        <v>962</v>
      </c>
      <c r="B17" s="186">
        <v>52</v>
      </c>
      <c r="C17" s="187">
        <v>809</v>
      </c>
      <c r="D17" s="2">
        <f t="shared" si="0"/>
        <v>42068</v>
      </c>
      <c r="E17" s="2"/>
      <c r="F17" s="2"/>
      <c r="G17" s="2"/>
      <c r="H17" s="2"/>
      <c r="I17" s="2"/>
      <c r="J17" s="2"/>
    </row>
    <row r="18" spans="1:10" x14ac:dyDescent="0.25">
      <c r="A18" s="172" t="s">
        <v>1297</v>
      </c>
      <c r="B18" s="186">
        <v>52</v>
      </c>
      <c r="C18" s="187">
        <v>913</v>
      </c>
      <c r="D18" s="2">
        <f t="shared" si="0"/>
        <v>47476</v>
      </c>
      <c r="E18" s="2"/>
      <c r="F18" s="2"/>
      <c r="G18" s="2"/>
      <c r="H18" s="2"/>
      <c r="I18" s="2"/>
      <c r="J18" s="2"/>
    </row>
    <row r="19" spans="1:10" x14ac:dyDescent="0.25">
      <c r="A19" s="191" t="s">
        <v>665</v>
      </c>
      <c r="B19" s="2">
        <v>1664</v>
      </c>
      <c r="C19" s="12">
        <v>0.75</v>
      </c>
      <c r="D19" s="2">
        <f t="shared" si="0"/>
        <v>1248</v>
      </c>
      <c r="E19" s="2"/>
      <c r="F19" s="2"/>
      <c r="G19" s="2"/>
      <c r="H19" s="2"/>
      <c r="I19" s="2"/>
      <c r="J19" s="2"/>
    </row>
    <row r="20" spans="1:10" x14ac:dyDescent="0.25">
      <c r="A20" s="191" t="s">
        <v>666</v>
      </c>
      <c r="B20" s="2">
        <v>224</v>
      </c>
      <c r="C20" s="12">
        <f>SUM(C15:C19)/40/4</f>
        <v>21.735937499999999</v>
      </c>
      <c r="D20" s="2">
        <f t="shared" si="0"/>
        <v>4869</v>
      </c>
      <c r="E20" s="2"/>
      <c r="F20" s="2"/>
      <c r="G20" s="2"/>
      <c r="H20" s="2"/>
      <c r="I20" s="2"/>
      <c r="J20" s="2"/>
    </row>
    <row r="21" spans="1:10" ht="15" x14ac:dyDescent="0.4">
      <c r="A21" s="191" t="s">
        <v>912</v>
      </c>
      <c r="B21" s="2" t="s">
        <v>386</v>
      </c>
      <c r="C21" s="46" t="s">
        <v>386</v>
      </c>
      <c r="D21" s="11">
        <v>1000</v>
      </c>
      <c r="E21" s="2"/>
      <c r="F21" s="2"/>
      <c r="G21" s="2"/>
      <c r="H21" s="2"/>
      <c r="I21" s="2"/>
      <c r="J21" s="2"/>
    </row>
    <row r="22" spans="1:10" x14ac:dyDescent="0.25">
      <c r="A22" s="191" t="s">
        <v>1182</v>
      </c>
      <c r="B22" s="2"/>
      <c r="C22" s="2"/>
      <c r="D22" s="2">
        <f>SUM(D15:D21)</f>
        <v>187921</v>
      </c>
      <c r="E22" s="2"/>
      <c r="F22" s="2"/>
      <c r="G22" s="2"/>
      <c r="H22" s="2"/>
      <c r="I22" s="2"/>
      <c r="J22" s="2"/>
    </row>
    <row r="23" spans="1:10" x14ac:dyDescent="0.25">
      <c r="E23" s="2"/>
      <c r="F23" s="2"/>
      <c r="G23" s="2"/>
      <c r="H23" s="2"/>
      <c r="I23" s="2"/>
      <c r="J23" s="2"/>
    </row>
    <row r="24" spans="1:10" ht="13.8" x14ac:dyDescent="0.3">
      <c r="A24" s="193" t="s">
        <v>507</v>
      </c>
      <c r="E24" s="2">
        <v>7926</v>
      </c>
      <c r="F24" s="2">
        <v>7258</v>
      </c>
      <c r="G24" s="2">
        <v>7476</v>
      </c>
      <c r="H24" s="2">
        <v>7476</v>
      </c>
      <c r="I24" s="2"/>
      <c r="J24" s="2"/>
    </row>
    <row r="25" spans="1:10" x14ac:dyDescent="0.25">
      <c r="A25" s="191" t="s">
        <v>1493</v>
      </c>
      <c r="B25" s="2">
        <v>194.22</v>
      </c>
      <c r="C25" s="12">
        <f>+(C7+C8)/40/2*1.5</f>
        <v>38.493750000000006</v>
      </c>
      <c r="D25" s="2">
        <f>ROUND(B25*C25,0)</f>
        <v>7476</v>
      </c>
      <c r="E25" s="2"/>
      <c r="F25" s="2"/>
      <c r="G25" s="2"/>
      <c r="H25" s="2"/>
      <c r="I25" s="2"/>
      <c r="J25" s="2"/>
    </row>
    <row r="26" spans="1:10" x14ac:dyDescent="0.25">
      <c r="A26" s="191" t="s">
        <v>386</v>
      </c>
      <c r="B26" s="2"/>
      <c r="C26" s="12"/>
      <c r="E26" s="2"/>
      <c r="F26" s="2"/>
      <c r="G26" s="2"/>
      <c r="H26" s="2"/>
      <c r="I26" s="2"/>
      <c r="J26" s="2"/>
    </row>
    <row r="27" spans="1:10" ht="13.8" x14ac:dyDescent="0.3">
      <c r="A27" s="193" t="s">
        <v>1778</v>
      </c>
      <c r="E27" s="2">
        <v>12181</v>
      </c>
      <c r="F27" s="2">
        <v>12026</v>
      </c>
      <c r="G27" s="2">
        <v>12281</v>
      </c>
      <c r="H27" s="2">
        <v>12281</v>
      </c>
      <c r="I27" s="2"/>
      <c r="J27" s="2"/>
    </row>
    <row r="28" spans="1:10" x14ac:dyDescent="0.25">
      <c r="A28" s="23" t="s">
        <v>1655</v>
      </c>
      <c r="B28" s="191">
        <v>1020</v>
      </c>
      <c r="C28" s="109">
        <v>12.04</v>
      </c>
      <c r="D28" s="2">
        <f>+C28*B28</f>
        <v>12280.8</v>
      </c>
      <c r="E28" s="2"/>
    </row>
    <row r="29" spans="1:10" x14ac:dyDescent="0.25">
      <c r="B29" s="2"/>
      <c r="C29" s="12"/>
      <c r="E29" s="2"/>
      <c r="F29" s="2"/>
      <c r="G29" s="2"/>
      <c r="H29" s="2"/>
      <c r="I29" s="2"/>
      <c r="J29" s="2"/>
    </row>
    <row r="30" spans="1:10" ht="13.8" x14ac:dyDescent="0.3">
      <c r="A30" s="193" t="s">
        <v>540</v>
      </c>
      <c r="E30" s="2">
        <v>44049</v>
      </c>
      <c r="F30" s="2">
        <v>31695</v>
      </c>
      <c r="G30" s="2">
        <v>32295</v>
      </c>
      <c r="H30" s="2">
        <v>32604</v>
      </c>
      <c r="I30" s="2"/>
      <c r="J30" s="2"/>
    </row>
    <row r="31" spans="1:10" x14ac:dyDescent="0.25">
      <c r="A31" s="191" t="s">
        <v>1494</v>
      </c>
      <c r="B31" s="2" t="s">
        <v>386</v>
      </c>
      <c r="C31" s="12" t="s">
        <v>386</v>
      </c>
      <c r="D31" s="2" t="s">
        <v>386</v>
      </c>
      <c r="E31" s="2"/>
      <c r="F31" s="2"/>
      <c r="G31" s="2"/>
      <c r="H31" s="2"/>
      <c r="I31" s="2"/>
      <c r="J31" s="2"/>
    </row>
    <row r="32" spans="1:10" x14ac:dyDescent="0.25">
      <c r="A32" s="191" t="s">
        <v>678</v>
      </c>
      <c r="B32" s="2">
        <v>1000</v>
      </c>
      <c r="C32" s="12">
        <f>+C20*1.5</f>
        <v>32.603906249999994</v>
      </c>
      <c r="D32" s="2">
        <f>ROUND(B32*C32,0)</f>
        <v>32604</v>
      </c>
      <c r="E32" s="2"/>
      <c r="F32" s="2"/>
      <c r="G32" s="2"/>
      <c r="H32" s="2"/>
      <c r="I32" s="2"/>
      <c r="J32" s="2"/>
    </row>
    <row r="33" spans="1:10" ht="13.5" customHeight="1" x14ac:dyDescent="0.25">
      <c r="B33" s="2"/>
      <c r="C33" s="12"/>
      <c r="E33" s="2"/>
      <c r="F33" s="2"/>
      <c r="G33" s="2"/>
      <c r="H33" s="2"/>
      <c r="I33" s="2"/>
      <c r="J33" s="2"/>
    </row>
    <row r="34" spans="1:10" ht="13.8" x14ac:dyDescent="0.3">
      <c r="A34" s="193" t="s">
        <v>541</v>
      </c>
      <c r="E34" s="2">
        <v>25737</v>
      </c>
      <c r="F34" s="2">
        <v>25838</v>
      </c>
      <c r="G34" s="2">
        <v>26825</v>
      </c>
      <c r="H34" s="2">
        <v>26825</v>
      </c>
      <c r="I34" s="2"/>
      <c r="J34" s="2"/>
    </row>
    <row r="35" spans="1:10" hidden="1" x14ac:dyDescent="0.25">
      <c r="A35" s="13" t="s">
        <v>1406</v>
      </c>
      <c r="B35" s="2">
        <f>+D12</f>
        <v>110381</v>
      </c>
      <c r="C35" s="14">
        <v>7.6499999999999999E-2</v>
      </c>
      <c r="D35" s="2">
        <f>ROUND(B35*C35,0)</f>
        <v>8444</v>
      </c>
      <c r="E35" s="2"/>
      <c r="F35" s="2"/>
      <c r="G35" s="2"/>
      <c r="H35" s="2"/>
      <c r="I35" s="2"/>
      <c r="J35" s="2"/>
    </row>
    <row r="36" spans="1:10" hidden="1" x14ac:dyDescent="0.25">
      <c r="A36" s="13" t="s">
        <v>757</v>
      </c>
      <c r="B36" s="2">
        <f>+D22</f>
        <v>187921</v>
      </c>
      <c r="C36" s="14">
        <v>7.6499999999999999E-2</v>
      </c>
      <c r="D36" s="2">
        <f>ROUND(B36*C36,0)</f>
        <v>14376</v>
      </c>
      <c r="E36" s="2"/>
      <c r="F36" s="2"/>
      <c r="G36" s="2"/>
      <c r="H36" s="2"/>
      <c r="I36" s="2"/>
      <c r="J36" s="2"/>
    </row>
    <row r="37" spans="1:10" hidden="1" x14ac:dyDescent="0.25">
      <c r="A37" s="13" t="s">
        <v>845</v>
      </c>
      <c r="B37" s="2">
        <f>+D25</f>
        <v>7476</v>
      </c>
      <c r="C37" s="14">
        <v>7.6499999999999999E-2</v>
      </c>
      <c r="D37" s="2">
        <f>ROUND(B37*C37,0)</f>
        <v>572</v>
      </c>
      <c r="E37" s="2"/>
      <c r="F37" s="2"/>
      <c r="G37" s="2"/>
      <c r="H37" s="2"/>
      <c r="I37" s="2"/>
      <c r="J37" s="2"/>
    </row>
    <row r="38" spans="1:10" hidden="1" x14ac:dyDescent="0.25">
      <c r="A38" s="13" t="s">
        <v>183</v>
      </c>
      <c r="B38" s="2">
        <f>+D28</f>
        <v>12280.8</v>
      </c>
      <c r="C38" s="14">
        <v>7.6499999999999999E-2</v>
      </c>
      <c r="D38" s="2">
        <f>ROUND(B38*C38,0)</f>
        <v>939</v>
      </c>
      <c r="E38" s="2"/>
      <c r="F38" s="2"/>
      <c r="G38" s="2"/>
      <c r="H38" s="2"/>
      <c r="I38" s="2"/>
      <c r="J38" s="2"/>
    </row>
    <row r="39" spans="1:10" ht="15" hidden="1" x14ac:dyDescent="0.4">
      <c r="A39" s="13" t="s">
        <v>184</v>
      </c>
      <c r="B39" s="2">
        <f>+D32</f>
        <v>32604</v>
      </c>
      <c r="C39" s="14">
        <v>7.6499999999999999E-2</v>
      </c>
      <c r="D39" s="11">
        <f>ROUND(B39*C39,0)</f>
        <v>2494</v>
      </c>
      <c r="E39" s="2"/>
      <c r="F39" s="2"/>
      <c r="G39" s="2"/>
      <c r="H39" s="2"/>
      <c r="I39" s="2"/>
      <c r="J39" s="2"/>
    </row>
    <row r="40" spans="1:10" hidden="1" x14ac:dyDescent="0.25">
      <c r="A40" s="191" t="s">
        <v>119</v>
      </c>
      <c r="D40" s="2">
        <f>SUM(D35:D39)</f>
        <v>26825</v>
      </c>
      <c r="E40" s="2"/>
      <c r="F40" s="2"/>
      <c r="G40" s="2"/>
      <c r="H40" s="2"/>
      <c r="I40" s="2"/>
      <c r="J40" s="2"/>
    </row>
    <row r="41" spans="1:10" x14ac:dyDescent="0.25">
      <c r="B41" s="2"/>
      <c r="E41" s="2"/>
      <c r="F41" s="2"/>
      <c r="G41" s="2"/>
      <c r="H41" s="2"/>
      <c r="I41" s="2"/>
      <c r="J41" s="2"/>
    </row>
    <row r="42" spans="1:10" ht="13.8" x14ac:dyDescent="0.3">
      <c r="A42" s="193" t="s">
        <v>542</v>
      </c>
      <c r="E42" s="2">
        <v>36487</v>
      </c>
      <c r="F42" s="2">
        <v>39577</v>
      </c>
      <c r="G42" s="2">
        <v>38507</v>
      </c>
      <c r="H42" s="2">
        <v>38507</v>
      </c>
      <c r="I42" s="2"/>
      <c r="J42" s="2"/>
    </row>
    <row r="43" spans="1:10" hidden="1" x14ac:dyDescent="0.25">
      <c r="A43" s="191" t="s">
        <v>679</v>
      </c>
      <c r="B43" s="2">
        <f>+D7+D9+D11</f>
        <v>67180</v>
      </c>
      <c r="C43" s="14">
        <v>0.1138</v>
      </c>
      <c r="D43" s="2">
        <f>ROUND(B43*C43,0)</f>
        <v>7645</v>
      </c>
      <c r="E43" s="2"/>
      <c r="F43" s="2"/>
      <c r="G43" s="2"/>
      <c r="H43" s="2"/>
      <c r="I43" s="2"/>
      <c r="J43" s="2"/>
    </row>
    <row r="44" spans="1:10" hidden="1" x14ac:dyDescent="0.25">
      <c r="A44" s="191" t="s">
        <v>486</v>
      </c>
      <c r="B44" s="2">
        <f>+D8+D10</f>
        <v>43201</v>
      </c>
      <c r="C44" s="14">
        <v>0.1138</v>
      </c>
      <c r="D44" s="2">
        <f>ROUND(B44*C44,0)</f>
        <v>4916</v>
      </c>
      <c r="E44" s="2"/>
      <c r="F44" s="2"/>
      <c r="G44" s="2"/>
      <c r="H44" s="2"/>
      <c r="I44" s="2"/>
      <c r="J44" s="2"/>
    </row>
    <row r="45" spans="1:10" hidden="1" x14ac:dyDescent="0.25">
      <c r="A45" s="13" t="s">
        <v>757</v>
      </c>
      <c r="B45" s="2">
        <f>+D22</f>
        <v>187921</v>
      </c>
      <c r="C45" s="14">
        <v>0.1138</v>
      </c>
      <c r="D45" s="2">
        <f>ROUND(B45*C45,0)</f>
        <v>21385</v>
      </c>
      <c r="E45" s="2"/>
      <c r="F45" s="2"/>
      <c r="G45" s="2"/>
      <c r="H45" s="2"/>
      <c r="I45" s="2"/>
      <c r="J45" s="2"/>
    </row>
    <row r="46" spans="1:10" hidden="1" x14ac:dyDescent="0.25">
      <c r="A46" s="13" t="s">
        <v>845</v>
      </c>
      <c r="B46" s="2">
        <f>+D25</f>
        <v>7476</v>
      </c>
      <c r="C46" s="14">
        <v>0.1138</v>
      </c>
      <c r="D46" s="2">
        <f>ROUND(B46*C46,0)</f>
        <v>851</v>
      </c>
      <c r="E46" s="2"/>
      <c r="F46" s="2"/>
      <c r="G46" s="2"/>
      <c r="H46" s="2"/>
      <c r="I46" s="2"/>
      <c r="J46" s="2"/>
    </row>
    <row r="47" spans="1:10" ht="15" hidden="1" x14ac:dyDescent="0.4">
      <c r="A47" s="13" t="s">
        <v>184</v>
      </c>
      <c r="B47" s="2">
        <f>+D32</f>
        <v>32604</v>
      </c>
      <c r="C47" s="14">
        <v>0.1138</v>
      </c>
      <c r="D47" s="11">
        <f>ROUND(B47*C47,0)</f>
        <v>3710</v>
      </c>
      <c r="E47" s="2"/>
      <c r="F47" s="2"/>
      <c r="G47" s="2"/>
      <c r="H47" s="2"/>
      <c r="I47" s="2"/>
      <c r="J47" s="2"/>
    </row>
    <row r="48" spans="1:10" hidden="1" x14ac:dyDescent="0.25">
      <c r="A48" s="191" t="s">
        <v>1182</v>
      </c>
      <c r="D48" s="2">
        <f>SUM(D43:D47)</f>
        <v>38507</v>
      </c>
      <c r="E48" s="2"/>
      <c r="F48" s="2"/>
      <c r="G48" s="2"/>
      <c r="H48" s="2"/>
      <c r="I48" s="2"/>
      <c r="J48" s="2"/>
    </row>
    <row r="49" spans="1:10" x14ac:dyDescent="0.25">
      <c r="E49" s="2"/>
      <c r="F49" s="2"/>
      <c r="G49" s="2"/>
      <c r="H49" s="2"/>
      <c r="I49" s="2"/>
      <c r="J49" s="2"/>
    </row>
    <row r="50" spans="1:10" ht="13.8" x14ac:dyDescent="0.3">
      <c r="A50" s="193" t="s">
        <v>543</v>
      </c>
      <c r="E50" s="2">
        <v>97329</v>
      </c>
      <c r="F50" s="2">
        <v>103500</v>
      </c>
      <c r="G50" s="2">
        <v>109800</v>
      </c>
      <c r="H50" s="2">
        <v>109800</v>
      </c>
      <c r="I50" s="2"/>
      <c r="J50" s="2"/>
    </row>
    <row r="51" spans="1:10" x14ac:dyDescent="0.25">
      <c r="A51" s="191" t="s">
        <v>1712</v>
      </c>
      <c r="B51" s="2">
        <v>4</v>
      </c>
      <c r="C51" s="2">
        <v>18300</v>
      </c>
      <c r="D51" s="2">
        <f>ROUND(B51*C51,0)</f>
        <v>73200</v>
      </c>
      <c r="E51" s="2"/>
      <c r="F51" s="2"/>
      <c r="G51" s="2"/>
      <c r="H51" s="2"/>
      <c r="I51" s="2"/>
      <c r="J51" s="2"/>
    </row>
    <row r="52" spans="1:10" ht="15" x14ac:dyDescent="0.4">
      <c r="B52" s="2">
        <v>2</v>
      </c>
      <c r="C52" s="2">
        <v>18300</v>
      </c>
      <c r="D52" s="11">
        <f>ROUND(B52*C52,0)</f>
        <v>36600</v>
      </c>
      <c r="E52" s="2"/>
      <c r="F52" s="2"/>
      <c r="G52" s="2"/>
      <c r="H52" s="2"/>
      <c r="I52" s="2"/>
      <c r="J52" s="2"/>
    </row>
    <row r="53" spans="1:10" x14ac:dyDescent="0.25">
      <c r="A53" s="191" t="s">
        <v>751</v>
      </c>
      <c r="B53" s="2"/>
      <c r="C53" s="2"/>
      <c r="D53" s="2">
        <f>SUM(D51:D52)</f>
        <v>109800</v>
      </c>
      <c r="E53" s="2"/>
      <c r="F53" s="2"/>
      <c r="G53" s="2"/>
      <c r="H53" s="2"/>
      <c r="I53" s="2"/>
      <c r="J53" s="2"/>
    </row>
    <row r="54" spans="1:10" x14ac:dyDescent="0.25">
      <c r="B54" s="2"/>
      <c r="E54" s="2"/>
      <c r="F54" s="2"/>
      <c r="G54" s="2"/>
      <c r="H54" s="2"/>
      <c r="I54" s="2"/>
      <c r="J54" s="2"/>
    </row>
    <row r="55" spans="1:10" ht="13.8" x14ac:dyDescent="0.3">
      <c r="A55" s="193" t="s">
        <v>544</v>
      </c>
      <c r="B55" s="2"/>
      <c r="E55" s="2">
        <v>7221</v>
      </c>
      <c r="F55" s="2">
        <v>7020</v>
      </c>
      <c r="G55" s="2">
        <v>7020</v>
      </c>
      <c r="H55" s="2">
        <v>7020</v>
      </c>
      <c r="I55" s="2"/>
      <c r="J55" s="2"/>
    </row>
    <row r="56" spans="1:10" x14ac:dyDescent="0.25">
      <c r="A56" s="191" t="s">
        <v>406</v>
      </c>
      <c r="B56" s="2">
        <v>6</v>
      </c>
      <c r="C56" s="2">
        <v>1300</v>
      </c>
      <c r="D56" s="2">
        <f>ROUND(B56*C56,0)</f>
        <v>7800</v>
      </c>
      <c r="E56" s="2"/>
      <c r="F56" s="2"/>
      <c r="G56" s="2"/>
      <c r="H56" s="2"/>
      <c r="I56" s="2"/>
      <c r="J56" s="2"/>
    </row>
    <row r="57" spans="1:10" ht="15" x14ac:dyDescent="0.4">
      <c r="A57" s="191" t="s">
        <v>1713</v>
      </c>
      <c r="B57" s="2"/>
      <c r="C57" s="2"/>
      <c r="D57" s="11">
        <f>+D56*-0.1</f>
        <v>-780</v>
      </c>
      <c r="E57" s="2"/>
      <c r="F57" s="2"/>
      <c r="G57" s="2"/>
      <c r="H57" s="2"/>
      <c r="I57" s="2"/>
      <c r="J57" s="2"/>
    </row>
    <row r="58" spans="1:10" x14ac:dyDescent="0.25">
      <c r="B58" s="2"/>
      <c r="C58" s="2"/>
      <c r="D58" s="2">
        <f>SUM(D56:D57)</f>
        <v>7020</v>
      </c>
      <c r="E58" s="2"/>
      <c r="F58" s="2"/>
      <c r="G58" s="2"/>
      <c r="H58" s="2"/>
      <c r="I58" s="2"/>
      <c r="J58" s="2"/>
    </row>
    <row r="59" spans="1:10" x14ac:dyDescent="0.25">
      <c r="E59" s="2"/>
      <c r="F59" s="2"/>
      <c r="G59" s="2"/>
      <c r="H59" s="2"/>
      <c r="I59" s="2"/>
      <c r="J59" s="2"/>
    </row>
    <row r="60" spans="1:10" ht="13.8" x14ac:dyDescent="0.3">
      <c r="A60" s="193" t="s">
        <v>545</v>
      </c>
      <c r="E60" s="2">
        <v>301</v>
      </c>
      <c r="F60" s="2">
        <v>410</v>
      </c>
      <c r="G60" s="2">
        <v>410</v>
      </c>
      <c r="H60" s="2">
        <v>410</v>
      </c>
      <c r="I60" s="2"/>
      <c r="J60" s="2"/>
    </row>
    <row r="61" spans="1:10" hidden="1" x14ac:dyDescent="0.25">
      <c r="A61" s="191" t="s">
        <v>337</v>
      </c>
      <c r="B61" s="2">
        <v>2</v>
      </c>
      <c r="C61" s="2">
        <v>135</v>
      </c>
      <c r="D61" s="2">
        <f>ROUND(B61*C61,0)</f>
        <v>270</v>
      </c>
      <c r="E61" s="2"/>
      <c r="F61" s="2"/>
      <c r="G61" s="2"/>
      <c r="H61" s="2"/>
      <c r="I61" s="2"/>
      <c r="J61" s="2"/>
    </row>
    <row r="62" spans="1:10" ht="15" hidden="1" x14ac:dyDescent="0.4">
      <c r="A62" s="191" t="s">
        <v>997</v>
      </c>
      <c r="B62" s="2">
        <v>4</v>
      </c>
      <c r="C62" s="2">
        <v>35</v>
      </c>
      <c r="D62" s="11">
        <f>ROUND(B62*C62,0)</f>
        <v>140</v>
      </c>
      <c r="E62" s="2"/>
      <c r="F62" s="2"/>
      <c r="G62" s="2"/>
      <c r="H62" s="2"/>
      <c r="I62" s="2"/>
      <c r="J62" s="2"/>
    </row>
    <row r="63" spans="1:10" hidden="1" x14ac:dyDescent="0.25">
      <c r="A63" s="191" t="s">
        <v>1182</v>
      </c>
      <c r="D63" s="2">
        <f>SUM(D61:D62)</f>
        <v>410</v>
      </c>
      <c r="E63" s="2"/>
      <c r="F63" s="2"/>
      <c r="G63" s="2"/>
      <c r="H63" s="2"/>
      <c r="I63" s="2"/>
      <c r="J63" s="2"/>
    </row>
    <row r="64" spans="1:10" x14ac:dyDescent="0.25">
      <c r="E64" s="2"/>
      <c r="F64" s="2"/>
      <c r="G64" s="2"/>
      <c r="H64" s="2"/>
      <c r="I64" s="2"/>
      <c r="J64" s="2"/>
    </row>
    <row r="65" spans="1:10" ht="13.8" x14ac:dyDescent="0.3">
      <c r="A65" s="193" t="s">
        <v>546</v>
      </c>
      <c r="E65" s="2">
        <v>2112</v>
      </c>
      <c r="F65" s="2">
        <v>2460</v>
      </c>
      <c r="G65" s="2">
        <v>3780</v>
      </c>
      <c r="H65" s="2">
        <v>3780</v>
      </c>
      <c r="I65" s="2"/>
      <c r="J65" s="2"/>
    </row>
    <row r="66" spans="1:10" hidden="1" x14ac:dyDescent="0.25">
      <c r="A66" s="191" t="s">
        <v>776</v>
      </c>
      <c r="B66" s="2">
        <v>6</v>
      </c>
      <c r="C66" s="2">
        <v>630</v>
      </c>
      <c r="D66" s="2">
        <f>ROUND(B66*C66,0)</f>
        <v>3780</v>
      </c>
      <c r="E66" s="2"/>
      <c r="F66" s="2"/>
      <c r="G66" s="2"/>
      <c r="H66" s="2"/>
      <c r="I66" s="2"/>
      <c r="J66" s="2"/>
    </row>
    <row r="67" spans="1:10" x14ac:dyDescent="0.25">
      <c r="E67" s="2"/>
      <c r="F67" s="2"/>
      <c r="G67" s="2"/>
      <c r="H67" s="2"/>
      <c r="I67" s="2"/>
      <c r="J67" s="2"/>
    </row>
    <row r="68" spans="1:10" ht="13.8" x14ac:dyDescent="0.3">
      <c r="A68" s="193" t="s">
        <v>547</v>
      </c>
      <c r="E68" s="2">
        <v>6861</v>
      </c>
      <c r="F68" s="2">
        <v>8354</v>
      </c>
      <c r="G68" s="2">
        <v>9504</v>
      </c>
      <c r="H68" s="2">
        <v>10099</v>
      </c>
      <c r="I68" s="2"/>
      <c r="J68" s="2"/>
    </row>
    <row r="69" spans="1:10" hidden="1" x14ac:dyDescent="0.25">
      <c r="A69" s="13" t="s">
        <v>1406</v>
      </c>
      <c r="B69" s="2">
        <f>+D12</f>
        <v>110381</v>
      </c>
      <c r="C69" s="14">
        <v>2.8799999999999999E-2</v>
      </c>
      <c r="D69" s="2">
        <f>ROUND(B69*C69,0)</f>
        <v>3179</v>
      </c>
      <c r="E69" s="2"/>
      <c r="F69" s="2"/>
      <c r="G69" s="2"/>
      <c r="H69" s="2"/>
      <c r="I69" s="2"/>
      <c r="J69" s="2"/>
    </row>
    <row r="70" spans="1:10" hidden="1" x14ac:dyDescent="0.25">
      <c r="A70" s="13" t="s">
        <v>757</v>
      </c>
      <c r="B70" s="2">
        <f>+B45</f>
        <v>187921</v>
      </c>
      <c r="C70" s="14">
        <v>2.8799999999999999E-2</v>
      </c>
      <c r="D70" s="2">
        <f>ROUND(B70*C70,0)</f>
        <v>5412</v>
      </c>
      <c r="E70" s="2"/>
      <c r="F70" s="2"/>
      <c r="G70" s="2"/>
      <c r="H70" s="2"/>
      <c r="I70" s="2"/>
      <c r="J70" s="2"/>
    </row>
    <row r="71" spans="1:10" hidden="1" x14ac:dyDescent="0.25">
      <c r="A71" s="13" t="s">
        <v>1997</v>
      </c>
      <c r="B71" s="2">
        <f>ROUND(+D25,0)</f>
        <v>7476</v>
      </c>
      <c r="C71" s="14">
        <v>2.8799999999999999E-2</v>
      </c>
      <c r="D71" s="2">
        <f>ROUND(B71*C71,0)</f>
        <v>215</v>
      </c>
      <c r="E71" s="2"/>
      <c r="F71" s="2"/>
      <c r="G71" s="2"/>
      <c r="H71" s="2"/>
      <c r="I71" s="2"/>
      <c r="J71" s="2"/>
    </row>
    <row r="72" spans="1:10" hidden="1" x14ac:dyDescent="0.25">
      <c r="A72" s="34">
        <v>8107</v>
      </c>
      <c r="B72" s="2">
        <f>+D28</f>
        <v>12280.8</v>
      </c>
      <c r="C72" s="14">
        <v>2.8799999999999999E-2</v>
      </c>
      <c r="D72" s="2">
        <f>ROUND(B72*C72,0)</f>
        <v>354</v>
      </c>
      <c r="E72" s="2"/>
      <c r="F72" s="2"/>
      <c r="G72" s="2"/>
      <c r="H72" s="2"/>
      <c r="I72" s="2"/>
      <c r="J72" s="2"/>
    </row>
    <row r="73" spans="1:10" ht="15" hidden="1" x14ac:dyDescent="0.4">
      <c r="A73" s="13" t="s">
        <v>1998</v>
      </c>
      <c r="B73" s="2">
        <f>ROUND(+D32,0)</f>
        <v>32604</v>
      </c>
      <c r="C73" s="14">
        <v>2.8799999999999999E-2</v>
      </c>
      <c r="D73" s="11">
        <f>ROUND(B73*C73,0)</f>
        <v>939</v>
      </c>
      <c r="E73" s="2"/>
      <c r="F73" s="2"/>
      <c r="G73" s="2"/>
      <c r="H73" s="2"/>
      <c r="I73" s="2"/>
      <c r="J73" s="2"/>
    </row>
    <row r="74" spans="1:10" hidden="1" x14ac:dyDescent="0.25">
      <c r="A74" s="191" t="s">
        <v>1182</v>
      </c>
      <c r="D74" s="2">
        <f>SUM(D69:D73)</f>
        <v>10099</v>
      </c>
      <c r="E74" s="2"/>
      <c r="F74" s="2"/>
      <c r="G74" s="2"/>
      <c r="H74" s="2"/>
      <c r="I74" s="2"/>
      <c r="J74" s="2"/>
    </row>
    <row r="75" spans="1:10" x14ac:dyDescent="0.25">
      <c r="E75" s="2"/>
      <c r="F75" s="2"/>
      <c r="G75" s="2"/>
      <c r="H75" s="2"/>
      <c r="I75" s="2"/>
      <c r="J75" s="2"/>
    </row>
    <row r="76" spans="1:10" ht="13.8" x14ac:dyDescent="0.3">
      <c r="A76" s="193" t="s">
        <v>548</v>
      </c>
      <c r="E76" s="2">
        <v>219</v>
      </c>
      <c r="F76" s="2">
        <v>239</v>
      </c>
      <c r="G76" s="2">
        <v>241</v>
      </c>
      <c r="H76" s="2">
        <v>178</v>
      </c>
      <c r="I76" s="2"/>
      <c r="J76" s="2"/>
    </row>
    <row r="77" spans="1:10" hidden="1" x14ac:dyDescent="0.25">
      <c r="A77" s="13" t="s">
        <v>1406</v>
      </c>
      <c r="B77" s="2">
        <v>2</v>
      </c>
      <c r="C77" s="2">
        <v>26</v>
      </c>
      <c r="D77" s="2">
        <f>ROUND(B77*C77,0)</f>
        <v>52</v>
      </c>
      <c r="E77" s="2"/>
      <c r="F77" s="2"/>
      <c r="G77" s="2"/>
      <c r="H77" s="2"/>
      <c r="I77" s="2"/>
      <c r="J77" s="2"/>
    </row>
    <row r="78" spans="1:10" hidden="1" x14ac:dyDescent="0.25">
      <c r="A78" s="13" t="s">
        <v>757</v>
      </c>
      <c r="B78" s="2">
        <v>4</v>
      </c>
      <c r="C78" s="2">
        <v>26</v>
      </c>
      <c r="D78" s="2">
        <f>ROUND(B78*C78,0)</f>
        <v>104</v>
      </c>
      <c r="E78" s="2"/>
      <c r="F78" s="2"/>
      <c r="G78" s="2"/>
      <c r="H78" s="2"/>
      <c r="I78" s="2"/>
      <c r="J78" s="2"/>
    </row>
    <row r="79" spans="1:10" ht="15" hidden="1" x14ac:dyDescent="0.4">
      <c r="A79" s="13" t="s">
        <v>183</v>
      </c>
      <c r="B79" s="2">
        <f>+D28</f>
        <v>12280.8</v>
      </c>
      <c r="C79" s="14">
        <v>1.8E-3</v>
      </c>
      <c r="D79" s="11">
        <f>ROUND(B79*C79,0)</f>
        <v>22</v>
      </c>
      <c r="E79" s="2"/>
      <c r="F79" s="2"/>
      <c r="G79" s="2"/>
      <c r="H79" s="2"/>
      <c r="I79" s="2"/>
      <c r="J79" s="2"/>
    </row>
    <row r="80" spans="1:10" hidden="1" x14ac:dyDescent="0.25">
      <c r="A80" s="191" t="s">
        <v>1182</v>
      </c>
      <c r="D80" s="2">
        <f>SUM(D77:D79)</f>
        <v>178</v>
      </c>
      <c r="E80" s="2"/>
      <c r="F80" s="2"/>
      <c r="G80" s="2"/>
      <c r="H80" s="2"/>
      <c r="I80" s="2"/>
      <c r="J80" s="2"/>
    </row>
    <row r="81" spans="1:10" x14ac:dyDescent="0.25">
      <c r="E81" s="2"/>
      <c r="F81" s="2"/>
      <c r="G81" s="2"/>
      <c r="H81" s="2"/>
      <c r="I81" s="2"/>
      <c r="J81" s="2"/>
    </row>
    <row r="82" spans="1:10" x14ac:dyDescent="0.25">
      <c r="E82" s="2"/>
      <c r="F82" s="2"/>
      <c r="G82" s="2"/>
      <c r="H82" s="2"/>
      <c r="I82" s="2"/>
      <c r="J82" s="2"/>
    </row>
    <row r="83" spans="1:10" ht="13.8" x14ac:dyDescent="0.3">
      <c r="A83" s="193" t="s">
        <v>1127</v>
      </c>
      <c r="E83" s="2">
        <v>735</v>
      </c>
      <c r="F83" s="2">
        <v>650</v>
      </c>
      <c r="G83" s="2">
        <v>650</v>
      </c>
      <c r="H83" s="2">
        <v>650</v>
      </c>
      <c r="I83" s="2"/>
      <c r="J83" s="2"/>
    </row>
    <row r="84" spans="1:10" x14ac:dyDescent="0.25">
      <c r="A84" s="191" t="s">
        <v>1495</v>
      </c>
      <c r="D84" s="2" t="s">
        <v>386</v>
      </c>
      <c r="E84" s="2"/>
      <c r="F84" s="2"/>
      <c r="G84" s="2"/>
      <c r="H84" s="2"/>
      <c r="I84" s="2"/>
      <c r="J84" s="2"/>
    </row>
    <row r="85" spans="1:10" x14ac:dyDescent="0.25">
      <c r="A85" s="191" t="s">
        <v>1646</v>
      </c>
      <c r="C85" s="2"/>
      <c r="D85" s="2">
        <v>650</v>
      </c>
      <c r="E85" s="2"/>
      <c r="F85" s="2"/>
      <c r="G85" s="2"/>
      <c r="H85" s="2"/>
      <c r="I85" s="2"/>
      <c r="J85" s="2"/>
    </row>
    <row r="86" spans="1:10" x14ac:dyDescent="0.25">
      <c r="B86" s="2"/>
      <c r="C86" s="2"/>
      <c r="E86" s="2"/>
      <c r="F86" s="2"/>
      <c r="G86" s="2"/>
      <c r="H86" s="2"/>
      <c r="I86" s="2"/>
      <c r="J86" s="2"/>
    </row>
    <row r="87" spans="1:10" ht="13.8" x14ac:dyDescent="0.3">
      <c r="A87" s="193" t="s">
        <v>1128</v>
      </c>
      <c r="C87" s="2"/>
      <c r="E87" s="2">
        <v>705</v>
      </c>
      <c r="F87" s="2">
        <v>650</v>
      </c>
      <c r="G87" s="2">
        <v>650</v>
      </c>
      <c r="H87" s="2">
        <v>650</v>
      </c>
      <c r="I87" s="2"/>
      <c r="J87" s="2"/>
    </row>
    <row r="88" spans="1:10" x14ac:dyDescent="0.25">
      <c r="A88" s="191" t="s">
        <v>963</v>
      </c>
      <c r="C88" s="2"/>
      <c r="D88" s="2">
        <v>650</v>
      </c>
      <c r="E88" s="2"/>
      <c r="F88" s="2"/>
      <c r="G88" s="2"/>
      <c r="H88" s="2"/>
      <c r="I88" s="2"/>
      <c r="J88" s="2"/>
    </row>
    <row r="89" spans="1:10" x14ac:dyDescent="0.25">
      <c r="C89" s="2"/>
      <c r="E89" s="2"/>
      <c r="F89" s="2"/>
      <c r="G89" s="2"/>
      <c r="H89" s="2"/>
      <c r="I89" s="2"/>
      <c r="J89" s="2"/>
    </row>
    <row r="90" spans="1:10" ht="13.8" x14ac:dyDescent="0.3">
      <c r="A90" s="193" t="s">
        <v>1129</v>
      </c>
      <c r="C90" s="2"/>
      <c r="E90" s="2">
        <v>2864</v>
      </c>
      <c r="F90" s="2">
        <v>5500</v>
      </c>
      <c r="G90" s="2">
        <v>5500</v>
      </c>
      <c r="H90" s="2">
        <v>5500</v>
      </c>
      <c r="I90" s="2"/>
      <c r="J90" s="2"/>
    </row>
    <row r="91" spans="1:10" x14ac:dyDescent="0.25">
      <c r="A91" s="6" t="s">
        <v>907</v>
      </c>
      <c r="B91" s="6"/>
      <c r="C91" s="2"/>
      <c r="E91" s="2"/>
      <c r="F91" s="2"/>
      <c r="G91" s="2"/>
      <c r="H91" s="2"/>
      <c r="I91" s="2"/>
      <c r="J91" s="2"/>
    </row>
    <row r="92" spans="1:10" x14ac:dyDescent="0.25">
      <c r="A92" s="6" t="s">
        <v>1496</v>
      </c>
      <c r="B92" s="6"/>
      <c r="C92" s="2"/>
      <c r="D92" s="2">
        <v>5500</v>
      </c>
      <c r="E92" s="2"/>
      <c r="F92" s="2"/>
      <c r="G92" s="2"/>
      <c r="H92" s="2"/>
      <c r="I92" s="2"/>
      <c r="J92" s="2"/>
    </row>
    <row r="93" spans="1:10" x14ac:dyDescent="0.25">
      <c r="A93" s="191" t="s">
        <v>386</v>
      </c>
      <c r="C93" s="2"/>
      <c r="E93" s="2"/>
      <c r="F93" s="2"/>
      <c r="G93" s="2"/>
      <c r="H93" s="2"/>
      <c r="I93" s="2"/>
      <c r="J93" s="2"/>
    </row>
    <row r="94" spans="1:10" ht="13.8" x14ac:dyDescent="0.3">
      <c r="A94" s="193" t="s">
        <v>605</v>
      </c>
      <c r="D94" s="2" t="s">
        <v>386</v>
      </c>
      <c r="E94" s="2">
        <v>3705</v>
      </c>
      <c r="F94" s="2">
        <v>2832</v>
      </c>
      <c r="G94" s="2">
        <v>2832</v>
      </c>
      <c r="H94" s="2">
        <v>2832</v>
      </c>
      <c r="I94" s="2"/>
      <c r="J94" s="2"/>
    </row>
    <row r="95" spans="1:10" x14ac:dyDescent="0.25">
      <c r="A95" s="191" t="s">
        <v>1398</v>
      </c>
      <c r="B95" s="191">
        <v>2</v>
      </c>
      <c r="C95" s="191">
        <v>130</v>
      </c>
      <c r="D95" s="2">
        <f>+C95*B95</f>
        <v>260</v>
      </c>
      <c r="E95" s="2"/>
      <c r="F95" s="2"/>
      <c r="G95" s="2"/>
      <c r="H95" s="2"/>
      <c r="I95" s="2"/>
      <c r="J95" s="2"/>
    </row>
    <row r="96" spans="1:10" x14ac:dyDescent="0.25">
      <c r="A96" s="191" t="s">
        <v>1399</v>
      </c>
      <c r="B96" s="2">
        <v>2</v>
      </c>
      <c r="C96" s="2">
        <v>230</v>
      </c>
      <c r="D96" s="2">
        <f>+C96*B96</f>
        <v>460</v>
      </c>
      <c r="E96" s="2"/>
      <c r="F96" s="2"/>
      <c r="G96" s="2"/>
      <c r="H96" s="2"/>
      <c r="I96" s="2"/>
      <c r="J96" s="2"/>
    </row>
    <row r="97" spans="1:10" x14ac:dyDescent="0.25">
      <c r="A97" s="191" t="s">
        <v>1400</v>
      </c>
      <c r="B97" s="2">
        <v>4</v>
      </c>
      <c r="C97" s="2">
        <v>200</v>
      </c>
      <c r="D97" s="2">
        <f>+C97*B97</f>
        <v>800</v>
      </c>
      <c r="E97" s="2"/>
      <c r="F97" s="2"/>
      <c r="G97" s="2"/>
      <c r="H97" s="2"/>
      <c r="I97" s="2"/>
      <c r="J97" s="2"/>
    </row>
    <row r="98" spans="1:10" x14ac:dyDescent="0.25">
      <c r="A98" s="191" t="s">
        <v>136</v>
      </c>
      <c r="B98" s="2">
        <v>4</v>
      </c>
      <c r="C98" s="2">
        <v>203</v>
      </c>
      <c r="D98" s="2">
        <f>+C98*B98</f>
        <v>812</v>
      </c>
      <c r="E98" s="2"/>
      <c r="F98" s="2"/>
      <c r="G98" s="2"/>
      <c r="H98" s="2"/>
      <c r="I98" s="2"/>
      <c r="J98" s="2"/>
    </row>
    <row r="99" spans="1:10" ht="15" x14ac:dyDescent="0.4">
      <c r="A99" s="191" t="s">
        <v>372</v>
      </c>
      <c r="B99" s="2"/>
      <c r="C99" s="2"/>
      <c r="D99" s="11">
        <v>500</v>
      </c>
      <c r="E99" s="2"/>
      <c r="F99" s="2"/>
      <c r="G99" s="2"/>
      <c r="H99" s="2"/>
      <c r="I99" s="2"/>
      <c r="J99" s="2"/>
    </row>
    <row r="100" spans="1:10" x14ac:dyDescent="0.25">
      <c r="A100" s="191" t="s">
        <v>1182</v>
      </c>
      <c r="B100" s="2" t="s">
        <v>386</v>
      </c>
      <c r="C100" s="2" t="s">
        <v>386</v>
      </c>
      <c r="D100" s="2">
        <f>SUM(D95:D99)</f>
        <v>2832</v>
      </c>
      <c r="E100" s="2"/>
      <c r="F100" s="2"/>
      <c r="G100" s="2"/>
      <c r="H100" s="2"/>
      <c r="I100" s="2"/>
      <c r="J100" s="2"/>
    </row>
    <row r="101" spans="1:10" x14ac:dyDescent="0.25">
      <c r="E101" s="2"/>
      <c r="F101" s="2"/>
      <c r="G101" s="2"/>
      <c r="H101" s="2"/>
      <c r="I101" s="2"/>
      <c r="J101" s="2"/>
    </row>
    <row r="102" spans="1:10" ht="13.8" x14ac:dyDescent="0.3">
      <c r="A102" s="193" t="s">
        <v>204</v>
      </c>
      <c r="E102" s="2">
        <v>1052</v>
      </c>
      <c r="F102" s="2">
        <v>1500</v>
      </c>
      <c r="G102" s="2">
        <v>1500</v>
      </c>
      <c r="H102" s="2">
        <v>1500</v>
      </c>
      <c r="I102" s="2"/>
      <c r="J102" s="2"/>
    </row>
    <row r="103" spans="1:10" x14ac:dyDescent="0.25">
      <c r="A103" s="191" t="s">
        <v>1022</v>
      </c>
      <c r="D103" s="2">
        <v>100</v>
      </c>
      <c r="E103" s="2"/>
      <c r="F103" s="2"/>
      <c r="G103" s="2"/>
      <c r="H103" s="2"/>
      <c r="I103" s="2"/>
      <c r="J103" s="2"/>
    </row>
    <row r="104" spans="1:10" ht="15" x14ac:dyDescent="0.4">
      <c r="A104" s="191" t="s">
        <v>1647</v>
      </c>
      <c r="C104" s="2"/>
      <c r="D104" s="11">
        <v>1400</v>
      </c>
      <c r="E104" s="2"/>
      <c r="F104" s="2"/>
      <c r="G104" s="2"/>
      <c r="H104" s="2"/>
      <c r="I104" s="2"/>
      <c r="J104" s="2"/>
    </row>
    <row r="105" spans="1:10" ht="15" x14ac:dyDescent="0.4">
      <c r="A105" s="191" t="s">
        <v>1182</v>
      </c>
      <c r="C105" s="11"/>
      <c r="D105" s="2">
        <f>SUM(D103:D104)</f>
        <v>1500</v>
      </c>
      <c r="E105" s="2"/>
      <c r="F105" s="2"/>
      <c r="G105" s="2"/>
      <c r="H105" s="2"/>
      <c r="I105" s="2"/>
      <c r="J105" s="2"/>
    </row>
    <row r="106" spans="1:10" x14ac:dyDescent="0.25">
      <c r="B106" s="2"/>
      <c r="C106" s="2"/>
      <c r="E106" s="2"/>
      <c r="F106" s="2"/>
      <c r="G106" s="2"/>
      <c r="H106" s="2"/>
      <c r="I106" s="2"/>
      <c r="J106" s="2"/>
    </row>
    <row r="107" spans="1:10" ht="13.8" x14ac:dyDescent="0.3">
      <c r="A107" s="193" t="s">
        <v>205</v>
      </c>
      <c r="C107" s="2"/>
      <c r="E107" s="2">
        <v>2850</v>
      </c>
      <c r="F107" s="2">
        <v>3000</v>
      </c>
      <c r="G107" s="2">
        <v>3000</v>
      </c>
      <c r="H107" s="2">
        <v>3000</v>
      </c>
      <c r="I107" s="2"/>
      <c r="J107" s="2"/>
    </row>
    <row r="108" spans="1:10" x14ac:dyDescent="0.25">
      <c r="A108" s="191" t="s">
        <v>1024</v>
      </c>
      <c r="C108" s="2"/>
      <c r="D108" s="2">
        <v>3000</v>
      </c>
      <c r="E108" s="2"/>
      <c r="F108" s="2"/>
      <c r="G108" s="2"/>
      <c r="H108" s="2"/>
      <c r="I108" s="2"/>
      <c r="J108" s="2"/>
    </row>
    <row r="109" spans="1:10" x14ac:dyDescent="0.25">
      <c r="C109" s="2"/>
      <c r="E109" s="2"/>
      <c r="F109" s="2"/>
      <c r="G109" s="2"/>
      <c r="H109" s="2"/>
      <c r="I109" s="2"/>
      <c r="J109" s="2"/>
    </row>
    <row r="110" spans="1:10" ht="13.8" x14ac:dyDescent="0.3">
      <c r="A110" s="193" t="s">
        <v>128</v>
      </c>
      <c r="C110" s="2"/>
      <c r="D110" s="2">
        <v>20</v>
      </c>
      <c r="E110" s="2">
        <v>1</v>
      </c>
      <c r="F110" s="2">
        <v>0</v>
      </c>
      <c r="G110" s="2">
        <v>20</v>
      </c>
      <c r="H110" s="2">
        <v>20</v>
      </c>
      <c r="I110" s="2"/>
      <c r="J110" s="2"/>
    </row>
    <row r="111" spans="1:10" x14ac:dyDescent="0.25">
      <c r="B111" s="2"/>
      <c r="C111" s="18"/>
      <c r="D111" s="18"/>
      <c r="E111" s="2"/>
      <c r="F111" s="2"/>
      <c r="G111" s="2"/>
      <c r="H111" s="2"/>
      <c r="I111" s="2"/>
      <c r="J111" s="2"/>
    </row>
    <row r="112" spans="1:10" ht="13.8" x14ac:dyDescent="0.3">
      <c r="A112" s="193" t="s">
        <v>206</v>
      </c>
      <c r="C112" s="2"/>
      <c r="E112" s="2">
        <v>16480</v>
      </c>
      <c r="F112" s="2">
        <v>18600</v>
      </c>
      <c r="G112" s="2">
        <v>17500</v>
      </c>
      <c r="H112" s="2">
        <v>17500</v>
      </c>
      <c r="I112" s="2"/>
      <c r="J112" s="2"/>
    </row>
    <row r="113" spans="1:10" x14ac:dyDescent="0.25">
      <c r="A113" s="191" t="s">
        <v>1648</v>
      </c>
      <c r="C113" s="2"/>
      <c r="D113" s="2">
        <v>10850</v>
      </c>
      <c r="E113" s="2"/>
      <c r="F113" s="2"/>
      <c r="G113" s="2"/>
      <c r="H113" s="2"/>
      <c r="I113" s="2"/>
      <c r="J113" s="2"/>
    </row>
    <row r="114" spans="1:10" ht="15" x14ac:dyDescent="0.4">
      <c r="A114" s="191" t="s">
        <v>1025</v>
      </c>
      <c r="C114" s="2"/>
      <c r="D114" s="11">
        <v>6650</v>
      </c>
      <c r="E114" s="2"/>
      <c r="F114" s="2"/>
      <c r="G114" s="2"/>
      <c r="H114" s="2"/>
      <c r="I114" s="2"/>
      <c r="J114" s="2"/>
    </row>
    <row r="115" spans="1:10" ht="15" x14ac:dyDescent="0.4">
      <c r="A115" s="191" t="s">
        <v>1182</v>
      </c>
      <c r="C115" s="11"/>
      <c r="D115" s="2">
        <f>SUM(D113:D114)</f>
        <v>17500</v>
      </c>
      <c r="E115" s="2"/>
      <c r="F115" s="2"/>
      <c r="G115" s="2"/>
      <c r="H115" s="2"/>
      <c r="I115" s="2"/>
      <c r="J115" s="2"/>
    </row>
    <row r="116" spans="1:10" ht="15" x14ac:dyDescent="0.4">
      <c r="C116" s="11"/>
      <c r="E116" s="2"/>
      <c r="F116" s="2"/>
      <c r="G116" s="2"/>
      <c r="H116" s="2"/>
      <c r="I116" s="2"/>
      <c r="J116" s="2"/>
    </row>
    <row r="117" spans="1:10" ht="13.8" x14ac:dyDescent="0.3">
      <c r="A117" s="193" t="s">
        <v>207</v>
      </c>
      <c r="E117" s="2">
        <v>43341</v>
      </c>
      <c r="F117" s="2">
        <v>53428</v>
      </c>
      <c r="G117" s="2">
        <v>49645</v>
      </c>
      <c r="H117" s="2">
        <v>49645</v>
      </c>
      <c r="I117" s="2"/>
      <c r="J117" s="2"/>
    </row>
    <row r="118" spans="1:10" x14ac:dyDescent="0.25">
      <c r="A118" s="191" t="s">
        <v>1649</v>
      </c>
      <c r="B118" s="47">
        <v>16150</v>
      </c>
      <c r="C118" s="12">
        <v>2.8</v>
      </c>
      <c r="D118" s="2">
        <f>ROUND(B118*C118,0)</f>
        <v>45220</v>
      </c>
      <c r="E118" s="2"/>
      <c r="F118" s="2"/>
      <c r="G118" s="2"/>
      <c r="H118" s="2"/>
      <c r="I118" s="2"/>
      <c r="J118" s="2"/>
    </row>
    <row r="119" spans="1:10" x14ac:dyDescent="0.25">
      <c r="A119" s="191" t="s">
        <v>1650</v>
      </c>
      <c r="B119" s="2">
        <v>1020</v>
      </c>
      <c r="C119" s="12">
        <v>2.5</v>
      </c>
      <c r="D119" s="2">
        <f>ROUND(B119*C119,0)</f>
        <v>2550</v>
      </c>
      <c r="E119" s="2"/>
      <c r="F119" s="2"/>
      <c r="G119" s="2"/>
      <c r="H119" s="2"/>
      <c r="I119" s="2"/>
      <c r="J119" s="2"/>
    </row>
    <row r="120" spans="1:10" ht="15" x14ac:dyDescent="0.4">
      <c r="A120" s="191" t="s">
        <v>650</v>
      </c>
      <c r="B120" s="2">
        <v>508.18700000000001</v>
      </c>
      <c r="C120" s="12">
        <v>3.69</v>
      </c>
      <c r="D120" s="11">
        <f>ROUND(B120*C120,0)</f>
        <v>1875</v>
      </c>
      <c r="E120" s="2"/>
      <c r="F120" s="2"/>
      <c r="G120" s="2"/>
      <c r="H120" s="2"/>
      <c r="I120" s="2"/>
      <c r="J120" s="2"/>
    </row>
    <row r="121" spans="1:10" x14ac:dyDescent="0.25">
      <c r="A121" s="191" t="s">
        <v>1182</v>
      </c>
      <c r="B121" s="2"/>
      <c r="C121" s="14"/>
      <c r="D121" s="2">
        <f>SUM(D118:D120)</f>
        <v>49645</v>
      </c>
      <c r="E121" s="2"/>
      <c r="F121" s="2"/>
      <c r="G121" s="2"/>
      <c r="H121" s="2"/>
      <c r="I121" s="2"/>
      <c r="J121" s="2"/>
    </row>
    <row r="122" spans="1:10" x14ac:dyDescent="0.25">
      <c r="E122" s="2"/>
      <c r="F122" s="2"/>
      <c r="G122" s="2"/>
      <c r="H122" s="2"/>
      <c r="I122" s="2"/>
      <c r="J122" s="2"/>
    </row>
    <row r="123" spans="1:10" ht="13.8" x14ac:dyDescent="0.3">
      <c r="A123" s="193" t="s">
        <v>408</v>
      </c>
      <c r="E123" s="2">
        <v>4267</v>
      </c>
      <c r="F123" s="2">
        <v>5260</v>
      </c>
      <c r="G123" s="2">
        <v>5135</v>
      </c>
      <c r="H123" s="2">
        <v>5135</v>
      </c>
      <c r="I123" s="2"/>
      <c r="J123" s="2"/>
    </row>
    <row r="124" spans="1:10" x14ac:dyDescent="0.25">
      <c r="A124" s="191" t="s">
        <v>897</v>
      </c>
      <c r="D124" s="2">
        <v>2075</v>
      </c>
      <c r="E124" s="2"/>
      <c r="F124" s="2"/>
      <c r="G124" s="2"/>
      <c r="H124" s="2"/>
      <c r="I124" s="2"/>
      <c r="J124" s="2"/>
    </row>
    <row r="125" spans="1:10" x14ac:dyDescent="0.25">
      <c r="A125" s="191" t="s">
        <v>1143</v>
      </c>
      <c r="C125" s="2"/>
      <c r="D125" s="2">
        <v>1440</v>
      </c>
      <c r="E125" s="2"/>
      <c r="F125" s="2"/>
      <c r="G125" s="2"/>
      <c r="H125" s="2"/>
      <c r="I125" s="2"/>
      <c r="J125" s="2"/>
    </row>
    <row r="126" spans="1:10" x14ac:dyDescent="0.25">
      <c r="A126" s="191" t="s">
        <v>1898</v>
      </c>
      <c r="C126" s="2"/>
      <c r="D126" s="2">
        <v>1080</v>
      </c>
      <c r="E126" s="2"/>
      <c r="F126" s="2"/>
      <c r="G126" s="2"/>
      <c r="H126" s="2"/>
      <c r="I126" s="2"/>
      <c r="J126" s="2"/>
    </row>
    <row r="127" spans="1:10" ht="15" x14ac:dyDescent="0.4">
      <c r="A127" s="191" t="s">
        <v>651</v>
      </c>
      <c r="C127" s="2"/>
      <c r="D127" s="11">
        <v>540</v>
      </c>
      <c r="E127" s="2"/>
      <c r="F127" s="2"/>
      <c r="G127" s="2"/>
      <c r="H127" s="2"/>
      <c r="I127" s="2"/>
      <c r="J127" s="2"/>
    </row>
    <row r="128" spans="1:10" ht="15" x14ac:dyDescent="0.4">
      <c r="A128" s="191" t="s">
        <v>1182</v>
      </c>
      <c r="B128" s="2" t="s">
        <v>386</v>
      </c>
      <c r="C128" s="11"/>
      <c r="D128" s="2">
        <f>SUM(D124:D127)</f>
        <v>5135</v>
      </c>
      <c r="E128" s="2"/>
      <c r="F128" s="2"/>
      <c r="G128" s="2"/>
      <c r="H128" s="2"/>
      <c r="I128" s="2"/>
      <c r="J128" s="2"/>
    </row>
    <row r="129" spans="1:10" x14ac:dyDescent="0.25">
      <c r="B129" s="2"/>
      <c r="C129" s="2"/>
      <c r="E129" s="2"/>
      <c r="F129" s="2"/>
      <c r="G129" s="2"/>
      <c r="H129" s="2"/>
      <c r="I129" s="2"/>
      <c r="J129" s="2"/>
    </row>
    <row r="130" spans="1:10" ht="13.8" x14ac:dyDescent="0.3">
      <c r="A130" s="193" t="s">
        <v>409</v>
      </c>
      <c r="E130" s="2">
        <v>14693</v>
      </c>
      <c r="F130" s="2">
        <v>14574</v>
      </c>
      <c r="G130" s="2">
        <v>15771</v>
      </c>
      <c r="H130" s="2">
        <v>15771</v>
      </c>
      <c r="I130" s="2"/>
      <c r="J130" s="2"/>
    </row>
    <row r="131" spans="1:10" x14ac:dyDescent="0.25">
      <c r="A131" s="191" t="s">
        <v>474</v>
      </c>
      <c r="D131" s="2">
        <v>13315</v>
      </c>
      <c r="E131" s="2"/>
      <c r="F131" s="2"/>
      <c r="G131" s="2"/>
      <c r="H131" s="2"/>
      <c r="I131" s="2"/>
      <c r="J131" s="2"/>
    </row>
    <row r="132" spans="1:10" x14ac:dyDescent="0.25">
      <c r="A132" s="191" t="s">
        <v>135</v>
      </c>
      <c r="B132" s="2" t="s">
        <v>386</v>
      </c>
      <c r="C132" s="2"/>
      <c r="D132" s="2">
        <v>142</v>
      </c>
      <c r="E132" s="2"/>
      <c r="F132" s="2"/>
      <c r="G132" s="2"/>
      <c r="H132" s="2"/>
      <c r="I132" s="2"/>
      <c r="J132" s="2"/>
    </row>
    <row r="133" spans="1:10" x14ac:dyDescent="0.25">
      <c r="A133" s="191" t="s">
        <v>2141</v>
      </c>
      <c r="B133" s="2"/>
      <c r="C133" s="2"/>
      <c r="D133" s="2">
        <v>1400</v>
      </c>
      <c r="E133" s="2"/>
      <c r="F133" s="2"/>
      <c r="G133" s="2"/>
      <c r="H133" s="2"/>
      <c r="I133" s="2"/>
      <c r="J133" s="2"/>
    </row>
    <row r="134" spans="1:10" x14ac:dyDescent="0.25">
      <c r="A134" s="191" t="s">
        <v>579</v>
      </c>
      <c r="B134" s="2"/>
      <c r="C134" s="2"/>
      <c r="D134" s="2">
        <v>180</v>
      </c>
      <c r="E134" s="2"/>
      <c r="F134" s="2"/>
      <c r="G134" s="2"/>
      <c r="H134" s="2"/>
      <c r="I134" s="2"/>
      <c r="J134" s="2"/>
    </row>
    <row r="135" spans="1:10" x14ac:dyDescent="0.25">
      <c r="A135" s="191" t="s">
        <v>1233</v>
      </c>
      <c r="B135" s="2">
        <v>4</v>
      </c>
      <c r="C135" s="2">
        <v>96</v>
      </c>
      <c r="D135" s="2">
        <f>C135*B135</f>
        <v>384</v>
      </c>
      <c r="E135" s="2"/>
      <c r="F135" s="2"/>
      <c r="G135" s="2"/>
      <c r="H135" s="2"/>
      <c r="I135" s="2"/>
      <c r="J135" s="2"/>
    </row>
    <row r="136" spans="1:10" ht="15" x14ac:dyDescent="0.4">
      <c r="A136" s="191" t="s">
        <v>1380</v>
      </c>
      <c r="B136" s="2">
        <v>7</v>
      </c>
      <c r="C136" s="2">
        <v>50</v>
      </c>
      <c r="D136" s="11">
        <f>C136*B136</f>
        <v>350</v>
      </c>
      <c r="E136" s="2"/>
      <c r="F136" s="2"/>
      <c r="G136" s="2"/>
      <c r="H136" s="2"/>
      <c r="I136" s="2"/>
      <c r="J136" s="2"/>
    </row>
    <row r="137" spans="1:10" x14ac:dyDescent="0.25">
      <c r="A137" s="191" t="s">
        <v>1182</v>
      </c>
      <c r="B137" s="2"/>
      <c r="C137" s="2"/>
      <c r="D137" s="2">
        <f>SUM(D131:D136)</f>
        <v>15771</v>
      </c>
      <c r="E137" s="2"/>
      <c r="F137" s="2"/>
      <c r="G137" s="2"/>
      <c r="H137" s="2"/>
      <c r="I137" s="2"/>
      <c r="J137" s="2"/>
    </row>
    <row r="138" spans="1:10" x14ac:dyDescent="0.25">
      <c r="A138" s="191" t="s">
        <v>386</v>
      </c>
      <c r="B138" s="2"/>
      <c r="C138" s="12"/>
      <c r="E138" s="2"/>
      <c r="F138" s="2"/>
      <c r="G138" s="2"/>
      <c r="H138" s="2"/>
      <c r="I138" s="2"/>
      <c r="J138" s="2"/>
    </row>
    <row r="139" spans="1:10" ht="13.8" x14ac:dyDescent="0.3">
      <c r="A139" s="17" t="s">
        <v>410</v>
      </c>
      <c r="D139" s="2" t="s">
        <v>386</v>
      </c>
      <c r="E139" s="2">
        <v>8056</v>
      </c>
      <c r="F139" s="2">
        <v>5887</v>
      </c>
      <c r="G139" s="2">
        <v>8861</v>
      </c>
      <c r="H139" s="2">
        <v>8861</v>
      </c>
      <c r="I139" s="2"/>
      <c r="J139" s="2"/>
    </row>
    <row r="140" spans="1:10" x14ac:dyDescent="0.25">
      <c r="A140" s="191" t="s">
        <v>999</v>
      </c>
      <c r="D140" s="2">
        <v>8861</v>
      </c>
      <c r="E140" s="2"/>
      <c r="F140" s="2"/>
      <c r="G140" s="2"/>
      <c r="H140" s="2"/>
      <c r="I140" s="2"/>
      <c r="J140" s="2"/>
    </row>
    <row r="141" spans="1:10" x14ac:dyDescent="0.25">
      <c r="C141" s="2"/>
      <c r="E141" s="2"/>
      <c r="F141" s="2"/>
      <c r="G141" s="2"/>
      <c r="H141" s="2"/>
      <c r="I141" s="2"/>
      <c r="J141" s="2"/>
    </row>
    <row r="142" spans="1:10" ht="13.8" x14ac:dyDescent="0.3">
      <c r="A142" s="193" t="s">
        <v>411</v>
      </c>
      <c r="C142" s="2"/>
      <c r="E142" s="2">
        <v>400</v>
      </c>
      <c r="F142" s="2">
        <v>250</v>
      </c>
      <c r="G142" s="2">
        <v>250</v>
      </c>
      <c r="H142" s="2">
        <v>250</v>
      </c>
      <c r="I142" s="2"/>
      <c r="J142" s="2"/>
    </row>
    <row r="143" spans="1:10" x14ac:dyDescent="0.25">
      <c r="A143" s="191" t="s">
        <v>477</v>
      </c>
      <c r="C143" s="2"/>
      <c r="D143" s="2">
        <v>250</v>
      </c>
      <c r="E143" s="2"/>
      <c r="F143" s="2"/>
      <c r="G143" s="2"/>
      <c r="H143" s="2"/>
      <c r="I143" s="2"/>
      <c r="J143" s="2"/>
    </row>
    <row r="144" spans="1:10" x14ac:dyDescent="0.25">
      <c r="C144" s="2"/>
      <c r="E144" s="2"/>
      <c r="F144" s="2"/>
      <c r="G144" s="2"/>
      <c r="H144" s="2"/>
      <c r="I144" s="2"/>
      <c r="J144" s="2"/>
    </row>
    <row r="145" spans="1:10" ht="13.8" x14ac:dyDescent="0.3">
      <c r="A145" s="193" t="s">
        <v>285</v>
      </c>
      <c r="C145" s="2"/>
      <c r="E145" s="2">
        <v>4505</v>
      </c>
      <c r="F145" s="2">
        <v>3500</v>
      </c>
      <c r="G145" s="2">
        <v>3500</v>
      </c>
      <c r="H145" s="2">
        <v>3500</v>
      </c>
      <c r="I145" s="2"/>
      <c r="J145" s="2"/>
    </row>
    <row r="146" spans="1:10" x14ac:dyDescent="0.25">
      <c r="A146" s="191" t="s">
        <v>1651</v>
      </c>
      <c r="C146" s="2"/>
      <c r="D146" s="2">
        <v>3500</v>
      </c>
      <c r="E146" s="2"/>
      <c r="F146" s="2"/>
      <c r="G146" s="2"/>
      <c r="H146" s="2"/>
      <c r="I146" s="2"/>
      <c r="J146" s="2"/>
    </row>
    <row r="147" spans="1:10" x14ac:dyDescent="0.25">
      <c r="C147" s="2"/>
      <c r="E147" s="2"/>
      <c r="F147" s="2"/>
      <c r="G147" s="2"/>
      <c r="H147" s="2"/>
      <c r="I147" s="2"/>
      <c r="J147" s="2"/>
    </row>
    <row r="148" spans="1:10" ht="13.8" x14ac:dyDescent="0.3">
      <c r="A148" s="193" t="s">
        <v>1072</v>
      </c>
      <c r="C148" s="2"/>
      <c r="E148" s="2">
        <v>814</v>
      </c>
      <c r="F148" s="2">
        <v>1000</v>
      </c>
      <c r="G148" s="2">
        <v>1000</v>
      </c>
      <c r="H148" s="2">
        <v>1000</v>
      </c>
      <c r="I148" s="2"/>
      <c r="J148" s="2"/>
    </row>
    <row r="149" spans="1:10" x14ac:dyDescent="0.25">
      <c r="A149" s="191" t="s">
        <v>1652</v>
      </c>
      <c r="C149" s="2"/>
      <c r="D149" s="2">
        <v>500</v>
      </c>
      <c r="E149" s="2"/>
      <c r="F149" s="2"/>
      <c r="G149" s="2"/>
      <c r="H149" s="2"/>
      <c r="I149" s="2"/>
      <c r="J149" s="2"/>
    </row>
    <row r="150" spans="1:10" ht="15" x14ac:dyDescent="0.4">
      <c r="A150" s="191" t="s">
        <v>1026</v>
      </c>
      <c r="C150" s="2"/>
      <c r="D150" s="11">
        <v>500</v>
      </c>
      <c r="E150" s="2"/>
      <c r="F150" s="2"/>
      <c r="G150" s="2"/>
      <c r="H150" s="2"/>
      <c r="I150" s="2"/>
      <c r="J150" s="2"/>
    </row>
    <row r="151" spans="1:10" ht="15" x14ac:dyDescent="0.4">
      <c r="A151" s="191" t="s">
        <v>1182</v>
      </c>
      <c r="C151" s="11"/>
      <c r="D151" s="2">
        <f>SUM(D149:D150)</f>
        <v>1000</v>
      </c>
      <c r="E151" s="2"/>
      <c r="F151" s="2"/>
      <c r="G151" s="2"/>
      <c r="H151" s="2"/>
      <c r="I151" s="2"/>
      <c r="J151" s="2"/>
    </row>
    <row r="152" spans="1:10" x14ac:dyDescent="0.25">
      <c r="C152" s="2"/>
      <c r="E152" s="2"/>
      <c r="F152" s="2"/>
      <c r="G152" s="2"/>
      <c r="H152" s="2"/>
      <c r="I152" s="2"/>
      <c r="J152" s="2"/>
    </row>
    <row r="153" spans="1:10" ht="13.8" x14ac:dyDescent="0.3">
      <c r="A153" s="193" t="s">
        <v>1073</v>
      </c>
      <c r="C153" s="2"/>
      <c r="E153" s="2">
        <v>46406</v>
      </c>
      <c r="F153" s="2">
        <v>65000</v>
      </c>
      <c r="G153" s="2">
        <v>62500</v>
      </c>
      <c r="H153" s="2">
        <v>62500</v>
      </c>
      <c r="I153" s="2"/>
      <c r="J153" s="2"/>
    </row>
    <row r="154" spans="1:10" x14ac:dyDescent="0.25">
      <c r="A154" s="191" t="s">
        <v>891</v>
      </c>
      <c r="C154" s="2"/>
      <c r="D154" s="2">
        <v>62500</v>
      </c>
      <c r="E154" s="2"/>
      <c r="F154" s="2"/>
      <c r="G154" s="2"/>
      <c r="H154" s="2"/>
      <c r="I154" s="2"/>
      <c r="J154" s="2"/>
    </row>
    <row r="155" spans="1:10" x14ac:dyDescent="0.25">
      <c r="B155" s="2"/>
      <c r="C155" s="2"/>
      <c r="E155" s="2"/>
      <c r="F155" s="2"/>
      <c r="G155" s="2"/>
      <c r="H155" s="2"/>
      <c r="I155" s="2"/>
      <c r="J155" s="2"/>
    </row>
    <row r="156" spans="1:10" ht="13.8" x14ac:dyDescent="0.3">
      <c r="A156" s="193" t="s">
        <v>412</v>
      </c>
      <c r="C156" s="2"/>
      <c r="E156" s="2">
        <v>2455</v>
      </c>
      <c r="F156" s="2">
        <v>2500</v>
      </c>
      <c r="G156" s="2">
        <v>5000</v>
      </c>
      <c r="H156" s="2">
        <v>5000</v>
      </c>
      <c r="I156" s="2"/>
      <c r="J156" s="2"/>
    </row>
    <row r="157" spans="1:10" x14ac:dyDescent="0.25">
      <c r="A157" s="191" t="s">
        <v>1653</v>
      </c>
      <c r="C157" s="2"/>
      <c r="D157" s="2">
        <v>2500</v>
      </c>
      <c r="E157" s="2"/>
      <c r="F157" s="2"/>
      <c r="G157" s="2"/>
      <c r="H157" s="2"/>
      <c r="I157" s="2"/>
      <c r="J157" s="2"/>
    </row>
    <row r="158" spans="1:10" x14ac:dyDescent="0.25">
      <c r="A158" s="191" t="s">
        <v>2142</v>
      </c>
      <c r="C158" s="2"/>
      <c r="D158" s="35">
        <v>2500</v>
      </c>
      <c r="E158" s="2"/>
      <c r="F158" s="2"/>
      <c r="G158" s="2"/>
      <c r="H158" s="2"/>
      <c r="I158" s="2"/>
      <c r="J158" s="2"/>
    </row>
    <row r="159" spans="1:10" x14ac:dyDescent="0.25">
      <c r="C159" s="2"/>
      <c r="D159" s="2">
        <f>SUM(D157:D158)</f>
        <v>5000</v>
      </c>
      <c r="E159" s="2"/>
      <c r="F159" s="2"/>
      <c r="G159" s="2"/>
      <c r="H159" s="2"/>
      <c r="I159" s="2"/>
      <c r="J159" s="2"/>
    </row>
    <row r="160" spans="1:10" x14ac:dyDescent="0.25">
      <c r="C160" s="2"/>
      <c r="E160" s="2"/>
      <c r="F160" s="2"/>
      <c r="G160" s="2"/>
      <c r="H160" s="2"/>
    </row>
    <row r="161" spans="1:10" ht="13.8" x14ac:dyDescent="0.3">
      <c r="A161" s="193" t="s">
        <v>523</v>
      </c>
      <c r="C161" s="2"/>
      <c r="E161" s="2">
        <v>0</v>
      </c>
      <c r="F161" s="2">
        <v>300</v>
      </c>
      <c r="G161" s="2">
        <v>300</v>
      </c>
      <c r="H161" s="2">
        <v>300</v>
      </c>
      <c r="I161" s="2"/>
      <c r="J161" s="2"/>
    </row>
    <row r="162" spans="1:10" x14ac:dyDescent="0.25">
      <c r="A162" s="191" t="s">
        <v>2143</v>
      </c>
      <c r="C162" s="2"/>
      <c r="D162" s="2">
        <v>300</v>
      </c>
      <c r="E162" s="2"/>
      <c r="I162" s="2"/>
      <c r="J162" s="2"/>
    </row>
    <row r="163" spans="1:10" x14ac:dyDescent="0.25">
      <c r="C163" s="2"/>
      <c r="E163" s="2"/>
      <c r="F163" s="2"/>
      <c r="G163" s="2"/>
      <c r="H163" s="2"/>
    </row>
    <row r="164" spans="1:10" ht="13.8" x14ac:dyDescent="0.3">
      <c r="A164" s="193" t="s">
        <v>1458</v>
      </c>
      <c r="C164" s="2"/>
      <c r="E164" s="2">
        <v>0</v>
      </c>
      <c r="F164" s="2">
        <v>150</v>
      </c>
      <c r="G164" s="2">
        <v>150</v>
      </c>
      <c r="H164" s="2">
        <v>150</v>
      </c>
      <c r="I164" s="2"/>
      <c r="J164" s="2"/>
    </row>
    <row r="165" spans="1:10" x14ac:dyDescent="0.25">
      <c r="A165" s="191" t="s">
        <v>137</v>
      </c>
      <c r="C165" s="2"/>
      <c r="D165" s="2">
        <v>150</v>
      </c>
      <c r="E165" s="2"/>
      <c r="I165" s="2"/>
      <c r="J165" s="2"/>
    </row>
    <row r="166" spans="1:10" x14ac:dyDescent="0.25">
      <c r="C166" s="2"/>
      <c r="E166" s="2"/>
      <c r="F166" s="2"/>
      <c r="G166" s="2"/>
      <c r="H166" s="2"/>
    </row>
    <row r="167" spans="1:10" ht="13.8" x14ac:dyDescent="0.3">
      <c r="A167" s="193" t="s">
        <v>1313</v>
      </c>
      <c r="B167" s="2"/>
      <c r="E167" s="2">
        <v>477500</v>
      </c>
      <c r="F167" s="2">
        <v>608950</v>
      </c>
      <c r="G167" s="2">
        <v>660025</v>
      </c>
      <c r="H167" s="2">
        <v>660025</v>
      </c>
    </row>
    <row r="168" spans="1:10" x14ac:dyDescent="0.25">
      <c r="A168" s="191" t="s">
        <v>1929</v>
      </c>
      <c r="B168" s="2">
        <v>8300</v>
      </c>
      <c r="C168" s="12">
        <v>70</v>
      </c>
      <c r="D168" s="2">
        <f>B168*C168</f>
        <v>581000</v>
      </c>
      <c r="E168" s="2"/>
    </row>
    <row r="169" spans="1:10" ht="15" x14ac:dyDescent="0.4">
      <c r="A169" s="191" t="s">
        <v>1930</v>
      </c>
      <c r="B169" s="2">
        <v>1450</v>
      </c>
      <c r="C169" s="12">
        <v>54.5</v>
      </c>
      <c r="D169" s="11">
        <f>B169*C169</f>
        <v>79025</v>
      </c>
      <c r="E169" s="2"/>
    </row>
    <row r="170" spans="1:10" x14ac:dyDescent="0.25">
      <c r="A170" s="191" t="s">
        <v>1182</v>
      </c>
      <c r="B170" s="2"/>
      <c r="C170" s="12"/>
      <c r="D170" s="2">
        <f>SUM(D168:D169)</f>
        <v>660025</v>
      </c>
      <c r="E170" s="2"/>
    </row>
    <row r="171" spans="1:10" x14ac:dyDescent="0.25">
      <c r="B171" s="2"/>
      <c r="C171" s="12"/>
      <c r="E171" s="2"/>
    </row>
    <row r="172" spans="1:10" ht="13.8" x14ac:dyDescent="0.3">
      <c r="A172" s="102" t="s">
        <v>1718</v>
      </c>
      <c r="B172" s="2"/>
      <c r="C172" s="12"/>
      <c r="E172" s="2">
        <v>82559</v>
      </c>
      <c r="F172" s="191">
        <v>0</v>
      </c>
      <c r="G172" s="191">
        <v>0</v>
      </c>
      <c r="H172" s="191">
        <v>0</v>
      </c>
      <c r="I172" s="2"/>
      <c r="J172" s="2"/>
    </row>
    <row r="173" spans="1:10" x14ac:dyDescent="0.25">
      <c r="B173" s="2"/>
      <c r="C173" s="12"/>
      <c r="E173" s="2"/>
    </row>
    <row r="174" spans="1:10" ht="13.8" x14ac:dyDescent="0.3">
      <c r="A174" s="193" t="s">
        <v>1459</v>
      </c>
      <c r="E174" s="2">
        <v>1908</v>
      </c>
      <c r="F174" s="2">
        <v>6340</v>
      </c>
      <c r="G174" s="2">
        <v>6340</v>
      </c>
      <c r="H174" s="2">
        <v>6340</v>
      </c>
      <c r="I174" s="2"/>
      <c r="J174" s="2"/>
    </row>
    <row r="175" spans="1:10" x14ac:dyDescent="0.25">
      <c r="A175" s="191" t="s">
        <v>1407</v>
      </c>
      <c r="D175" s="8">
        <v>500</v>
      </c>
      <c r="I175" s="2"/>
      <c r="J175" s="2"/>
    </row>
    <row r="176" spans="1:10" x14ac:dyDescent="0.25">
      <c r="A176" s="191" t="s">
        <v>1408</v>
      </c>
      <c r="C176" s="2"/>
      <c r="D176" s="2">
        <v>300</v>
      </c>
      <c r="E176" s="2"/>
      <c r="F176" s="2"/>
      <c r="G176" s="2"/>
      <c r="H176" s="2"/>
      <c r="I176" s="2"/>
      <c r="J176" s="2"/>
    </row>
    <row r="177" spans="1:10" x14ac:dyDescent="0.25">
      <c r="A177" s="191" t="s">
        <v>1409</v>
      </c>
      <c r="C177" s="2"/>
      <c r="D177" s="2">
        <v>200</v>
      </c>
      <c r="E177" s="2"/>
      <c r="F177" s="2"/>
      <c r="G177" s="2"/>
      <c r="H177" s="2"/>
    </row>
    <row r="178" spans="1:10" x14ac:dyDescent="0.25">
      <c r="A178" s="191" t="s">
        <v>913</v>
      </c>
      <c r="C178" s="2"/>
      <c r="D178" s="2">
        <v>840</v>
      </c>
      <c r="E178" s="2"/>
      <c r="F178" s="2"/>
      <c r="G178" s="2"/>
      <c r="H178" s="2"/>
      <c r="I178" s="2"/>
      <c r="J178" s="2"/>
    </row>
    <row r="179" spans="1:10" x14ac:dyDescent="0.25">
      <c r="A179" s="191" t="s">
        <v>569</v>
      </c>
      <c r="C179" s="2"/>
      <c r="D179" s="2">
        <v>500</v>
      </c>
      <c r="E179" s="2"/>
    </row>
    <row r="180" spans="1:10" ht="15" x14ac:dyDescent="0.4">
      <c r="A180" s="191" t="s">
        <v>1135</v>
      </c>
      <c r="C180" s="2"/>
      <c r="D180" s="11">
        <v>4000</v>
      </c>
      <c r="E180" s="2"/>
      <c r="F180" s="2"/>
      <c r="G180" s="2"/>
      <c r="H180" s="2"/>
    </row>
    <row r="181" spans="1:10" ht="15" x14ac:dyDescent="0.4">
      <c r="A181" s="191" t="s">
        <v>1182</v>
      </c>
      <c r="C181" s="11"/>
      <c r="D181" s="2">
        <f>SUM(D175:D180)</f>
        <v>6340</v>
      </c>
      <c r="E181" s="2"/>
      <c r="I181" s="2"/>
      <c r="J181" s="2"/>
    </row>
    <row r="182" spans="1:10" x14ac:dyDescent="0.25">
      <c r="C182" s="2"/>
      <c r="E182" s="2"/>
      <c r="I182" s="2"/>
      <c r="J182" s="2"/>
    </row>
    <row r="183" spans="1:10" ht="13.8" x14ac:dyDescent="0.3">
      <c r="A183" s="193" t="s">
        <v>672</v>
      </c>
      <c r="C183" s="2"/>
      <c r="E183" s="2">
        <v>14821</v>
      </c>
      <c r="F183" s="2">
        <v>14000</v>
      </c>
      <c r="G183" s="2">
        <v>16500</v>
      </c>
      <c r="H183" s="2">
        <v>16500</v>
      </c>
      <c r="I183" s="2"/>
      <c r="J183" s="2"/>
    </row>
    <row r="184" spans="1:10" x14ac:dyDescent="0.25">
      <c r="A184" s="191" t="s">
        <v>1497</v>
      </c>
      <c r="C184" s="2"/>
      <c r="D184" s="2">
        <v>5500</v>
      </c>
      <c r="E184" s="2"/>
      <c r="F184" s="2"/>
      <c r="G184" s="2"/>
      <c r="H184" s="2"/>
      <c r="I184" s="2"/>
      <c r="J184" s="2"/>
    </row>
    <row r="185" spans="1:10" x14ac:dyDescent="0.25">
      <c r="A185" s="191" t="s">
        <v>1498</v>
      </c>
      <c r="C185" s="2"/>
      <c r="D185" s="2">
        <v>8500</v>
      </c>
      <c r="E185" s="2"/>
      <c r="F185" s="2"/>
      <c r="G185" s="2"/>
      <c r="H185" s="2"/>
      <c r="I185" s="2"/>
      <c r="J185" s="2"/>
    </row>
    <row r="186" spans="1:10" ht="15" x14ac:dyDescent="0.4">
      <c r="A186" s="191" t="s">
        <v>1499</v>
      </c>
      <c r="C186" s="2"/>
      <c r="D186" s="11">
        <v>2500</v>
      </c>
      <c r="E186" s="2"/>
      <c r="F186" s="2"/>
      <c r="G186" s="2"/>
      <c r="H186" s="2"/>
    </row>
    <row r="187" spans="1:10" x14ac:dyDescent="0.25">
      <c r="C187" s="2"/>
      <c r="D187" s="2">
        <f>SUM(D184:D186)</f>
        <v>16500</v>
      </c>
      <c r="E187" s="2"/>
      <c r="F187" s="2"/>
      <c r="G187" s="2"/>
      <c r="H187" s="2"/>
      <c r="I187" s="2"/>
      <c r="J187" s="2"/>
    </row>
    <row r="188" spans="1:10" ht="13.8" x14ac:dyDescent="0.3">
      <c r="A188" s="193"/>
      <c r="B188" s="2"/>
      <c r="C188" s="12"/>
      <c r="E188" s="2"/>
      <c r="I188" s="2"/>
      <c r="J188" s="2"/>
    </row>
    <row r="189" spans="1:10" ht="13.8" x14ac:dyDescent="0.3">
      <c r="A189" s="193" t="s">
        <v>1460</v>
      </c>
      <c r="C189" s="2"/>
      <c r="E189" s="2">
        <v>81806</v>
      </c>
      <c r="F189" s="2">
        <v>62700</v>
      </c>
      <c r="G189" s="2">
        <v>62700</v>
      </c>
      <c r="H189" s="2">
        <v>62700</v>
      </c>
      <c r="I189" s="2"/>
      <c r="J189" s="2"/>
    </row>
    <row r="190" spans="1:10" x14ac:dyDescent="0.25">
      <c r="A190" s="191" t="s">
        <v>34</v>
      </c>
      <c r="C190" s="2"/>
      <c r="D190" s="2">
        <v>15000</v>
      </c>
      <c r="E190" s="2"/>
      <c r="F190" s="2"/>
      <c r="G190" s="2"/>
      <c r="H190" s="2"/>
      <c r="I190" s="2"/>
      <c r="J190" s="2"/>
    </row>
    <row r="191" spans="1:10" x14ac:dyDescent="0.25">
      <c r="A191" s="191" t="s">
        <v>914</v>
      </c>
      <c r="C191" s="2"/>
      <c r="D191" s="2">
        <v>4700</v>
      </c>
      <c r="E191" s="2"/>
      <c r="F191" s="2"/>
      <c r="G191" s="2"/>
      <c r="H191" s="2"/>
      <c r="I191" s="2"/>
      <c r="J191" s="2"/>
    </row>
    <row r="192" spans="1:10" x14ac:dyDescent="0.25">
      <c r="A192" s="191" t="s">
        <v>442</v>
      </c>
      <c r="C192" s="2"/>
      <c r="D192" s="2">
        <v>30000</v>
      </c>
      <c r="E192" s="2"/>
      <c r="F192" s="2"/>
      <c r="G192" s="2"/>
      <c r="H192" s="2"/>
      <c r="I192" s="2"/>
      <c r="J192" s="2"/>
    </row>
    <row r="193" spans="1:10" x14ac:dyDescent="0.25">
      <c r="A193" s="191" t="s">
        <v>110</v>
      </c>
      <c r="C193" s="2"/>
      <c r="D193" s="2">
        <v>10000</v>
      </c>
      <c r="E193" s="2"/>
      <c r="F193" s="2"/>
      <c r="G193" s="2"/>
      <c r="H193" s="2"/>
      <c r="I193" s="2"/>
      <c r="J193" s="2"/>
    </row>
    <row r="194" spans="1:10" ht="15" x14ac:dyDescent="0.4">
      <c r="A194" s="191" t="s">
        <v>1654</v>
      </c>
      <c r="C194" s="2"/>
      <c r="D194" s="11">
        <v>3000</v>
      </c>
      <c r="E194" s="2"/>
      <c r="F194" s="2"/>
      <c r="G194" s="2"/>
      <c r="H194" s="2"/>
      <c r="I194" s="2"/>
      <c r="J194" s="2"/>
    </row>
    <row r="195" spans="1:10" ht="15" x14ac:dyDescent="0.4">
      <c r="A195" s="191" t="s">
        <v>1182</v>
      </c>
      <c r="C195" s="11"/>
      <c r="D195" s="2">
        <f>SUM(D190:D194)</f>
        <v>62700</v>
      </c>
      <c r="E195" s="2"/>
      <c r="F195" s="2"/>
      <c r="G195" s="2"/>
      <c r="H195" s="2"/>
      <c r="I195" s="2"/>
      <c r="J195" s="2"/>
    </row>
    <row r="196" spans="1:10" ht="15" x14ac:dyDescent="0.4">
      <c r="C196" s="11"/>
      <c r="E196" s="2"/>
      <c r="F196" s="2"/>
      <c r="G196" s="2"/>
      <c r="H196" s="2"/>
      <c r="I196" s="2"/>
      <c r="J196" s="2"/>
    </row>
    <row r="197" spans="1:10" ht="15" x14ac:dyDescent="0.4">
      <c r="A197" s="193" t="s">
        <v>2164</v>
      </c>
      <c r="C197" s="11"/>
      <c r="E197" s="2">
        <v>1975</v>
      </c>
      <c r="F197" s="2">
        <v>0</v>
      </c>
      <c r="G197" s="2">
        <v>0</v>
      </c>
      <c r="H197" s="2">
        <v>0</v>
      </c>
      <c r="I197" s="2"/>
      <c r="J197" s="2"/>
    </row>
    <row r="198" spans="1:10" x14ac:dyDescent="0.25">
      <c r="C198" s="2"/>
      <c r="E198" s="2"/>
    </row>
    <row r="199" spans="1:10" ht="13.8" x14ac:dyDescent="0.3">
      <c r="A199" s="62" t="s">
        <v>1899</v>
      </c>
      <c r="C199" s="2"/>
      <c r="E199" s="2">
        <v>0</v>
      </c>
      <c r="F199" s="2">
        <v>14600</v>
      </c>
      <c r="G199" s="2">
        <v>2000</v>
      </c>
      <c r="H199" s="2">
        <v>2000</v>
      </c>
      <c r="I199" s="2"/>
      <c r="J199" s="2"/>
    </row>
    <row r="200" spans="1:10" x14ac:dyDescent="0.25">
      <c r="A200" s="191" t="s">
        <v>2144</v>
      </c>
      <c r="C200" s="2"/>
      <c r="D200" s="2">
        <v>2000</v>
      </c>
      <c r="E200" s="2"/>
      <c r="G200" s="2"/>
      <c r="H200" s="2"/>
    </row>
    <row r="201" spans="1:10" ht="15" x14ac:dyDescent="0.4">
      <c r="C201" s="11"/>
      <c r="E201" s="2"/>
      <c r="G201" s="2"/>
      <c r="H201" s="2"/>
    </row>
    <row r="202" spans="1:10" ht="13.8" x14ac:dyDescent="0.3">
      <c r="A202" s="62" t="s">
        <v>1793</v>
      </c>
      <c r="C202" s="2"/>
      <c r="E202" s="2"/>
      <c r="F202" s="2">
        <v>0</v>
      </c>
      <c r="G202" s="2"/>
      <c r="H202" s="2"/>
    </row>
    <row r="203" spans="1:10" ht="13.8" x14ac:dyDescent="0.3">
      <c r="A203" s="62"/>
      <c r="C203" s="2"/>
      <c r="E203" s="2"/>
      <c r="F203" s="2"/>
    </row>
    <row r="204" spans="1:10" ht="13.8" x14ac:dyDescent="0.3">
      <c r="A204" s="193" t="s">
        <v>1717</v>
      </c>
      <c r="C204" s="2"/>
      <c r="E204" s="2"/>
      <c r="F204" s="2">
        <v>0</v>
      </c>
      <c r="G204" s="2"/>
      <c r="H204" s="2"/>
      <c r="I204" s="2"/>
      <c r="J204" s="2"/>
    </row>
    <row r="205" spans="1:10" x14ac:dyDescent="0.25">
      <c r="C205" s="2"/>
      <c r="E205" s="2"/>
      <c r="F205" s="2"/>
      <c r="I205" s="2"/>
      <c r="J205" s="2"/>
    </row>
    <row r="206" spans="1:10" ht="13.8" x14ac:dyDescent="0.3">
      <c r="A206" s="193" t="s">
        <v>731</v>
      </c>
      <c r="C206" s="2"/>
      <c r="E206" s="2">
        <v>0</v>
      </c>
      <c r="F206" s="2">
        <v>0</v>
      </c>
      <c r="G206" s="191">
        <v>12000</v>
      </c>
      <c r="H206" s="191">
        <v>0</v>
      </c>
      <c r="I206" s="2"/>
      <c r="J206" s="2"/>
    </row>
    <row r="207" spans="1:10" ht="15" x14ac:dyDescent="0.4">
      <c r="A207" s="43" t="s">
        <v>2130</v>
      </c>
      <c r="B207" s="11"/>
      <c r="C207" s="11"/>
      <c r="D207" s="3">
        <v>0</v>
      </c>
      <c r="E207" s="2"/>
      <c r="F207" s="2"/>
      <c r="I207" s="2"/>
      <c r="J207" s="2"/>
    </row>
    <row r="208" spans="1:10" x14ac:dyDescent="0.25">
      <c r="E208" s="2"/>
      <c r="F208" s="2"/>
      <c r="I208" s="2"/>
      <c r="J208" s="2"/>
    </row>
    <row r="209" spans="1:10" ht="13.8" x14ac:dyDescent="0.3">
      <c r="A209" s="193" t="s">
        <v>799</v>
      </c>
      <c r="C209" s="2"/>
      <c r="E209" s="2">
        <v>17690</v>
      </c>
      <c r="F209" s="2">
        <v>100000</v>
      </c>
      <c r="G209" s="2">
        <v>125000</v>
      </c>
      <c r="H209" s="2">
        <v>125000</v>
      </c>
      <c r="I209" s="2"/>
      <c r="J209" s="2"/>
    </row>
    <row r="210" spans="1:10" x14ac:dyDescent="0.25">
      <c r="A210" s="191" t="s">
        <v>1069</v>
      </c>
      <c r="C210" s="2"/>
      <c r="D210" s="2">
        <v>125000</v>
      </c>
      <c r="G210" s="2"/>
      <c r="H210" s="2"/>
      <c r="I210" s="2"/>
      <c r="J210" s="2"/>
    </row>
    <row r="211" spans="1:10" x14ac:dyDescent="0.25">
      <c r="C211" s="2"/>
      <c r="F211" s="2"/>
      <c r="G211" s="2"/>
      <c r="H211" s="2"/>
      <c r="I211" s="2"/>
      <c r="J211" s="2"/>
    </row>
    <row r="212" spans="1:10" ht="15" x14ac:dyDescent="0.4">
      <c r="C212" s="2"/>
      <c r="F212" s="11"/>
      <c r="G212" s="2"/>
      <c r="H212" s="2"/>
    </row>
    <row r="213" spans="1:10" ht="15" x14ac:dyDescent="0.4">
      <c r="A213" s="193" t="s">
        <v>1064</v>
      </c>
      <c r="C213" s="2"/>
      <c r="E213" s="11">
        <v>65000</v>
      </c>
      <c r="F213" s="11">
        <v>70000</v>
      </c>
      <c r="G213" s="31">
        <v>190000</v>
      </c>
      <c r="H213" s="31">
        <v>190000</v>
      </c>
      <c r="I213" s="2"/>
      <c r="J213" s="2"/>
    </row>
    <row r="214" spans="1:10" ht="15" x14ac:dyDescent="0.4">
      <c r="A214" s="23" t="s">
        <v>1748</v>
      </c>
      <c r="C214" s="2"/>
      <c r="D214" s="2">
        <v>70000</v>
      </c>
      <c r="E214" s="11"/>
      <c r="H214" s="11"/>
      <c r="I214" s="11"/>
      <c r="J214" s="11"/>
    </row>
    <row r="215" spans="1:10" ht="15" x14ac:dyDescent="0.4">
      <c r="A215" s="191" t="s">
        <v>2145</v>
      </c>
      <c r="C215" s="2"/>
      <c r="D215" s="11">
        <v>120000</v>
      </c>
      <c r="F215" s="2"/>
      <c r="G215" s="2"/>
      <c r="H215" s="11"/>
      <c r="I215" s="11"/>
      <c r="J215" s="11"/>
    </row>
    <row r="216" spans="1:10" ht="15" x14ac:dyDescent="0.4">
      <c r="A216" s="23"/>
      <c r="C216" s="2"/>
      <c r="D216" s="2">
        <f>SUM(D214:D215)</f>
        <v>190000</v>
      </c>
      <c r="E216" s="11"/>
      <c r="F216" s="11"/>
      <c r="G216" s="11"/>
      <c r="H216" s="2"/>
      <c r="I216" s="2"/>
      <c r="J216" s="2"/>
    </row>
    <row r="217" spans="1:10" ht="15" x14ac:dyDescent="0.4">
      <c r="C217" s="2"/>
      <c r="E217" s="11"/>
      <c r="F217" s="11"/>
      <c r="G217" s="11"/>
    </row>
    <row r="218" spans="1:10" x14ac:dyDescent="0.25">
      <c r="A218" s="191" t="s">
        <v>469</v>
      </c>
      <c r="E218" s="2">
        <f t="shared" ref="E218:J218" si="1">SUM(E6:E214)</f>
        <v>1410614</v>
      </c>
      <c r="F218" s="2">
        <f t="shared" si="1"/>
        <v>1586795</v>
      </c>
      <c r="G218" s="2">
        <f t="shared" si="1"/>
        <v>1804770</v>
      </c>
      <c r="H218" s="2">
        <f t="shared" si="1"/>
        <v>1793611</v>
      </c>
      <c r="I218" s="2">
        <f t="shared" si="1"/>
        <v>0</v>
      </c>
      <c r="J218" s="2">
        <f t="shared" si="1"/>
        <v>0</v>
      </c>
    </row>
    <row r="221" spans="1:10" x14ac:dyDescent="0.25">
      <c r="A221" s="191" t="s">
        <v>571</v>
      </c>
      <c r="E221" s="2">
        <f t="shared" ref="E221:J221" si="2">SUM(E6:E80)</f>
        <v>514026</v>
      </c>
      <c r="F221" s="2">
        <f t="shared" si="2"/>
        <v>525624</v>
      </c>
      <c r="G221" s="2">
        <f t="shared" si="2"/>
        <v>546441</v>
      </c>
      <c r="H221" s="2">
        <f t="shared" si="2"/>
        <v>547282</v>
      </c>
      <c r="I221" s="2">
        <f t="shared" si="2"/>
        <v>0</v>
      </c>
      <c r="J221" s="2">
        <f t="shared" si="2"/>
        <v>0</v>
      </c>
    </row>
    <row r="222" spans="1:10" x14ac:dyDescent="0.25">
      <c r="A222" s="191" t="s">
        <v>895</v>
      </c>
      <c r="E222" s="2">
        <f>SUM(E83:E197)</f>
        <v>813898</v>
      </c>
      <c r="F222" s="2">
        <f>SUM(F83:F194)</f>
        <v>876571</v>
      </c>
      <c r="G222" s="2">
        <f>SUM(G83:G194)</f>
        <v>929329</v>
      </c>
      <c r="H222" s="2">
        <f>SUM(H83:H194)</f>
        <v>929329</v>
      </c>
      <c r="I222" s="2">
        <f>SUM(I83:I194)</f>
        <v>0</v>
      </c>
      <c r="J222" s="2">
        <f>SUM(J83:J194)</f>
        <v>0</v>
      </c>
    </row>
    <row r="223" spans="1:10" ht="15" x14ac:dyDescent="0.4">
      <c r="A223" s="191" t="s">
        <v>896</v>
      </c>
      <c r="E223" s="11">
        <f t="shared" ref="E223:J223" si="3">SUM(E198:E215)</f>
        <v>82690</v>
      </c>
      <c r="F223" s="11">
        <f t="shared" si="3"/>
        <v>184600</v>
      </c>
      <c r="G223" s="11">
        <f t="shared" si="3"/>
        <v>329000</v>
      </c>
      <c r="H223" s="11">
        <f t="shared" si="3"/>
        <v>317000</v>
      </c>
      <c r="I223" s="11">
        <f t="shared" si="3"/>
        <v>0</v>
      </c>
      <c r="J223" s="11">
        <f t="shared" si="3"/>
        <v>0</v>
      </c>
    </row>
    <row r="224" spans="1:10" x14ac:dyDescent="0.25">
      <c r="A224" s="191" t="s">
        <v>1182</v>
      </c>
      <c r="E224" s="2">
        <f t="shared" ref="E224:J224" si="4">SUM(E221:E223)</f>
        <v>1410614</v>
      </c>
      <c r="F224" s="2">
        <f t="shared" si="4"/>
        <v>1586795</v>
      </c>
      <c r="G224" s="2">
        <f t="shared" si="4"/>
        <v>1804770</v>
      </c>
      <c r="H224" s="2">
        <f t="shared" si="4"/>
        <v>1793611</v>
      </c>
      <c r="I224" s="2">
        <f t="shared" si="4"/>
        <v>0</v>
      </c>
      <c r="J224" s="2">
        <f t="shared" si="4"/>
        <v>0</v>
      </c>
    </row>
    <row r="228" spans="1:10" x14ac:dyDescent="0.25">
      <c r="H228" s="191">
        <v>-3368</v>
      </c>
      <c r="I228" s="2">
        <f>+H226-I226</f>
        <v>0</v>
      </c>
      <c r="J228" s="2">
        <f>+I226-J226</f>
        <v>0</v>
      </c>
    </row>
    <row r="229" spans="1:10" x14ac:dyDescent="0.25">
      <c r="H229" s="2">
        <f>+H226+H228</f>
        <v>-3368</v>
      </c>
    </row>
    <row r="230" spans="1:10" x14ac:dyDescent="0.25">
      <c r="I230" s="2">
        <f>+I228+H228</f>
        <v>-3368</v>
      </c>
      <c r="J230" s="2">
        <f>+J228+I228</f>
        <v>0</v>
      </c>
    </row>
    <row r="231" spans="1:10" ht="13.8" x14ac:dyDescent="0.3">
      <c r="A231" s="193" t="s">
        <v>731</v>
      </c>
      <c r="C231" s="2"/>
      <c r="E231" s="2">
        <v>12665</v>
      </c>
      <c r="F231" s="2">
        <v>12000</v>
      </c>
      <c r="G231" s="2">
        <v>65000</v>
      </c>
    </row>
    <row r="232" spans="1:10" ht="15" x14ac:dyDescent="0.4">
      <c r="A232" s="43" t="s">
        <v>1906</v>
      </c>
      <c r="B232" s="11"/>
      <c r="C232" s="11"/>
      <c r="D232" s="3">
        <v>3500</v>
      </c>
      <c r="E232" s="2"/>
      <c r="F232" s="2"/>
      <c r="G232" s="2"/>
    </row>
    <row r="233" spans="1:10" ht="15" x14ac:dyDescent="0.4">
      <c r="A233" s="43" t="s">
        <v>2130</v>
      </c>
      <c r="B233" s="11"/>
      <c r="C233" s="11"/>
      <c r="D233" s="181">
        <v>12000</v>
      </c>
      <c r="E233" s="2"/>
      <c r="F233" s="2"/>
      <c r="G233" s="2"/>
    </row>
  </sheetData>
  <mergeCells count="1">
    <mergeCell ref="A1:J1"/>
  </mergeCells>
  <phoneticPr fontId="0" type="noConversion"/>
  <printOptions gridLines="1"/>
  <pageMargins left="0.75" right="0.16" top="0.51" bottom="0.22" header="0.5" footer="0.5"/>
  <pageSetup scale="89" fitToHeight="14" orientation="landscape" r:id="rId1"/>
  <headerFooter alignWithMargins="0"/>
  <rowBreaks count="4" manualBreakCount="4">
    <brk id="58" max="7" man="1"/>
    <brk id="111" max="7" man="1"/>
    <brk id="151" max="7" man="1"/>
    <brk id="195"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45</vt:i4>
      </vt:variant>
    </vt:vector>
  </HeadingPairs>
  <TitlesOfParts>
    <vt:vector size="68" baseType="lpstr">
      <vt:lpstr>01-gen gov</vt:lpstr>
      <vt:lpstr>02-assessing</vt:lpstr>
      <vt:lpstr>03-fire</vt:lpstr>
      <vt:lpstr>04-police</vt:lpstr>
      <vt:lpstr>05-comm</vt:lpstr>
      <vt:lpstr>06-code enforcement</vt:lpstr>
      <vt:lpstr>07-pub works</vt:lpstr>
      <vt:lpstr>08-highway</vt:lpstr>
      <vt:lpstr>09-solid waste</vt:lpstr>
      <vt:lpstr>13-parks &amp; rec</vt:lpstr>
      <vt:lpstr>15-library</vt:lpstr>
      <vt:lpstr>16-equip mntc</vt:lpstr>
      <vt:lpstr>17-bldg &amp; grounds</vt:lpstr>
      <vt:lpstr>21-comm dev</vt:lpstr>
      <vt:lpstr>24-tax coll</vt:lpstr>
      <vt:lpstr>25-welfare</vt:lpstr>
      <vt:lpstr>27-debt svc</vt:lpstr>
      <vt:lpstr>10-wastewater</vt:lpstr>
      <vt:lpstr>32-Media</vt:lpstr>
      <vt:lpstr>33-Fire Protection -other</vt:lpstr>
      <vt:lpstr>45- capital Projects fund</vt:lpstr>
      <vt:lpstr>-other SPECIAL REVENUE FUNDING</vt:lpstr>
      <vt:lpstr>Revolving Fund</vt:lpstr>
      <vt:lpstr>'01-gen gov'!Print_Area</vt:lpstr>
      <vt:lpstr>'02-assessing'!Print_Area</vt:lpstr>
      <vt:lpstr>'03-fire'!Print_Area</vt:lpstr>
      <vt:lpstr>'04-police'!Print_Area</vt:lpstr>
      <vt:lpstr>'05-comm'!Print_Area</vt:lpstr>
      <vt:lpstr>'06-code enforcement'!Print_Area</vt:lpstr>
      <vt:lpstr>'07-pub works'!Print_Area</vt:lpstr>
      <vt:lpstr>'08-highway'!Print_Area</vt:lpstr>
      <vt:lpstr>'09-solid waste'!Print_Area</vt:lpstr>
      <vt:lpstr>'10-wastewater'!Print_Area</vt:lpstr>
      <vt:lpstr>'13-parks &amp; rec'!Print_Area</vt:lpstr>
      <vt:lpstr>'15-library'!Print_Area</vt:lpstr>
      <vt:lpstr>'16-equip mntc'!Print_Area</vt:lpstr>
      <vt:lpstr>'17-bldg &amp; grounds'!Print_Area</vt:lpstr>
      <vt:lpstr>'21-comm dev'!Print_Area</vt:lpstr>
      <vt:lpstr>'24-tax coll'!Print_Area</vt:lpstr>
      <vt:lpstr>'25-welfare'!Print_Area</vt:lpstr>
      <vt:lpstr>'27-debt svc'!Print_Area</vt:lpstr>
      <vt:lpstr>'32-Media'!Print_Area</vt:lpstr>
      <vt:lpstr>'33-Fire Protection -other'!Print_Area</vt:lpstr>
      <vt:lpstr>'45- capital Projects fund'!Print_Area</vt:lpstr>
      <vt:lpstr>'-other SPECIAL REVENUE FUNDING'!Print_Area</vt:lpstr>
      <vt:lpstr>'Revolving Fund'!Print_Area</vt:lpstr>
      <vt:lpstr>'01-gen gov'!Print_Titles</vt:lpstr>
      <vt:lpstr>'02-assessing'!Print_Titles</vt:lpstr>
      <vt:lpstr>'03-fire'!Print_Titles</vt:lpstr>
      <vt:lpstr>'04-police'!Print_Titles</vt:lpstr>
      <vt:lpstr>'05-comm'!Print_Titles</vt:lpstr>
      <vt:lpstr>'06-code enforcement'!Print_Titles</vt:lpstr>
      <vt:lpstr>'07-pub works'!Print_Titles</vt:lpstr>
      <vt:lpstr>'08-highway'!Print_Titles</vt:lpstr>
      <vt:lpstr>'09-solid waste'!Print_Titles</vt:lpstr>
      <vt:lpstr>'10-wastewater'!Print_Titles</vt:lpstr>
      <vt:lpstr>'13-parks &amp; rec'!Print_Titles</vt:lpstr>
      <vt:lpstr>'15-library'!Print_Titles</vt:lpstr>
      <vt:lpstr>'16-equip mntc'!Print_Titles</vt:lpstr>
      <vt:lpstr>'17-bldg &amp; grounds'!Print_Titles</vt:lpstr>
      <vt:lpstr>'21-comm dev'!Print_Titles</vt:lpstr>
      <vt:lpstr>'24-tax coll'!Print_Titles</vt:lpstr>
      <vt:lpstr>'25-welfare'!Print_Titles</vt:lpstr>
      <vt:lpstr>'32-Media'!Print_Titles</vt:lpstr>
      <vt:lpstr>'33-Fire Protection -other'!Print_Titles</vt:lpstr>
      <vt:lpstr>'45- capital Projects fund'!Print_Titles</vt:lpstr>
      <vt:lpstr>'-other SPECIAL REVENUE FUNDING'!Print_Titles</vt:lpstr>
      <vt:lpstr>'Revolving Fund'!Print_Titles</vt:lpstr>
    </vt:vector>
  </TitlesOfParts>
  <Company>Town of Merrimack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Paul Micali</cp:lastModifiedBy>
  <cp:lastPrinted>2017-12-21T13:44:16Z</cp:lastPrinted>
  <dcterms:created xsi:type="dcterms:W3CDTF">2001-06-20T19:26:14Z</dcterms:created>
  <dcterms:modified xsi:type="dcterms:W3CDTF">2017-12-26T19:12:53Z</dcterms:modified>
</cp:coreProperties>
</file>