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20" yWindow="1500" windowWidth="8592" windowHeight="2736" tabRatio="597" activeTab="1"/>
  </bookViews>
  <sheets>
    <sheet name="CRF" sheetId="55" r:id="rId1"/>
    <sheet name="SUMMARY BY FUND" sheetId="38" r:id="rId2"/>
    <sheet name="01-gen gov" sheetId="1" r:id="rId3"/>
    <sheet name="02-assessing" sheetId="2" r:id="rId4"/>
    <sheet name="03-fire" sheetId="3" r:id="rId5"/>
    <sheet name="04-police" sheetId="4" r:id="rId6"/>
    <sheet name="05-comm" sheetId="5" r:id="rId7"/>
    <sheet name="06-code enforcement" sheetId="53" r:id="rId8"/>
    <sheet name="07-pub works" sheetId="6" r:id="rId9"/>
    <sheet name="08-highway" sheetId="7" r:id="rId10"/>
    <sheet name="09-solid waste" sheetId="8" r:id="rId11"/>
    <sheet name="13-parks &amp; rec" sheetId="11" r:id="rId12"/>
    <sheet name="15-library" sheetId="12" r:id="rId13"/>
    <sheet name="16-equip mntc" sheetId="13" r:id="rId14"/>
    <sheet name="17-bldg &amp; grounds" sheetId="14" r:id="rId15"/>
    <sheet name="21-comm dev" sheetId="15" r:id="rId16"/>
    <sheet name="24-tax coll" sheetId="16" r:id="rId17"/>
    <sheet name="25-welfare" sheetId="17" r:id="rId18"/>
    <sheet name="27-debt svc" sheetId="18" r:id="rId19"/>
    <sheet name="10-wastewater" sheetId="9" r:id="rId20"/>
    <sheet name="32-Media" sheetId="37" r:id="rId21"/>
    <sheet name="33-Fire Protection -other" sheetId="36" r:id="rId22"/>
    <sheet name="43- WWTF capital Project" sheetId="63" r:id="rId23"/>
    <sheet name="45- capital Projects fund" sheetId="61" r:id="rId24"/>
    <sheet name="-other SPECIAL REVENUE FUNDING" sheetId="50" r:id="rId25"/>
    <sheet name="Revolving Fund" sheetId="60" r:id="rId26"/>
  </sheets>
  <externalReferences>
    <externalReference r:id="rId27"/>
    <externalReference r:id="rId28"/>
    <externalReference r:id="rId29"/>
    <externalReference r:id="rId30"/>
  </externalReferences>
  <definedNames>
    <definedName name="_bos38" localSheetId="22">'15-library'!#REF!</definedName>
    <definedName name="_bos38" localSheetId="23">'15-library'!#REF!</definedName>
    <definedName name="_bos38" localSheetId="0">'[1]15-library'!#REF!</definedName>
    <definedName name="_bos38" localSheetId="25">'15-library'!#REF!</definedName>
    <definedName name="_bos38">'15-library'!#REF!</definedName>
    <definedName name="_mgr38" localSheetId="22">'15-library'!#REF!</definedName>
    <definedName name="_mgr38" localSheetId="23">'15-library'!#REF!</definedName>
    <definedName name="_mgr38" localSheetId="0">'[1]15-library'!#REF!</definedName>
    <definedName name="_mgr38" localSheetId="25">'15-library'!#REF!</definedName>
    <definedName name="_mgr38">'15-library'!#REF!</definedName>
    <definedName name="_Order1" hidden="1">255</definedName>
    <definedName name="_Order2" hidden="1">255</definedName>
    <definedName name="aaa" localSheetId="22">'[2]15-library'!#REF!</definedName>
    <definedName name="aaa" localSheetId="23">'[2]15-library'!#REF!</definedName>
    <definedName name="aaa" localSheetId="25">'[2]15-library'!#REF!</definedName>
    <definedName name="aaa">'[2]15-library'!#REF!</definedName>
    <definedName name="actual" localSheetId="22">'15-library'!#REF!</definedName>
    <definedName name="actual" localSheetId="23">'15-library'!#REF!</definedName>
    <definedName name="actual" localSheetId="0">'[1]15-library'!#REF!</definedName>
    <definedName name="actual" localSheetId="25">'15-library'!#REF!</definedName>
    <definedName name="actual">'15-library'!#REF!</definedName>
    <definedName name="actual38" localSheetId="22">'15-library'!#REF!</definedName>
    <definedName name="actual38" localSheetId="23">'15-library'!#REF!</definedName>
    <definedName name="actual38" localSheetId="0">'[1]15-library'!#REF!</definedName>
    <definedName name="actual38" localSheetId="25">'15-library'!#REF!</definedName>
    <definedName name="actual38">'15-library'!#REF!</definedName>
    <definedName name="bbb" localSheetId="22">'[2]15-library'!#REF!</definedName>
    <definedName name="bbb" localSheetId="23">'[2]15-library'!#REF!</definedName>
    <definedName name="bbb" localSheetId="25">'[2]15-library'!#REF!</definedName>
    <definedName name="bbb">'[2]15-library'!#REF!</definedName>
    <definedName name="bos" localSheetId="22">'15-library'!#REF!</definedName>
    <definedName name="bos" localSheetId="23">'15-library'!#REF!</definedName>
    <definedName name="bos" localSheetId="0">'[1]15-library'!#REF!</definedName>
    <definedName name="bos" localSheetId="25">'15-library'!#REF!</definedName>
    <definedName name="bos">'15-library'!#REF!</definedName>
    <definedName name="budcom" localSheetId="22">'15-library'!#REF!</definedName>
    <definedName name="budcom" localSheetId="23">'15-library'!#REF!</definedName>
    <definedName name="budcom" localSheetId="0">'[1]15-library'!#REF!</definedName>
    <definedName name="budcom" localSheetId="25">'15-library'!#REF!</definedName>
    <definedName name="budcom">'15-library'!#REF!</definedName>
    <definedName name="budget" localSheetId="22">'15-library'!#REF!</definedName>
    <definedName name="budget" localSheetId="23">'15-library'!#REF!</definedName>
    <definedName name="budget" localSheetId="0">'[1]15-library'!#REF!</definedName>
    <definedName name="budget" localSheetId="25">'15-library'!#REF!</definedName>
    <definedName name="budget">'15-library'!#REF!</definedName>
    <definedName name="budget38" localSheetId="22">'15-library'!#REF!</definedName>
    <definedName name="budget38" localSheetId="23">'15-library'!#REF!</definedName>
    <definedName name="budget38" localSheetId="0">'[1]15-library'!#REF!</definedName>
    <definedName name="budget38" localSheetId="25">'15-library'!#REF!</definedName>
    <definedName name="budget38">'15-library'!#REF!</definedName>
    <definedName name="ccc" localSheetId="22">'[2]15-library'!#REF!</definedName>
    <definedName name="ccc" localSheetId="23">'[2]15-library'!#REF!</definedName>
    <definedName name="ccc" localSheetId="25">'[2]15-library'!#REF!</definedName>
    <definedName name="ccc">'[2]15-library'!#REF!</definedName>
    <definedName name="ddd" localSheetId="22">'[2]15-library'!#REF!</definedName>
    <definedName name="ddd" localSheetId="23">'[2]15-library'!#REF!</definedName>
    <definedName name="ddd" localSheetId="25">'[2]15-library'!#REF!</definedName>
    <definedName name="ddd">'[2]15-library'!#REF!</definedName>
    <definedName name="dept" localSheetId="22">'15-library'!#REF!</definedName>
    <definedName name="dept" localSheetId="23">'15-library'!#REF!</definedName>
    <definedName name="dept" localSheetId="0">'[1]15-library'!#REF!</definedName>
    <definedName name="dept" localSheetId="25">'15-library'!#REF!</definedName>
    <definedName name="dept">'15-library'!#REF!</definedName>
    <definedName name="dept22" localSheetId="22">'15-library'!#REF!</definedName>
    <definedName name="dept22" localSheetId="23">'15-library'!#REF!</definedName>
    <definedName name="dept22">'15-library'!#REF!</definedName>
    <definedName name="dept38" localSheetId="22">'15-library'!#REF!</definedName>
    <definedName name="dept38" localSheetId="23">'15-library'!#REF!</definedName>
    <definedName name="dept38" localSheetId="0">'[1]15-library'!#REF!</definedName>
    <definedName name="dept38" localSheetId="25">'15-library'!#REF!</definedName>
    <definedName name="dept38">'15-library'!#REF!</definedName>
    <definedName name="eee" localSheetId="22">'[2]15-library'!#REF!</definedName>
    <definedName name="eee" localSheetId="23">'[2]15-library'!#REF!</definedName>
    <definedName name="eee" localSheetId="25">'[2]15-library'!#REF!</definedName>
    <definedName name="eee">'[2]15-library'!#REF!</definedName>
    <definedName name="fff" localSheetId="22">'[2]15-library'!#REF!</definedName>
    <definedName name="fff" localSheetId="23">'[2]15-library'!#REF!</definedName>
    <definedName name="fff" localSheetId="25">'[2]15-library'!#REF!</definedName>
    <definedName name="fff">'[2]15-library'!#REF!</definedName>
    <definedName name="ggg" localSheetId="22">'[2]15-library'!#REF!</definedName>
    <definedName name="ggg" localSheetId="23">'[2]15-library'!#REF!</definedName>
    <definedName name="ggg" localSheetId="25">'[2]15-library'!#REF!</definedName>
    <definedName name="ggg">'[2]15-library'!#REF!</definedName>
    <definedName name="help" localSheetId="22">'[3]15-library'!#REF!</definedName>
    <definedName name="help" localSheetId="23">'[3]15-library'!#REF!</definedName>
    <definedName name="help" localSheetId="25">'[3]15-library'!#REF!</definedName>
    <definedName name="help">'[3]15-library'!#REF!</definedName>
    <definedName name="hhh" localSheetId="22">'[2]15-library'!#REF!</definedName>
    <definedName name="hhh" localSheetId="23">'[2]15-library'!#REF!</definedName>
    <definedName name="hhh" localSheetId="25">'[2]15-library'!#REF!</definedName>
    <definedName name="hhh">'[2]15-library'!#REF!</definedName>
    <definedName name="iii" localSheetId="22">'[2]15-library'!#REF!</definedName>
    <definedName name="iii" localSheetId="23">'[2]15-library'!#REF!</definedName>
    <definedName name="iii" localSheetId="25">'[2]15-library'!#REF!</definedName>
    <definedName name="iii">'[2]15-library'!#REF!</definedName>
    <definedName name="jjj" localSheetId="22">'[2]15-library'!#REF!</definedName>
    <definedName name="jjj" localSheetId="23">'[2]15-library'!#REF!</definedName>
    <definedName name="jjj" localSheetId="25">'[2]15-library'!#REF!</definedName>
    <definedName name="jjj">'[2]15-library'!#REF!</definedName>
    <definedName name="meet" localSheetId="22">'[4]15-library'!#REF!</definedName>
    <definedName name="meet" localSheetId="23">'[4]15-library'!#REF!</definedName>
    <definedName name="meet" localSheetId="25">'[4]15-library'!#REF!</definedName>
    <definedName name="meet">'[4]15-library'!#REF!</definedName>
    <definedName name="meeting" localSheetId="22">'15-library'!#REF!</definedName>
    <definedName name="meeting" localSheetId="23">'15-library'!#REF!</definedName>
    <definedName name="meeting" localSheetId="0">'[1]15-library'!#REF!</definedName>
    <definedName name="meeting" localSheetId="25">'15-library'!#REF!</definedName>
    <definedName name="meeting">'15-library'!#REF!</definedName>
    <definedName name="mgr" localSheetId="22">'15-library'!#REF!</definedName>
    <definedName name="mgr" localSheetId="23">'15-library'!#REF!</definedName>
    <definedName name="mgr" localSheetId="0">'[1]15-library'!#REF!</definedName>
    <definedName name="mgr" localSheetId="25">'15-library'!#REF!</definedName>
    <definedName name="mgr">'15-library'!#REF!</definedName>
    <definedName name="ooop" localSheetId="22">'[3]15-library'!#REF!</definedName>
    <definedName name="ooop" localSheetId="23">'[3]15-library'!#REF!</definedName>
    <definedName name="ooop" localSheetId="25">'[3]15-library'!#REF!</definedName>
    <definedName name="ooop">'[3]15-library'!#REF!</definedName>
    <definedName name="ooou" localSheetId="22">'[3]15-library'!#REF!</definedName>
    <definedName name="ooou" localSheetId="23">'[3]15-library'!#REF!</definedName>
    <definedName name="ooou" localSheetId="25">'[3]15-library'!#REF!</definedName>
    <definedName name="ooou">'[3]15-library'!#REF!</definedName>
    <definedName name="_xlnm.Print_Area" localSheetId="2">'01-gen gov'!$A$1:$J$282</definedName>
    <definedName name="_xlnm.Print_Area" localSheetId="3">'02-assessing'!$A$1:$J$122</definedName>
    <definedName name="_xlnm.Print_Area" localSheetId="4">'03-fire'!$A$1:$J$462</definedName>
    <definedName name="_xlnm.Print_Area" localSheetId="5">'04-police'!$A$1:$J$307</definedName>
    <definedName name="_xlnm.Print_Area" localSheetId="6">'05-comm'!$A$1:$J$146</definedName>
    <definedName name="_xlnm.Print_Area" localSheetId="7">'06-code enforcement'!$A$1:$J$169</definedName>
    <definedName name="_xlnm.Print_Area" localSheetId="8">'07-pub works'!$A$1:$J$125</definedName>
    <definedName name="_xlnm.Print_Area" localSheetId="9">'08-highway'!$A$1:$J$358</definedName>
    <definedName name="_xlnm.Print_Area" localSheetId="10">'09-solid waste'!$A$1:$J$223</definedName>
    <definedName name="_xlnm.Print_Area" localSheetId="19">'10-wastewater'!$A$1:$J$335</definedName>
    <definedName name="_xlnm.Print_Area" localSheetId="11">'13-parks &amp; rec'!$A$1:$J$263</definedName>
    <definedName name="_xlnm.Print_Area" localSheetId="12">'15-library'!$A$1:$J$261</definedName>
    <definedName name="_xlnm.Print_Area" localSheetId="13">'16-equip mntc'!$A$1:$J$131</definedName>
    <definedName name="_xlnm.Print_Area" localSheetId="14">'17-bldg &amp; grounds'!$A$1:$J$154</definedName>
    <definedName name="_xlnm.Print_Area" localSheetId="15">'21-comm dev'!$A$1:$J$167</definedName>
    <definedName name="_xlnm.Print_Area" localSheetId="16">'24-tax coll'!$A$1:$J$153</definedName>
    <definedName name="_xlnm.Print_Area" localSheetId="17">'25-welfare'!$A$1:$K$100</definedName>
    <definedName name="_xlnm.Print_Area" localSheetId="18">'27-debt svc'!$A$1:$G$66</definedName>
    <definedName name="_xlnm.Print_Area" localSheetId="20">'32-Media'!$A$1:$J$109</definedName>
    <definedName name="_xlnm.Print_Area" localSheetId="21">'33-Fire Protection -other'!$A$1:$J$18</definedName>
    <definedName name="_xlnm.Print_Area" localSheetId="22">'43- WWTF capital Project'!$A$1:$J$18</definedName>
    <definedName name="_xlnm.Print_Area" localSheetId="23">'45- capital Projects fund'!$A$1:$J$18</definedName>
    <definedName name="_xlnm.Print_Area" localSheetId="0">CRF!$A$1:$AE$38</definedName>
    <definedName name="_xlnm.Print_Area" localSheetId="24">'-other SPECIAL REVENUE FUNDING'!$A$1:$K$19</definedName>
    <definedName name="_xlnm.Print_Area" localSheetId="25">'Revolving Fund'!$A$1:$K$144</definedName>
    <definedName name="_xlnm.Print_Area" localSheetId="1">'SUMMARY BY FUND'!$A$1:$K$56</definedName>
    <definedName name="_xlnm.Print_Titles" localSheetId="2">'01-gen gov'!$1:$5</definedName>
    <definedName name="_xlnm.Print_Titles" localSheetId="3">'02-assessing'!$1:$5</definedName>
    <definedName name="_xlnm.Print_Titles" localSheetId="4">'03-fire'!$1:$5</definedName>
    <definedName name="_xlnm.Print_Titles" localSheetId="5">'04-police'!$1:$5</definedName>
    <definedName name="_xlnm.Print_Titles" localSheetId="6">'05-comm'!$1:$5</definedName>
    <definedName name="_xlnm.Print_Titles" localSheetId="7">'06-code enforcement'!$1:$5</definedName>
    <definedName name="_xlnm.Print_Titles" localSheetId="8">'07-pub works'!$1:$5</definedName>
    <definedName name="_xlnm.Print_Titles" localSheetId="9">'08-highway'!$1:$5</definedName>
    <definedName name="_xlnm.Print_Titles" localSheetId="10">'09-solid waste'!$1:$5</definedName>
    <definedName name="_xlnm.Print_Titles" localSheetId="19">'10-wastewater'!$1:$5</definedName>
    <definedName name="_xlnm.Print_Titles" localSheetId="11">'13-parks &amp; rec'!$1:$5</definedName>
    <definedName name="_xlnm.Print_Titles" localSheetId="12">'15-library'!$1:$5</definedName>
    <definedName name="_xlnm.Print_Titles" localSheetId="13">'16-equip mntc'!$1:$5</definedName>
    <definedName name="_xlnm.Print_Titles" localSheetId="14">'17-bldg &amp; grounds'!$1:$5</definedName>
    <definedName name="_xlnm.Print_Titles" localSheetId="15">'21-comm dev'!$1:$5</definedName>
    <definedName name="_xlnm.Print_Titles" localSheetId="16">'24-tax coll'!$1:$5</definedName>
    <definedName name="_xlnm.Print_Titles" localSheetId="17">'25-welfare'!$1:$5</definedName>
    <definedName name="_xlnm.Print_Titles" localSheetId="20">'32-Media'!$1:$5</definedName>
    <definedName name="_xlnm.Print_Titles" localSheetId="21">'33-Fire Protection -other'!$1:$4</definedName>
    <definedName name="_xlnm.Print_Titles" localSheetId="22">'43- WWTF capital Project'!$1:$4</definedName>
    <definedName name="_xlnm.Print_Titles" localSheetId="23">'45- capital Projects fund'!$1:$4</definedName>
    <definedName name="_xlnm.Print_Titles" localSheetId="24">'-other SPECIAL REVENUE FUNDING'!$1:$6</definedName>
    <definedName name="_xlnm.Print_Titles" localSheetId="25">'Revolving Fund'!$1:$7</definedName>
    <definedName name="pwq" localSheetId="22">'[3]15-library'!#REF!</definedName>
    <definedName name="pwq" localSheetId="23">'[3]15-library'!#REF!</definedName>
    <definedName name="pwq" localSheetId="25">'[3]15-library'!#REF!</definedName>
    <definedName name="pwq">'[3]15-library'!#REF!</definedName>
    <definedName name="revenue2" localSheetId="22">'15-library'!#REF!</definedName>
    <definedName name="revenue2" localSheetId="23">'15-library'!#REF!</definedName>
    <definedName name="revenue2">'15-library'!#REF!</definedName>
    <definedName name="rtl" localSheetId="22">'[3]15-library'!#REF!</definedName>
    <definedName name="rtl" localSheetId="23">'[3]15-library'!#REF!</definedName>
    <definedName name="rtl" localSheetId="25">'[3]15-library'!#REF!</definedName>
    <definedName name="rtl">'[3]15-library'!#REF!</definedName>
    <definedName name="ssg" localSheetId="22">'[3]15-library'!#REF!</definedName>
    <definedName name="ssg" localSheetId="23">'[3]15-library'!#REF!</definedName>
    <definedName name="ssg" localSheetId="25">'[3]15-library'!#REF!</definedName>
    <definedName name="ssg">'[3]15-library'!#REF!</definedName>
    <definedName name="voted" localSheetId="22">'15-library'!#REF!</definedName>
    <definedName name="voted" localSheetId="23">'15-library'!#REF!</definedName>
    <definedName name="voted" localSheetId="0">'[1]15-library'!#REF!</definedName>
    <definedName name="voted" localSheetId="25">'15-library'!#REF!</definedName>
    <definedName name="voted">'15-library'!#REF!</definedName>
    <definedName name="www" localSheetId="22">'[3]15-library'!#REF!</definedName>
    <definedName name="www" localSheetId="23">'[3]15-library'!#REF!</definedName>
    <definedName name="www" localSheetId="25">'[3]15-library'!#REF!</definedName>
    <definedName name="www">'[3]15-library'!#REF!</definedName>
  </definedNames>
  <calcPr calcId="145621"/>
</workbook>
</file>

<file path=xl/calcChain.xml><?xml version="1.0" encoding="utf-8"?>
<calcChain xmlns="http://schemas.openxmlformats.org/spreadsheetml/2006/main">
  <c r="D37" i="7" l="1"/>
  <c r="D154" i="3"/>
  <c r="C41" i="9" l="1"/>
  <c r="D24" i="4"/>
  <c r="C27" i="5"/>
  <c r="D17" i="5" l="1"/>
  <c r="I39" i="38" l="1"/>
  <c r="I37" i="38"/>
  <c r="I25" i="38"/>
  <c r="I27" i="38"/>
  <c r="I26" i="38"/>
  <c r="I20" i="38"/>
  <c r="I19" i="38"/>
  <c r="I18" i="38"/>
  <c r="I17" i="38"/>
  <c r="I14" i="38"/>
  <c r="I11" i="38"/>
  <c r="I10" i="38"/>
  <c r="I6" i="38"/>
  <c r="I5" i="38"/>
  <c r="G18" i="63"/>
  <c r="F18" i="63"/>
  <c r="E18" i="63"/>
  <c r="I16" i="63"/>
  <c r="I18" i="63" s="1"/>
  <c r="H16" i="63"/>
  <c r="H18" i="63" s="1"/>
  <c r="G16" i="63"/>
  <c r="F16" i="63"/>
  <c r="E16" i="63"/>
  <c r="J12" i="63"/>
  <c r="J17" i="63" s="1"/>
  <c r="J18" i="63" s="1"/>
  <c r="I12" i="63"/>
  <c r="H12" i="63"/>
  <c r="G12" i="63"/>
  <c r="F12" i="63"/>
  <c r="E12" i="63"/>
  <c r="A1" i="63"/>
  <c r="K144" i="60"/>
  <c r="J108" i="37"/>
  <c r="J107" i="37"/>
  <c r="J106" i="37"/>
  <c r="J109" i="37" s="1"/>
  <c r="J112" i="37" s="1"/>
  <c r="J113" i="37" s="1"/>
  <c r="J104" i="37"/>
  <c r="J334" i="9"/>
  <c r="J333" i="9"/>
  <c r="J332" i="9"/>
  <c r="J330" i="9"/>
  <c r="G68" i="18"/>
  <c r="G66" i="18"/>
  <c r="G69" i="18" s="1"/>
  <c r="H33" i="38" s="1"/>
  <c r="G28" i="18"/>
  <c r="K99" i="17"/>
  <c r="K98" i="17"/>
  <c r="K97" i="17"/>
  <c r="K100" i="17" s="1"/>
  <c r="K101" i="17" s="1"/>
  <c r="K95" i="17"/>
  <c r="K93" i="17"/>
  <c r="J152" i="16"/>
  <c r="J151" i="16"/>
  <c r="J150" i="16"/>
  <c r="J153" i="16" s="1"/>
  <c r="J155" i="16" s="1"/>
  <c r="J156" i="16" s="1"/>
  <c r="J148" i="16"/>
  <c r="J166" i="15"/>
  <c r="J165" i="15"/>
  <c r="J167" i="15" s="1"/>
  <c r="J172" i="15" s="1"/>
  <c r="J173" i="15" s="1"/>
  <c r="J164" i="15"/>
  <c r="J160" i="15"/>
  <c r="J153" i="14"/>
  <c r="J152" i="14"/>
  <c r="J151" i="14"/>
  <c r="J154" i="14" s="1"/>
  <c r="J158" i="14" s="1"/>
  <c r="J149" i="14"/>
  <c r="J130" i="13"/>
  <c r="J129" i="13"/>
  <c r="J128" i="13"/>
  <c r="J125" i="13"/>
  <c r="J262" i="11"/>
  <c r="J263" i="11" s="1"/>
  <c r="J261" i="11"/>
  <c r="J260" i="11"/>
  <c r="J258" i="11"/>
  <c r="J221" i="8"/>
  <c r="J220" i="8"/>
  <c r="J219" i="8"/>
  <c r="J216" i="8"/>
  <c r="J357" i="7"/>
  <c r="J356" i="7"/>
  <c r="J355" i="7"/>
  <c r="J353" i="7"/>
  <c r="J124" i="6"/>
  <c r="J123" i="6"/>
  <c r="J122" i="6"/>
  <c r="J125" i="6" s="1"/>
  <c r="J128" i="6" s="1"/>
  <c r="J130" i="6" s="1"/>
  <c r="J120" i="6"/>
  <c r="J168" i="53"/>
  <c r="J167" i="53"/>
  <c r="J166" i="53"/>
  <c r="J165" i="53"/>
  <c r="J163" i="53"/>
  <c r="J145" i="5"/>
  <c r="J144" i="5"/>
  <c r="J143" i="5"/>
  <c r="J146" i="5" s="1"/>
  <c r="J141" i="5"/>
  <c r="J306" i="4"/>
  <c r="J305" i="4"/>
  <c r="J304" i="4"/>
  <c r="J302" i="4"/>
  <c r="J460" i="3"/>
  <c r="J459" i="3"/>
  <c r="J458" i="3"/>
  <c r="J456" i="3"/>
  <c r="J121" i="2"/>
  <c r="J120" i="2"/>
  <c r="J122" i="2" s="1"/>
  <c r="J125" i="2" s="1"/>
  <c r="J127" i="2" s="1"/>
  <c r="J119" i="2"/>
  <c r="J117" i="2"/>
  <c r="J277" i="1"/>
  <c r="J276" i="1"/>
  <c r="J275" i="1"/>
  <c r="J274" i="1"/>
  <c r="J272" i="1"/>
  <c r="J307" i="4" l="1"/>
  <c r="J318" i="4" s="1"/>
  <c r="J461" i="3"/>
  <c r="J469" i="3" s="1"/>
  <c r="J131" i="13"/>
  <c r="J335" i="9"/>
  <c r="J222" i="8"/>
  <c r="J358" i="7"/>
  <c r="J363" i="7" s="1"/>
  <c r="J364" i="7" s="1"/>
  <c r="G70" i="18"/>
  <c r="J265" i="11"/>
  <c r="J266" i="11"/>
  <c r="J267" i="11" s="1"/>
  <c r="J360" i="7" l="1"/>
  <c r="D65" i="16"/>
  <c r="D27" i="3"/>
  <c r="D73" i="1" l="1"/>
  <c r="I130" i="6"/>
  <c r="I128" i="6"/>
  <c r="J101" i="17" l="1"/>
  <c r="D43" i="37"/>
  <c r="D46" i="37" s="1"/>
  <c r="D11" i="9" l="1"/>
  <c r="D12" i="9"/>
  <c r="D13" i="9"/>
  <c r="D14" i="9"/>
  <c r="D15" i="9"/>
  <c r="D8" i="4"/>
  <c r="D9" i="4"/>
  <c r="D10" i="4"/>
  <c r="D18" i="4"/>
  <c r="D19" i="4"/>
  <c r="D20" i="4"/>
  <c r="D21" i="4"/>
  <c r="D22" i="4"/>
  <c r="D23" i="4"/>
  <c r="D15" i="3"/>
  <c r="D16" i="3"/>
  <c r="D17" i="3"/>
  <c r="D18" i="3"/>
  <c r="D19" i="3"/>
  <c r="D20" i="3"/>
  <c r="D21" i="3"/>
  <c r="D22" i="3"/>
  <c r="D23" i="3"/>
  <c r="C454" i="3"/>
  <c r="K217" i="1"/>
  <c r="J144" i="60" l="1"/>
  <c r="I108" i="37"/>
  <c r="I107" i="37"/>
  <c r="I106" i="37"/>
  <c r="I109" i="37" s="1"/>
  <c r="I104" i="37"/>
  <c r="I334" i="9"/>
  <c r="I333" i="9"/>
  <c r="I332" i="9"/>
  <c r="I330" i="9"/>
  <c r="G32" i="38" s="1"/>
  <c r="I335" i="9" l="1"/>
  <c r="G21" i="38"/>
  <c r="G15" i="38"/>
  <c r="F28" i="18"/>
  <c r="I124" i="6"/>
  <c r="I123" i="6"/>
  <c r="I122" i="6"/>
  <c r="I125" i="6" s="1"/>
  <c r="I120" i="6"/>
  <c r="G11" i="38" s="1"/>
  <c r="I167" i="53"/>
  <c r="I166" i="53"/>
  <c r="I165" i="53"/>
  <c r="I168" i="53" s="1"/>
  <c r="I163" i="53"/>
  <c r="G10" i="38" s="1"/>
  <c r="I121" i="2"/>
  <c r="I120" i="2"/>
  <c r="I119" i="2"/>
  <c r="I122" i="2" s="1"/>
  <c r="I125" i="2" s="1"/>
  <c r="I127" i="2" s="1"/>
  <c r="I117" i="2"/>
  <c r="G6" i="38" s="1"/>
  <c r="J99" i="17"/>
  <c r="J98" i="17"/>
  <c r="J97" i="17"/>
  <c r="J95" i="17"/>
  <c r="G20" i="38" s="1"/>
  <c r="J93" i="17"/>
  <c r="I152" i="16"/>
  <c r="I151" i="16"/>
  <c r="I150" i="16"/>
  <c r="I153" i="16" s="1"/>
  <c r="I148" i="16"/>
  <c r="G19" i="38" s="1"/>
  <c r="I166" i="15"/>
  <c r="I165" i="15"/>
  <c r="I164" i="15"/>
  <c r="I167" i="15" s="1"/>
  <c r="I160" i="15"/>
  <c r="G18" i="38" s="1"/>
  <c r="I153" i="14"/>
  <c r="I152" i="14"/>
  <c r="I151" i="14"/>
  <c r="I154" i="14" s="1"/>
  <c r="I149" i="14"/>
  <c r="G17" i="38" s="1"/>
  <c r="I130" i="13"/>
  <c r="I129" i="13"/>
  <c r="I128" i="13"/>
  <c r="I131" i="13" s="1"/>
  <c r="I125" i="13"/>
  <c r="G16" i="38" s="1"/>
  <c r="I260" i="12"/>
  <c r="I259" i="12"/>
  <c r="I258" i="12"/>
  <c r="I250" i="12"/>
  <c r="I255" i="12" s="1"/>
  <c r="I262" i="11"/>
  <c r="I261" i="11"/>
  <c r="I260" i="11"/>
  <c r="I258" i="11"/>
  <c r="G14" i="38" s="1"/>
  <c r="I221" i="8"/>
  <c r="I220" i="8"/>
  <c r="I219" i="8"/>
  <c r="I222" i="8" s="1"/>
  <c r="I216" i="8"/>
  <c r="G13" i="38" s="1"/>
  <c r="D308" i="7"/>
  <c r="I357" i="7"/>
  <c r="I356" i="7"/>
  <c r="I355" i="7"/>
  <c r="I353" i="7"/>
  <c r="I145" i="5"/>
  <c r="I144" i="5"/>
  <c r="I143" i="5"/>
  <c r="I141" i="5"/>
  <c r="G9" i="38" s="1"/>
  <c r="I306" i="4"/>
  <c r="I305" i="4"/>
  <c r="I304" i="4"/>
  <c r="I307" i="4" s="1"/>
  <c r="G8" i="38" s="1"/>
  <c r="H304" i="4"/>
  <c r="I302" i="4"/>
  <c r="J309" i="4" s="1"/>
  <c r="H456" i="3"/>
  <c r="I456" i="3"/>
  <c r="G7" i="38" s="1"/>
  <c r="I261" i="12" l="1"/>
  <c r="J225" i="8"/>
  <c r="G12" i="38"/>
  <c r="J100" i="17"/>
  <c r="I263" i="11"/>
  <c r="I358" i="7"/>
  <c r="I146" i="5"/>
  <c r="I44" i="38"/>
  <c r="I360" i="7" l="1"/>
  <c r="J362" i="7"/>
  <c r="I266" i="11"/>
  <c r="I267" i="11" s="1"/>
  <c r="I363" i="7"/>
  <c r="I364" i="7" s="1"/>
  <c r="D58" i="4" l="1"/>
  <c r="D57" i="4"/>
  <c r="D56" i="4"/>
  <c r="D55" i="4"/>
  <c r="D54" i="4"/>
  <c r="D53" i="4"/>
  <c r="D52" i="4"/>
  <c r="D51" i="4"/>
  <c r="D50" i="4"/>
  <c r="D49" i="4"/>
  <c r="D48" i="4"/>
  <c r="D47" i="4"/>
  <c r="D46" i="4"/>
  <c r="D45" i="4"/>
  <c r="K93" i="3" l="1"/>
  <c r="K116" i="3"/>
  <c r="K107" i="3"/>
  <c r="G36" i="18" l="1"/>
  <c r="F36" i="18"/>
  <c r="J260" i="12" l="1"/>
  <c r="J259" i="12"/>
  <c r="J258" i="12"/>
  <c r="J250" i="12"/>
  <c r="J255" i="12" s="1"/>
  <c r="J261" i="12" l="1"/>
  <c r="E204" i="12" l="1"/>
  <c r="H305" i="4"/>
  <c r="G305" i="4"/>
  <c r="F305" i="4"/>
  <c r="E305" i="4"/>
  <c r="D62" i="4" l="1"/>
  <c r="D61" i="4"/>
  <c r="D60" i="4"/>
  <c r="D59" i="4"/>
  <c r="D44" i="4"/>
  <c r="D43" i="4"/>
  <c r="D42" i="4"/>
  <c r="D41" i="4"/>
  <c r="D40" i="4"/>
  <c r="D39" i="4"/>
  <c r="D38" i="4"/>
  <c r="D37" i="4"/>
  <c r="D36" i="4"/>
  <c r="D35" i="4"/>
  <c r="D34" i="4"/>
  <c r="D33" i="4"/>
  <c r="D32" i="4"/>
  <c r="D31" i="4"/>
  <c r="D30" i="4"/>
  <c r="C63" i="4"/>
  <c r="D63" i="4" s="1"/>
  <c r="D203" i="1" l="1"/>
  <c r="F25" i="38" l="1"/>
  <c r="F26" i="38"/>
  <c r="F29" i="38"/>
  <c r="I99" i="17" l="1"/>
  <c r="I98" i="17"/>
  <c r="I97" i="17"/>
  <c r="I95" i="17"/>
  <c r="F20" i="38" l="1"/>
  <c r="I100" i="17"/>
  <c r="D14" i="16" l="1"/>
  <c r="D15" i="16"/>
  <c r="I144" i="60" l="1"/>
  <c r="H16" i="36"/>
  <c r="H12" i="36"/>
  <c r="H108" i="37"/>
  <c r="H107" i="37"/>
  <c r="H106" i="37"/>
  <c r="H104" i="37"/>
  <c r="H334" i="9"/>
  <c r="H333" i="9"/>
  <c r="H332" i="9"/>
  <c r="H330" i="9"/>
  <c r="E66" i="18"/>
  <c r="E28" i="18"/>
  <c r="I93" i="17"/>
  <c r="H152" i="16"/>
  <c r="H151" i="16"/>
  <c r="H150" i="16"/>
  <c r="H148" i="16"/>
  <c r="H166" i="15"/>
  <c r="H165" i="15"/>
  <c r="H164" i="15"/>
  <c r="H160" i="15"/>
  <c r="H153" i="14"/>
  <c r="H152" i="14"/>
  <c r="H151" i="14"/>
  <c r="H149" i="14"/>
  <c r="H130" i="13"/>
  <c r="H129" i="13"/>
  <c r="H128" i="13"/>
  <c r="H125" i="13"/>
  <c r="H260" i="12"/>
  <c r="H259" i="12"/>
  <c r="H258" i="12"/>
  <c r="H250" i="12"/>
  <c r="H221" i="8"/>
  <c r="H220" i="8"/>
  <c r="H219" i="8"/>
  <c r="H216" i="8"/>
  <c r="H357" i="7"/>
  <c r="H356" i="7"/>
  <c r="H355" i="7"/>
  <c r="H353" i="7"/>
  <c r="H124" i="6"/>
  <c r="H123" i="6"/>
  <c r="H122" i="6"/>
  <c r="H120" i="6"/>
  <c r="H167" i="53"/>
  <c r="H166" i="53"/>
  <c r="H165" i="53"/>
  <c r="H163" i="53"/>
  <c r="H145" i="5"/>
  <c r="H144" i="5"/>
  <c r="H143" i="5"/>
  <c r="H141" i="5"/>
  <c r="H306" i="4"/>
  <c r="E35" i="18" s="1"/>
  <c r="H302" i="4"/>
  <c r="I309" i="4" s="1"/>
  <c r="H460" i="3"/>
  <c r="H459" i="3"/>
  <c r="H458" i="3"/>
  <c r="H121" i="2"/>
  <c r="H120" i="2"/>
  <c r="H119" i="2"/>
  <c r="H117" i="2"/>
  <c r="H276" i="1"/>
  <c r="H275" i="1"/>
  <c r="H274" i="1"/>
  <c r="H272" i="1"/>
  <c r="F21" i="38" l="1"/>
  <c r="E36" i="18"/>
  <c r="E34" i="18"/>
  <c r="F7" i="38"/>
  <c r="H255" i="12"/>
  <c r="F15" i="38"/>
  <c r="H261" i="12"/>
  <c r="H109" i="37"/>
  <c r="I112" i="37" s="1"/>
  <c r="I113" i="37" s="1"/>
  <c r="F32" i="38"/>
  <c r="H153" i="16"/>
  <c r="I155" i="16" s="1"/>
  <c r="I156" i="16" s="1"/>
  <c r="F19" i="38"/>
  <c r="F18" i="38"/>
  <c r="H167" i="15"/>
  <c r="I172" i="15" s="1"/>
  <c r="I173" i="15" s="1"/>
  <c r="F17" i="38"/>
  <c r="F16" i="38"/>
  <c r="H131" i="13"/>
  <c r="H222" i="8"/>
  <c r="I225" i="8" s="1"/>
  <c r="F13" i="38"/>
  <c r="F12" i="38"/>
  <c r="F11" i="38"/>
  <c r="H125" i="6"/>
  <c r="F10" i="38"/>
  <c r="H307" i="4"/>
  <c r="H309" i="4" s="1"/>
  <c r="H122" i="2"/>
  <c r="F6" i="38"/>
  <c r="F5" i="38"/>
  <c r="F9" i="38"/>
  <c r="H277" i="1"/>
  <c r="H168" i="53"/>
  <c r="H461" i="3"/>
  <c r="H146" i="5"/>
  <c r="H335" i="9"/>
  <c r="H154" i="14"/>
  <c r="I158" i="14" s="1"/>
  <c r="H358" i="7"/>
  <c r="I362" i="7" l="1"/>
  <c r="H360" i="7"/>
  <c r="F8" i="38"/>
  <c r="C248" i="12"/>
  <c r="B248" i="12"/>
  <c r="G357" i="7"/>
  <c r="F357" i="7"/>
  <c r="G356" i="7"/>
  <c r="F356" i="7"/>
  <c r="G355" i="7"/>
  <c r="F355" i="7"/>
  <c r="G353" i="7"/>
  <c r="E12" i="38" s="1"/>
  <c r="F353" i="7"/>
  <c r="B140" i="5"/>
  <c r="C140" i="5"/>
  <c r="D12" i="38" l="1"/>
  <c r="F358" i="7"/>
  <c r="G358" i="7"/>
  <c r="AB23" i="55" l="1"/>
  <c r="AE23" i="55" s="1"/>
  <c r="G304" i="4" l="1"/>
  <c r="D162" i="3" l="1"/>
  <c r="D161" i="3"/>
  <c r="D160" i="3"/>
  <c r="D159" i="3"/>
  <c r="D158" i="3"/>
  <c r="D157" i="3"/>
  <c r="D144" i="3"/>
  <c r="D143" i="3"/>
  <c r="D139" i="3"/>
  <c r="D138" i="3"/>
  <c r="D137" i="3"/>
  <c r="D133" i="3"/>
  <c r="D132" i="3"/>
  <c r="D131" i="3"/>
  <c r="D127" i="3"/>
  <c r="D126" i="3"/>
  <c r="D125" i="3"/>
  <c r="D89" i="3"/>
  <c r="D87" i="3"/>
  <c r="D86" i="3"/>
  <c r="D83" i="3"/>
  <c r="B81" i="3"/>
  <c r="D80" i="3"/>
  <c r="D79" i="3"/>
  <c r="D78" i="3"/>
  <c r="B66" i="3"/>
  <c r="D58" i="3"/>
  <c r="D57" i="3"/>
  <c r="D56" i="3"/>
  <c r="D55" i="3"/>
  <c r="D54" i="3"/>
  <c r="D53" i="3"/>
  <c r="D52" i="3"/>
  <c r="D51" i="3"/>
  <c r="D50" i="3"/>
  <c r="D49" i="3"/>
  <c r="D48" i="3"/>
  <c r="D35" i="3"/>
  <c r="D47" i="3"/>
  <c r="D46" i="3"/>
  <c r="D45" i="3"/>
  <c r="D44" i="3"/>
  <c r="D43" i="3"/>
  <c r="D42" i="3"/>
  <c r="D41" i="3"/>
  <c r="D40" i="3"/>
  <c r="D39" i="3"/>
  <c r="D38" i="3"/>
  <c r="D37" i="3"/>
  <c r="D36" i="3"/>
  <c r="D34" i="3"/>
  <c r="D33" i="3"/>
  <c r="D32" i="3"/>
  <c r="D31" i="3"/>
  <c r="D14" i="3"/>
  <c r="D13" i="3"/>
  <c r="D12" i="3"/>
  <c r="D7" i="3"/>
  <c r="D9" i="3" s="1"/>
  <c r="B108" i="3" s="1"/>
  <c r="I460" i="3"/>
  <c r="G460" i="3"/>
  <c r="F460" i="3"/>
  <c r="I459" i="3"/>
  <c r="G459" i="3"/>
  <c r="F459" i="3"/>
  <c r="E460" i="3"/>
  <c r="E459" i="3"/>
  <c r="G456" i="3"/>
  <c r="F456" i="3"/>
  <c r="D7" i="38" s="1"/>
  <c r="E456" i="3"/>
  <c r="D454" i="3"/>
  <c r="B454" i="3"/>
  <c r="D437" i="3"/>
  <c r="D431" i="3"/>
  <c r="D430" i="3"/>
  <c r="D429" i="3"/>
  <c r="D428" i="3"/>
  <c r="D424" i="3"/>
  <c r="D423" i="3"/>
  <c r="D422" i="3"/>
  <c r="D418" i="3"/>
  <c r="D417" i="3"/>
  <c r="D412" i="3"/>
  <c r="D410" i="3"/>
  <c r="D409" i="3"/>
  <c r="D408" i="3"/>
  <c r="D407" i="3"/>
  <c r="D402" i="3"/>
  <c r="D397" i="3"/>
  <c r="D399" i="3" s="1"/>
  <c r="D394" i="3"/>
  <c r="D390" i="3"/>
  <c r="D389" i="3"/>
  <c r="D388" i="3"/>
  <c r="D387" i="3"/>
  <c r="D386" i="3"/>
  <c r="D385" i="3"/>
  <c r="D384" i="3"/>
  <c r="D379" i="3"/>
  <c r="D378" i="3"/>
  <c r="D377" i="3"/>
  <c r="D373" i="3"/>
  <c r="D372" i="3"/>
  <c r="D371" i="3"/>
  <c r="D370" i="3"/>
  <c r="D369" i="3"/>
  <c r="D368" i="3"/>
  <c r="D367" i="3"/>
  <c r="D366" i="3"/>
  <c r="D365" i="3"/>
  <c r="D364" i="3"/>
  <c r="D363" i="3"/>
  <c r="D362" i="3"/>
  <c r="D361" i="3"/>
  <c r="D360" i="3"/>
  <c r="D359" i="3"/>
  <c r="D358" i="3"/>
  <c r="D357" i="3"/>
  <c r="D356" i="3"/>
  <c r="D355" i="3"/>
  <c r="D354" i="3"/>
  <c r="D353" i="3"/>
  <c r="D348" i="3"/>
  <c r="D347" i="3"/>
  <c r="D346" i="3"/>
  <c r="D345" i="3"/>
  <c r="D344" i="3"/>
  <c r="D343" i="3"/>
  <c r="D342" i="3"/>
  <c r="D341" i="3"/>
  <c r="D340" i="3"/>
  <c r="D339" i="3"/>
  <c r="D338" i="3"/>
  <c r="D337" i="3"/>
  <c r="D331" i="3"/>
  <c r="D330" i="3"/>
  <c r="D324" i="3"/>
  <c r="D327" i="3" s="1"/>
  <c r="D318" i="3"/>
  <c r="D317" i="3"/>
  <c r="D316" i="3"/>
  <c r="D313" i="3"/>
  <c r="D308" i="3"/>
  <c r="D309" i="3" s="1"/>
  <c r="D300" i="3"/>
  <c r="D297" i="3"/>
  <c r="D296" i="3"/>
  <c r="D295" i="3"/>
  <c r="D293" i="3"/>
  <c r="D292" i="3"/>
  <c r="D291" i="3"/>
  <c r="D290" i="3"/>
  <c r="D289" i="3"/>
  <c r="D288" i="3"/>
  <c r="D283" i="3"/>
  <c r="D282" i="3"/>
  <c r="D275" i="3"/>
  <c r="D274" i="3"/>
  <c r="D273" i="3"/>
  <c r="D272" i="3"/>
  <c r="D271" i="3"/>
  <c r="D270" i="3"/>
  <c r="D269" i="3"/>
  <c r="D268" i="3"/>
  <c r="D267" i="3"/>
  <c r="D266" i="3"/>
  <c r="D265" i="3"/>
  <c r="D264" i="3"/>
  <c r="D263" i="3"/>
  <c r="D259" i="3"/>
  <c r="D258" i="3"/>
  <c r="D257" i="3"/>
  <c r="D256" i="3"/>
  <c r="D255" i="3"/>
  <c r="D254" i="3"/>
  <c r="D253" i="3"/>
  <c r="D252" i="3"/>
  <c r="D251" i="3"/>
  <c r="D250" i="3"/>
  <c r="D249" i="3"/>
  <c r="D248" i="3"/>
  <c r="D242" i="3"/>
  <c r="D241" i="3"/>
  <c r="D237" i="3"/>
  <c r="D236" i="3"/>
  <c r="D235" i="3"/>
  <c r="D229" i="3"/>
  <c r="D223" i="3"/>
  <c r="D215" i="3"/>
  <c r="D209" i="3"/>
  <c r="D208" i="3"/>
  <c r="D207" i="3"/>
  <c r="D206" i="3"/>
  <c r="D205" i="3"/>
  <c r="D204" i="3"/>
  <c r="D203" i="3"/>
  <c r="D202" i="3"/>
  <c r="D201" i="3"/>
  <c r="D200" i="3"/>
  <c r="D199" i="3"/>
  <c r="D198" i="3"/>
  <c r="D191" i="3"/>
  <c r="D190" i="3"/>
  <c r="D189" i="3"/>
  <c r="D188" i="3"/>
  <c r="D187" i="3"/>
  <c r="D186" i="3"/>
  <c r="D185" i="3"/>
  <c r="D184" i="3"/>
  <c r="D181" i="3"/>
  <c r="D173" i="3"/>
  <c r="E458" i="3"/>
  <c r="F458" i="3"/>
  <c r="G458" i="3"/>
  <c r="B133" i="60"/>
  <c r="D133" i="60" s="1"/>
  <c r="B132" i="60"/>
  <c r="D132" i="60" s="1"/>
  <c r="D116" i="60"/>
  <c r="D117" i="60" s="1"/>
  <c r="B118" i="60" s="1"/>
  <c r="D101" i="60"/>
  <c r="D100" i="60"/>
  <c r="D99" i="60"/>
  <c r="D87" i="60"/>
  <c r="D88" i="60" s="1"/>
  <c r="B89" i="60" s="1"/>
  <c r="D89" i="60" s="1"/>
  <c r="D73" i="60"/>
  <c r="D74" i="60" s="1"/>
  <c r="B75" i="60" s="1"/>
  <c r="D75" i="60" s="1"/>
  <c r="D60" i="60"/>
  <c r="D59" i="60"/>
  <c r="D42" i="60"/>
  <c r="D41" i="60"/>
  <c r="D22" i="60"/>
  <c r="D21" i="60"/>
  <c r="D20" i="60"/>
  <c r="D19" i="60"/>
  <c r="D18" i="60"/>
  <c r="D17" i="60"/>
  <c r="D16" i="60"/>
  <c r="D15" i="60"/>
  <c r="D14" i="60"/>
  <c r="D13" i="60"/>
  <c r="D12" i="60"/>
  <c r="D11" i="60"/>
  <c r="F9" i="60"/>
  <c r="D252" i="11"/>
  <c r="C252" i="11"/>
  <c r="B252" i="11"/>
  <c r="D245" i="11"/>
  <c r="C245" i="11"/>
  <c r="B245" i="11"/>
  <c r="D231" i="11"/>
  <c r="D234" i="11" s="1"/>
  <c r="C231" i="11"/>
  <c r="C234" i="11" s="1"/>
  <c r="B231" i="11"/>
  <c r="B234" i="11" s="1"/>
  <c r="D202" i="11"/>
  <c r="D177" i="11"/>
  <c r="D179" i="11" s="1"/>
  <c r="D181" i="11" s="1"/>
  <c r="D184" i="11" s="1"/>
  <c r="C177" i="11"/>
  <c r="C179" i="11" s="1"/>
  <c r="C181" i="11" s="1"/>
  <c r="C184" i="11" s="1"/>
  <c r="B177" i="11"/>
  <c r="B179" i="11" s="1"/>
  <c r="B181" i="11" s="1"/>
  <c r="B184" i="11" s="1"/>
  <c r="D156" i="11"/>
  <c r="D147" i="11"/>
  <c r="D133" i="11"/>
  <c r="D127" i="11"/>
  <c r="D121" i="11"/>
  <c r="D115" i="11"/>
  <c r="D106" i="11"/>
  <c r="D101" i="11"/>
  <c r="D90" i="11"/>
  <c r="D71" i="11"/>
  <c r="D69" i="11"/>
  <c r="D68" i="11"/>
  <c r="D67" i="11"/>
  <c r="D55" i="11"/>
  <c r="D52" i="11"/>
  <c r="D48" i="11"/>
  <c r="D47" i="11"/>
  <c r="D44" i="11"/>
  <c r="D30" i="11"/>
  <c r="B63" i="11" s="1"/>
  <c r="D63" i="11" s="1"/>
  <c r="D26" i="11"/>
  <c r="B61" i="11" s="1"/>
  <c r="D61" i="11" s="1"/>
  <c r="D25" i="11"/>
  <c r="D24" i="11"/>
  <c r="D23" i="11"/>
  <c r="D22" i="11"/>
  <c r="D21" i="11"/>
  <c r="B70" i="11" s="1"/>
  <c r="D70" i="11" s="1"/>
  <c r="D20" i="11"/>
  <c r="D19" i="11"/>
  <c r="D13" i="11"/>
  <c r="D15" i="11" s="1"/>
  <c r="D7" i="11"/>
  <c r="D9" i="11" s="1"/>
  <c r="D27" i="11" l="1"/>
  <c r="B34" i="11" s="1"/>
  <c r="D34" i="11" s="1"/>
  <c r="E7" i="38"/>
  <c r="B58" i="11"/>
  <c r="D58" i="11" s="1"/>
  <c r="B60" i="11"/>
  <c r="D60" i="11" s="1"/>
  <c r="B35" i="11"/>
  <c r="D35" i="11" s="1"/>
  <c r="D72" i="11"/>
  <c r="B62" i="11"/>
  <c r="D62" i="11" s="1"/>
  <c r="D332" i="3"/>
  <c r="D102" i="60"/>
  <c r="D43" i="60"/>
  <c r="B45" i="60" s="1"/>
  <c r="D45" i="60" s="1"/>
  <c r="D140" i="3"/>
  <c r="D49" i="11"/>
  <c r="D349" i="3"/>
  <c r="D380" i="3"/>
  <c r="D238" i="3"/>
  <c r="C65" i="3"/>
  <c r="C66" i="3" s="1"/>
  <c r="D419" i="3"/>
  <c r="D90" i="3"/>
  <c r="D260" i="3"/>
  <c r="D425" i="3"/>
  <c r="D284" i="3"/>
  <c r="D194" i="3"/>
  <c r="D413" i="3"/>
  <c r="D134" i="3"/>
  <c r="D276" i="3"/>
  <c r="D301" i="3"/>
  <c r="D210" i="3"/>
  <c r="D243" i="3"/>
  <c r="D374" i="3"/>
  <c r="D391" i="3"/>
  <c r="D432" i="3"/>
  <c r="D319" i="3"/>
  <c r="D128" i="3"/>
  <c r="D145" i="3"/>
  <c r="D81" i="3"/>
  <c r="D91" i="3" s="1"/>
  <c r="B117" i="3"/>
  <c r="D117" i="3" s="1"/>
  <c r="D108" i="3"/>
  <c r="B148" i="3"/>
  <c r="D148" i="3" s="1"/>
  <c r="C59" i="3"/>
  <c r="C26" i="3"/>
  <c r="F461" i="3"/>
  <c r="E461" i="3"/>
  <c r="G461" i="3"/>
  <c r="D61" i="60"/>
  <c r="B63" i="60" s="1"/>
  <c r="D63" i="60" s="1"/>
  <c r="D23" i="60"/>
  <c r="B26" i="60" s="1"/>
  <c r="D26" i="60" s="1"/>
  <c r="B62" i="60"/>
  <c r="D62" i="60" s="1"/>
  <c r="B105" i="60"/>
  <c r="D105" i="60" s="1"/>
  <c r="B104" i="60"/>
  <c r="D104" i="60" s="1"/>
  <c r="B103" i="60"/>
  <c r="D103" i="60" s="1"/>
  <c r="B119" i="60"/>
  <c r="D119" i="60" s="1"/>
  <c r="D118" i="60"/>
  <c r="B120" i="60"/>
  <c r="D120" i="60" s="1"/>
  <c r="B44" i="60"/>
  <c r="D44" i="60" s="1"/>
  <c r="B46" i="60"/>
  <c r="D46" i="60" s="1"/>
  <c r="B76" i="60"/>
  <c r="D76" i="60" s="1"/>
  <c r="B90" i="60"/>
  <c r="D90" i="60" s="1"/>
  <c r="B77" i="60"/>
  <c r="D77" i="60" s="1"/>
  <c r="B91" i="60"/>
  <c r="D91" i="60" s="1"/>
  <c r="B40" i="11"/>
  <c r="D40" i="11" s="1"/>
  <c r="B33" i="11"/>
  <c r="G18" i="11"/>
  <c r="B39" i="11"/>
  <c r="D39" i="11" s="1"/>
  <c r="B32" i="11"/>
  <c r="D32" i="11" s="1"/>
  <c r="D41" i="11" l="1"/>
  <c r="D26" i="3"/>
  <c r="D28" i="3" s="1"/>
  <c r="D83" i="60"/>
  <c r="D95" i="60"/>
  <c r="B64" i="60"/>
  <c r="D64" i="60" s="1"/>
  <c r="D69" i="60" s="1"/>
  <c r="C72" i="3"/>
  <c r="D72" i="3" s="1"/>
  <c r="D65" i="3"/>
  <c r="C73" i="3"/>
  <c r="D73" i="3" s="1"/>
  <c r="D125" i="60"/>
  <c r="C94" i="3"/>
  <c r="D59" i="3"/>
  <c r="D62" i="3" s="1"/>
  <c r="C69" i="3"/>
  <c r="C67" i="3"/>
  <c r="D66" i="3"/>
  <c r="B163" i="3"/>
  <c r="D163" i="3" s="1"/>
  <c r="D164" i="3" s="1"/>
  <c r="B112" i="3"/>
  <c r="D112" i="3" s="1"/>
  <c r="B152" i="3"/>
  <c r="D152" i="3" s="1"/>
  <c r="B24" i="60"/>
  <c r="D24" i="60" s="1"/>
  <c r="B25" i="60"/>
  <c r="D25" i="60" s="1"/>
  <c r="D112" i="60"/>
  <c r="D33" i="11"/>
  <c r="D36" i="11" s="1"/>
  <c r="B59" i="11"/>
  <c r="D59" i="11" s="1"/>
  <c r="D64" i="11" s="1"/>
  <c r="B109" i="3" l="1"/>
  <c r="D109" i="3" s="1"/>
  <c r="B149" i="3"/>
  <c r="D149" i="3" s="1"/>
  <c r="D38" i="60"/>
  <c r="D69" i="3"/>
  <c r="C70" i="3"/>
  <c r="B110" i="3"/>
  <c r="B150" i="3"/>
  <c r="D150" i="3" s="1"/>
  <c r="C100" i="3"/>
  <c r="C95" i="3"/>
  <c r="D94" i="3"/>
  <c r="C102" i="3"/>
  <c r="D102" i="3" s="1"/>
  <c r="C97" i="3"/>
  <c r="D97" i="3" s="1"/>
  <c r="C96" i="3"/>
  <c r="D96" i="3" s="1"/>
  <c r="C68" i="3"/>
  <c r="D68" i="3" s="1"/>
  <c r="D67" i="3"/>
  <c r="D149" i="4"/>
  <c r="D148" i="4"/>
  <c r="D147" i="4"/>
  <c r="D146" i="4"/>
  <c r="A137" i="4"/>
  <c r="D131" i="4"/>
  <c r="D130" i="4"/>
  <c r="D129" i="4"/>
  <c r="D125" i="4"/>
  <c r="D124" i="4"/>
  <c r="D123" i="4"/>
  <c r="D122" i="4"/>
  <c r="D118" i="4"/>
  <c r="D117" i="4"/>
  <c r="D116" i="4"/>
  <c r="D115" i="4"/>
  <c r="D114" i="4"/>
  <c r="D109" i="4"/>
  <c r="D108" i="4"/>
  <c r="D107" i="4"/>
  <c r="D106" i="4"/>
  <c r="D101" i="4"/>
  <c r="D76" i="4"/>
  <c r="D75" i="4"/>
  <c r="D72" i="4"/>
  <c r="B140" i="4" s="1"/>
  <c r="D140" i="4" s="1"/>
  <c r="C69" i="4"/>
  <c r="D69" i="4" s="1"/>
  <c r="B100" i="4" s="1"/>
  <c r="B139" i="4" s="1"/>
  <c r="D139" i="4" s="1"/>
  <c r="D29" i="4"/>
  <c r="D17" i="4"/>
  <c r="B87" i="4" s="1"/>
  <c r="B98" i="4" s="1"/>
  <c r="D16" i="4"/>
  <c r="D15" i="4"/>
  <c r="D7" i="4"/>
  <c r="G306" i="4"/>
  <c r="F306" i="4"/>
  <c r="F304" i="4"/>
  <c r="E304" i="4"/>
  <c r="E306" i="4"/>
  <c r="G302" i="4"/>
  <c r="F302" i="4"/>
  <c r="E302" i="4"/>
  <c r="D294" i="4"/>
  <c r="D285" i="4"/>
  <c r="D280" i="4"/>
  <c r="D270" i="4"/>
  <c r="D265" i="4"/>
  <c r="D257" i="4"/>
  <c r="D246" i="4"/>
  <c r="D235" i="4"/>
  <c r="D238" i="4" s="1"/>
  <c r="D229" i="4"/>
  <c r="D220" i="4"/>
  <c r="D209" i="4"/>
  <c r="D205" i="4"/>
  <c r="D196" i="4"/>
  <c r="D184" i="4"/>
  <c r="D183" i="4"/>
  <c r="D182" i="4"/>
  <c r="D181" i="4"/>
  <c r="D180" i="4"/>
  <c r="D179" i="4"/>
  <c r="D178" i="4"/>
  <c r="D176" i="4"/>
  <c r="D175" i="4"/>
  <c r="D174" i="4"/>
  <c r="D173" i="4"/>
  <c r="D171" i="4"/>
  <c r="D167" i="4"/>
  <c r="D168" i="4" s="1"/>
  <c r="D161" i="4"/>
  <c r="D140" i="5"/>
  <c r="D127" i="5"/>
  <c r="D118" i="5"/>
  <c r="D97" i="5"/>
  <c r="D103" i="5" s="1"/>
  <c r="C91" i="5"/>
  <c r="D90" i="5"/>
  <c r="D89" i="5"/>
  <c r="D91" i="5" s="1"/>
  <c r="B118" i="3" l="1"/>
  <c r="D118" i="3" s="1"/>
  <c r="B90" i="4"/>
  <c r="D90" i="4" s="1"/>
  <c r="B89" i="4"/>
  <c r="D89" i="4" s="1"/>
  <c r="D12" i="4"/>
  <c r="B135" i="4" s="1"/>
  <c r="D135" i="4" s="1"/>
  <c r="D26" i="4"/>
  <c r="B97" i="4" s="1"/>
  <c r="D97" i="4" s="1"/>
  <c r="D100" i="4"/>
  <c r="D132" i="4"/>
  <c r="D185" i="4"/>
  <c r="D126" i="4"/>
  <c r="D65" i="4"/>
  <c r="B138" i="4" s="1"/>
  <c r="D138" i="4" s="1"/>
  <c r="D119" i="4"/>
  <c r="D111" i="4"/>
  <c r="D77" i="4"/>
  <c r="B91" i="4" s="1"/>
  <c r="D91" i="4" s="1"/>
  <c r="C103" i="3"/>
  <c r="C99" i="3"/>
  <c r="D99" i="3" s="1"/>
  <c r="D95" i="3"/>
  <c r="C101" i="3"/>
  <c r="D101" i="3" s="1"/>
  <c r="D100" i="3"/>
  <c r="D110" i="3"/>
  <c r="B119" i="3"/>
  <c r="D119" i="3" s="1"/>
  <c r="C71" i="3"/>
  <c r="D71" i="3" s="1"/>
  <c r="D70" i="3"/>
  <c r="B137" i="4"/>
  <c r="D137" i="4" s="1"/>
  <c r="D98" i="4"/>
  <c r="C80" i="4"/>
  <c r="D80" i="4" s="1"/>
  <c r="D82" i="4" s="1"/>
  <c r="D87" i="4"/>
  <c r="D74" i="3" l="1"/>
  <c r="B111" i="3" s="1"/>
  <c r="B96" i="4"/>
  <c r="D96" i="4" s="1"/>
  <c r="B141" i="4"/>
  <c r="D141" i="4" s="1"/>
  <c r="B150" i="4"/>
  <c r="D150" i="4" s="1"/>
  <c r="D151" i="4" s="1"/>
  <c r="B85" i="4"/>
  <c r="D85" i="4" s="1"/>
  <c r="B86" i="4"/>
  <c r="D86" i="4" s="1"/>
  <c r="B136" i="4"/>
  <c r="D136" i="4" s="1"/>
  <c r="D143" i="4" s="1"/>
  <c r="B88" i="4"/>
  <c r="D88" i="4" s="1"/>
  <c r="B99" i="4"/>
  <c r="D99" i="4" s="1"/>
  <c r="B120" i="3"/>
  <c r="D111" i="3"/>
  <c r="C104" i="3"/>
  <c r="D104" i="3" s="1"/>
  <c r="D103" i="3"/>
  <c r="D105" i="3" s="1"/>
  <c r="B113" i="3" s="1"/>
  <c r="B142" i="4"/>
  <c r="D142" i="4" s="1"/>
  <c r="B92" i="4"/>
  <c r="D92" i="4" s="1"/>
  <c r="B102" i="4"/>
  <c r="D102" i="4" s="1"/>
  <c r="D93" i="4" l="1"/>
  <c r="D103" i="4"/>
  <c r="B151" i="3"/>
  <c r="D151" i="3" s="1"/>
  <c r="D120" i="3"/>
  <c r="B121" i="3"/>
  <c r="D113" i="3"/>
  <c r="D114" i="3" s="1"/>
  <c r="F167" i="53"/>
  <c r="E167" i="53"/>
  <c r="G167" i="53"/>
  <c r="D160" i="53"/>
  <c r="D159" i="53"/>
  <c r="D161" i="53" s="1"/>
  <c r="D155" i="53"/>
  <c r="D156" i="53" s="1"/>
  <c r="D152" i="53"/>
  <c r="D146" i="53"/>
  <c r="D145" i="53"/>
  <c r="D144" i="53"/>
  <c r="D143" i="53"/>
  <c r="D142" i="53"/>
  <c r="D138" i="53"/>
  <c r="D131" i="53"/>
  <c r="D132" i="53" s="1"/>
  <c r="D126" i="53"/>
  <c r="D127" i="53" s="1"/>
  <c r="D116" i="53"/>
  <c r="D115" i="53"/>
  <c r="D114" i="53"/>
  <c r="D113" i="53"/>
  <c r="D112" i="53"/>
  <c r="D111" i="53"/>
  <c r="D110" i="53"/>
  <c r="D109" i="53"/>
  <c r="D104" i="53"/>
  <c r="D103" i="53"/>
  <c r="D102" i="53"/>
  <c r="D98" i="53"/>
  <c r="D92" i="53"/>
  <c r="D84" i="53"/>
  <c r="D87" i="53" s="1"/>
  <c r="D80" i="53"/>
  <c r="B153" i="3" l="1"/>
  <c r="D153" i="3" s="1"/>
  <c r="D121" i="3"/>
  <c r="D122" i="3" s="1"/>
  <c r="D147" i="53"/>
  <c r="D105" i="53"/>
  <c r="D117" i="53"/>
  <c r="E356" i="7"/>
  <c r="D351" i="7"/>
  <c r="C351" i="7"/>
  <c r="B351" i="7"/>
  <c r="C322" i="7"/>
  <c r="B322" i="7"/>
  <c r="D322" i="7"/>
  <c r="D315" i="7"/>
  <c r="D310" i="7"/>
  <c r="E307" i="7"/>
  <c r="D305" i="7"/>
  <c r="D287" i="7"/>
  <c r="D269" i="7"/>
  <c r="D260" i="7"/>
  <c r="D245" i="7"/>
  <c r="D214" i="7"/>
  <c r="D209" i="7"/>
  <c r="D203" i="7"/>
  <c r="D196" i="7"/>
  <c r="D200" i="7" s="1"/>
  <c r="D182" i="7"/>
  <c r="D166" i="7"/>
  <c r="D167" i="7" s="1"/>
  <c r="D160" i="7"/>
  <c r="D159" i="7"/>
  <c r="D146" i="7"/>
  <c r="D131" i="7"/>
  <c r="D129" i="7"/>
  <c r="D128" i="7"/>
  <c r="D127" i="7"/>
  <c r="D126" i="7"/>
  <c r="D125" i="7"/>
  <c r="D124" i="7"/>
  <c r="D121" i="7"/>
  <c r="E353" i="7"/>
  <c r="E355" i="7"/>
  <c r="D108" i="6"/>
  <c r="D100" i="6"/>
  <c r="D88" i="6"/>
  <c r="D77" i="6"/>
  <c r="E64" i="6"/>
  <c r="D214" i="8"/>
  <c r="D195" i="8"/>
  <c r="D187" i="8"/>
  <c r="D181" i="8"/>
  <c r="D169" i="8"/>
  <c r="D168" i="8"/>
  <c r="D170" i="8" s="1"/>
  <c r="D159" i="8"/>
  <c r="D154" i="8"/>
  <c r="D151" i="8"/>
  <c r="D136" i="8"/>
  <c r="D135" i="8"/>
  <c r="D128" i="8"/>
  <c r="D120" i="8"/>
  <c r="D119" i="8"/>
  <c r="D118" i="8"/>
  <c r="D115" i="8"/>
  <c r="D105" i="8"/>
  <c r="D98" i="8"/>
  <c r="D97" i="8"/>
  <c r="D96" i="8"/>
  <c r="D95" i="8"/>
  <c r="D114" i="13"/>
  <c r="D90" i="13"/>
  <c r="D89" i="13"/>
  <c r="D91" i="13" s="1"/>
  <c r="D82" i="13"/>
  <c r="D81" i="13"/>
  <c r="D80" i="13"/>
  <c r="D79" i="13"/>
  <c r="F153" i="14"/>
  <c r="E153" i="14"/>
  <c r="F152" i="14"/>
  <c r="E152" i="14"/>
  <c r="F151" i="14"/>
  <c r="G153" i="14"/>
  <c r="G152" i="14"/>
  <c r="G151" i="14"/>
  <c r="G149" i="14"/>
  <c r="F149" i="14"/>
  <c r="D145" i="14"/>
  <c r="D140" i="14"/>
  <c r="D122" i="14"/>
  <c r="D115" i="14"/>
  <c r="D87" i="14"/>
  <c r="D82" i="14"/>
  <c r="D73" i="14"/>
  <c r="D68" i="14"/>
  <c r="D58" i="14"/>
  <c r="D60" i="14" s="1"/>
  <c r="F334" i="9"/>
  <c r="E334" i="9"/>
  <c r="F332" i="9"/>
  <c r="E332" i="9"/>
  <c r="G334" i="9"/>
  <c r="G333" i="9"/>
  <c r="G332" i="9"/>
  <c r="D236" i="9"/>
  <c r="D328" i="9"/>
  <c r="D317" i="9"/>
  <c r="D299" i="9"/>
  <c r="D293" i="9"/>
  <c r="D278" i="9"/>
  <c r="D273" i="9"/>
  <c r="E261" i="9"/>
  <c r="E333" i="9" s="1"/>
  <c r="D256" i="9"/>
  <c r="D259" i="9" s="1"/>
  <c r="D243" i="9"/>
  <c r="D232" i="9"/>
  <c r="D212" i="9"/>
  <c r="D217" i="9" s="1"/>
  <c r="D205" i="9"/>
  <c r="D208" i="9" s="1"/>
  <c r="D200" i="9"/>
  <c r="D199" i="9"/>
  <c r="D198" i="9"/>
  <c r="D192" i="9"/>
  <c r="D181" i="9"/>
  <c r="D180" i="9"/>
  <c r="D177" i="9"/>
  <c r="D169" i="9"/>
  <c r="D163" i="9"/>
  <c r="D162" i="9"/>
  <c r="D161" i="9"/>
  <c r="D145" i="9"/>
  <c r="D142" i="9"/>
  <c r="D139" i="9"/>
  <c r="D135" i="9"/>
  <c r="D84" i="13" l="1"/>
  <c r="D137" i="8"/>
  <c r="D161" i="7"/>
  <c r="F154" i="14"/>
  <c r="D100" i="8"/>
  <c r="D132" i="7"/>
  <c r="E335" i="9"/>
  <c r="E330" i="9"/>
  <c r="F330" i="9"/>
  <c r="D146" i="9"/>
  <c r="F333" i="9"/>
  <c r="D121" i="8"/>
  <c r="G154" i="14"/>
  <c r="D233" i="9"/>
  <c r="D170" i="9"/>
  <c r="D201" i="9"/>
  <c r="D182" i="9"/>
  <c r="D32" i="38" l="1"/>
  <c r="F335" i="9"/>
  <c r="G148" i="16"/>
  <c r="F148" i="16"/>
  <c r="E148" i="16"/>
  <c r="G260" i="12"/>
  <c r="F260" i="12"/>
  <c r="G259" i="12"/>
  <c r="F259" i="12"/>
  <c r="G258" i="12"/>
  <c r="F258" i="12"/>
  <c r="E260" i="12"/>
  <c r="E259" i="12"/>
  <c r="G250" i="12"/>
  <c r="E15" i="38" s="1"/>
  <c r="F250" i="12"/>
  <c r="D248" i="12"/>
  <c r="D240" i="12"/>
  <c r="D226" i="12"/>
  <c r="D199" i="12"/>
  <c r="D193" i="12"/>
  <c r="D177" i="12"/>
  <c r="D163" i="12"/>
  <c r="D158" i="12"/>
  <c r="D143" i="12"/>
  <c r="D135" i="12"/>
  <c r="D128" i="12"/>
  <c r="D101" i="12"/>
  <c r="D91" i="12"/>
  <c r="D90" i="12"/>
  <c r="D88" i="12"/>
  <c r="D87" i="12"/>
  <c r="D86" i="12"/>
  <c r="D81" i="12"/>
  <c r="D77" i="12"/>
  <c r="D73" i="12"/>
  <c r="D72" i="12"/>
  <c r="D71" i="12"/>
  <c r="D74" i="12" s="1"/>
  <c r="D67" i="12"/>
  <c r="D66" i="12"/>
  <c r="D63" i="12"/>
  <c r="D45" i="12"/>
  <c r="D44" i="12"/>
  <c r="E43" i="12"/>
  <c r="E258" i="12" s="1"/>
  <c r="D38" i="12"/>
  <c r="D37" i="12"/>
  <c r="D35" i="12"/>
  <c r="D34" i="12"/>
  <c r="D33" i="12"/>
  <c r="D32" i="12"/>
  <c r="D31" i="12"/>
  <c r="D30" i="12"/>
  <c r="D29" i="12"/>
  <c r="D28" i="12"/>
  <c r="D27" i="12"/>
  <c r="D26" i="12"/>
  <c r="D25" i="12"/>
  <c r="D24" i="12"/>
  <c r="D21" i="12"/>
  <c r="D20" i="12"/>
  <c r="D19" i="12"/>
  <c r="D18" i="12"/>
  <c r="D12" i="12"/>
  <c r="D11" i="12"/>
  <c r="D10" i="12"/>
  <c r="D9" i="12"/>
  <c r="D8" i="12"/>
  <c r="C7" i="12"/>
  <c r="D7" i="12" s="1"/>
  <c r="D139" i="15"/>
  <c r="D123" i="15"/>
  <c r="D118" i="15"/>
  <c r="D96" i="15"/>
  <c r="D89" i="15"/>
  <c r="D90" i="15" s="1"/>
  <c r="D85" i="15"/>
  <c r="D82" i="15"/>
  <c r="D86" i="16"/>
  <c r="D112" i="16"/>
  <c r="D120" i="16"/>
  <c r="D128" i="16"/>
  <c r="C145" i="16"/>
  <c r="C146" i="16" s="1"/>
  <c r="D146" i="16"/>
  <c r="E150" i="16"/>
  <c r="F150" i="16"/>
  <c r="G150" i="16"/>
  <c r="E151" i="16"/>
  <c r="F151" i="16"/>
  <c r="G151" i="16"/>
  <c r="E152" i="16"/>
  <c r="F152" i="16"/>
  <c r="G152" i="16"/>
  <c r="C19" i="38" l="1"/>
  <c r="E19" i="38"/>
  <c r="E153" i="16"/>
  <c r="D68" i="12"/>
  <c r="E250" i="12"/>
  <c r="D19" i="38"/>
  <c r="F153" i="16"/>
  <c r="F261" i="12"/>
  <c r="D15" i="38"/>
  <c r="D14" i="12"/>
  <c r="B51" i="12" s="1"/>
  <c r="B57" i="12" s="1"/>
  <c r="D57" i="12" s="1"/>
  <c r="B58" i="12"/>
  <c r="D58" i="12" s="1"/>
  <c r="B89" i="12"/>
  <c r="D89" i="12" s="1"/>
  <c r="D92" i="12" s="1"/>
  <c r="D47" i="12"/>
  <c r="B53" i="12" s="1"/>
  <c r="B59" i="12" s="1"/>
  <c r="G261" i="12"/>
  <c r="G153" i="16"/>
  <c r="D40" i="12"/>
  <c r="B52" i="12" s="1"/>
  <c r="D52" i="12" s="1"/>
  <c r="H99" i="17"/>
  <c r="G99" i="17"/>
  <c r="G98" i="17"/>
  <c r="H97" i="17"/>
  <c r="G97" i="17"/>
  <c r="G95" i="17"/>
  <c r="F98" i="17"/>
  <c r="F95" i="17"/>
  <c r="H93" i="17"/>
  <c r="G93" i="17"/>
  <c r="F93" i="17"/>
  <c r="E75" i="17"/>
  <c r="H57" i="17" s="1"/>
  <c r="D75" i="17"/>
  <c r="C75" i="17"/>
  <c r="B75" i="17"/>
  <c r="E49" i="17"/>
  <c r="D49" i="17"/>
  <c r="C49" i="17"/>
  <c r="E32" i="17"/>
  <c r="D32" i="17"/>
  <c r="C32" i="17"/>
  <c r="B80" i="12" l="1"/>
  <c r="D80" i="12" s="1"/>
  <c r="D51" i="12"/>
  <c r="D53" i="12"/>
  <c r="H95" i="17"/>
  <c r="H98" i="17"/>
  <c r="H100" i="17" s="1"/>
  <c r="G100" i="17"/>
  <c r="B82" i="12"/>
  <c r="D82" i="12" s="1"/>
  <c r="D83" i="12" s="1"/>
  <c r="D59" i="12"/>
  <c r="D60" i="12" s="1"/>
  <c r="D103" i="2"/>
  <c r="D98" i="2"/>
  <c r="D91" i="2"/>
  <c r="C89" i="2"/>
  <c r="C91" i="2" s="1"/>
  <c r="B89" i="2"/>
  <c r="B91" i="2" s="1"/>
  <c r="D74" i="2"/>
  <c r="D69" i="2"/>
  <c r="D64" i="2"/>
  <c r="D55" i="2"/>
  <c r="D107" i="1" l="1"/>
  <c r="D127" i="1"/>
  <c r="D133" i="1"/>
  <c r="D180" i="1"/>
  <c r="C189" i="1"/>
  <c r="D189" i="1"/>
  <c r="D260" i="1"/>
  <c r="D264" i="1" s="1"/>
  <c r="D243" i="1"/>
  <c r="D225" i="1"/>
  <c r="D224" i="1"/>
  <c r="D223" i="1"/>
  <c r="D222" i="1"/>
  <c r="D214" i="1"/>
  <c r="D172" i="1"/>
  <c r="D156" i="1"/>
  <c r="D149" i="1"/>
  <c r="D142" i="1"/>
  <c r="D233" i="1" l="1"/>
  <c r="I51" i="38" l="1"/>
  <c r="I50" i="38"/>
  <c r="I49" i="38"/>
  <c r="I48" i="38"/>
  <c r="I47" i="38"/>
  <c r="H15" i="38"/>
  <c r="I15" i="38" s="1"/>
  <c r="AE32" i="55"/>
  <c r="AE28" i="55"/>
  <c r="AC26" i="55"/>
  <c r="AC30" i="55" s="1"/>
  <c r="AC34" i="55" s="1"/>
  <c r="AD26" i="55" l="1"/>
  <c r="AD30" i="55" s="1"/>
  <c r="AD34" i="55" s="1"/>
  <c r="D64" i="37" l="1"/>
  <c r="D65" i="37" s="1"/>
  <c r="F256" i="12"/>
  <c r="E256" i="12"/>
  <c r="F255" i="12" l="1"/>
  <c r="G255" i="12"/>
  <c r="E261" i="12"/>
  <c r="E255" i="12" l="1"/>
  <c r="C15" i="38"/>
  <c r="E14" i="37" l="1"/>
  <c r="E9" i="50"/>
  <c r="E6" i="14"/>
  <c r="E138" i="1"/>
  <c r="E151" i="14" l="1"/>
  <c r="E154" i="14" s="1"/>
  <c r="E149" i="14"/>
  <c r="H19" i="38"/>
  <c r="G35" i="18"/>
  <c r="G34" i="18"/>
  <c r="G33" i="18" l="1"/>
  <c r="G37" i="18" s="1"/>
  <c r="G31" i="18"/>
  <c r="D76" i="16" l="1"/>
  <c r="D74" i="16"/>
  <c r="D73" i="16"/>
  <c r="D72" i="16"/>
  <c r="D61" i="16"/>
  <c r="D58" i="16"/>
  <c r="D54" i="16"/>
  <c r="D53" i="16"/>
  <c r="D50" i="16"/>
  <c r="D55" i="16" l="1"/>
  <c r="D12" i="6"/>
  <c r="D13" i="53"/>
  <c r="I458" i="3" l="1"/>
  <c r="I461" i="3" l="1"/>
  <c r="I465" i="3" l="1"/>
  <c r="J465" i="3"/>
  <c r="A1" i="53"/>
  <c r="D7" i="53"/>
  <c r="D8" i="53"/>
  <c r="D12" i="53"/>
  <c r="D14" i="53" s="1"/>
  <c r="D17" i="53"/>
  <c r="D22" i="53"/>
  <c r="D23" i="53"/>
  <c r="C27" i="53"/>
  <c r="D27" i="53" s="1"/>
  <c r="C28" i="53"/>
  <c r="D28" i="53" s="1"/>
  <c r="D47" i="53"/>
  <c r="D50" i="53"/>
  <c r="D51" i="53"/>
  <c r="D55" i="53"/>
  <c r="D58" i="53"/>
  <c r="D69" i="53"/>
  <c r="D70" i="53"/>
  <c r="D71" i="53"/>
  <c r="D72" i="53"/>
  <c r="D73" i="53"/>
  <c r="E163" i="53"/>
  <c r="F163" i="53"/>
  <c r="G163" i="53"/>
  <c r="E10" i="38" s="1"/>
  <c r="E165" i="53"/>
  <c r="F165" i="53"/>
  <c r="G165" i="53"/>
  <c r="E166" i="53"/>
  <c r="F166" i="53"/>
  <c r="G166" i="53"/>
  <c r="J54" i="38"/>
  <c r="D52" i="53" l="1"/>
  <c r="G168" i="53"/>
  <c r="D19" i="53"/>
  <c r="B34" i="53" s="1"/>
  <c r="D34" i="53" s="1"/>
  <c r="D74" i="53"/>
  <c r="F168" i="53"/>
  <c r="D24" i="53"/>
  <c r="B64" i="53" s="1"/>
  <c r="D64" i="53" s="1"/>
  <c r="E168" i="53"/>
  <c r="D29" i="53"/>
  <c r="B65" i="53" s="1"/>
  <c r="D65" i="53" s="1"/>
  <c r="B33" i="53"/>
  <c r="D33" i="53" s="1"/>
  <c r="B62" i="53"/>
  <c r="D62" i="53" s="1"/>
  <c r="D9" i="53"/>
  <c r="B61" i="53" s="1"/>
  <c r="D61" i="53" s="1"/>
  <c r="B41" i="53"/>
  <c r="D41" i="53" s="1"/>
  <c r="B42" i="53" l="1"/>
  <c r="D42" i="53" s="1"/>
  <c r="B63" i="53"/>
  <c r="D63" i="53" s="1"/>
  <c r="D66" i="53" s="1"/>
  <c r="B35" i="53"/>
  <c r="D35" i="53" s="1"/>
  <c r="B36" i="53"/>
  <c r="D36" i="53" s="1"/>
  <c r="B43" i="53"/>
  <c r="D43" i="53" s="1"/>
  <c r="B32" i="53"/>
  <c r="D32" i="53" s="1"/>
  <c r="B40" i="53"/>
  <c r="D40" i="53" s="1"/>
  <c r="D37" i="53" l="1"/>
  <c r="D44" i="53"/>
  <c r="AA11" i="55" l="1"/>
  <c r="C17" i="14" l="1"/>
  <c r="G166" i="15" l="1"/>
  <c r="F166" i="15"/>
  <c r="E166" i="15"/>
  <c r="G165" i="15"/>
  <c r="G164" i="15"/>
  <c r="G167" i="15" l="1"/>
  <c r="H262" i="11" l="1"/>
  <c r="H261" i="11"/>
  <c r="H260" i="11"/>
  <c r="E33" i="18" s="1"/>
  <c r="E37" i="18" s="1"/>
  <c r="H258" i="11"/>
  <c r="E31" i="18" s="1"/>
  <c r="F14" i="38" l="1"/>
  <c r="H263" i="11"/>
  <c r="I265" i="11" s="1"/>
  <c r="F22" i="38" l="1"/>
  <c r="F30" i="38" s="1"/>
  <c r="V32" i="55"/>
  <c r="V9" i="55"/>
  <c r="V25" i="55"/>
  <c r="V24" i="55"/>
  <c r="V14" i="55"/>
  <c r="V11" i="55"/>
  <c r="AA26" i="55"/>
  <c r="AA30" i="55" s="1"/>
  <c r="AA34" i="55" s="1"/>
  <c r="Z26" i="55"/>
  <c r="Z30" i="55" s="1"/>
  <c r="Z34" i="55" s="1"/>
  <c r="H13" i="38" l="1"/>
  <c r="G221" i="8"/>
  <c r="F221" i="8"/>
  <c r="E221" i="8"/>
  <c r="G220" i="8"/>
  <c r="F220" i="8"/>
  <c r="E220" i="8"/>
  <c r="G219" i="8"/>
  <c r="F219" i="8"/>
  <c r="E219" i="8"/>
  <c r="G216" i="8"/>
  <c r="F216" i="8"/>
  <c r="E216" i="8"/>
  <c r="D78" i="8"/>
  <c r="D77" i="8"/>
  <c r="D66" i="8"/>
  <c r="D62" i="8"/>
  <c r="D61" i="8"/>
  <c r="D56" i="8"/>
  <c r="D52" i="8"/>
  <c r="D51" i="8"/>
  <c r="D28" i="8"/>
  <c r="B72" i="8" s="1"/>
  <c r="D72" i="8" s="1"/>
  <c r="C25" i="8"/>
  <c r="D25" i="8" s="1"/>
  <c r="C20" i="8"/>
  <c r="C32" i="8" s="1"/>
  <c r="D32" i="8" s="1"/>
  <c r="D19" i="8"/>
  <c r="D18" i="8"/>
  <c r="D17" i="8"/>
  <c r="D16" i="8"/>
  <c r="D15" i="8"/>
  <c r="D14" i="8"/>
  <c r="C10" i="8"/>
  <c r="D10" i="8" s="1"/>
  <c r="C9" i="8"/>
  <c r="D9" i="8" s="1"/>
  <c r="D8" i="8"/>
  <c r="D7" i="8"/>
  <c r="H12" i="38"/>
  <c r="I12" i="38" s="1"/>
  <c r="E357" i="7"/>
  <c r="C12" i="38"/>
  <c r="D106" i="7"/>
  <c r="D93" i="7"/>
  <c r="D92" i="7"/>
  <c r="D88" i="7"/>
  <c r="D87" i="7"/>
  <c r="D86" i="7"/>
  <c r="D81" i="7"/>
  <c r="D82" i="7" s="1"/>
  <c r="D77" i="7"/>
  <c r="D76" i="7"/>
  <c r="D75" i="7"/>
  <c r="D55" i="7"/>
  <c r="B102" i="7" s="1"/>
  <c r="D102" i="7" s="1"/>
  <c r="D48" i="7"/>
  <c r="B101" i="7" s="1"/>
  <c r="D101" i="7" s="1"/>
  <c r="D45" i="7"/>
  <c r="B61" i="7" s="1"/>
  <c r="D35" i="7"/>
  <c r="D34" i="7"/>
  <c r="D33" i="7"/>
  <c r="D32" i="7"/>
  <c r="D31" i="7"/>
  <c r="D30" i="7"/>
  <c r="D29" i="7"/>
  <c r="D28" i="7"/>
  <c r="D27" i="7"/>
  <c r="D26" i="7"/>
  <c r="D25" i="7"/>
  <c r="D24" i="7"/>
  <c r="D23" i="7"/>
  <c r="D22" i="7"/>
  <c r="D21" i="7"/>
  <c r="D20" i="7"/>
  <c r="D19" i="7"/>
  <c r="D18" i="7"/>
  <c r="D13" i="7"/>
  <c r="D12" i="7"/>
  <c r="D11" i="7"/>
  <c r="D10" i="7"/>
  <c r="D7" i="7"/>
  <c r="B58" i="7" s="1"/>
  <c r="H32" i="38"/>
  <c r="I32" i="38" s="1"/>
  <c r="G330" i="9"/>
  <c r="E32" i="38" s="1"/>
  <c r="C32" i="38"/>
  <c r="D115" i="9"/>
  <c r="D108" i="9"/>
  <c r="D107" i="9"/>
  <c r="D106" i="9"/>
  <c r="D105" i="9"/>
  <c r="D104" i="9"/>
  <c r="D91" i="9"/>
  <c r="D90" i="9"/>
  <c r="D86" i="9"/>
  <c r="D85" i="9"/>
  <c r="D84" i="9"/>
  <c r="D79" i="9"/>
  <c r="D75" i="9"/>
  <c r="D74" i="9"/>
  <c r="D73" i="9"/>
  <c r="C53" i="9"/>
  <c r="D53" i="9" s="1"/>
  <c r="B61" i="9" s="1"/>
  <c r="D48" i="9"/>
  <c r="D46" i="9"/>
  <c r="D45" i="9"/>
  <c r="D41" i="9"/>
  <c r="B59" i="9" s="1"/>
  <c r="D59" i="9" s="1"/>
  <c r="D36" i="9"/>
  <c r="D33" i="9"/>
  <c r="D32" i="9"/>
  <c r="D31" i="9"/>
  <c r="D30" i="9"/>
  <c r="D29" i="9"/>
  <c r="D28" i="9"/>
  <c r="D27" i="9"/>
  <c r="D26" i="9"/>
  <c r="D25" i="9"/>
  <c r="D24" i="9"/>
  <c r="D23" i="9"/>
  <c r="D22" i="9"/>
  <c r="D16" i="9"/>
  <c r="D10" i="9"/>
  <c r="D7" i="9"/>
  <c r="B56" i="9" s="1"/>
  <c r="B95" i="9" s="1"/>
  <c r="D95" i="9" s="1"/>
  <c r="H17" i="38"/>
  <c r="E17" i="38"/>
  <c r="D52" i="14"/>
  <c r="D51" i="14"/>
  <c r="D42" i="14"/>
  <c r="D39" i="14"/>
  <c r="D35" i="14"/>
  <c r="D34" i="14"/>
  <c r="D31" i="14"/>
  <c r="D17" i="14"/>
  <c r="B27" i="14" s="1"/>
  <c r="D27" i="14" s="1"/>
  <c r="D14" i="14"/>
  <c r="D13" i="14"/>
  <c r="D8" i="14"/>
  <c r="D7" i="14"/>
  <c r="H16" i="38"/>
  <c r="G130" i="13"/>
  <c r="F130" i="13"/>
  <c r="E130" i="13"/>
  <c r="G129" i="13"/>
  <c r="F129" i="13"/>
  <c r="G128" i="13"/>
  <c r="F128" i="13"/>
  <c r="E128" i="13"/>
  <c r="G125" i="13"/>
  <c r="E16" i="38" s="1"/>
  <c r="F125" i="13"/>
  <c r="E129" i="13"/>
  <c r="D69" i="13"/>
  <c r="D68" i="13"/>
  <c r="D58" i="13"/>
  <c r="D54" i="13"/>
  <c r="D53" i="13"/>
  <c r="D48" i="13"/>
  <c r="D44" i="13"/>
  <c r="D43" i="13"/>
  <c r="C25" i="13"/>
  <c r="D25" i="13" s="1"/>
  <c r="B64" i="13" s="1"/>
  <c r="C20" i="13"/>
  <c r="D20" i="13" s="1"/>
  <c r="D15" i="13"/>
  <c r="D14" i="13"/>
  <c r="D13" i="13"/>
  <c r="D12" i="13"/>
  <c r="D8" i="13"/>
  <c r="D7" i="13"/>
  <c r="G124" i="6"/>
  <c r="F124" i="6"/>
  <c r="E124" i="6"/>
  <c r="G123" i="6"/>
  <c r="F123" i="6"/>
  <c r="E123" i="6"/>
  <c r="G122" i="6"/>
  <c r="F122" i="6"/>
  <c r="E122" i="6"/>
  <c r="G120" i="6"/>
  <c r="E11" i="38" s="1"/>
  <c r="F120" i="6"/>
  <c r="E120" i="6"/>
  <c r="D57" i="6"/>
  <c r="D56" i="6"/>
  <c r="D47" i="6"/>
  <c r="D44" i="6"/>
  <c r="D40" i="6"/>
  <c r="D39" i="6"/>
  <c r="D36" i="6"/>
  <c r="D17" i="6"/>
  <c r="D16" i="6"/>
  <c r="D18" i="6" s="1"/>
  <c r="D11" i="6"/>
  <c r="D10" i="6"/>
  <c r="D7" i="6"/>
  <c r="B25" i="6" s="1"/>
  <c r="B34" i="18" l="1"/>
  <c r="C34" i="18"/>
  <c r="D34" i="18"/>
  <c r="B35" i="18"/>
  <c r="C35" i="18"/>
  <c r="D35" i="18"/>
  <c r="E13" i="38"/>
  <c r="D16" i="38"/>
  <c r="I16" i="38" s="1"/>
  <c r="D13" i="38"/>
  <c r="I13" i="38" s="1"/>
  <c r="D41" i="6"/>
  <c r="D9" i="13"/>
  <c r="B61" i="13" s="1"/>
  <c r="D61" i="13" s="1"/>
  <c r="E125" i="13"/>
  <c r="C16" i="38" s="1"/>
  <c r="B38" i="13"/>
  <c r="D38" i="13" s="1"/>
  <c r="B63" i="13"/>
  <c r="D63" i="13" s="1"/>
  <c r="D63" i="8"/>
  <c r="D94" i="7"/>
  <c r="E125" i="6"/>
  <c r="G125" i="6"/>
  <c r="B63" i="7"/>
  <c r="D63" i="7" s="1"/>
  <c r="D92" i="9"/>
  <c r="D76" i="9"/>
  <c r="B68" i="9"/>
  <c r="D68" i="9" s="1"/>
  <c r="D37" i="9"/>
  <c r="B58" i="9" s="1"/>
  <c r="B67" i="9" s="1"/>
  <c r="D67" i="9" s="1"/>
  <c r="D49" i="9"/>
  <c r="B60" i="9" s="1"/>
  <c r="B99" i="9" s="1"/>
  <c r="D99" i="9" s="1"/>
  <c r="B98" i="9"/>
  <c r="D98" i="9" s="1"/>
  <c r="B65" i="9"/>
  <c r="D65" i="9" s="1"/>
  <c r="D87" i="9"/>
  <c r="D17" i="38"/>
  <c r="F131" i="13"/>
  <c r="F125" i="6"/>
  <c r="D18" i="9"/>
  <c r="B57" i="9" s="1"/>
  <c r="B96" i="9" s="1"/>
  <c r="D96" i="9" s="1"/>
  <c r="B47" i="14"/>
  <c r="D47" i="14" s="1"/>
  <c r="D15" i="14"/>
  <c r="B21" i="14" s="1"/>
  <c r="B46" i="14" s="1"/>
  <c r="D46" i="14" s="1"/>
  <c r="D15" i="7"/>
  <c r="B68" i="7" s="1"/>
  <c r="D68" i="7" s="1"/>
  <c r="D78" i="7"/>
  <c r="D89" i="7"/>
  <c r="D13" i="6"/>
  <c r="B26" i="6" s="1"/>
  <c r="D26" i="6" s="1"/>
  <c r="D109" i="9"/>
  <c r="D53" i="8"/>
  <c r="C13" i="38"/>
  <c r="F222" i="8"/>
  <c r="G335" i="9"/>
  <c r="E222" i="8"/>
  <c r="E358" i="7"/>
  <c r="E360" i="7" s="1"/>
  <c r="B62" i="7"/>
  <c r="F360" i="7"/>
  <c r="B100" i="7"/>
  <c r="D100" i="7" s="1"/>
  <c r="D38" i="7"/>
  <c r="B69" i="7" s="1"/>
  <c r="D69" i="7" s="1"/>
  <c r="G222" i="8"/>
  <c r="G360" i="7"/>
  <c r="B43" i="8"/>
  <c r="D43" i="8" s="1"/>
  <c r="B71" i="8"/>
  <c r="D71" i="8" s="1"/>
  <c r="B37" i="8"/>
  <c r="D37" i="8" s="1"/>
  <c r="B46" i="8"/>
  <c r="D46" i="8" s="1"/>
  <c r="B44" i="8"/>
  <c r="D44" i="8" s="1"/>
  <c r="D12" i="8"/>
  <c r="B73" i="8"/>
  <c r="D73" i="8" s="1"/>
  <c r="B47" i="8"/>
  <c r="D47" i="8" s="1"/>
  <c r="B39" i="8"/>
  <c r="D39" i="8" s="1"/>
  <c r="D57" i="8"/>
  <c r="D58" i="8" s="1"/>
  <c r="B79" i="8"/>
  <c r="D79" i="8" s="1"/>
  <c r="D80" i="8" s="1"/>
  <c r="D20" i="8"/>
  <c r="D22" i="8" s="1"/>
  <c r="B38" i="8"/>
  <c r="D38" i="8" s="1"/>
  <c r="D61" i="7"/>
  <c r="B70" i="7"/>
  <c r="D70" i="7" s="1"/>
  <c r="B67" i="7"/>
  <c r="D58" i="7"/>
  <c r="B71" i="7"/>
  <c r="D71" i="7" s="1"/>
  <c r="D83" i="7"/>
  <c r="B69" i="9"/>
  <c r="D69" i="9" s="1"/>
  <c r="D61" i="9"/>
  <c r="B100" i="9"/>
  <c r="D100" i="9" s="1"/>
  <c r="D56" i="9"/>
  <c r="D80" i="9"/>
  <c r="D81" i="9" s="1"/>
  <c r="C17" i="38"/>
  <c r="D10" i="14"/>
  <c r="B45" i="14" s="1"/>
  <c r="D45" i="14" s="1"/>
  <c r="D36" i="14"/>
  <c r="B22" i="14"/>
  <c r="D22" i="14" s="1"/>
  <c r="D53" i="14"/>
  <c r="D17" i="13"/>
  <c r="B62" i="13" s="1"/>
  <c r="D62" i="13" s="1"/>
  <c r="D55" i="13"/>
  <c r="G131" i="13"/>
  <c r="D70" i="13"/>
  <c r="D45" i="13"/>
  <c r="E131" i="13"/>
  <c r="B31" i="13"/>
  <c r="D64" i="13"/>
  <c r="B30" i="13"/>
  <c r="D30" i="13" s="1"/>
  <c r="D49" i="13"/>
  <c r="D50" i="13" s="1"/>
  <c r="B27" i="6"/>
  <c r="D27" i="6" s="1"/>
  <c r="B58" i="6"/>
  <c r="D58" i="6" s="1"/>
  <c r="D59" i="6" s="1"/>
  <c r="B52" i="6"/>
  <c r="D52" i="6" s="1"/>
  <c r="B31" i="6"/>
  <c r="D25" i="6"/>
  <c r="D21" i="14" l="1"/>
  <c r="B51" i="6"/>
  <c r="D51" i="6" s="1"/>
  <c r="B32" i="6"/>
  <c r="D32" i="6" s="1"/>
  <c r="B97" i="9"/>
  <c r="D97" i="9" s="1"/>
  <c r="D101" i="9" s="1"/>
  <c r="B28" i="13"/>
  <c r="D28" i="13" s="1"/>
  <c r="D60" i="9"/>
  <c r="B36" i="13"/>
  <c r="D36" i="13" s="1"/>
  <c r="B37" i="13"/>
  <c r="D37" i="13" s="1"/>
  <c r="B29" i="13"/>
  <c r="D29" i="13" s="1"/>
  <c r="B98" i="7"/>
  <c r="D98" i="7" s="1"/>
  <c r="B66" i="9"/>
  <c r="D66" i="9" s="1"/>
  <c r="D70" i="9" s="1"/>
  <c r="D57" i="9"/>
  <c r="D58" i="9"/>
  <c r="B20" i="14"/>
  <c r="D20" i="14" s="1"/>
  <c r="B26" i="14"/>
  <c r="D26" i="14" s="1"/>
  <c r="D28" i="14" s="1"/>
  <c r="B59" i="7"/>
  <c r="D59" i="7" s="1"/>
  <c r="D48" i="14"/>
  <c r="D65" i="13"/>
  <c r="B99" i="7"/>
  <c r="D99" i="7" s="1"/>
  <c r="D62" i="7"/>
  <c r="B107" i="7"/>
  <c r="D107" i="7" s="1"/>
  <c r="D108" i="7" s="1"/>
  <c r="B60" i="7"/>
  <c r="D60" i="7" s="1"/>
  <c r="B35" i="8"/>
  <c r="D35" i="8" s="1"/>
  <c r="B69" i="8"/>
  <c r="D69" i="8" s="1"/>
  <c r="B45" i="8"/>
  <c r="B36" i="8"/>
  <c r="D36" i="8" s="1"/>
  <c r="B97" i="7"/>
  <c r="D97" i="7" s="1"/>
  <c r="D67" i="7"/>
  <c r="D72" i="7" s="1"/>
  <c r="B39" i="13"/>
  <c r="D39" i="13" s="1"/>
  <c r="D31" i="13"/>
  <c r="D28" i="6"/>
  <c r="B50" i="6"/>
  <c r="D50" i="6" s="1"/>
  <c r="D31" i="6"/>
  <c r="D103" i="7" l="1"/>
  <c r="D23" i="14"/>
  <c r="D53" i="6"/>
  <c r="D33" i="6"/>
  <c r="D62" i="9"/>
  <c r="D32" i="13"/>
  <c r="D40" i="13"/>
  <c r="D64" i="7"/>
  <c r="D40" i="8"/>
  <c r="D45" i="8"/>
  <c r="D48" i="8" s="1"/>
  <c r="B70" i="8"/>
  <c r="D70" i="8" s="1"/>
  <c r="D74" i="8" s="1"/>
  <c r="F307" i="4" l="1"/>
  <c r="E307" i="4"/>
  <c r="H8" i="38"/>
  <c r="G307" i="4"/>
  <c r="E8" i="38" s="1"/>
  <c r="G309" i="4" l="1"/>
  <c r="D8" i="38"/>
  <c r="I8" i="38" s="1"/>
  <c r="F309" i="4"/>
  <c r="C8" i="38"/>
  <c r="E309" i="4"/>
  <c r="G262" i="11" l="1"/>
  <c r="F262" i="11"/>
  <c r="E262" i="11"/>
  <c r="G261" i="11"/>
  <c r="F261" i="11"/>
  <c r="G260" i="11"/>
  <c r="F260" i="11"/>
  <c r="G258" i="11"/>
  <c r="E14" i="38" s="1"/>
  <c r="F258" i="11"/>
  <c r="E261" i="11"/>
  <c r="F263" i="11" l="1"/>
  <c r="G263" i="11"/>
  <c r="H20" i="38" l="1"/>
  <c r="F99" i="17"/>
  <c r="F97" i="17"/>
  <c r="D20" i="38"/>
  <c r="C20" i="38"/>
  <c r="E20" i="38"/>
  <c r="F100" i="17" l="1"/>
  <c r="D28" i="18" l="1"/>
  <c r="D36" i="18" s="1"/>
  <c r="C54" i="38" l="1"/>
  <c r="H54" i="38"/>
  <c r="G54" i="38"/>
  <c r="F54" i="38"/>
  <c r="E54" i="38"/>
  <c r="D54" i="38"/>
  <c r="C67" i="38"/>
  <c r="H144" i="60"/>
  <c r="G144" i="60"/>
  <c r="F144" i="60"/>
  <c r="F108" i="37"/>
  <c r="E108" i="37"/>
  <c r="E107" i="37"/>
  <c r="C225" i="1" l="1"/>
  <c r="B225" i="1"/>
  <c r="C224" i="1"/>
  <c r="B224" i="1"/>
  <c r="C223" i="1"/>
  <c r="B223" i="1"/>
  <c r="C203" i="1"/>
  <c r="B203" i="1"/>
  <c r="E260" i="11" l="1"/>
  <c r="E263" i="11" s="1"/>
  <c r="E258" i="11"/>
  <c r="A39" i="18"/>
  <c r="B28" i="18"/>
  <c r="C28" i="18"/>
  <c r="C36" i="18" s="1"/>
  <c r="A1" i="60"/>
  <c r="A1" i="50"/>
  <c r="A1" i="61"/>
  <c r="A1" i="36"/>
  <c r="A1" i="37"/>
  <c r="A1" i="9"/>
  <c r="A1" i="18"/>
  <c r="A1" i="17"/>
  <c r="A1" i="16"/>
  <c r="A1" i="15"/>
  <c r="A1" i="14"/>
  <c r="A1" i="13"/>
  <c r="A1" i="12"/>
  <c r="A1" i="11"/>
  <c r="A1" i="8"/>
  <c r="A1" i="7"/>
  <c r="A1" i="6"/>
  <c r="A1" i="5"/>
  <c r="A1" i="4"/>
  <c r="A1" i="2"/>
  <c r="A1" i="1"/>
  <c r="B36" i="18" l="1"/>
  <c r="F276" i="1"/>
  <c r="F275" i="1"/>
  <c r="F274" i="1"/>
  <c r="F272" i="1"/>
  <c r="D5" i="38" l="1"/>
  <c r="F277" i="1"/>
  <c r="I16" i="61" l="1"/>
  <c r="I18" i="61" s="1"/>
  <c r="H16" i="61"/>
  <c r="H18" i="61" s="1"/>
  <c r="G16" i="61"/>
  <c r="G18" i="61" s="1"/>
  <c r="F16" i="61"/>
  <c r="F18" i="61" s="1"/>
  <c r="E16" i="61"/>
  <c r="E18" i="61" s="1"/>
  <c r="J12" i="61"/>
  <c r="J17" i="61" s="1"/>
  <c r="J18" i="61" s="1"/>
  <c r="H28" i="38" s="1"/>
  <c r="I28" i="38" s="1"/>
  <c r="I12" i="61"/>
  <c r="H12" i="61"/>
  <c r="G12" i="61"/>
  <c r="F12" i="61"/>
  <c r="E12" i="61"/>
  <c r="C28" i="38" s="1"/>
  <c r="J16" i="36"/>
  <c r="J18" i="36" s="1"/>
  <c r="J12" i="36"/>
  <c r="J19" i="50" s="1"/>
  <c r="I54" i="38" l="1"/>
  <c r="G106" i="37" l="1"/>
  <c r="F106" i="37"/>
  <c r="E106" i="37"/>
  <c r="H7" i="38"/>
  <c r="I7" i="38" s="1"/>
  <c r="F66" i="18"/>
  <c r="I276" i="1"/>
  <c r="F35" i="18" s="1"/>
  <c r="I275" i="1"/>
  <c r="F34" i="18" s="1"/>
  <c r="I274" i="1"/>
  <c r="F33" i="18" s="1"/>
  <c r="I272" i="1"/>
  <c r="F31" i="18" l="1"/>
  <c r="G5" i="38"/>
  <c r="F37" i="18"/>
  <c r="I277" i="1"/>
  <c r="X25" i="55" l="1"/>
  <c r="N30" i="55"/>
  <c r="N34" i="55" s="1"/>
  <c r="U26" i="55"/>
  <c r="U30" i="55" s="1"/>
  <c r="U34" i="55" s="1"/>
  <c r="R26" i="55"/>
  <c r="R30" i="55" s="1"/>
  <c r="R34" i="55" s="1"/>
  <c r="Q26" i="55"/>
  <c r="Q30" i="55" s="1"/>
  <c r="Q34" i="55" s="1"/>
  <c r="P26" i="55"/>
  <c r="P30" i="55" s="1"/>
  <c r="P34" i="55" s="1"/>
  <c r="O26" i="55"/>
  <c r="O30" i="55" s="1"/>
  <c r="O34" i="55" s="1"/>
  <c r="N26" i="55"/>
  <c r="D16" i="5"/>
  <c r="D15" i="5"/>
  <c r="D14" i="5"/>
  <c r="D13" i="5"/>
  <c r="D12" i="5"/>
  <c r="D11" i="5"/>
  <c r="D10" i="5"/>
  <c r="F165" i="15"/>
  <c r="F164" i="15"/>
  <c r="G160" i="15"/>
  <c r="E18" i="38" s="1"/>
  <c r="F160" i="15"/>
  <c r="G145" i="5"/>
  <c r="F145" i="5"/>
  <c r="E145" i="5"/>
  <c r="G144" i="5"/>
  <c r="F144" i="5"/>
  <c r="E144" i="5"/>
  <c r="G143" i="5"/>
  <c r="F143" i="5"/>
  <c r="E143" i="5"/>
  <c r="D26" i="1"/>
  <c r="D25" i="1"/>
  <c r="B52" i="1" s="1"/>
  <c r="D52" i="1" s="1"/>
  <c r="D24" i="1"/>
  <c r="D23" i="1"/>
  <c r="D22" i="1"/>
  <c r="D21" i="1"/>
  <c r="D20" i="1"/>
  <c r="T26" i="55"/>
  <c r="T30" i="55"/>
  <c r="T34" i="55" s="1"/>
  <c r="D10" i="50"/>
  <c r="D13" i="50"/>
  <c r="D15" i="50" s="1"/>
  <c r="E20" i="50"/>
  <c r="F20" i="50"/>
  <c r="G20" i="50"/>
  <c r="H20" i="50"/>
  <c r="I20" i="50"/>
  <c r="J20" i="50"/>
  <c r="E12" i="36"/>
  <c r="C39" i="38" s="1"/>
  <c r="F12" i="36"/>
  <c r="D39" i="38" s="1"/>
  <c r="G12" i="36"/>
  <c r="E39" i="38" s="1"/>
  <c r="I12" i="36"/>
  <c r="I19" i="50" s="1"/>
  <c r="E16" i="36"/>
  <c r="E18" i="36" s="1"/>
  <c r="F16" i="36"/>
  <c r="F18" i="36" s="1"/>
  <c r="G16" i="36"/>
  <c r="G18" i="36" s="1"/>
  <c r="H18" i="36"/>
  <c r="I16" i="36"/>
  <c r="I18" i="36" s="1"/>
  <c r="D7" i="37"/>
  <c r="D9" i="37" s="1"/>
  <c r="D12" i="37"/>
  <c r="B44" i="37" s="1"/>
  <c r="D44" i="37" s="1"/>
  <c r="D15" i="37"/>
  <c r="D17" i="37" s="1"/>
  <c r="B22" i="37" s="1"/>
  <c r="D29" i="37"/>
  <c r="D32" i="37"/>
  <c r="D33" i="37"/>
  <c r="D37" i="37"/>
  <c r="D40" i="37"/>
  <c r="D49" i="37"/>
  <c r="D50" i="37"/>
  <c r="B51" i="37"/>
  <c r="D51" i="37" s="1"/>
  <c r="D52" i="37"/>
  <c r="D85" i="37"/>
  <c r="B102" i="37"/>
  <c r="C102" i="37"/>
  <c r="D102" i="37"/>
  <c r="E104" i="37"/>
  <c r="C37" i="38" s="1"/>
  <c r="F104" i="37"/>
  <c r="G104" i="37"/>
  <c r="E37" i="38" s="1"/>
  <c r="F37" i="38"/>
  <c r="G37" i="38"/>
  <c r="F107" i="37"/>
  <c r="G107" i="37"/>
  <c r="G108" i="37"/>
  <c r="B68" i="18"/>
  <c r="F68" i="18"/>
  <c r="H21" i="38"/>
  <c r="B66" i="18"/>
  <c r="B69" i="18" s="1"/>
  <c r="C33" i="38" s="1"/>
  <c r="C66" i="18"/>
  <c r="C69" i="18" s="1"/>
  <c r="D33" i="38" s="1"/>
  <c r="I33" i="38" s="1"/>
  <c r="J33" i="38" s="1"/>
  <c r="D66" i="18"/>
  <c r="D69" i="18" s="1"/>
  <c r="E33" i="38" s="1"/>
  <c r="E69" i="18"/>
  <c r="F33" i="38" s="1"/>
  <c r="F69" i="18"/>
  <c r="G33" i="38" s="1"/>
  <c r="H35" i="38"/>
  <c r="H68" i="18"/>
  <c r="H69" i="18"/>
  <c r="H70" i="18"/>
  <c r="E7" i="17"/>
  <c r="E9" i="17" s="1"/>
  <c r="D7" i="16"/>
  <c r="D8" i="16"/>
  <c r="D12" i="16"/>
  <c r="D13" i="16"/>
  <c r="D20" i="16"/>
  <c r="D22" i="16" s="1"/>
  <c r="B37" i="16" s="1"/>
  <c r="D25" i="16"/>
  <c r="D26" i="16"/>
  <c r="D27" i="16"/>
  <c r="B75" i="16" s="1"/>
  <c r="D75" i="16" s="1"/>
  <c r="D77" i="16" s="1"/>
  <c r="D28" i="16"/>
  <c r="C32" i="16"/>
  <c r="D32" i="16" s="1"/>
  <c r="B39" i="16" s="1"/>
  <c r="D7" i="15"/>
  <c r="D9" i="15" s="1"/>
  <c r="D12" i="15"/>
  <c r="D13" i="15"/>
  <c r="B57" i="15" s="1"/>
  <c r="D57" i="15" s="1"/>
  <c r="D18" i="15"/>
  <c r="B30" i="15" s="1"/>
  <c r="D30" i="15" s="1"/>
  <c r="E160" i="15"/>
  <c r="C18" i="38" s="1"/>
  <c r="D21" i="15"/>
  <c r="D22" i="15"/>
  <c r="D41" i="15"/>
  <c r="D44" i="15"/>
  <c r="D45" i="15"/>
  <c r="D49" i="15"/>
  <c r="D52" i="15"/>
  <c r="D63" i="15"/>
  <c r="D64" i="15"/>
  <c r="D65" i="15"/>
  <c r="D67" i="15"/>
  <c r="E165" i="15"/>
  <c r="C14" i="38"/>
  <c r="D14" i="38"/>
  <c r="C11" i="38"/>
  <c r="D11" i="38"/>
  <c r="C10" i="38"/>
  <c r="D10" i="38"/>
  <c r="D7" i="5"/>
  <c r="B35" i="5" s="1"/>
  <c r="C19" i="5"/>
  <c r="D19" i="5" s="1"/>
  <c r="C23" i="5"/>
  <c r="D23" i="5" s="1"/>
  <c r="B71" i="5" s="1"/>
  <c r="D71" i="5" s="1"/>
  <c r="D26" i="5"/>
  <c r="B79" i="5" s="1"/>
  <c r="D79" i="5" s="1"/>
  <c r="D27" i="5"/>
  <c r="D48" i="5"/>
  <c r="D49" i="5"/>
  <c r="D53" i="5"/>
  <c r="D54" i="5"/>
  <c r="D55" i="5"/>
  <c r="D59" i="5"/>
  <c r="D61" i="5" s="1"/>
  <c r="D60" i="5"/>
  <c r="D64" i="5"/>
  <c r="D65" i="5"/>
  <c r="D77" i="5"/>
  <c r="D78" i="5"/>
  <c r="E141" i="5"/>
  <c r="C9" i="38" s="1"/>
  <c r="F141" i="5"/>
  <c r="G141" i="5"/>
  <c r="E9" i="38" s="1"/>
  <c r="C7" i="38"/>
  <c r="D7" i="2"/>
  <c r="D9" i="2" s="1"/>
  <c r="B40" i="2" s="1"/>
  <c r="D40" i="2" s="1"/>
  <c r="D12" i="2"/>
  <c r="D13" i="2"/>
  <c r="D27" i="2"/>
  <c r="D30" i="2"/>
  <c r="D31" i="2"/>
  <c r="D34" i="2"/>
  <c r="D37" i="2"/>
  <c r="D45" i="2"/>
  <c r="D46" i="2"/>
  <c r="E117" i="2"/>
  <c r="F117" i="2"/>
  <c r="G117" i="2"/>
  <c r="H6" i="38"/>
  <c r="E119" i="2"/>
  <c r="F119" i="2"/>
  <c r="G119" i="2"/>
  <c r="E120" i="2"/>
  <c r="F120" i="2"/>
  <c r="G120" i="2"/>
  <c r="E121" i="2"/>
  <c r="F121" i="2"/>
  <c r="G121" i="2"/>
  <c r="D7" i="1"/>
  <c r="D8" i="1"/>
  <c r="D12" i="1"/>
  <c r="B41" i="1" s="1"/>
  <c r="D13" i="1"/>
  <c r="D14" i="1"/>
  <c r="D15" i="1"/>
  <c r="D31" i="1"/>
  <c r="D32" i="1"/>
  <c r="D58" i="1"/>
  <c r="D61" i="1"/>
  <c r="D62" i="1"/>
  <c r="D66" i="1"/>
  <c r="D69" i="1"/>
  <c r="D81" i="1"/>
  <c r="D82" i="1"/>
  <c r="D83" i="1"/>
  <c r="D92" i="1"/>
  <c r="B107" i="1"/>
  <c r="C107" i="1"/>
  <c r="B112" i="1"/>
  <c r="C112" i="1"/>
  <c r="D112" i="1"/>
  <c r="B118" i="1"/>
  <c r="C118" i="1"/>
  <c r="D118" i="1"/>
  <c r="B127" i="1"/>
  <c r="C127" i="1"/>
  <c r="B133" i="1"/>
  <c r="C133" i="1"/>
  <c r="E275" i="1"/>
  <c r="B142" i="1"/>
  <c r="C142" i="1"/>
  <c r="B149" i="1"/>
  <c r="C149" i="1"/>
  <c r="B156" i="1"/>
  <c r="C156" i="1"/>
  <c r="B161" i="1"/>
  <c r="C161" i="1"/>
  <c r="D161" i="1"/>
  <c r="B172" i="1"/>
  <c r="C172" i="1"/>
  <c r="B180" i="1"/>
  <c r="C180" i="1"/>
  <c r="B189" i="1"/>
  <c r="B204" i="1"/>
  <c r="B207" i="1" s="1"/>
  <c r="B209" i="1" s="1"/>
  <c r="D204" i="1"/>
  <c r="D207" i="1" s="1"/>
  <c r="D209" i="1" s="1"/>
  <c r="C204" i="1"/>
  <c r="C207" i="1" s="1"/>
  <c r="C209" i="1" s="1"/>
  <c r="B214" i="1"/>
  <c r="C214" i="1"/>
  <c r="B222" i="1"/>
  <c r="B233" i="1" s="1"/>
  <c r="C222" i="1"/>
  <c r="B243" i="1"/>
  <c r="C243" i="1"/>
  <c r="B260" i="1"/>
  <c r="B264" i="1" s="1"/>
  <c r="C260" i="1"/>
  <c r="C264" i="1" s="1"/>
  <c r="B270" i="1"/>
  <c r="C270" i="1"/>
  <c r="D270" i="1"/>
  <c r="E272" i="1"/>
  <c r="G272" i="1"/>
  <c r="E5" i="38" s="1"/>
  <c r="H5" i="38"/>
  <c r="E274" i="1"/>
  <c r="G274" i="1"/>
  <c r="G275" i="1"/>
  <c r="E276" i="1"/>
  <c r="G276" i="1"/>
  <c r="M6" i="55"/>
  <c r="S6" i="55"/>
  <c r="M7" i="55"/>
  <c r="Y7" i="55"/>
  <c r="AB7" i="55" s="1"/>
  <c r="AE7" i="55" s="1"/>
  <c r="M8" i="55"/>
  <c r="Y8" i="55"/>
  <c r="AB8" i="55" s="1"/>
  <c r="AE8" i="55" s="1"/>
  <c r="L9" i="55"/>
  <c r="M9" i="55"/>
  <c r="S9" i="55"/>
  <c r="Y9" i="55" s="1"/>
  <c r="AB9" i="55" s="1"/>
  <c r="AE9" i="55" s="1"/>
  <c r="B10" i="55"/>
  <c r="M10" i="55"/>
  <c r="Y10" i="55"/>
  <c r="AB10" i="55" s="1"/>
  <c r="AE10" i="55" s="1"/>
  <c r="M11" i="55"/>
  <c r="Y11" i="55"/>
  <c r="AB11" i="55" s="1"/>
  <c r="AE11" i="55" s="1"/>
  <c r="L12" i="55"/>
  <c r="M12" i="55"/>
  <c r="Y12" i="55"/>
  <c r="AB12" i="55" s="1"/>
  <c r="AE12" i="55" s="1"/>
  <c r="M13" i="55"/>
  <c r="Y13" i="55"/>
  <c r="AB13" i="55" s="1"/>
  <c r="AE13" i="55" s="1"/>
  <c r="M14" i="55"/>
  <c r="Y14" i="55"/>
  <c r="AB14" i="55" s="1"/>
  <c r="AE14" i="55" s="1"/>
  <c r="M15" i="55"/>
  <c r="Y15" i="55"/>
  <c r="AB15" i="55" s="1"/>
  <c r="AE15" i="55" s="1"/>
  <c r="M16" i="55"/>
  <c r="S16" i="55"/>
  <c r="Y16" i="55" s="1"/>
  <c r="AB16" i="55" s="1"/>
  <c r="AE16" i="55" s="1"/>
  <c r="M17" i="55"/>
  <c r="S17" i="55"/>
  <c r="Y17" i="55"/>
  <c r="AB17" i="55" s="1"/>
  <c r="AE17" i="55" s="1"/>
  <c r="M18" i="55"/>
  <c r="Y18" i="55"/>
  <c r="AB18" i="55" s="1"/>
  <c r="AE18" i="55" s="1"/>
  <c r="M19" i="55"/>
  <c r="Y19" i="55"/>
  <c r="AB19" i="55" s="1"/>
  <c r="AE19" i="55" s="1"/>
  <c r="M20" i="55"/>
  <c r="Y20" i="55"/>
  <c r="AB20" i="55" s="1"/>
  <c r="AE20" i="55" s="1"/>
  <c r="M21" i="55"/>
  <c r="Y21" i="55"/>
  <c r="AB21" i="55" s="1"/>
  <c r="AE21" i="55" s="1"/>
  <c r="M22" i="55"/>
  <c r="Y22" i="55"/>
  <c r="AB22" i="55" s="1"/>
  <c r="AE22" i="55" s="1"/>
  <c r="M24" i="55"/>
  <c r="Y24" i="55"/>
  <c r="AB24" i="55" s="1"/>
  <c r="AE24" i="55" s="1"/>
  <c r="L25" i="55"/>
  <c r="M25" i="55" s="1"/>
  <c r="S25" i="55"/>
  <c r="Y25" i="55"/>
  <c r="AB25" i="55" s="1"/>
  <c r="AE25" i="55" s="1"/>
  <c r="C26" i="55"/>
  <c r="C34" i="55" s="1"/>
  <c r="D26" i="55"/>
  <c r="D34" i="55" s="1"/>
  <c r="E26" i="55"/>
  <c r="F26" i="55"/>
  <c r="G26" i="55"/>
  <c r="H26" i="55"/>
  <c r="I26" i="55"/>
  <c r="J26" i="55"/>
  <c r="K26" i="55"/>
  <c r="L26" i="55"/>
  <c r="M26" i="55"/>
  <c r="W26" i="55"/>
  <c r="W30" i="55" s="1"/>
  <c r="W34" i="55" s="1"/>
  <c r="X26" i="55"/>
  <c r="X30" i="55"/>
  <c r="X34" i="55"/>
  <c r="U39" i="55"/>
  <c r="M28" i="55"/>
  <c r="Y28" i="55"/>
  <c r="AB28" i="55" s="1"/>
  <c r="F30" i="55"/>
  <c r="F34" i="55"/>
  <c r="G30" i="55"/>
  <c r="H30" i="55"/>
  <c r="I30" i="55"/>
  <c r="J30" i="55"/>
  <c r="K30" i="55"/>
  <c r="L30" i="55"/>
  <c r="M30" i="55"/>
  <c r="I32" i="55"/>
  <c r="L32" i="55"/>
  <c r="M32" i="55"/>
  <c r="B34" i="55"/>
  <c r="E34" i="55"/>
  <c r="G34" i="55"/>
  <c r="H34" i="55"/>
  <c r="I34" i="55"/>
  <c r="J34" i="55"/>
  <c r="K34" i="55"/>
  <c r="L34" i="55"/>
  <c r="M34" i="55"/>
  <c r="H9" i="38"/>
  <c r="H10" i="38"/>
  <c r="H11" i="38"/>
  <c r="H14" i="38"/>
  <c r="H18" i="38"/>
  <c r="E21" i="38"/>
  <c r="C26" i="38"/>
  <c r="D26" i="38"/>
  <c r="E26" i="38"/>
  <c r="G26" i="38"/>
  <c r="H26" i="38"/>
  <c r="C25" i="38"/>
  <c r="D25" i="38"/>
  <c r="E25" i="38"/>
  <c r="G25" i="38"/>
  <c r="H25" i="38"/>
  <c r="J27" i="38"/>
  <c r="C29" i="38"/>
  <c r="D29" i="38"/>
  <c r="E29" i="38"/>
  <c r="G29" i="38"/>
  <c r="H29" i="38"/>
  <c r="H37" i="38"/>
  <c r="F39" i="38"/>
  <c r="G39" i="38"/>
  <c r="H39" i="38"/>
  <c r="D21" i="38"/>
  <c r="C68" i="18"/>
  <c r="D68" i="18"/>
  <c r="C21" i="38"/>
  <c r="D35" i="5"/>
  <c r="Y32" i="55"/>
  <c r="AB32" i="55" s="1"/>
  <c r="V26" i="55"/>
  <c r="V30" i="55" s="1"/>
  <c r="V34" i="55" s="1"/>
  <c r="Y6" i="55"/>
  <c r="AB6" i="55" s="1"/>
  <c r="AE6" i="55" s="1"/>
  <c r="I21" i="38" l="1"/>
  <c r="B37" i="5"/>
  <c r="D37" i="5" s="1"/>
  <c r="B69" i="5"/>
  <c r="D69" i="5" s="1"/>
  <c r="D74" i="5" s="1"/>
  <c r="C31" i="18"/>
  <c r="G35" i="38"/>
  <c r="D33" i="18"/>
  <c r="D37" i="18" s="1"/>
  <c r="C33" i="18"/>
  <c r="C37" i="18" s="1"/>
  <c r="E6" i="38"/>
  <c r="D31" i="18"/>
  <c r="C6" i="38"/>
  <c r="B31" i="18"/>
  <c r="E19" i="50" s="1"/>
  <c r="I29" i="38"/>
  <c r="J25" i="38"/>
  <c r="F109" i="37"/>
  <c r="D37" i="38"/>
  <c r="J37" i="38" s="1"/>
  <c r="D18" i="38"/>
  <c r="J14" i="38"/>
  <c r="J11" i="38"/>
  <c r="D9" i="38"/>
  <c r="I9" i="38" s="1"/>
  <c r="D6" i="38"/>
  <c r="D56" i="5"/>
  <c r="B26" i="37"/>
  <c r="D26" i="37" s="1"/>
  <c r="AE26" i="55"/>
  <c r="AE30" i="55" s="1"/>
  <c r="AE34" i="55" s="1"/>
  <c r="B42" i="1"/>
  <c r="D42" i="1" s="1"/>
  <c r="J26" i="38"/>
  <c r="D32" i="2"/>
  <c r="D33" i="1"/>
  <c r="B75" i="1" s="1"/>
  <c r="B84" i="1" s="1"/>
  <c r="D84" i="1" s="1"/>
  <c r="D37" i="16"/>
  <c r="B45" i="16"/>
  <c r="D39" i="16"/>
  <c r="B46" i="16"/>
  <c r="D46" i="16" s="1"/>
  <c r="B68" i="16"/>
  <c r="D68" i="16" s="1"/>
  <c r="D9" i="16"/>
  <c r="D46" i="15"/>
  <c r="D66" i="5"/>
  <c r="D50" i="5"/>
  <c r="D20" i="5"/>
  <c r="D14" i="2"/>
  <c r="B23" i="2" s="1"/>
  <c r="D23" i="2" s="1"/>
  <c r="D63" i="1"/>
  <c r="D28" i="1"/>
  <c r="B43" i="1" s="1"/>
  <c r="D43" i="1" s="1"/>
  <c r="D17" i="1"/>
  <c r="B73" i="1" s="1"/>
  <c r="D80" i="5"/>
  <c r="D47" i="2"/>
  <c r="AB26" i="55"/>
  <c r="AB30" i="55" s="1"/>
  <c r="AB34" i="55" s="1"/>
  <c r="Y26" i="55"/>
  <c r="Y30" i="55" s="1"/>
  <c r="Y34" i="55" s="1"/>
  <c r="F146" i="5"/>
  <c r="J8" i="38"/>
  <c r="J19" i="38"/>
  <c r="J20" i="38"/>
  <c r="J32" i="38"/>
  <c r="C32" i="5"/>
  <c r="D32" i="5" s="1"/>
  <c r="D34" i="37"/>
  <c r="G109" i="37"/>
  <c r="G122" i="2"/>
  <c r="D53" i="37"/>
  <c r="D9" i="1"/>
  <c r="E109" i="37"/>
  <c r="E146" i="5"/>
  <c r="C5" i="38"/>
  <c r="C233" i="1"/>
  <c r="C35" i="38"/>
  <c r="B70" i="18"/>
  <c r="F35" i="38"/>
  <c r="F167" i="15"/>
  <c r="J15" i="38"/>
  <c r="G146" i="5"/>
  <c r="E122" i="2"/>
  <c r="F122" i="2"/>
  <c r="J13" i="38"/>
  <c r="D17" i="16"/>
  <c r="B36" i="16" s="1"/>
  <c r="B37" i="15"/>
  <c r="D37" i="15" s="1"/>
  <c r="B58" i="15"/>
  <c r="D58" i="15" s="1"/>
  <c r="D15" i="15"/>
  <c r="B56" i="15" s="1"/>
  <c r="D56" i="15" s="1"/>
  <c r="B55" i="15"/>
  <c r="D55" i="15" s="1"/>
  <c r="B28" i="15"/>
  <c r="D28" i="15" s="1"/>
  <c r="B35" i="15"/>
  <c r="D35" i="15" s="1"/>
  <c r="J17" i="38"/>
  <c r="J12" i="38"/>
  <c r="B17" i="2"/>
  <c r="J39" i="38"/>
  <c r="G277" i="1"/>
  <c r="B45" i="37"/>
  <c r="D45" i="37" s="1"/>
  <c r="D22" i="37"/>
  <c r="D40" i="1"/>
  <c r="D41" i="1"/>
  <c r="B50" i="1"/>
  <c r="D50" i="1" s="1"/>
  <c r="B66" i="15"/>
  <c r="D66" i="15" s="1"/>
  <c r="D68" i="15" s="1"/>
  <c r="D23" i="15"/>
  <c r="C15" i="17"/>
  <c r="E15" i="17" s="1"/>
  <c r="C12" i="17"/>
  <c r="E12" i="17" s="1"/>
  <c r="B43" i="37"/>
  <c r="B20" i="37"/>
  <c r="D20" i="37" s="1"/>
  <c r="F70" i="18"/>
  <c r="S26" i="55"/>
  <c r="S30" i="55" s="1"/>
  <c r="S34" i="55" s="1"/>
  <c r="D70" i="18"/>
  <c r="E68" i="18"/>
  <c r="E70" i="18" s="1"/>
  <c r="D29" i="16"/>
  <c r="B38" i="16" s="1"/>
  <c r="C70" i="18"/>
  <c r="D28" i="5"/>
  <c r="E164" i="15"/>
  <c r="B33" i="18" s="1"/>
  <c r="B21" i="37"/>
  <c r="D21" i="37" s="1"/>
  <c r="E277" i="1"/>
  <c r="H22" i="38"/>
  <c r="H30" i="38" s="1"/>
  <c r="H41" i="38" s="1"/>
  <c r="B43" i="5" l="1"/>
  <c r="D43" i="5" s="1"/>
  <c r="B44" i="5"/>
  <c r="D44" i="5"/>
  <c r="D45" i="5" s="1"/>
  <c r="I22" i="38"/>
  <c r="B44" i="1"/>
  <c r="D44" i="1" s="1"/>
  <c r="B41" i="2"/>
  <c r="D41" i="2" s="1"/>
  <c r="D42" i="2" s="1"/>
  <c r="J18" i="38"/>
  <c r="J9" i="38"/>
  <c r="J6" i="38"/>
  <c r="H19" i="50"/>
  <c r="B18" i="2"/>
  <c r="D18" i="2" s="1"/>
  <c r="D75" i="1"/>
  <c r="B36" i="5"/>
  <c r="D36" i="5" s="1"/>
  <c r="G22" i="38"/>
  <c r="G30" i="38" s="1"/>
  <c r="C36" i="1"/>
  <c r="D36" i="1" s="1"/>
  <c r="B54" i="1" s="1"/>
  <c r="D54" i="1" s="1"/>
  <c r="D36" i="16"/>
  <c r="B44" i="16"/>
  <c r="D45" i="16"/>
  <c r="B66" i="16"/>
  <c r="D66" i="16" s="1"/>
  <c r="B67" i="16"/>
  <c r="D67" i="16" s="1"/>
  <c r="D38" i="16"/>
  <c r="B43" i="16"/>
  <c r="D43" i="16" s="1"/>
  <c r="B35" i="16"/>
  <c r="D35" i="16" s="1"/>
  <c r="B64" i="16"/>
  <c r="D64" i="16" s="1"/>
  <c r="B70" i="5"/>
  <c r="D70" i="5" s="1"/>
  <c r="B73" i="5"/>
  <c r="D73" i="5" s="1"/>
  <c r="B74" i="1"/>
  <c r="D74" i="1" s="1"/>
  <c r="B53" i="1"/>
  <c r="D53" i="1" s="1"/>
  <c r="E35" i="38"/>
  <c r="B39" i="5"/>
  <c r="D39" i="5" s="1"/>
  <c r="J21" i="38"/>
  <c r="B80" i="1"/>
  <c r="D80" i="1" s="1"/>
  <c r="D85" i="1" s="1"/>
  <c r="B49" i="1"/>
  <c r="D49" i="1" s="1"/>
  <c r="B72" i="1"/>
  <c r="D72" i="1" s="1"/>
  <c r="B39" i="1"/>
  <c r="D39" i="1" s="1"/>
  <c r="C22" i="38"/>
  <c r="C30" i="38" s="1"/>
  <c r="C41" i="38" s="1"/>
  <c r="C56" i="38" s="1"/>
  <c r="B29" i="15"/>
  <c r="D29" i="15" s="1"/>
  <c r="B36" i="15"/>
  <c r="D36" i="15" s="1"/>
  <c r="D38" i="15" s="1"/>
  <c r="B51" i="1"/>
  <c r="D51" i="1" s="1"/>
  <c r="D17" i="2"/>
  <c r="B22" i="2"/>
  <c r="D22" i="2" s="1"/>
  <c r="D24" i="2" s="1"/>
  <c r="H56" i="38"/>
  <c r="E167" i="15"/>
  <c r="B37" i="18"/>
  <c r="B38" i="5"/>
  <c r="D38" i="5" s="1"/>
  <c r="B72" i="5"/>
  <c r="D72" i="5" s="1"/>
  <c r="F41" i="38"/>
  <c r="F19" i="50"/>
  <c r="B31" i="15"/>
  <c r="D31" i="15" s="1"/>
  <c r="B59" i="15"/>
  <c r="D59" i="15" s="1"/>
  <c r="D60" i="15" s="1"/>
  <c r="D23" i="37"/>
  <c r="D35" i="38"/>
  <c r="G41" i="38" l="1"/>
  <c r="G56" i="38" s="1"/>
  <c r="D19" i="2"/>
  <c r="J10" i="38"/>
  <c r="D40" i="5"/>
  <c r="B45" i="1"/>
  <c r="D45" i="1" s="1"/>
  <c r="D46" i="1" s="1"/>
  <c r="B76" i="1"/>
  <c r="D76" i="1" s="1"/>
  <c r="D77" i="1" s="1"/>
  <c r="D55" i="1"/>
  <c r="D40" i="16"/>
  <c r="D44" i="16"/>
  <c r="D47" i="16" s="1"/>
  <c r="B65" i="16"/>
  <c r="D69" i="16" s="1"/>
  <c r="C62" i="38"/>
  <c r="C69" i="38" s="1"/>
  <c r="J16" i="38"/>
  <c r="D32" i="15"/>
  <c r="F56" i="38"/>
  <c r="D22" i="38"/>
  <c r="I35" i="38"/>
  <c r="J35" i="38" s="1"/>
  <c r="G60" i="38" l="1"/>
  <c r="H59" i="38"/>
  <c r="D30" i="38"/>
  <c r="J5" i="38"/>
  <c r="D41" i="38" l="1"/>
  <c r="G19" i="50"/>
  <c r="D56" i="38" l="1"/>
  <c r="D62" i="38" s="1"/>
  <c r="E22" i="38" l="1"/>
  <c r="E30" i="38" l="1"/>
  <c r="E41" i="38" s="1"/>
  <c r="J7" i="38"/>
  <c r="I30" i="38" l="1"/>
  <c r="I41" i="38" s="1"/>
  <c r="J22" i="38"/>
  <c r="E56" i="38" l="1"/>
  <c r="J30" i="38"/>
  <c r="J41" i="38" l="1"/>
  <c r="I56" i="38"/>
</calcChain>
</file>

<file path=xl/comments1.xml><?xml version="1.0" encoding="utf-8"?>
<comments xmlns="http://schemas.openxmlformats.org/spreadsheetml/2006/main">
  <authors>
    <author>Tracy Doherty</author>
  </authors>
  <commentList>
    <comment ref="G57" authorId="0">
      <text>
        <r>
          <rPr>
            <b/>
            <sz val="9"/>
            <color indexed="81"/>
            <rFont val="Tahoma"/>
            <family val="2"/>
          </rPr>
          <t>Tracy Doherty:</t>
        </r>
        <r>
          <rPr>
            <sz val="9"/>
            <color indexed="81"/>
            <rFont val="Tahoma"/>
            <family val="2"/>
          </rPr>
          <t xml:space="preserve">
ordering more 
</t>
        </r>
      </text>
    </comment>
    <comment ref="H57" authorId="0">
      <text>
        <r>
          <rPr>
            <b/>
            <sz val="9"/>
            <color indexed="81"/>
            <rFont val="Tahoma"/>
            <family val="2"/>
          </rPr>
          <t>Tracy Doherty:</t>
        </r>
        <r>
          <rPr>
            <sz val="9"/>
            <color indexed="81"/>
            <rFont val="Tahoma"/>
            <family val="2"/>
          </rPr>
          <t xml:space="preserve">
ordering more 
</t>
        </r>
      </text>
    </comment>
    <comment ref="I57" authorId="0">
      <text>
        <r>
          <rPr>
            <b/>
            <sz val="9"/>
            <color indexed="81"/>
            <rFont val="Tahoma"/>
            <family val="2"/>
          </rPr>
          <t>Tracy Doherty:</t>
        </r>
        <r>
          <rPr>
            <sz val="9"/>
            <color indexed="81"/>
            <rFont val="Tahoma"/>
            <family val="2"/>
          </rPr>
          <t xml:space="preserve">
ordering more 
</t>
        </r>
      </text>
    </comment>
    <comment ref="J57" authorId="0">
      <text>
        <r>
          <rPr>
            <b/>
            <sz val="9"/>
            <color indexed="81"/>
            <rFont val="Tahoma"/>
            <family val="2"/>
          </rPr>
          <t>Tracy Doherty:</t>
        </r>
        <r>
          <rPr>
            <sz val="9"/>
            <color indexed="81"/>
            <rFont val="Tahoma"/>
            <family val="2"/>
          </rPr>
          <t xml:space="preserve">
ordering more 
</t>
        </r>
      </text>
    </comment>
    <comment ref="G66" authorId="0">
      <text>
        <r>
          <rPr>
            <b/>
            <sz val="9"/>
            <color indexed="81"/>
            <rFont val="Tahoma"/>
            <family val="2"/>
          </rPr>
          <t>Tracy Doherty:</t>
        </r>
        <r>
          <rPr>
            <sz val="9"/>
            <color indexed="81"/>
            <rFont val="Tahoma"/>
            <family val="2"/>
          </rPr>
          <t xml:space="preserve">
eliminated Mike's cell phone  rarely used</t>
        </r>
      </text>
    </comment>
    <comment ref="H66" authorId="0">
      <text>
        <r>
          <rPr>
            <b/>
            <sz val="9"/>
            <color indexed="81"/>
            <rFont val="Tahoma"/>
            <family val="2"/>
          </rPr>
          <t>Tracy Doherty:</t>
        </r>
        <r>
          <rPr>
            <sz val="9"/>
            <color indexed="81"/>
            <rFont val="Tahoma"/>
            <family val="2"/>
          </rPr>
          <t xml:space="preserve">
eliminated Mike's cell phone  rarely used</t>
        </r>
      </text>
    </comment>
    <comment ref="I66" authorId="0">
      <text>
        <r>
          <rPr>
            <b/>
            <sz val="9"/>
            <color indexed="81"/>
            <rFont val="Tahoma"/>
            <family val="2"/>
          </rPr>
          <t>Tracy Doherty:</t>
        </r>
        <r>
          <rPr>
            <sz val="9"/>
            <color indexed="81"/>
            <rFont val="Tahoma"/>
            <family val="2"/>
          </rPr>
          <t xml:space="preserve">
eliminated Mike's cell phone  rarely used</t>
        </r>
      </text>
    </comment>
    <comment ref="J66" authorId="0">
      <text>
        <r>
          <rPr>
            <b/>
            <sz val="9"/>
            <color indexed="81"/>
            <rFont val="Tahoma"/>
            <family val="2"/>
          </rPr>
          <t>Tracy Doherty:</t>
        </r>
        <r>
          <rPr>
            <sz val="9"/>
            <color indexed="81"/>
            <rFont val="Tahoma"/>
            <family val="2"/>
          </rPr>
          <t xml:space="preserve">
eliminated Mike's cell phone  rarely used</t>
        </r>
      </text>
    </comment>
    <comment ref="G86" authorId="0">
      <text>
        <r>
          <rPr>
            <b/>
            <sz val="9"/>
            <color indexed="81"/>
            <rFont val="Tahoma"/>
            <family val="2"/>
          </rPr>
          <t>Tracy Doherty:</t>
        </r>
        <r>
          <rPr>
            <sz val="9"/>
            <color indexed="81"/>
            <rFont val="Tahoma"/>
            <family val="2"/>
          </rPr>
          <t xml:space="preserve">
web hosting slight reduction</t>
        </r>
      </text>
    </comment>
    <comment ref="H86" authorId="0">
      <text>
        <r>
          <rPr>
            <b/>
            <sz val="9"/>
            <color indexed="81"/>
            <rFont val="Tahoma"/>
            <family val="2"/>
          </rPr>
          <t>Tracy Doherty:</t>
        </r>
        <r>
          <rPr>
            <sz val="9"/>
            <color indexed="81"/>
            <rFont val="Tahoma"/>
            <family val="2"/>
          </rPr>
          <t xml:space="preserve">
web hosting slight reduction</t>
        </r>
      </text>
    </comment>
    <comment ref="I86" authorId="0">
      <text>
        <r>
          <rPr>
            <b/>
            <sz val="9"/>
            <color indexed="81"/>
            <rFont val="Tahoma"/>
            <family val="2"/>
          </rPr>
          <t>Tracy Doherty:</t>
        </r>
        <r>
          <rPr>
            <sz val="9"/>
            <color indexed="81"/>
            <rFont val="Tahoma"/>
            <family val="2"/>
          </rPr>
          <t xml:space="preserve">
web hosting slight reduction</t>
        </r>
      </text>
    </comment>
    <comment ref="J86" authorId="0">
      <text>
        <r>
          <rPr>
            <b/>
            <sz val="9"/>
            <color indexed="81"/>
            <rFont val="Tahoma"/>
            <family val="2"/>
          </rPr>
          <t>Tracy Doherty:</t>
        </r>
        <r>
          <rPr>
            <sz val="9"/>
            <color indexed="81"/>
            <rFont val="Tahoma"/>
            <family val="2"/>
          </rPr>
          <t xml:space="preserve">
web hosting slight reduction</t>
        </r>
      </text>
    </comment>
    <comment ref="G93" authorId="0">
      <text>
        <r>
          <rPr>
            <b/>
            <sz val="9"/>
            <color indexed="81"/>
            <rFont val="Tahoma"/>
            <family val="2"/>
          </rPr>
          <t>Tracy Doherty:</t>
        </r>
        <r>
          <rPr>
            <sz val="9"/>
            <color indexed="81"/>
            <rFont val="Tahoma"/>
            <family val="2"/>
          </rPr>
          <t xml:space="preserve">
eliminate computer course  </t>
        </r>
      </text>
    </comment>
    <comment ref="H93" authorId="0">
      <text>
        <r>
          <rPr>
            <b/>
            <sz val="9"/>
            <color indexed="81"/>
            <rFont val="Tahoma"/>
            <family val="2"/>
          </rPr>
          <t>Tracy Doherty:</t>
        </r>
        <r>
          <rPr>
            <sz val="9"/>
            <color indexed="81"/>
            <rFont val="Tahoma"/>
            <family val="2"/>
          </rPr>
          <t xml:space="preserve">
eliminate computer course  </t>
        </r>
      </text>
    </comment>
    <comment ref="I93" authorId="0">
      <text>
        <r>
          <rPr>
            <b/>
            <sz val="9"/>
            <color indexed="81"/>
            <rFont val="Tahoma"/>
            <family val="2"/>
          </rPr>
          <t>Tracy Doherty:</t>
        </r>
        <r>
          <rPr>
            <sz val="9"/>
            <color indexed="81"/>
            <rFont val="Tahoma"/>
            <family val="2"/>
          </rPr>
          <t xml:space="preserve">
eliminate computer course  </t>
        </r>
      </text>
    </comment>
    <comment ref="J93" authorId="0">
      <text>
        <r>
          <rPr>
            <b/>
            <sz val="9"/>
            <color indexed="81"/>
            <rFont val="Tahoma"/>
            <family val="2"/>
          </rPr>
          <t>Tracy Doherty:</t>
        </r>
        <r>
          <rPr>
            <sz val="9"/>
            <color indexed="81"/>
            <rFont val="Tahoma"/>
            <family val="2"/>
          </rPr>
          <t xml:space="preserve">
eliminate computer course  </t>
        </r>
      </text>
    </comment>
    <comment ref="G100" authorId="0">
      <text>
        <r>
          <rPr>
            <b/>
            <sz val="9"/>
            <color indexed="81"/>
            <rFont val="Tahoma"/>
            <family val="2"/>
          </rPr>
          <t>Tracy Doherty:</t>
        </r>
        <r>
          <rPr>
            <sz val="9"/>
            <color indexed="81"/>
            <rFont val="Tahoma"/>
            <family val="2"/>
          </rPr>
          <t xml:space="preserve">
-new map vendor / conversion
-estimated increase   
first increase in 5yrs</t>
        </r>
      </text>
    </comment>
    <comment ref="H100" authorId="0">
      <text>
        <r>
          <rPr>
            <b/>
            <sz val="9"/>
            <color indexed="81"/>
            <rFont val="Tahoma"/>
            <family val="2"/>
          </rPr>
          <t>Tracy Doherty:</t>
        </r>
        <r>
          <rPr>
            <sz val="9"/>
            <color indexed="81"/>
            <rFont val="Tahoma"/>
            <family val="2"/>
          </rPr>
          <t xml:space="preserve">
-new map vendor / conversion
-estimated increase   
first increase in 5yrs</t>
        </r>
      </text>
    </comment>
    <comment ref="I100" authorId="0">
      <text>
        <r>
          <rPr>
            <b/>
            <sz val="9"/>
            <color indexed="81"/>
            <rFont val="Tahoma"/>
            <family val="2"/>
          </rPr>
          <t>Tracy Doherty:</t>
        </r>
        <r>
          <rPr>
            <sz val="9"/>
            <color indexed="81"/>
            <rFont val="Tahoma"/>
            <family val="2"/>
          </rPr>
          <t xml:space="preserve">
-new map vendor / conversion
-estimated increase   
first increase in 5yrs</t>
        </r>
      </text>
    </comment>
    <comment ref="J100" authorId="0">
      <text>
        <r>
          <rPr>
            <b/>
            <sz val="9"/>
            <color indexed="81"/>
            <rFont val="Tahoma"/>
            <family val="2"/>
          </rPr>
          <t>Tracy Doherty:</t>
        </r>
        <r>
          <rPr>
            <sz val="9"/>
            <color indexed="81"/>
            <rFont val="Tahoma"/>
            <family val="2"/>
          </rPr>
          <t xml:space="preserve">
-new map vendor / conversion
-estimated increase   
first increase in 5yrs</t>
        </r>
      </text>
    </comment>
  </commentList>
</comments>
</file>

<file path=xl/comments10.xml><?xml version="1.0" encoding="utf-8"?>
<comments xmlns="http://schemas.openxmlformats.org/spreadsheetml/2006/main">
  <authors>
    <author>Sarita Croce</author>
    <author>Kyle Fox</author>
  </authors>
  <commentList>
    <comment ref="G160" authorId="0">
      <text>
        <r>
          <rPr>
            <b/>
            <sz val="9"/>
            <color indexed="81"/>
            <rFont val="Tahoma"/>
            <family val="2"/>
          </rPr>
          <t>Sarita Croce:</t>
        </r>
        <r>
          <rPr>
            <sz val="9"/>
            <color indexed="81"/>
            <rFont val="Tahoma"/>
            <family val="2"/>
          </rPr>
          <t xml:space="preserve">
Our electrical usage increased by $20,000 in the first three months because of precipitation, DO upsets, and temperature issues.  The electrical usage over the last 5 years has been 386,873.  Therefore, I recommending that use $390,000</t>
        </r>
      </text>
    </comment>
    <comment ref="H160" authorId="0">
      <text>
        <r>
          <rPr>
            <b/>
            <sz val="9"/>
            <color indexed="81"/>
            <rFont val="Tahoma"/>
            <family val="2"/>
          </rPr>
          <t>Sarita Croce:</t>
        </r>
        <r>
          <rPr>
            <sz val="9"/>
            <color indexed="81"/>
            <rFont val="Tahoma"/>
            <family val="2"/>
          </rPr>
          <t xml:space="preserve">
Our electrical usage increased by $20,000 in the first three months because of precipitation, DO upsets, and temperature issues.  The electrical usage over the last 5 years has been 386,873.  Therefore, I recommending that use $390,000</t>
        </r>
      </text>
    </comment>
    <comment ref="I160" authorId="0">
      <text>
        <r>
          <rPr>
            <b/>
            <sz val="9"/>
            <color indexed="81"/>
            <rFont val="Tahoma"/>
            <family val="2"/>
          </rPr>
          <t>Sarita Croce:</t>
        </r>
        <r>
          <rPr>
            <sz val="9"/>
            <color indexed="81"/>
            <rFont val="Tahoma"/>
            <family val="2"/>
          </rPr>
          <t xml:space="preserve">
Our electrical usage increased by $20,000 in the first three months because of precipitation, DO upsets, and temperature issues.  The electrical usage over the last 5 years has been 386,873.  Therefore, I recommending that use $390,000</t>
        </r>
      </text>
    </comment>
    <comment ref="J160" authorId="0">
      <text>
        <r>
          <rPr>
            <b/>
            <sz val="9"/>
            <color indexed="81"/>
            <rFont val="Tahoma"/>
            <family val="2"/>
          </rPr>
          <t>Sarita Croce:</t>
        </r>
        <r>
          <rPr>
            <sz val="9"/>
            <color indexed="81"/>
            <rFont val="Tahoma"/>
            <family val="2"/>
          </rPr>
          <t xml:space="preserve">
Our electrical usage increased by $20,000 in the first three months because of precipitation, DO upsets, and temperature issues.  The electrical usage over the last 5 years has been 386,873.  Therefore, I recommending that use $390,000</t>
        </r>
      </text>
    </comment>
    <comment ref="D212" authorId="0">
      <text>
        <r>
          <rPr>
            <b/>
            <sz val="9"/>
            <color indexed="81"/>
            <rFont val="Tahoma"/>
            <family val="2"/>
          </rPr>
          <t>Sarita Croce:</t>
        </r>
        <r>
          <rPr>
            <sz val="9"/>
            <color indexed="81"/>
            <rFont val="Tahoma"/>
            <family val="2"/>
          </rPr>
          <t xml:space="preserve">
Env-A 700 has been revised to increase air emissions fees.  The estimated cost is $1500.</t>
        </r>
      </text>
    </comment>
    <comment ref="D215" authorId="0">
      <text>
        <r>
          <rPr>
            <b/>
            <sz val="9"/>
            <color indexed="81"/>
            <rFont val="Tahoma"/>
            <family val="2"/>
          </rPr>
          <t>Sarita Croce:</t>
        </r>
        <r>
          <rPr>
            <sz val="9"/>
            <color indexed="81"/>
            <rFont val="Tahoma"/>
            <family val="2"/>
          </rPr>
          <t xml:space="preserve">
Wastewater treatment plants that discharge to the Merrimack are working together to proactively address new permit limits for phosphorus, nitrogen, and other emerging contaminants. </t>
        </r>
      </text>
    </comment>
    <comment ref="F227" authorId="0">
      <text>
        <r>
          <rPr>
            <b/>
            <sz val="9"/>
            <color indexed="81"/>
            <rFont val="Tahoma"/>
            <family val="2"/>
          </rPr>
          <t>Sarita Croce:</t>
        </r>
        <r>
          <rPr>
            <sz val="9"/>
            <color indexed="81"/>
            <rFont val="Tahoma"/>
            <family val="2"/>
          </rPr>
          <t xml:space="preserve">
</t>
        </r>
      </text>
    </comment>
    <comment ref="G227" authorId="1">
      <text>
        <r>
          <rPr>
            <b/>
            <sz val="9"/>
            <color indexed="81"/>
            <rFont val="Tahoma"/>
            <family val="2"/>
          </rPr>
          <t>Kyle Fox:</t>
        </r>
        <r>
          <rPr>
            <sz val="9"/>
            <color indexed="81"/>
            <rFont val="Tahoma"/>
            <family val="2"/>
          </rPr>
          <t xml:space="preserve">
Increase for inflation and tariffs by 5%</t>
        </r>
      </text>
    </comment>
    <comment ref="H227" authorId="1">
      <text>
        <r>
          <rPr>
            <b/>
            <sz val="9"/>
            <color indexed="81"/>
            <rFont val="Tahoma"/>
            <family val="2"/>
          </rPr>
          <t>Kyle Fox:</t>
        </r>
        <r>
          <rPr>
            <sz val="9"/>
            <color indexed="81"/>
            <rFont val="Tahoma"/>
            <family val="2"/>
          </rPr>
          <t xml:space="preserve">
Increase for inflation and tariffs by 5%</t>
        </r>
      </text>
    </comment>
    <comment ref="I227" authorId="1">
      <text>
        <r>
          <rPr>
            <b/>
            <sz val="9"/>
            <color indexed="81"/>
            <rFont val="Tahoma"/>
            <family val="2"/>
          </rPr>
          <t>Kyle Fox:</t>
        </r>
        <r>
          <rPr>
            <sz val="9"/>
            <color indexed="81"/>
            <rFont val="Tahoma"/>
            <family val="2"/>
          </rPr>
          <t xml:space="preserve">
Increase for inflation and tariffs by 5%</t>
        </r>
      </text>
    </comment>
    <comment ref="J227" authorId="1">
      <text>
        <r>
          <rPr>
            <b/>
            <sz val="9"/>
            <color indexed="81"/>
            <rFont val="Tahoma"/>
            <family val="2"/>
          </rPr>
          <t>Kyle Fox:</t>
        </r>
        <r>
          <rPr>
            <sz val="9"/>
            <color indexed="81"/>
            <rFont val="Tahoma"/>
            <family val="2"/>
          </rPr>
          <t xml:space="preserve">
Increase for inflation and tariffs by 5%</t>
        </r>
      </text>
    </comment>
    <comment ref="G235" authorId="0">
      <text>
        <r>
          <rPr>
            <b/>
            <sz val="9"/>
            <color indexed="81"/>
            <rFont val="Tahoma"/>
            <family val="2"/>
          </rPr>
          <t>Sarita Croce:</t>
        </r>
        <r>
          <rPr>
            <sz val="9"/>
            <color indexed="81"/>
            <rFont val="Tahoma"/>
            <family val="2"/>
          </rPr>
          <t xml:space="preserve">
Increase for inflation and tariffs by 5%</t>
        </r>
      </text>
    </comment>
    <comment ref="H235" authorId="0">
      <text>
        <r>
          <rPr>
            <b/>
            <sz val="9"/>
            <color indexed="81"/>
            <rFont val="Tahoma"/>
            <family val="2"/>
          </rPr>
          <t>Sarita Croce:</t>
        </r>
        <r>
          <rPr>
            <sz val="9"/>
            <color indexed="81"/>
            <rFont val="Tahoma"/>
            <family val="2"/>
          </rPr>
          <t xml:space="preserve">
Increase for inflation and tariffs by 5%</t>
        </r>
      </text>
    </comment>
    <comment ref="I235" authorId="0">
      <text>
        <r>
          <rPr>
            <b/>
            <sz val="9"/>
            <color indexed="81"/>
            <rFont val="Tahoma"/>
            <family val="2"/>
          </rPr>
          <t>Sarita Croce:</t>
        </r>
        <r>
          <rPr>
            <sz val="9"/>
            <color indexed="81"/>
            <rFont val="Tahoma"/>
            <family val="2"/>
          </rPr>
          <t xml:space="preserve">
Increase for inflation and tariffs by 5%</t>
        </r>
      </text>
    </comment>
    <comment ref="J235" authorId="0">
      <text>
        <r>
          <rPr>
            <b/>
            <sz val="9"/>
            <color indexed="81"/>
            <rFont val="Tahoma"/>
            <family val="2"/>
          </rPr>
          <t>Sarita Croce:</t>
        </r>
        <r>
          <rPr>
            <sz val="9"/>
            <color indexed="81"/>
            <rFont val="Tahoma"/>
            <family val="2"/>
          </rPr>
          <t xml:space="preserve">
Increase for inflation and tariffs by 5%</t>
        </r>
      </text>
    </comment>
    <comment ref="D249" authorId="0">
      <text>
        <r>
          <rPr>
            <b/>
            <sz val="9"/>
            <color indexed="81"/>
            <rFont val="Tahoma"/>
            <family val="2"/>
          </rPr>
          <t>Sarita Croce:</t>
        </r>
        <r>
          <rPr>
            <sz val="9"/>
            <color indexed="81"/>
            <rFont val="Tahoma"/>
            <family val="2"/>
          </rPr>
          <t xml:space="preserve">
Having major issues with pump stations.  We have had mutilple issues with switch and VFD failures as well as wipe issues.</t>
        </r>
      </text>
    </comment>
    <comment ref="D252" authorId="0">
      <text>
        <r>
          <rPr>
            <b/>
            <sz val="9"/>
            <color indexed="81"/>
            <rFont val="Tahoma"/>
            <family val="2"/>
          </rPr>
          <t>Sarita Croce:</t>
        </r>
        <r>
          <rPr>
            <sz val="9"/>
            <color indexed="81"/>
            <rFont val="Tahoma"/>
            <family val="2"/>
          </rPr>
          <t xml:space="preserve">
Need to rebuilding the channel grinder in Thorntons Ferry.  It is expected to fail in the near future. </t>
        </r>
      </text>
    </comment>
    <comment ref="D253" authorId="0">
      <text>
        <r>
          <rPr>
            <b/>
            <sz val="9"/>
            <color indexed="81"/>
            <rFont val="Tahoma"/>
            <family val="2"/>
          </rPr>
          <t>Sarita Croce:</t>
        </r>
        <r>
          <rPr>
            <sz val="9"/>
            <color indexed="81"/>
            <rFont val="Tahoma"/>
            <family val="2"/>
          </rPr>
          <t xml:space="preserve">
One VFD cost $15,000.  A licensed electrician must install a VFD. </t>
        </r>
      </text>
    </comment>
    <comment ref="D256" authorId="0">
      <text>
        <r>
          <rPr>
            <b/>
            <sz val="9"/>
            <color indexed="81"/>
            <rFont val="Tahoma"/>
            <family val="2"/>
          </rPr>
          <t>Sarita Croce:</t>
        </r>
        <r>
          <rPr>
            <sz val="9"/>
            <color indexed="81"/>
            <rFont val="Tahoma"/>
            <family val="2"/>
          </rPr>
          <t xml:space="preserve">
One drum was purchased last year and received in 18/19.  The second drum also needs to be replaced because it is cracked in multiple locations
</t>
        </r>
      </text>
    </comment>
    <comment ref="D257" authorId="0">
      <text>
        <r>
          <rPr>
            <b/>
            <sz val="9"/>
            <color indexed="81"/>
            <rFont val="Tahoma"/>
            <family val="2"/>
          </rPr>
          <t>Sarita Croce:</t>
        </r>
        <r>
          <rPr>
            <sz val="9"/>
            <color indexed="81"/>
            <rFont val="Tahoma"/>
            <family val="2"/>
          </rPr>
          <t xml:space="preserve">
Actual cost this year for screw $21,000.  Maintain replacement screw on hand. </t>
        </r>
      </text>
    </comment>
    <comment ref="D258" authorId="0">
      <text>
        <r>
          <rPr>
            <b/>
            <sz val="9"/>
            <color indexed="81"/>
            <rFont val="Tahoma"/>
            <family val="2"/>
          </rPr>
          <t>Sarita Croce:</t>
        </r>
        <r>
          <rPr>
            <sz val="9"/>
            <color indexed="81"/>
            <rFont val="Tahoma"/>
            <family val="2"/>
          </rPr>
          <t xml:space="preserve">
Maintenance activity.  The cost to replace is $50K</t>
        </r>
      </text>
    </comment>
    <comment ref="D276" authorId="0">
      <text>
        <r>
          <rPr>
            <b/>
            <sz val="9"/>
            <color indexed="81"/>
            <rFont val="Tahoma"/>
            <family val="2"/>
          </rPr>
          <t>Sarita Croce:</t>
        </r>
        <r>
          <rPr>
            <sz val="9"/>
            <color indexed="81"/>
            <rFont val="Tahoma"/>
            <family val="2"/>
          </rPr>
          <t xml:space="preserve">
Additional services to negotiate permit.  </t>
        </r>
      </text>
    </comment>
    <comment ref="D277" authorId="0">
      <text>
        <r>
          <rPr>
            <b/>
            <sz val="9"/>
            <color indexed="81"/>
            <rFont val="Tahoma"/>
            <family val="2"/>
          </rPr>
          <t>Sarita Croce:</t>
        </r>
        <r>
          <rPr>
            <sz val="9"/>
            <color indexed="81"/>
            <rFont val="Tahoma"/>
            <family val="2"/>
          </rPr>
          <t xml:space="preserve">
Actual cost for next years services. </t>
        </r>
      </text>
    </comment>
  </commentList>
</comments>
</file>

<file path=xl/comments2.xml><?xml version="1.0" encoding="utf-8"?>
<comments xmlns="http://schemas.openxmlformats.org/spreadsheetml/2006/main">
  <authors>
    <author>Mike Currier</author>
  </authors>
  <commentList>
    <comment ref="A68" authorId="0">
      <text>
        <r>
          <rPr>
            <b/>
            <sz val="9"/>
            <color indexed="81"/>
            <rFont val="Tahoma"/>
            <family val="2"/>
          </rPr>
          <t>Mike Currier:</t>
        </r>
        <r>
          <rPr>
            <sz val="9"/>
            <color indexed="81"/>
            <rFont val="Tahoma"/>
            <family val="2"/>
          </rPr>
          <t xml:space="preserve">
This traiing was added years ago for the firefighters, unknown why is was not here for officers who are the instructors for the programs</t>
        </r>
      </text>
    </comment>
    <comment ref="A69" authorId="0">
      <text>
        <r>
          <rPr>
            <b/>
            <sz val="9"/>
            <color indexed="81"/>
            <rFont val="Tahoma"/>
            <family val="2"/>
          </rPr>
          <t>Mike Currier:</t>
        </r>
        <r>
          <rPr>
            <sz val="9"/>
            <color indexed="81"/>
            <rFont val="Tahoma"/>
            <family val="2"/>
          </rPr>
          <t xml:space="preserve">
We now have Paramedic Officers so we had to add the required training to the Officer OT  (4 paramedics X 24 hours)</t>
        </r>
      </text>
    </comment>
    <comment ref="A70" authorId="0">
      <text>
        <r>
          <rPr>
            <b/>
            <sz val="9"/>
            <color indexed="81"/>
            <rFont val="Tahoma"/>
            <family val="2"/>
          </rPr>
          <t>Mike Currier:</t>
        </r>
        <r>
          <rPr>
            <sz val="9"/>
            <color indexed="81"/>
            <rFont val="Tahoma"/>
            <family val="2"/>
          </rPr>
          <t xml:space="preserve">
We have currently 1 Advanced EMT Officer and had to add the required training to the OT (1 AEMT x 24)</t>
        </r>
      </text>
    </comment>
    <comment ref="A71" authorId="0">
      <text>
        <r>
          <rPr>
            <b/>
            <sz val="9"/>
            <color indexed="81"/>
            <rFont val="Tahoma"/>
            <family val="2"/>
          </rPr>
          <t>Mike Currier:</t>
        </r>
        <r>
          <rPr>
            <sz val="9"/>
            <color indexed="81"/>
            <rFont val="Tahoma"/>
            <family val="2"/>
          </rPr>
          <t xml:space="preserve">
We currently have three EMT Officers and this is the requred training lin for OT (3 EMT x 24 hours)</t>
        </r>
      </text>
    </comment>
    <comment ref="A78" authorId="0">
      <text>
        <r>
          <rPr>
            <b/>
            <sz val="9"/>
            <color indexed="81"/>
            <rFont val="Tahoma"/>
            <family val="2"/>
          </rPr>
          <t>Mike Currier:</t>
        </r>
        <r>
          <rPr>
            <sz val="9"/>
            <color indexed="81"/>
            <rFont val="Tahoma"/>
            <family val="2"/>
          </rPr>
          <t xml:space="preserve">
This is a request to pay our part time EMS employees based on their certifications.  We are currently competing with other services (AMR, Amherst, Milford, Hollis, etc.) for these part time people and because they are offering more pay we keep training the people and losing them to other services.  Part time people go where the money is offered.  We currently pay all EMS part time $16.00 per hour; I have proposed the change indicated within this budget.  If this passes we most likely will have to adjust position requirements etc</t>
        </r>
      </text>
    </comment>
    <comment ref="A100" authorId="0">
      <text>
        <r>
          <rPr>
            <b/>
            <sz val="9"/>
            <color indexed="81"/>
            <rFont val="Tahoma"/>
            <family val="2"/>
          </rPr>
          <t>Mike Currier:</t>
        </r>
        <r>
          <rPr>
            <sz val="9"/>
            <color indexed="81"/>
            <rFont val="Tahoma"/>
            <family val="2"/>
          </rPr>
          <t xml:space="preserve">
Shift Training, 7 firefighter/EMT x 6 training hours = 42      hours, 4 shifts = 168 hours</t>
        </r>
      </text>
    </comment>
    <comment ref="A104" authorId="0">
      <text>
        <r>
          <rPr>
            <b/>
            <sz val="9"/>
            <color indexed="81"/>
            <rFont val="Tahoma"/>
            <family val="2"/>
          </rPr>
          <t>Mike Currier:</t>
        </r>
        <r>
          <rPr>
            <sz val="9"/>
            <color indexed="81"/>
            <rFont val="Tahoma"/>
            <family val="2"/>
          </rPr>
          <t xml:space="preserve">
Eliminated the 80 hours here and added the training above to line ite 104</t>
        </r>
      </text>
    </comment>
    <comment ref="A185" authorId="0">
      <text>
        <r>
          <rPr>
            <b/>
            <sz val="9"/>
            <color indexed="81"/>
            <rFont val="Tahoma"/>
            <family val="2"/>
          </rPr>
          <t>Mike Currier:</t>
        </r>
        <r>
          <rPr>
            <sz val="9"/>
            <color indexed="81"/>
            <rFont val="Tahoma"/>
            <family val="2"/>
          </rPr>
          <t xml:space="preserve">
Advanced life support equipment for ambulances, these items are not replaced by the hospital and our usage continues to increase</t>
        </r>
      </text>
    </comment>
    <comment ref="A189" authorId="0">
      <text>
        <r>
          <rPr>
            <b/>
            <sz val="9"/>
            <color indexed="81"/>
            <rFont val="Tahoma"/>
            <family val="2"/>
          </rPr>
          <t>Mike Currier:</t>
        </r>
        <r>
          <rPr>
            <sz val="9"/>
            <color indexed="81"/>
            <rFont val="Tahoma"/>
            <family val="2"/>
          </rPr>
          <t xml:space="preserve">
This is IV tubbing for the State of NH Emergency Medical Protocols and the diferent tubing is designed for specific medications for patient treatment.</t>
        </r>
      </text>
    </comment>
    <comment ref="A199" authorId="0">
      <text>
        <r>
          <rPr>
            <b/>
            <sz val="9"/>
            <color indexed="81"/>
            <rFont val="Tahoma"/>
            <family val="2"/>
          </rPr>
          <t>Mike Currier:</t>
        </r>
        <r>
          <rPr>
            <sz val="9"/>
            <color indexed="81"/>
            <rFont val="Tahoma"/>
            <family val="2"/>
          </rPr>
          <t xml:space="preserve">
Including the 4 lieutenants if we are able to have shift supervisors in vehicles.</t>
        </r>
      </text>
    </comment>
    <comment ref="A294" authorId="0">
      <text>
        <r>
          <rPr>
            <b/>
            <sz val="9"/>
            <color indexed="81"/>
            <rFont val="Tahoma"/>
            <family val="2"/>
          </rPr>
          <t>Mike Currier:</t>
        </r>
        <r>
          <rPr>
            <sz val="9"/>
            <color indexed="81"/>
            <rFont val="Tahoma"/>
            <family val="2"/>
          </rPr>
          <t xml:space="preserve">
Plowing for Station 1, station 2 and Station 3 during storms, after storms we can clean up the parking lost for the staions.</t>
        </r>
      </text>
    </comment>
    <comment ref="A316" authorId="0">
      <text>
        <r>
          <rPr>
            <b/>
            <sz val="9"/>
            <color indexed="81"/>
            <rFont val="Tahoma"/>
            <family val="2"/>
          </rPr>
          <t>Mike Currier:</t>
        </r>
        <r>
          <rPr>
            <sz val="9"/>
            <color indexed="81"/>
            <rFont val="Tahoma"/>
            <family val="2"/>
          </rPr>
          <t xml:space="preserve">
Engine 4 is currently in good shape mechanical, it is however showing signs of bubbling paint and wear areas which will turn into a very bad rusting situation unless addressed.  This vehicle is slated to be with us for another 8 to 10 years so contunued maintenance on the body of the vehicle is needed to make sure it lasts for the needed period of time.  We are watching the fleet for this type of possible corrosion to make sure we get the needed life span out of all our apparatus.</t>
        </r>
      </text>
    </comment>
    <comment ref="A324" authorId="0">
      <text>
        <r>
          <rPr>
            <b/>
            <sz val="9"/>
            <color indexed="81"/>
            <rFont val="Tahoma"/>
            <family val="2"/>
          </rPr>
          <t>Mike Currier:</t>
        </r>
        <r>
          <rPr>
            <sz val="9"/>
            <color indexed="81"/>
            <rFont val="Tahoma"/>
            <family val="2"/>
          </rPr>
          <t xml:space="preserve">
This line item has been removed as it is covered in another line item within the budget.  (No longer needed)</t>
        </r>
      </text>
    </comment>
    <comment ref="A347" authorId="0">
      <text>
        <r>
          <rPr>
            <b/>
            <sz val="9"/>
            <color indexed="81"/>
            <rFont val="Tahoma"/>
            <family val="2"/>
          </rPr>
          <t>Mike Currier:</t>
        </r>
        <r>
          <rPr>
            <sz val="9"/>
            <color indexed="81"/>
            <rFont val="Tahoma"/>
            <family val="2"/>
          </rPr>
          <t xml:space="preserve">
Three new IV pumps were orded to meet the updated emergency medical protocols for advanced life support.  These pumps replaced units that were over 15 years old that did not have the technology to meet the new treatment protocols.  This is the annual service contract for maintenance and software updates.  We currently have one unit on each ambulance, three total.</t>
        </r>
      </text>
    </comment>
    <comment ref="A357" authorId="0">
      <text>
        <r>
          <rPr>
            <b/>
            <sz val="9"/>
            <color indexed="81"/>
            <rFont val="Tahoma"/>
            <family val="2"/>
          </rPr>
          <t>Mike Currier:</t>
        </r>
        <r>
          <rPr>
            <sz val="9"/>
            <color indexed="81"/>
            <rFont val="Tahoma"/>
            <family val="2"/>
          </rPr>
          <t xml:space="preserve">
This is educational material for paramedics covering training requirements for Advanced Cardiac Life Support (ACLS) and Pediatric Advanced Life Support (PALS) continuing education.  We have added additional Paramedics so this line item increases.</t>
        </r>
      </text>
    </comment>
    <comment ref="A364" authorId="0">
      <text>
        <r>
          <rPr>
            <b/>
            <sz val="9"/>
            <color indexed="81"/>
            <rFont val="Tahoma"/>
            <family val="2"/>
          </rPr>
          <t>Mike Currier:</t>
        </r>
        <r>
          <rPr>
            <sz val="9"/>
            <color indexed="81"/>
            <rFont val="Tahoma"/>
            <family val="2"/>
          </rPr>
          <t xml:space="preserve">
This is an increase in in education and training to keep up with the increase cost of the programs attended.</t>
        </r>
      </text>
    </comment>
    <comment ref="A368" authorId="0">
      <text>
        <r>
          <rPr>
            <b/>
            <sz val="9"/>
            <color indexed="81"/>
            <rFont val="Tahoma"/>
            <family val="2"/>
          </rPr>
          <t>Mike Currier:</t>
        </r>
        <r>
          <rPr>
            <sz val="9"/>
            <color indexed="81"/>
            <rFont val="Tahoma"/>
            <family val="2"/>
          </rPr>
          <t xml:space="preserve">
Increase in the NFPA Fire Code subscription service in which we suscribe, there has not been an increase in many years so it was due.</t>
        </r>
      </text>
    </comment>
    <comment ref="A379" authorId="0">
      <text>
        <r>
          <rPr>
            <b/>
            <sz val="9"/>
            <color indexed="81"/>
            <rFont val="Tahoma"/>
            <family val="2"/>
          </rPr>
          <t>Mike Currier:</t>
        </r>
        <r>
          <rPr>
            <sz val="9"/>
            <color indexed="81"/>
            <rFont val="Tahoma"/>
            <family val="2"/>
          </rPr>
          <t xml:space="preserve">
Due to the increase in viruses, Communicable diseases that we are now responding to we have added along with respirator fit testing for our Self Contained Breathing Apparatus (SCBA) the addition of the N95 filter masks to the program to ensure compliance with OSHA/EPA exposure testing for Respiratory Protection</t>
        </r>
      </text>
    </comment>
    <comment ref="A388" authorId="0">
      <text>
        <r>
          <rPr>
            <b/>
            <sz val="9"/>
            <color indexed="81"/>
            <rFont val="Tahoma"/>
            <family val="2"/>
          </rPr>
          <t>Mike Currier:</t>
        </r>
        <r>
          <rPr>
            <sz val="9"/>
            <color indexed="81"/>
            <rFont val="Tahoma"/>
            <family val="2"/>
          </rPr>
          <t xml:space="preserve">
Our current containment pools of Hydrocarbon spills after years of usage are no longer salvageable and in need of replacement.  These containment pools are used for ruptured on leaking gasoline tanks (vehicles) and leaking or damaged diesel fuel tanks in tractor trailers (among other usages) to prevent these hazardous materials from entering the environment contaminating the ground</t>
        </r>
      </text>
    </comment>
    <comment ref="A394" authorId="0">
      <text>
        <r>
          <rPr>
            <b/>
            <sz val="9"/>
            <color indexed="81"/>
            <rFont val="Tahoma"/>
            <family val="2"/>
          </rPr>
          <t>Mike Currier:</t>
        </r>
        <r>
          <rPr>
            <sz val="9"/>
            <color indexed="81"/>
            <rFont val="Tahoma"/>
            <family val="2"/>
          </rPr>
          <t xml:space="preserve">
Addition of AMKUS vehicle extrication RAM sets for rescuing people from entrapment at motor vehicle accidents.  We currently do not have the needed units that would have assisted us at motor vehicle collisions.</t>
        </r>
      </text>
    </comment>
    <comment ref="A407" authorId="0">
      <text>
        <r>
          <rPr>
            <b/>
            <sz val="9"/>
            <color indexed="81"/>
            <rFont val="Tahoma"/>
            <family val="2"/>
          </rPr>
          <t>Mike Currier:</t>
        </r>
        <r>
          <rPr>
            <sz val="9"/>
            <color indexed="81"/>
            <rFont val="Tahoma"/>
            <family val="2"/>
          </rPr>
          <t xml:space="preserve">
Building Maintenance</t>
        </r>
      </text>
    </comment>
    <comment ref="A408" authorId="0">
      <text>
        <r>
          <rPr>
            <b/>
            <sz val="9"/>
            <color indexed="81"/>
            <rFont val="Tahoma"/>
            <family val="2"/>
          </rPr>
          <t>Mike Currier:</t>
        </r>
        <r>
          <rPr>
            <sz val="9"/>
            <color indexed="81"/>
            <rFont val="Tahoma"/>
            <family val="2"/>
          </rPr>
          <t xml:space="preserve">
SAFETY; add additional lighting throughout the stations that would allow for low light conditions for personnel traveling through the station to the apparatus for emergency calls.</t>
        </r>
      </text>
    </comment>
    <comment ref="A409" authorId="0">
      <text>
        <r>
          <rPr>
            <b/>
            <sz val="9"/>
            <color indexed="81"/>
            <rFont val="Tahoma"/>
            <family val="2"/>
          </rPr>
          <t>Mike Currier:</t>
        </r>
        <r>
          <rPr>
            <sz val="9"/>
            <color indexed="81"/>
            <rFont val="Tahoma"/>
            <family val="2"/>
          </rPr>
          <t xml:space="preserve">
Currently in very poor condition (many pot holes) which can cause damage to responding apparatus.  </t>
        </r>
      </text>
    </comment>
    <comment ref="A410" authorId="0">
      <text>
        <r>
          <rPr>
            <b/>
            <sz val="9"/>
            <color indexed="81"/>
            <rFont val="Tahoma"/>
            <family val="2"/>
          </rPr>
          <t>Mike Currier:</t>
        </r>
        <r>
          <rPr>
            <sz val="9"/>
            <color indexed="81"/>
            <rFont val="Tahoma"/>
            <family val="2"/>
          </rPr>
          <t xml:space="preserve">
Station 2 currently does not have signage identifying it as a fire station.  The last sign was very old and fell off of the building.</t>
        </r>
      </text>
    </comment>
    <comment ref="A411" authorId="0">
      <text>
        <r>
          <rPr>
            <b/>
            <sz val="9"/>
            <color indexed="81"/>
            <rFont val="Tahoma"/>
            <family val="2"/>
          </rPr>
          <t>Mike Currier:</t>
        </r>
        <r>
          <rPr>
            <sz val="9"/>
            <color indexed="81"/>
            <rFont val="Tahoma"/>
            <family val="2"/>
          </rPr>
          <t xml:space="preserve">
In major need of repair.</t>
        </r>
      </text>
    </comment>
    <comment ref="A412" authorId="0">
      <text>
        <r>
          <rPr>
            <b/>
            <sz val="9"/>
            <color indexed="81"/>
            <rFont val="Tahoma"/>
            <family val="2"/>
          </rPr>
          <t>Mike Currier:</t>
        </r>
        <r>
          <rPr>
            <sz val="9"/>
            <color indexed="81"/>
            <rFont val="Tahoma"/>
            <family val="2"/>
          </rPr>
          <t xml:space="preserve">
Continuing the security access to the building </t>
        </r>
      </text>
    </comment>
    <comment ref="A429" authorId="0">
      <text>
        <r>
          <rPr>
            <b/>
            <sz val="9"/>
            <color indexed="81"/>
            <rFont val="Tahoma"/>
            <family val="2"/>
          </rPr>
          <t>Mike Currier:</t>
        </r>
        <r>
          <rPr>
            <sz val="9"/>
            <color indexed="81"/>
            <rFont val="Tahoma"/>
            <family val="2"/>
          </rPr>
          <t xml:space="preserve">
SAFETY; LED lights that are attached to the tip of ladders allowing personnel to find a window in smoke conditions and also identify the roof edge to prevent falls for roof operations at night.</t>
        </r>
      </text>
    </comment>
    <comment ref="A430" authorId="0">
      <text>
        <r>
          <rPr>
            <b/>
            <sz val="9"/>
            <color indexed="81"/>
            <rFont val="Tahoma"/>
            <family val="2"/>
          </rPr>
          <t>Mike Currier:</t>
        </r>
        <r>
          <rPr>
            <sz val="9"/>
            <color indexed="81"/>
            <rFont val="Tahoma"/>
            <family val="2"/>
          </rPr>
          <t xml:space="preserve">
Due to the increase in virus Communicable diseases that we are now responding to the industry has developed UV Light Emitters that kill these biological hazards.  The lights are portable and are placed in the ambulance (or apparatus) for a period of time destroying these biological hazards protecting our personnel</t>
        </r>
      </text>
    </comment>
  </commentList>
</comments>
</file>

<file path=xl/comments3.xml><?xml version="1.0" encoding="utf-8"?>
<comments xmlns="http://schemas.openxmlformats.org/spreadsheetml/2006/main">
  <authors>
    <author>Denise Roy</author>
  </authors>
  <commentList>
    <comment ref="D69" authorId="0">
      <text>
        <r>
          <rPr>
            <b/>
            <sz val="9"/>
            <color indexed="81"/>
            <rFont val="Tahoma"/>
            <family val="2"/>
          </rPr>
          <t>Denise Roy:</t>
        </r>
        <r>
          <rPr>
            <sz val="9"/>
            <color indexed="81"/>
            <rFont val="Tahoma"/>
            <family val="2"/>
          </rPr>
          <t xml:space="preserve">
Added $5,000.00 for supervisory coverage</t>
        </r>
      </text>
    </comment>
    <comment ref="C75" authorId="0">
      <text>
        <r>
          <rPr>
            <b/>
            <sz val="9"/>
            <color indexed="81"/>
            <rFont val="Tahoma"/>
            <family val="2"/>
          </rPr>
          <t>Denise Roy:</t>
        </r>
        <r>
          <rPr>
            <sz val="9"/>
            <color indexed="81"/>
            <rFont val="Tahoma"/>
            <family val="2"/>
          </rPr>
          <t xml:space="preserve">
Added .52 cents ($17.00)</t>
        </r>
      </text>
    </comment>
    <comment ref="C76" authorId="0">
      <text>
        <r>
          <rPr>
            <b/>
            <sz val="9"/>
            <color indexed="81"/>
            <rFont val="Tahoma"/>
            <family val="2"/>
          </rPr>
          <t>Denise Roy:</t>
        </r>
        <r>
          <rPr>
            <sz val="9"/>
            <color indexed="81"/>
            <rFont val="Tahoma"/>
            <family val="2"/>
          </rPr>
          <t xml:space="preserve">
Added .52 cents</t>
        </r>
      </text>
    </comment>
    <comment ref="A81" authorId="0">
      <text>
        <r>
          <rPr>
            <b/>
            <sz val="9"/>
            <color indexed="81"/>
            <rFont val="Tahoma"/>
            <family val="2"/>
          </rPr>
          <t>Denise Roy:</t>
        </r>
        <r>
          <rPr>
            <sz val="9"/>
            <color indexed="81"/>
            <rFont val="Tahoma"/>
            <family val="2"/>
          </rPr>
          <t xml:space="preserve">
SIU</t>
        </r>
      </text>
    </comment>
    <comment ref="D81" authorId="0">
      <text>
        <r>
          <rPr>
            <b/>
            <sz val="9"/>
            <color indexed="81"/>
            <rFont val="Tahoma"/>
            <family val="2"/>
          </rPr>
          <t>Denise Roy:</t>
        </r>
        <r>
          <rPr>
            <sz val="9"/>
            <color indexed="81"/>
            <rFont val="Tahoma"/>
            <family val="2"/>
          </rPr>
          <t xml:space="preserve">
Decrease to $10,000.00</t>
        </r>
      </text>
    </comment>
    <comment ref="A154" authorId="0">
      <text>
        <r>
          <rPr>
            <b/>
            <sz val="9"/>
            <color indexed="81"/>
            <rFont val="Tahoma"/>
            <family val="2"/>
          </rPr>
          <t>Denise Roy:</t>
        </r>
        <r>
          <rPr>
            <sz val="9"/>
            <color indexed="81"/>
            <rFont val="Tahoma"/>
            <family val="2"/>
          </rPr>
          <t xml:space="preserve">
New</t>
        </r>
      </text>
    </comment>
    <comment ref="D154" authorId="0">
      <text>
        <r>
          <rPr>
            <b/>
            <sz val="9"/>
            <color indexed="81"/>
            <rFont val="Tahoma"/>
            <family val="2"/>
          </rPr>
          <t>Denise Roy:</t>
        </r>
        <r>
          <rPr>
            <sz val="9"/>
            <color indexed="81"/>
            <rFont val="Tahoma"/>
            <family val="2"/>
          </rPr>
          <t xml:space="preserve">
New Officers</t>
        </r>
      </text>
    </comment>
    <comment ref="B171" authorId="0">
      <text>
        <r>
          <rPr>
            <b/>
            <sz val="9"/>
            <color indexed="81"/>
            <rFont val="Tahoma"/>
            <family val="2"/>
          </rPr>
          <t>Denise Roy:</t>
        </r>
        <r>
          <rPr>
            <sz val="9"/>
            <color indexed="81"/>
            <rFont val="Tahoma"/>
            <family val="2"/>
          </rPr>
          <t xml:space="preserve">
Changed to 2</t>
        </r>
      </text>
    </comment>
    <comment ref="C171" authorId="0">
      <text>
        <r>
          <rPr>
            <b/>
            <sz val="9"/>
            <color indexed="81"/>
            <rFont val="Tahoma"/>
            <family val="2"/>
          </rPr>
          <t>Denise Roy:</t>
        </r>
        <r>
          <rPr>
            <sz val="9"/>
            <color indexed="81"/>
            <rFont val="Tahoma"/>
            <family val="2"/>
          </rPr>
          <t xml:space="preserve">
Added $900</t>
        </r>
      </text>
    </comment>
    <comment ref="B177" authorId="0">
      <text>
        <r>
          <rPr>
            <b/>
            <sz val="9"/>
            <color indexed="81"/>
            <rFont val="Tahoma"/>
            <family val="2"/>
          </rPr>
          <t>Denise Roy:</t>
        </r>
        <r>
          <rPr>
            <sz val="9"/>
            <color indexed="81"/>
            <rFont val="Tahoma"/>
            <family val="2"/>
          </rPr>
          <t xml:space="preserve">
Decrease to 6</t>
        </r>
      </text>
    </comment>
    <comment ref="D177" authorId="0">
      <text>
        <r>
          <rPr>
            <b/>
            <sz val="9"/>
            <color indexed="81"/>
            <rFont val="Tahoma"/>
            <family val="2"/>
          </rPr>
          <t>Denise Roy:</t>
        </r>
        <r>
          <rPr>
            <sz val="9"/>
            <color indexed="81"/>
            <rFont val="Tahoma"/>
            <family val="2"/>
          </rPr>
          <t xml:space="preserve">
Decrease -  deduct $900</t>
        </r>
      </text>
    </comment>
    <comment ref="A212" authorId="0">
      <text>
        <r>
          <rPr>
            <b/>
            <sz val="9"/>
            <color indexed="81"/>
            <rFont val="Tahoma"/>
            <family val="2"/>
          </rPr>
          <t>Denise Roy:</t>
        </r>
        <r>
          <rPr>
            <sz val="9"/>
            <color indexed="81"/>
            <rFont val="Tahoma"/>
            <family val="2"/>
          </rPr>
          <t xml:space="preserve">
Add Deputy Chief</t>
        </r>
      </text>
    </comment>
    <comment ref="D212" authorId="0">
      <text>
        <r>
          <rPr>
            <b/>
            <sz val="9"/>
            <color indexed="81"/>
            <rFont val="Tahoma"/>
            <family val="2"/>
          </rPr>
          <t>Denise Roy:</t>
        </r>
        <r>
          <rPr>
            <sz val="9"/>
            <color indexed="81"/>
            <rFont val="Tahoma"/>
            <family val="2"/>
          </rPr>
          <t xml:space="preserve">
Added $400.00</t>
        </r>
      </text>
    </comment>
    <comment ref="A218" authorId="0">
      <text>
        <r>
          <rPr>
            <b/>
            <sz val="9"/>
            <color indexed="81"/>
            <rFont val="Tahoma"/>
            <family val="2"/>
          </rPr>
          <t>Denise Roy:</t>
        </r>
        <r>
          <rPr>
            <sz val="9"/>
            <color indexed="81"/>
            <rFont val="Tahoma"/>
            <family val="2"/>
          </rPr>
          <t xml:space="preserve">
Add new line</t>
        </r>
      </text>
    </comment>
    <comment ref="D218" authorId="0">
      <text>
        <r>
          <rPr>
            <b/>
            <sz val="9"/>
            <color indexed="81"/>
            <rFont val="Tahoma"/>
            <family val="2"/>
          </rPr>
          <t>Denise Roy:</t>
        </r>
        <r>
          <rPr>
            <sz val="9"/>
            <color indexed="81"/>
            <rFont val="Tahoma"/>
            <family val="2"/>
          </rPr>
          <t xml:space="preserve">
Add $1,500 for fee</t>
        </r>
      </text>
    </comment>
    <comment ref="D227" authorId="0">
      <text>
        <r>
          <rPr>
            <b/>
            <sz val="9"/>
            <color indexed="81"/>
            <rFont val="Tahoma"/>
            <family val="2"/>
          </rPr>
          <t>Denise Roy:</t>
        </r>
        <r>
          <rPr>
            <sz val="9"/>
            <color indexed="81"/>
            <rFont val="Tahoma"/>
            <family val="2"/>
          </rPr>
          <t xml:space="preserve">
Added $2,500.00</t>
        </r>
      </text>
    </comment>
    <comment ref="A236" authorId="0">
      <text>
        <r>
          <rPr>
            <b/>
            <sz val="9"/>
            <color indexed="81"/>
            <rFont val="Tahoma"/>
            <family val="2"/>
          </rPr>
          <t>Denise Roy:</t>
        </r>
        <r>
          <rPr>
            <sz val="9"/>
            <color indexed="81"/>
            <rFont val="Tahoma"/>
            <family val="2"/>
          </rPr>
          <t xml:space="preserve">
New Item</t>
        </r>
      </text>
    </comment>
    <comment ref="D236" authorId="0">
      <text>
        <r>
          <rPr>
            <b/>
            <sz val="9"/>
            <color indexed="81"/>
            <rFont val="Tahoma"/>
            <family val="2"/>
          </rPr>
          <t>Denise Roy:</t>
        </r>
        <r>
          <rPr>
            <sz val="9"/>
            <color indexed="81"/>
            <rFont val="Tahoma"/>
            <family val="2"/>
          </rPr>
          <t xml:space="preserve">
Replace Exsisting Units</t>
        </r>
      </text>
    </comment>
    <comment ref="D244" authorId="0">
      <text>
        <r>
          <rPr>
            <b/>
            <sz val="9"/>
            <color indexed="81"/>
            <rFont val="Tahoma"/>
            <family val="2"/>
          </rPr>
          <t>Denise Roy:</t>
        </r>
        <r>
          <rPr>
            <sz val="9"/>
            <color indexed="81"/>
            <rFont val="Tahoma"/>
            <family val="2"/>
          </rPr>
          <t xml:space="preserve">
Decreased to $5,000.00</t>
        </r>
      </text>
    </comment>
    <comment ref="D252" authorId="0">
      <text>
        <r>
          <rPr>
            <b/>
            <sz val="9"/>
            <color indexed="81"/>
            <rFont val="Tahoma"/>
            <family val="2"/>
          </rPr>
          <t>Denise Roy:</t>
        </r>
        <r>
          <rPr>
            <sz val="9"/>
            <color indexed="81"/>
            <rFont val="Tahoma"/>
            <family val="2"/>
          </rPr>
          <t xml:space="preserve">
Added $5,000.00</t>
        </r>
      </text>
    </comment>
    <comment ref="A255" authorId="0">
      <text>
        <r>
          <rPr>
            <b/>
            <sz val="9"/>
            <color indexed="81"/>
            <rFont val="Tahoma"/>
            <family val="2"/>
          </rPr>
          <t>Denise Roy:</t>
        </r>
        <r>
          <rPr>
            <sz val="9"/>
            <color indexed="81"/>
            <rFont val="Tahoma"/>
            <family val="2"/>
          </rPr>
          <t xml:space="preserve">
Add "FBINNA Conference"</t>
        </r>
      </text>
    </comment>
    <comment ref="D255" authorId="0">
      <text>
        <r>
          <rPr>
            <b/>
            <sz val="9"/>
            <color indexed="81"/>
            <rFont val="Tahoma"/>
            <family val="2"/>
          </rPr>
          <t>Denise Roy:</t>
        </r>
        <r>
          <rPr>
            <sz val="9"/>
            <color indexed="81"/>
            <rFont val="Tahoma"/>
            <family val="2"/>
          </rPr>
          <t xml:space="preserve">
Added $1,000.00</t>
        </r>
      </text>
    </comment>
    <comment ref="A283" authorId="0">
      <text>
        <r>
          <rPr>
            <b/>
            <sz val="9"/>
            <color indexed="81"/>
            <rFont val="Tahoma"/>
            <family val="2"/>
          </rPr>
          <t>Denise Roy:</t>
        </r>
        <r>
          <rPr>
            <sz val="9"/>
            <color indexed="81"/>
            <rFont val="Tahoma"/>
            <family val="2"/>
          </rPr>
          <t xml:space="preserve">
Increased to "4" Cruisers</t>
        </r>
      </text>
    </comment>
    <comment ref="D283" authorId="0">
      <text>
        <r>
          <rPr>
            <b/>
            <sz val="9"/>
            <color indexed="81"/>
            <rFont val="Tahoma"/>
            <family val="2"/>
          </rPr>
          <t>Denise Roy:</t>
        </r>
        <r>
          <rPr>
            <sz val="9"/>
            <color indexed="81"/>
            <rFont val="Tahoma"/>
            <family val="2"/>
          </rPr>
          <t xml:space="preserve">
Increase cost of cruiser to $35,000 each car.</t>
        </r>
      </text>
    </comment>
  </commentList>
</comments>
</file>

<file path=xl/comments4.xml><?xml version="1.0" encoding="utf-8"?>
<comments xmlns="http://schemas.openxmlformats.org/spreadsheetml/2006/main">
  <authors>
    <author>Denise Roy</author>
  </authors>
  <commentList>
    <comment ref="D86" authorId="0">
      <text>
        <r>
          <rPr>
            <b/>
            <sz val="9"/>
            <color indexed="81"/>
            <rFont val="Tahoma"/>
            <family val="2"/>
          </rPr>
          <t>Denise Roy:</t>
        </r>
        <r>
          <rPr>
            <sz val="9"/>
            <color indexed="81"/>
            <rFont val="Tahoma"/>
            <family val="2"/>
          </rPr>
          <t xml:space="preserve">
Added $3,000 to replace all portable batteries</t>
        </r>
      </text>
    </comment>
    <comment ref="A98" authorId="0">
      <text>
        <r>
          <rPr>
            <b/>
            <sz val="9"/>
            <color indexed="81"/>
            <rFont val="Tahoma"/>
            <family val="2"/>
          </rPr>
          <t>Denise Roy:</t>
        </r>
        <r>
          <rPr>
            <sz val="9"/>
            <color indexed="81"/>
            <rFont val="Tahoma"/>
            <family val="2"/>
          </rPr>
          <t xml:space="preserve">
Added 3 terminals</t>
        </r>
      </text>
    </comment>
    <comment ref="D101" authorId="0">
      <text>
        <r>
          <rPr>
            <b/>
            <sz val="9"/>
            <color indexed="81"/>
            <rFont val="Tahoma"/>
            <family val="2"/>
          </rPr>
          <t>Denise Roy:</t>
        </r>
        <r>
          <rPr>
            <sz val="9"/>
            <color indexed="81"/>
            <rFont val="Tahoma"/>
            <family val="2"/>
          </rPr>
          <t xml:space="preserve">
Is this the current price for the new e lines?</t>
        </r>
      </text>
    </comment>
  </commentList>
</comments>
</file>

<file path=xl/comments5.xml><?xml version="1.0" encoding="utf-8"?>
<comments xmlns="http://schemas.openxmlformats.org/spreadsheetml/2006/main">
  <authors>
    <author>Kyle Fox</author>
  </authors>
  <commentList>
    <comment ref="E62" authorId="0">
      <text>
        <r>
          <rPr>
            <b/>
            <sz val="9"/>
            <color indexed="81"/>
            <rFont val="Tahoma"/>
            <family val="2"/>
          </rPr>
          <t>Kyle Fox:</t>
        </r>
        <r>
          <rPr>
            <sz val="9"/>
            <color indexed="81"/>
            <rFont val="Tahoma"/>
            <family val="2"/>
          </rPr>
          <t xml:space="preserve">
Purchased materials for safety manuals for each employee</t>
        </r>
      </text>
    </comment>
    <comment ref="D80" authorId="0">
      <text>
        <r>
          <rPr>
            <b/>
            <sz val="9"/>
            <color indexed="81"/>
            <rFont val="Tahoma"/>
            <family val="2"/>
          </rPr>
          <t>Kyle Fox:</t>
        </r>
        <r>
          <rPr>
            <sz val="9"/>
            <color indexed="81"/>
            <rFont val="Tahoma"/>
            <family val="2"/>
          </rPr>
          <t xml:space="preserve">
Reduced to reflect actual expenditure - costs spread out among divisions now
</t>
        </r>
      </text>
    </comment>
    <comment ref="E114" authorId="0">
      <text>
        <r>
          <rPr>
            <b/>
            <sz val="9"/>
            <color indexed="81"/>
            <rFont val="Tahoma"/>
            <family val="2"/>
          </rPr>
          <t>Kyle Fox:</t>
        </r>
        <r>
          <rPr>
            <sz val="9"/>
            <color indexed="81"/>
            <rFont val="Tahoma"/>
            <family val="2"/>
          </rPr>
          <t xml:space="preserve">
$15,900 of this was the removal of tennis courts at O'Gara</t>
        </r>
      </text>
    </comment>
    <comment ref="E117" authorId="0">
      <text>
        <r>
          <rPr>
            <b/>
            <sz val="9"/>
            <color indexed="81"/>
            <rFont val="Tahoma"/>
            <family val="2"/>
          </rPr>
          <t>Kyle Fox:</t>
        </r>
        <r>
          <rPr>
            <sz val="9"/>
            <color indexed="81"/>
            <rFont val="Tahoma"/>
            <family val="2"/>
          </rPr>
          <t xml:space="preserve">
New plotter and computer for KF</t>
        </r>
      </text>
    </comment>
  </commentList>
</comments>
</file>

<file path=xl/comments6.xml><?xml version="1.0" encoding="utf-8"?>
<comments xmlns="http://schemas.openxmlformats.org/spreadsheetml/2006/main">
  <authors>
    <author>Kyle Fox</author>
    <author>Paul Micali</author>
  </authors>
  <commentList>
    <comment ref="D196" authorId="0">
      <text>
        <r>
          <rPr>
            <b/>
            <sz val="9"/>
            <color indexed="81"/>
            <rFont val="Tahoma"/>
            <family val="2"/>
          </rPr>
          <t>Kyle Fox:</t>
        </r>
        <r>
          <rPr>
            <sz val="9"/>
            <color indexed="81"/>
            <rFont val="Tahoma"/>
            <family val="2"/>
          </rPr>
          <t xml:space="preserve">
Shared maintenance between church, school, and town - lot between McElwain Dr and JMUES</t>
        </r>
      </text>
    </comment>
    <comment ref="G216" authorId="0">
      <text>
        <r>
          <rPr>
            <b/>
            <sz val="9"/>
            <color indexed="81"/>
            <rFont val="Tahoma"/>
            <family val="2"/>
          </rPr>
          <t>Kyle Fox:</t>
        </r>
        <r>
          <rPr>
            <sz val="9"/>
            <color indexed="81"/>
            <rFont val="Tahoma"/>
            <family val="2"/>
          </rPr>
          <t xml:space="preserve">
accounts for 2,5oo T salt, 1,000 T sand</t>
        </r>
      </text>
    </comment>
    <comment ref="H216" authorId="0">
      <text>
        <r>
          <rPr>
            <b/>
            <sz val="9"/>
            <color indexed="81"/>
            <rFont val="Tahoma"/>
            <family val="2"/>
          </rPr>
          <t>Kyle Fox:</t>
        </r>
        <r>
          <rPr>
            <sz val="9"/>
            <color indexed="81"/>
            <rFont val="Tahoma"/>
            <family val="2"/>
          </rPr>
          <t xml:space="preserve">
accounts for 2,5oo T salt, 1,000 T sand</t>
        </r>
      </text>
    </comment>
    <comment ref="I216" authorId="0">
      <text>
        <r>
          <rPr>
            <b/>
            <sz val="9"/>
            <color indexed="81"/>
            <rFont val="Tahoma"/>
            <family val="2"/>
          </rPr>
          <t>Kyle Fox:</t>
        </r>
        <r>
          <rPr>
            <sz val="9"/>
            <color indexed="81"/>
            <rFont val="Tahoma"/>
            <family val="2"/>
          </rPr>
          <t xml:space="preserve">
accounts for 2,5oo T salt, 1,000 T sand</t>
        </r>
      </text>
    </comment>
    <comment ref="J216" authorId="0">
      <text>
        <r>
          <rPr>
            <b/>
            <sz val="9"/>
            <color indexed="81"/>
            <rFont val="Tahoma"/>
            <family val="2"/>
          </rPr>
          <t>Kyle Fox:</t>
        </r>
        <r>
          <rPr>
            <sz val="9"/>
            <color indexed="81"/>
            <rFont val="Tahoma"/>
            <family val="2"/>
          </rPr>
          <t xml:space="preserve">
accounts for 2,5oo T salt, 1,000 T sand</t>
        </r>
      </text>
    </comment>
    <comment ref="D251" authorId="1">
      <text>
        <r>
          <rPr>
            <b/>
            <sz val="9"/>
            <color indexed="81"/>
            <rFont val="Tahoma"/>
            <family val="2"/>
          </rPr>
          <t>Paul Micali:</t>
        </r>
        <r>
          <rPr>
            <sz val="9"/>
            <color indexed="81"/>
            <rFont val="Tahoma"/>
            <family val="2"/>
          </rPr>
          <t xml:space="preserve">
used for road base</t>
        </r>
      </text>
    </comment>
    <comment ref="D283" authorId="1">
      <text>
        <r>
          <rPr>
            <b/>
            <sz val="9"/>
            <color indexed="81"/>
            <rFont val="Tahoma"/>
            <family val="2"/>
          </rPr>
          <t>Paul Micali:</t>
        </r>
        <r>
          <rPr>
            <sz val="9"/>
            <color indexed="81"/>
            <rFont val="Tahoma"/>
            <family val="2"/>
          </rPr>
          <t xml:space="preserve">
parking lot falling apart.  Injury hazard</t>
        </r>
      </text>
    </comment>
  </commentList>
</comments>
</file>

<file path=xl/comments7.xml><?xml version="1.0" encoding="utf-8"?>
<comments xmlns="http://schemas.openxmlformats.org/spreadsheetml/2006/main">
  <authors>
    <author>Kyle Fox</author>
  </authors>
  <commentList>
    <comment ref="E102" authorId="0">
      <text>
        <r>
          <rPr>
            <b/>
            <sz val="9"/>
            <color indexed="81"/>
            <rFont val="Tahoma"/>
            <family val="2"/>
          </rPr>
          <t>Kyle Fox:</t>
        </r>
        <r>
          <rPr>
            <sz val="9"/>
            <color indexed="81"/>
            <rFont val="Tahoma"/>
            <family val="2"/>
          </rPr>
          <t xml:space="preserve">
Loader rental Feb 2018</t>
        </r>
      </text>
    </comment>
    <comment ref="D103" authorId="0">
      <text>
        <r>
          <rPr>
            <b/>
            <sz val="9"/>
            <color indexed="81"/>
            <rFont val="Tahoma"/>
            <family val="2"/>
          </rPr>
          <t>Kyle Fox:</t>
        </r>
        <r>
          <rPr>
            <sz val="9"/>
            <color indexed="81"/>
            <rFont val="Tahoma"/>
            <family val="2"/>
          </rPr>
          <t xml:space="preserve">
Reflects actual cost</t>
        </r>
      </text>
    </comment>
    <comment ref="G107" authorId="0">
      <text>
        <r>
          <rPr>
            <b/>
            <sz val="9"/>
            <color indexed="81"/>
            <rFont val="Tahoma"/>
            <family val="2"/>
          </rPr>
          <t>Kyle Fox:</t>
        </r>
        <r>
          <rPr>
            <sz val="9"/>
            <color indexed="81"/>
            <rFont val="Tahoma"/>
            <family val="2"/>
          </rPr>
          <t xml:space="preserve">
New stickers are smaller as a result of State inspection stickers being moved to bottom left corner</t>
        </r>
      </text>
    </comment>
    <comment ref="H107" authorId="0">
      <text>
        <r>
          <rPr>
            <b/>
            <sz val="9"/>
            <color indexed="81"/>
            <rFont val="Tahoma"/>
            <family val="2"/>
          </rPr>
          <t>Kyle Fox:</t>
        </r>
        <r>
          <rPr>
            <sz val="9"/>
            <color indexed="81"/>
            <rFont val="Tahoma"/>
            <family val="2"/>
          </rPr>
          <t xml:space="preserve">
New stickers are smaller as a result of State inspection stickers being moved to bottom left corner</t>
        </r>
      </text>
    </comment>
    <comment ref="I107" authorId="0">
      <text>
        <r>
          <rPr>
            <b/>
            <sz val="9"/>
            <color indexed="81"/>
            <rFont val="Tahoma"/>
            <family val="2"/>
          </rPr>
          <t>Kyle Fox:</t>
        </r>
        <r>
          <rPr>
            <sz val="9"/>
            <color indexed="81"/>
            <rFont val="Tahoma"/>
            <family val="2"/>
          </rPr>
          <t xml:space="preserve">
New stickers are smaller as a result of State inspection stickers being moved to bottom left corner</t>
        </r>
      </text>
    </comment>
    <comment ref="J107" authorId="0">
      <text>
        <r>
          <rPr>
            <b/>
            <sz val="9"/>
            <color indexed="81"/>
            <rFont val="Tahoma"/>
            <family val="2"/>
          </rPr>
          <t>Kyle Fox:</t>
        </r>
        <r>
          <rPr>
            <sz val="9"/>
            <color indexed="81"/>
            <rFont val="Tahoma"/>
            <family val="2"/>
          </rPr>
          <t xml:space="preserve">
New stickers are smaller as a result of State inspection stickers being moved to bottom left corner</t>
        </r>
      </text>
    </comment>
    <comment ref="B135" authorId="0">
      <text>
        <r>
          <rPr>
            <b/>
            <sz val="9"/>
            <color indexed="81"/>
            <rFont val="Tahoma"/>
            <family val="2"/>
          </rPr>
          <t>Kyle Fox:</t>
        </r>
        <r>
          <rPr>
            <sz val="9"/>
            <color indexed="81"/>
            <rFont val="Tahoma"/>
            <family val="2"/>
          </rPr>
          <t xml:space="preserve">
Added LL as weighmaster</t>
        </r>
      </text>
    </comment>
    <comment ref="B136" authorId="0">
      <text>
        <r>
          <rPr>
            <b/>
            <sz val="9"/>
            <color indexed="81"/>
            <rFont val="Tahoma"/>
            <family val="2"/>
          </rPr>
          <t>Kyle Fox:</t>
        </r>
        <r>
          <rPr>
            <sz val="9"/>
            <color indexed="81"/>
            <rFont val="Tahoma"/>
            <family val="2"/>
          </rPr>
          <t xml:space="preserve">
Added LL as Operator I</t>
        </r>
      </text>
    </comment>
    <comment ref="E167" authorId="0">
      <text>
        <r>
          <rPr>
            <b/>
            <sz val="9"/>
            <color indexed="81"/>
            <rFont val="Tahoma"/>
            <family val="2"/>
          </rPr>
          <t>Kyle Fox:</t>
        </r>
        <r>
          <rPr>
            <sz val="9"/>
            <color indexed="81"/>
            <rFont val="Tahoma"/>
            <family val="2"/>
          </rPr>
          <t xml:space="preserve">
Need to add the 99,178 below into this number.  Also, TB will adjust 8388 as it contains some of the single stream quantity.  So, total here should be 460471+99178+37456 = 597105</t>
        </r>
      </text>
    </comment>
    <comment ref="C168" authorId="0">
      <text>
        <r>
          <rPr>
            <b/>
            <sz val="9"/>
            <color indexed="81"/>
            <rFont val="Tahoma"/>
            <family val="2"/>
          </rPr>
          <t>Kyle Fox:</t>
        </r>
        <r>
          <rPr>
            <sz val="9"/>
            <color indexed="81"/>
            <rFont val="Tahoma"/>
            <family val="2"/>
          </rPr>
          <t xml:space="preserve">
Contract yearly adjustment</t>
        </r>
      </text>
    </comment>
    <comment ref="C169" authorId="0">
      <text>
        <r>
          <rPr>
            <b/>
            <sz val="9"/>
            <color indexed="81"/>
            <rFont val="Tahoma"/>
            <family val="2"/>
          </rPr>
          <t>Kyle Fox:</t>
        </r>
        <r>
          <rPr>
            <sz val="9"/>
            <color indexed="81"/>
            <rFont val="Tahoma"/>
            <family val="2"/>
          </rPr>
          <t xml:space="preserve">
Contract Yearly Adjustment</t>
        </r>
      </text>
    </comment>
    <comment ref="G183" authorId="0">
      <text>
        <r>
          <rPr>
            <b/>
            <sz val="9"/>
            <color indexed="81"/>
            <rFont val="Tahoma"/>
            <family val="2"/>
          </rPr>
          <t>Kyle Fox:</t>
        </r>
        <r>
          <rPr>
            <sz val="9"/>
            <color indexed="81"/>
            <rFont val="Tahoma"/>
            <family val="2"/>
          </rPr>
          <t xml:space="preserve">
Increases due to new PFC requirements in permit</t>
        </r>
      </text>
    </comment>
    <comment ref="H183" authorId="0">
      <text>
        <r>
          <rPr>
            <b/>
            <sz val="9"/>
            <color indexed="81"/>
            <rFont val="Tahoma"/>
            <family val="2"/>
          </rPr>
          <t>Kyle Fox:</t>
        </r>
        <r>
          <rPr>
            <sz val="9"/>
            <color indexed="81"/>
            <rFont val="Tahoma"/>
            <family val="2"/>
          </rPr>
          <t xml:space="preserve">
Increases due to new PFC requirements in permit</t>
        </r>
      </text>
    </comment>
    <comment ref="I183" authorId="0">
      <text>
        <r>
          <rPr>
            <b/>
            <sz val="9"/>
            <color indexed="81"/>
            <rFont val="Tahoma"/>
            <family val="2"/>
          </rPr>
          <t>Kyle Fox:</t>
        </r>
        <r>
          <rPr>
            <sz val="9"/>
            <color indexed="81"/>
            <rFont val="Tahoma"/>
            <family val="2"/>
          </rPr>
          <t xml:space="preserve">
Increases due to new PFC requirements in permit</t>
        </r>
      </text>
    </comment>
    <comment ref="J183" authorId="0">
      <text>
        <r>
          <rPr>
            <b/>
            <sz val="9"/>
            <color indexed="81"/>
            <rFont val="Tahoma"/>
            <family val="2"/>
          </rPr>
          <t>Kyle Fox:</t>
        </r>
        <r>
          <rPr>
            <sz val="9"/>
            <color indexed="81"/>
            <rFont val="Tahoma"/>
            <family val="2"/>
          </rPr>
          <t xml:space="preserve">
Increases due to new PFC requirements in permit</t>
        </r>
      </text>
    </comment>
    <comment ref="D184" authorId="0">
      <text>
        <r>
          <rPr>
            <b/>
            <sz val="9"/>
            <color indexed="81"/>
            <rFont val="Tahoma"/>
            <family val="2"/>
          </rPr>
          <t>Kyle Fox:</t>
        </r>
        <r>
          <rPr>
            <sz val="9"/>
            <color indexed="81"/>
            <rFont val="Tahoma"/>
            <family val="2"/>
          </rPr>
          <t xml:space="preserve">
PFC Testing
</t>
        </r>
      </text>
    </comment>
    <comment ref="D185" authorId="0">
      <text>
        <r>
          <rPr>
            <b/>
            <sz val="9"/>
            <color indexed="81"/>
            <rFont val="Tahoma"/>
            <family val="2"/>
          </rPr>
          <t>Kyle Fox:</t>
        </r>
        <r>
          <rPr>
            <sz val="9"/>
            <color indexed="81"/>
            <rFont val="Tahoma"/>
            <family val="2"/>
          </rPr>
          <t xml:space="preserve">
PFC Testing</t>
        </r>
      </text>
    </comment>
    <comment ref="E189" authorId="0">
      <text>
        <r>
          <rPr>
            <b/>
            <sz val="9"/>
            <color indexed="81"/>
            <rFont val="Tahoma"/>
            <family val="2"/>
          </rPr>
          <t>Kyle Fox:</t>
        </r>
        <r>
          <rPr>
            <sz val="9"/>
            <color indexed="81"/>
            <rFont val="Tahoma"/>
            <family val="2"/>
          </rPr>
          <t xml:space="preserve">
Should be 84,020.33 per TB</t>
        </r>
      </text>
    </comment>
  </commentList>
</comments>
</file>

<file path=xl/comments8.xml><?xml version="1.0" encoding="utf-8"?>
<comments xmlns="http://schemas.openxmlformats.org/spreadsheetml/2006/main">
  <authors>
    <author>Matthew Casparius</author>
  </authors>
  <commentList>
    <comment ref="D21" authorId="0">
      <text>
        <r>
          <rPr>
            <b/>
            <sz val="9"/>
            <color indexed="81"/>
            <rFont val="Tahoma"/>
            <family val="2"/>
          </rPr>
          <t>Matthew Casparius:</t>
        </r>
        <r>
          <rPr>
            <sz val="9"/>
            <color indexed="81"/>
            <rFont val="Tahoma"/>
            <family val="2"/>
          </rPr>
          <t xml:space="preserve">
This can be a difficult position to fill since it is part time weekends. The person that has done it the last 2 years didn't end up getting a raise at all last year because we forgot to budget for it. This $0.50 increase is trying to make up for that. This position works at the Wasserman Park Waterfront on summer weekends enforcing rules and conducting general trash pickup.  We have seen significantly fewer reports of vandalism since we started posting someone there on weekends. </t>
        </r>
      </text>
    </comment>
    <comment ref="D22" authorId="0">
      <text>
        <r>
          <rPr>
            <b/>
            <sz val="9"/>
            <color indexed="81"/>
            <rFont val="Tahoma"/>
            <family val="2"/>
          </rPr>
          <t>Matthew Casparius:</t>
        </r>
        <r>
          <rPr>
            <sz val="9"/>
            <color indexed="81"/>
            <rFont val="Tahoma"/>
            <family val="2"/>
          </rPr>
          <t xml:space="preserve">
We are looking to expand lifeguard covereage from 8 weeks to 9 weeks of the summer this year.  Often times there are 3+ weeks between the end of normal coverage and when school begins. Trying to cover an additional week of the summer for those that use the beach at the end the summer. </t>
        </r>
      </text>
    </comment>
    <comment ref="D23" authorId="0">
      <text>
        <r>
          <rPr>
            <b/>
            <sz val="9"/>
            <color indexed="81"/>
            <rFont val="Tahoma"/>
            <family val="2"/>
          </rPr>
          <t>Matthew Casparius:</t>
        </r>
        <r>
          <rPr>
            <sz val="9"/>
            <color indexed="81"/>
            <rFont val="Tahoma"/>
            <family val="2"/>
          </rPr>
          <t xml:space="preserve">
The only change for this position is an increase in the rate of pay. Last year we budgeted $13.98 per hour and couldn't find anyone qualified at that rate of pay. However we are comfortable with $15.00 per hour which is in the current range for this position.</t>
        </r>
      </text>
    </comment>
    <comment ref="D25" authorId="0">
      <text>
        <r>
          <rPr>
            <b/>
            <sz val="9"/>
            <color indexed="81"/>
            <rFont val="Tahoma"/>
            <family val="2"/>
          </rPr>
          <t>Matthew Casparius:</t>
        </r>
        <r>
          <rPr>
            <sz val="9"/>
            <color indexed="81"/>
            <rFont val="Tahoma"/>
            <family val="2"/>
          </rPr>
          <t xml:space="preserve">
Since we have a part time year round maintenance position we are more equiped to keep up on maintenance at Wasserman Park. As such, we are eliminating this summer position. </t>
        </r>
      </text>
    </comment>
    <comment ref="G29" authorId="0">
      <text>
        <r>
          <rPr>
            <b/>
            <sz val="9"/>
            <color indexed="81"/>
            <rFont val="Tahoma"/>
            <family val="2"/>
          </rPr>
          <t>Matthew Casparius:</t>
        </r>
        <r>
          <rPr>
            <sz val="9"/>
            <color indexed="81"/>
            <rFont val="Tahoma"/>
            <family val="2"/>
          </rPr>
          <t xml:space="preserve">
We are starting to need more staff for this event and last year we were a little short on funds so this minor increase is to offset that need. </t>
        </r>
      </text>
    </comment>
    <comment ref="H29" authorId="0">
      <text>
        <r>
          <rPr>
            <b/>
            <sz val="9"/>
            <color indexed="81"/>
            <rFont val="Tahoma"/>
            <family val="2"/>
          </rPr>
          <t>Matthew Casparius:</t>
        </r>
        <r>
          <rPr>
            <sz val="9"/>
            <color indexed="81"/>
            <rFont val="Tahoma"/>
            <family val="2"/>
          </rPr>
          <t xml:space="preserve">
We are starting to need more staff for this event and last year we were a little short on funds so this minor increase is to offset that need. </t>
        </r>
      </text>
    </comment>
    <comment ref="I29" authorId="0">
      <text>
        <r>
          <rPr>
            <b/>
            <sz val="9"/>
            <color indexed="81"/>
            <rFont val="Tahoma"/>
            <family val="2"/>
          </rPr>
          <t>Matthew Casparius:</t>
        </r>
        <r>
          <rPr>
            <sz val="9"/>
            <color indexed="81"/>
            <rFont val="Tahoma"/>
            <family val="2"/>
          </rPr>
          <t xml:space="preserve">
We are starting to need more staff for this event and last year we were a little short on funds so this minor increase is to offset that need. </t>
        </r>
      </text>
    </comment>
    <comment ref="J29" authorId="0">
      <text>
        <r>
          <rPr>
            <b/>
            <sz val="9"/>
            <color indexed="81"/>
            <rFont val="Tahoma"/>
            <family val="2"/>
          </rPr>
          <t>Matthew Casparius:</t>
        </r>
        <r>
          <rPr>
            <sz val="9"/>
            <color indexed="81"/>
            <rFont val="Tahoma"/>
            <family val="2"/>
          </rPr>
          <t xml:space="preserve">
We are starting to need more staff for this event and last year we were a little short on funds so this minor increase is to offset that need. </t>
        </r>
      </text>
    </comment>
    <comment ref="D132" authorId="0">
      <text>
        <r>
          <rPr>
            <b/>
            <sz val="9"/>
            <color indexed="81"/>
            <rFont val="Tahoma"/>
            <family val="2"/>
          </rPr>
          <t>Matthew Casparius:</t>
        </r>
        <r>
          <rPr>
            <sz val="9"/>
            <color indexed="81"/>
            <rFont val="Tahoma"/>
            <family val="2"/>
          </rPr>
          <t xml:space="preserve">
The cost of this membership went up by $5 for this year. </t>
        </r>
      </text>
    </comment>
    <comment ref="G236" authorId="0">
      <text>
        <r>
          <rPr>
            <b/>
            <sz val="9"/>
            <color indexed="81"/>
            <rFont val="Tahoma"/>
            <family val="2"/>
          </rPr>
          <t>Matthew Casparius:</t>
        </r>
        <r>
          <rPr>
            <sz val="9"/>
            <color indexed="81"/>
            <rFont val="Tahoma"/>
            <family val="2"/>
          </rPr>
          <t xml:space="preserve">
Registration software will now be paid for out of the Recreation Revolving Fund instead of from taxpayers. </t>
        </r>
      </text>
    </comment>
    <comment ref="H236" authorId="0">
      <text>
        <r>
          <rPr>
            <b/>
            <sz val="9"/>
            <color indexed="81"/>
            <rFont val="Tahoma"/>
            <family val="2"/>
          </rPr>
          <t>Matthew Casparius:</t>
        </r>
        <r>
          <rPr>
            <sz val="9"/>
            <color indexed="81"/>
            <rFont val="Tahoma"/>
            <family val="2"/>
          </rPr>
          <t xml:space="preserve">
Registration software will now be paid for out of the Recreation Revolving Fund instead of from taxpayers. </t>
        </r>
      </text>
    </comment>
    <comment ref="I236" authorId="0">
      <text>
        <r>
          <rPr>
            <b/>
            <sz val="9"/>
            <color indexed="81"/>
            <rFont val="Tahoma"/>
            <family val="2"/>
          </rPr>
          <t>Matthew Casparius:</t>
        </r>
        <r>
          <rPr>
            <sz val="9"/>
            <color indexed="81"/>
            <rFont val="Tahoma"/>
            <family val="2"/>
          </rPr>
          <t xml:space="preserve">
Registration software will now be paid for out of the Recreation Revolving Fund instead of from taxpayers. </t>
        </r>
      </text>
    </comment>
    <comment ref="J236" authorId="0">
      <text>
        <r>
          <rPr>
            <b/>
            <sz val="9"/>
            <color indexed="81"/>
            <rFont val="Tahoma"/>
            <family val="2"/>
          </rPr>
          <t>Matthew Casparius:</t>
        </r>
        <r>
          <rPr>
            <sz val="9"/>
            <color indexed="81"/>
            <rFont val="Tahoma"/>
            <family val="2"/>
          </rPr>
          <t xml:space="preserve">
Registration software will now be paid for out of the Recreation Revolving Fund instead of from taxpayers. </t>
        </r>
      </text>
    </comment>
  </commentList>
</comments>
</file>

<file path=xl/comments9.xml><?xml version="1.0" encoding="utf-8"?>
<comments xmlns="http://schemas.openxmlformats.org/spreadsheetml/2006/main">
  <authors>
    <author>Timothy J. Thompson</author>
  </authors>
  <commentList>
    <comment ref="G92" authorId="0">
      <text>
        <r>
          <rPr>
            <b/>
            <sz val="9"/>
            <color indexed="81"/>
            <rFont val="Tahoma"/>
            <family val="2"/>
          </rPr>
          <t>Timothy J. Thompson:</t>
        </r>
        <r>
          <rPr>
            <sz val="9"/>
            <color indexed="81"/>
            <rFont val="Tahoma"/>
            <family val="2"/>
          </rPr>
          <t xml:space="preserve">
Increase in Professional Membership dues.</t>
        </r>
      </text>
    </comment>
    <comment ref="H92" authorId="0">
      <text>
        <r>
          <rPr>
            <b/>
            <sz val="9"/>
            <color indexed="81"/>
            <rFont val="Tahoma"/>
            <family val="2"/>
          </rPr>
          <t>Timothy J. Thompson:</t>
        </r>
        <r>
          <rPr>
            <sz val="9"/>
            <color indexed="81"/>
            <rFont val="Tahoma"/>
            <family val="2"/>
          </rPr>
          <t xml:space="preserve">
Increase in Professional Membership dues.</t>
        </r>
      </text>
    </comment>
    <comment ref="I92" authorId="0">
      <text>
        <r>
          <rPr>
            <b/>
            <sz val="9"/>
            <color indexed="81"/>
            <rFont val="Tahoma"/>
            <family val="2"/>
          </rPr>
          <t>Timothy J. Thompson:</t>
        </r>
        <r>
          <rPr>
            <sz val="9"/>
            <color indexed="81"/>
            <rFont val="Tahoma"/>
            <family val="2"/>
          </rPr>
          <t xml:space="preserve">
Increase in Professional Membership dues.</t>
        </r>
      </text>
    </comment>
    <comment ref="J92" authorId="0">
      <text>
        <r>
          <rPr>
            <b/>
            <sz val="9"/>
            <color indexed="81"/>
            <rFont val="Tahoma"/>
            <family val="2"/>
          </rPr>
          <t>Timothy J. Thompson:</t>
        </r>
        <r>
          <rPr>
            <sz val="9"/>
            <color indexed="81"/>
            <rFont val="Tahoma"/>
            <family val="2"/>
          </rPr>
          <t xml:space="preserve">
Increase in Professional Membership dues.</t>
        </r>
      </text>
    </comment>
    <comment ref="G110" authorId="0">
      <text>
        <r>
          <rPr>
            <b/>
            <sz val="9"/>
            <color indexed="81"/>
            <rFont val="Tahoma"/>
            <family val="2"/>
          </rPr>
          <t>Timothy J. Thompson:</t>
        </r>
        <r>
          <rPr>
            <sz val="9"/>
            <color indexed="81"/>
            <rFont val="Tahoma"/>
            <family val="2"/>
          </rPr>
          <t xml:space="preserve">
Reduced based on past usage/non-use</t>
        </r>
      </text>
    </comment>
    <comment ref="H110" authorId="0">
      <text>
        <r>
          <rPr>
            <b/>
            <sz val="9"/>
            <color indexed="81"/>
            <rFont val="Tahoma"/>
            <family val="2"/>
          </rPr>
          <t>Timothy J. Thompson:</t>
        </r>
        <r>
          <rPr>
            <sz val="9"/>
            <color indexed="81"/>
            <rFont val="Tahoma"/>
            <family val="2"/>
          </rPr>
          <t xml:space="preserve">
Reduced based on past usage/non-use</t>
        </r>
      </text>
    </comment>
    <comment ref="I110" authorId="0">
      <text>
        <r>
          <rPr>
            <b/>
            <sz val="9"/>
            <color indexed="81"/>
            <rFont val="Tahoma"/>
            <family val="2"/>
          </rPr>
          <t>Timothy J. Thompson:</t>
        </r>
        <r>
          <rPr>
            <sz val="9"/>
            <color indexed="81"/>
            <rFont val="Tahoma"/>
            <family val="2"/>
          </rPr>
          <t xml:space="preserve">
Reduced based on past usage/non-use</t>
        </r>
      </text>
    </comment>
    <comment ref="J110" authorId="0">
      <text>
        <r>
          <rPr>
            <b/>
            <sz val="9"/>
            <color indexed="81"/>
            <rFont val="Tahoma"/>
            <family val="2"/>
          </rPr>
          <t>Timothy J. Thompson:</t>
        </r>
        <r>
          <rPr>
            <sz val="9"/>
            <color indexed="81"/>
            <rFont val="Tahoma"/>
            <family val="2"/>
          </rPr>
          <t xml:space="preserve">
Reduced based on past usage/non-use</t>
        </r>
      </text>
    </comment>
  </commentList>
</comments>
</file>

<file path=xl/sharedStrings.xml><?xml version="1.0" encoding="utf-8"?>
<sst xmlns="http://schemas.openxmlformats.org/spreadsheetml/2006/main" count="4141" uniqueCount="2340">
  <si>
    <t>Hoses for washing tanks and floors and 3 &amp; 4 " pump hoses</t>
  </si>
  <si>
    <t>Flashlights, batteries, UPS and PLC batteries</t>
  </si>
  <si>
    <t>01-07-8102-0 Wages - Clerical</t>
  </si>
  <si>
    <t>01-03-8510-0 Capital Reserve Funds</t>
  </si>
  <si>
    <t>01-13-8111-0 Overtime-Other</t>
  </si>
  <si>
    <t>01-13-8125-0 Social Security</t>
  </si>
  <si>
    <t>01-05-8334-0 Maintenance-Office Equipment</t>
  </si>
  <si>
    <t>SPOTS terminal</t>
  </si>
  <si>
    <t>Security system</t>
  </si>
  <si>
    <t>01-05-8335-0 Maintenance-Communications Equip</t>
  </si>
  <si>
    <t>01-02-8136-0 Unemployment Compensation</t>
  </si>
  <si>
    <t>01-02-8203-0 Operating Supplies</t>
  </si>
  <si>
    <t>01-02-8220-0 Printing</t>
  </si>
  <si>
    <t>01-13-8245-0 Sewer</t>
  </si>
  <si>
    <t>01-13-8250-0 Vehicle Fuel</t>
  </si>
  <si>
    <t>01-21-8359-0 Other Outside Services</t>
  </si>
  <si>
    <t>Microfilming of plans</t>
  </si>
  <si>
    <t>2007-08</t>
  </si>
  <si>
    <t>Vote tabulating equipment maintenance</t>
  </si>
  <si>
    <t>Voter cards and other expenses</t>
  </si>
  <si>
    <t>01-01-8420-0 Advertising</t>
  </si>
  <si>
    <t xml:space="preserve">  striping and landscaping</t>
  </si>
  <si>
    <t>01-04-8460-0 Other Operating Expenses</t>
  </si>
  <si>
    <t>01-15-8202-0 Maintenance Supplies</t>
  </si>
  <si>
    <t>01-17-8204-0 Uniforms</t>
  </si>
  <si>
    <t>01-25-8220-0 Printing</t>
  </si>
  <si>
    <t>Town-wide non-union college tuition reimbursement program</t>
  </si>
  <si>
    <t>Postage to 12 members, 12 mailings agenda &amp; minutes@$ 1.00    </t>
  </si>
  <si>
    <t>Aerial Ladder Testing for Ladder 1</t>
  </si>
  <si>
    <t>Transfer to Ambulance Capital Reserve Fund</t>
  </si>
  <si>
    <t>Full-time employees - AFSCME</t>
  </si>
  <si>
    <t>Special Police Officers</t>
  </si>
  <si>
    <t>Child Advocacy Center</t>
  </si>
  <si>
    <t>Service Agreement Spillers Copier/Scanner/Printer Xerox 6204</t>
  </si>
  <si>
    <t>Pipe stock to maintain, repair, modify, or reconstruct drainage</t>
  </si>
  <si>
    <t>Refrigerators and air conditioners (Freon)</t>
  </si>
  <si>
    <t xml:space="preserve">    Society of the Protection of NH Forests</t>
  </si>
  <si>
    <t>2007 Drainage Improvements</t>
  </si>
  <si>
    <t>Federal Communications Commission Radio licenses</t>
  </si>
  <si>
    <t>Building Contract Service Costs</t>
  </si>
  <si>
    <t>HVAC Maintenance Agreement (Station 1, 2 &amp; 3)</t>
  </si>
  <si>
    <t>Plymovent vehicle exhaust service agreement Sta 1, 2 &amp; 3)</t>
  </si>
  <si>
    <t>NH Camp Directors Association</t>
  </si>
  <si>
    <t>01-13-8128-0 Retirement</t>
  </si>
  <si>
    <t>01-13-8131-0 Health Insurance</t>
  </si>
  <si>
    <t>Computer source materials</t>
  </si>
  <si>
    <t>01-21-8250-0 Vehicle Fuel</t>
  </si>
  <si>
    <t>Clothing allowance - Teamsters</t>
  </si>
  <si>
    <t>01-01-8351-0 Consultants</t>
  </si>
  <si>
    <t>01-01-8352-0 Education &amp; Training</t>
  </si>
  <si>
    <t>01-05-8280-0 General Insurance</t>
  </si>
  <si>
    <t>Transfer to Library Building Maintenance Fund</t>
  </si>
  <si>
    <t>Twardosky Field</t>
  </si>
  <si>
    <t>Copier service maintenance agreement</t>
  </si>
  <si>
    <t>Signs, reflectors delineators, barricades, flashing lights, materials for</t>
  </si>
  <si>
    <t>Weather forecasting service</t>
  </si>
  <si>
    <t>Random CDL D &amp; A testing</t>
  </si>
  <si>
    <t>Pest control services</t>
  </si>
  <si>
    <t>Computer equipment/software license agreements</t>
  </si>
  <si>
    <t>RSA 261:153 funds (offset by registration revenue)</t>
  </si>
  <si>
    <t>1- Seasonal Maintainer</t>
  </si>
  <si>
    <t>lab supplies necessary to comply with NPDES permit</t>
  </si>
  <si>
    <t>Unit $</t>
  </si>
  <si>
    <t>Annual Use</t>
  </si>
  <si>
    <t>Total Cost</t>
  </si>
  <si>
    <t>Sodium hypochlorite (permit compliance)</t>
  </si>
  <si>
    <t>Sodium bisulfite (dechlorinating chemical-permit compliance)</t>
  </si>
  <si>
    <t>Variable speed drive repairs/replacement</t>
  </si>
  <si>
    <t>Mower blades, saw blades, trimmer string, hand tools, paint, etc.</t>
  </si>
  <si>
    <t>01-04-8433-0 P.A.C.T. (Offset by Revenue)</t>
  </si>
  <si>
    <t xml:space="preserve">Department </t>
  </si>
  <si>
    <t xml:space="preserve">   Fertilizer (3 Applications)</t>
  </si>
  <si>
    <t>Salary &amp; benefits (offset by Revenues Collected)</t>
  </si>
  <si>
    <t>Upkeep to flag and flower beds. Addressing wash-out on town beach.</t>
  </si>
  <si>
    <t>Gator</t>
  </si>
  <si>
    <r>
      <t xml:space="preserve">Bus trips - </t>
    </r>
    <r>
      <rPr>
        <b/>
        <sz val="10"/>
        <rFont val="Times New Roman"/>
        <family val="1"/>
      </rPr>
      <t>offset by revenues</t>
    </r>
  </si>
  <si>
    <t xml:space="preserve">Merrimack Community Concert Band </t>
  </si>
  <si>
    <t>Halloween Event (DJ, Halloween Eggs, decorations, candy)</t>
  </si>
  <si>
    <t>Holiday parade &amp; Tree Lighting Ceremony (Santa's treats, tree, decorations)</t>
  </si>
  <si>
    <r>
      <t xml:space="preserve">Swimming lessons - Red Cross cards, </t>
    </r>
    <r>
      <rPr>
        <b/>
        <sz val="10"/>
        <rFont val="Times New Roman"/>
        <family val="1"/>
      </rPr>
      <t>offset by revenues</t>
    </r>
  </si>
  <si>
    <t>Computer software annual support - clerk</t>
  </si>
  <si>
    <t>Computer software annual support - tax</t>
  </si>
  <si>
    <t>Antivirus Software</t>
  </si>
  <si>
    <t>Material for temporary pavement patches (roads and bridges)</t>
  </si>
  <si>
    <t>2013-14</t>
  </si>
  <si>
    <t>01-06-8230-0 Postage</t>
  </si>
  <si>
    <t>Telephone allocation</t>
  </si>
  <si>
    <t>31-10-8142-0 Compensated Absences</t>
  </si>
  <si>
    <t>Community Services Officer</t>
  </si>
  <si>
    <t>Master Patrolmen</t>
  </si>
  <si>
    <t>School Resource Officer</t>
  </si>
  <si>
    <t xml:space="preserve">Greater Nashua Mental Health Center </t>
  </si>
  <si>
    <t>Lamprey Area Health Center-health care for indigents and uninsured</t>
  </si>
  <si>
    <t>Opportunity Networks.(For Handicapped  training and jobs)</t>
  </si>
  <si>
    <t>National Registry Recertification and Registration</t>
  </si>
  <si>
    <t xml:space="preserve">  for the repair of Fire Vehicles, tires, brakes, oil, electrical, lights, seals etc.</t>
  </si>
  <si>
    <t>Maintenance of Emergency Breathing Air System Station 1 Cascade</t>
  </si>
  <si>
    <t>Maintenance of Emergency Air System Station HazMat Trailer</t>
  </si>
  <si>
    <t>Legal notices and bid advertising, certified mail, handouts.</t>
  </si>
  <si>
    <t>Repair Skate Park ramps - 6 sheets Skatelite, hardware &amp; shipping</t>
  </si>
  <si>
    <t xml:space="preserve"> Balance *</t>
  </si>
  <si>
    <t xml:space="preserve">Drainage Improvements </t>
  </si>
  <si>
    <t xml:space="preserve">Director  </t>
  </si>
  <si>
    <t xml:space="preserve">Head of Technical Services </t>
  </si>
  <si>
    <t xml:space="preserve">  Aide I - Circulation </t>
  </si>
  <si>
    <t xml:space="preserve">  Librarian I - Reference </t>
  </si>
  <si>
    <t>01-06-8111-0 Overtime - Other</t>
  </si>
  <si>
    <t>8107 - Other &gt;$14,000</t>
  </si>
  <si>
    <t>Cellular Phone</t>
  </si>
  <si>
    <t>Brush grinding</t>
  </si>
  <si>
    <t>South Station</t>
  </si>
  <si>
    <t>Central Station</t>
  </si>
  <si>
    <t>State of NH dam registration - Stump Pond , Naticook Lake &amp; Meadowood Pond</t>
  </si>
  <si>
    <t>Irrigation maintenance - Matthew Thornton Monument, Vets &amp; Gibson Memorial</t>
  </si>
  <si>
    <t>Dumpster - Dumpster Town Hall (1) and Senior Center (1)</t>
  </si>
  <si>
    <t>Revaluation</t>
  </si>
  <si>
    <t>Regional: NH Chiefs, NE Chiefs, Souhegan Mutual Aid,  SMART, EMS Region II</t>
  </si>
  <si>
    <t>Shift overtime and coverage for training, court, sick, vacation, and holidays</t>
  </si>
  <si>
    <t>total</t>
  </si>
  <si>
    <t>Computer equipment- miscellaneous repair parts</t>
  </si>
  <si>
    <t>31-10-8510-0 Transfer To Other Funds</t>
  </si>
  <si>
    <t>Secretary - Community Development</t>
  </si>
  <si>
    <t xml:space="preserve">2012 Dewatering upgrade </t>
  </si>
  <si>
    <t>2012 Dewatering upgrade</t>
  </si>
  <si>
    <t>2010 Sewer Interceptor</t>
  </si>
  <si>
    <t>2014-15</t>
  </si>
  <si>
    <t>01-05-8506 Communications Equipment</t>
  </si>
  <si>
    <t>01-07-8359-0 Other Outside Services</t>
  </si>
  <si>
    <t>01-09-8230 Postage</t>
  </si>
  <si>
    <t>01-15-8334-0 Maintenance-Office Equipment</t>
  </si>
  <si>
    <t>01-16-8107-0 P/T Wages</t>
  </si>
  <si>
    <t>01-21-8458-0 Milfoil Treatment Program</t>
  </si>
  <si>
    <t>Expenditures not otherwise classified</t>
  </si>
  <si>
    <t>Building Improvements or Major Repairs</t>
  </si>
  <si>
    <t>01-07-8270-0 Dues &amp; Fees</t>
  </si>
  <si>
    <t>American Public Works Association</t>
  </si>
  <si>
    <t>AFSCME - uniform service</t>
  </si>
  <si>
    <t>Professional and safety training sessions</t>
  </si>
  <si>
    <t>01-02-8125-0 Social Security</t>
  </si>
  <si>
    <t>13</t>
  </si>
  <si>
    <t>Electrical Service &amp; Repairs (Bise Field and Reeds Ferry Field)</t>
  </si>
  <si>
    <t xml:space="preserve">   Seeding (30% Coverage Rate)</t>
  </si>
  <si>
    <t>Secretary (Building)</t>
  </si>
  <si>
    <t>Secretary (Planning &amp; Zoning)</t>
  </si>
  <si>
    <t>01-04-8136-0 Unemployment Compensation</t>
  </si>
  <si>
    <t>Portable toilets at parks</t>
  </si>
  <si>
    <t xml:space="preserve">   Sod</t>
  </si>
  <si>
    <t>01-16-8230-0 Postage</t>
  </si>
  <si>
    <t>01-03-8136-0 Unemployment Compensation</t>
  </si>
  <si>
    <t>Nashua Regional Planning Commission</t>
  </si>
  <si>
    <t>01-13-8133-0 Life Insurance</t>
  </si>
  <si>
    <t>01-13-8134-0 Disability Insurance</t>
  </si>
  <si>
    <t>01-13-8135-0 Workers Compensation</t>
  </si>
  <si>
    <t>01-13-8300-0 Travel &amp; Meetings</t>
  </si>
  <si>
    <t>Assistant Communications Supervisor</t>
  </si>
  <si>
    <t>Employee recognition programs</t>
  </si>
  <si>
    <t>Technology Resource Coordinator - conferences</t>
  </si>
  <si>
    <t>01-05-8107-0 Wages - Part-Time</t>
  </si>
  <si>
    <t>32-32-8135-0 Workers Compensation</t>
  </si>
  <si>
    <t>32-32-8136-0 Unemployment Compensation</t>
  </si>
  <si>
    <t>32-32-8203-0 Operating Supplies</t>
  </si>
  <si>
    <t>32-32-8359-0 Other Outside Services</t>
  </si>
  <si>
    <t>32-32-8420-0 Advertising</t>
  </si>
  <si>
    <t>32-32-8504-0 Office Equipment</t>
  </si>
  <si>
    <t>01-15-8359-0 Other Outside Services</t>
  </si>
  <si>
    <t>Background check reimbursement</t>
  </si>
  <si>
    <t>01-08-8348-0 Drainage Maintenance</t>
  </si>
  <si>
    <t>Highway garage, including Equipment Maintenance area</t>
  </si>
  <si>
    <t>01-08-8245-0 Sewer</t>
  </si>
  <si>
    <t>Public and Private School Fire Prevention Program</t>
  </si>
  <si>
    <t>Pagers - 2</t>
  </si>
  <si>
    <t>Certification renewals and exams</t>
  </si>
  <si>
    <t>ESRI Software Support (GIS)</t>
  </si>
  <si>
    <t>DMV records checks for new hires</t>
  </si>
  <si>
    <t>Septic pumping as needed</t>
  </si>
  <si>
    <t>01-21-8332-0 Maintenance-Vehicles</t>
  </si>
  <si>
    <t>Vehicle maintenance and repair including tires</t>
  </si>
  <si>
    <t>01-01-8271-0 Subscriptions</t>
  </si>
  <si>
    <t>State Health Officers Association dues</t>
  </si>
  <si>
    <t>Incentives</t>
  </si>
  <si>
    <t>Purchasing Agent/Accountant</t>
  </si>
  <si>
    <t>01-01-8125-0 Social Security</t>
  </si>
  <si>
    <t>8101</t>
  </si>
  <si>
    <t>8103 - Town Manager</t>
  </si>
  <si>
    <t>8107</t>
  </si>
  <si>
    <t>8111</t>
  </si>
  <si>
    <t>Ammunition, firearm repairs, range supplies, and taser cartridges</t>
  </si>
  <si>
    <t>Media Assistant Per diem</t>
  </si>
  <si>
    <t>Media Assistant</t>
  </si>
  <si>
    <t>NH Chief of Police conference</t>
  </si>
  <si>
    <t>Schools and seminars</t>
  </si>
  <si>
    <t>01-15-8135-0 Workers Compensation</t>
  </si>
  <si>
    <t>01-15-8136-0 Unemployment Compensation</t>
  </si>
  <si>
    <t>01-05-8132-0 Dental Insurance</t>
  </si>
  <si>
    <t>01-05-8133-0 Life Insurance</t>
  </si>
  <si>
    <t>01-05-8134-0 Disability Insurance</t>
  </si>
  <si>
    <t>01-05-8135-0 Workers Compensation</t>
  </si>
  <si>
    <t xml:space="preserve">   Chain link fence repairs</t>
  </si>
  <si>
    <t xml:space="preserve">   Herbicides and pesticides contractor</t>
  </si>
  <si>
    <t xml:space="preserve">   Field marking</t>
  </si>
  <si>
    <t xml:space="preserve">   Clay</t>
  </si>
  <si>
    <t>01-07-8125-0 Social Security</t>
  </si>
  <si>
    <t>01-07-8128-0 Retirement</t>
  </si>
  <si>
    <t>01-21-8125-0 Social Security</t>
  </si>
  <si>
    <t>01-21-8128-0 Retirement</t>
  </si>
  <si>
    <t>01-09-8212-0 Equipment Rental</t>
  </si>
  <si>
    <t>01-09-8220-0 Printing</t>
  </si>
  <si>
    <t>01-09-8241-0 Electricity</t>
  </si>
  <si>
    <t>01-09-8250-0 Vehicle Fuel</t>
  </si>
  <si>
    <t>Emergencies, and coverage for sick, vacation,</t>
  </si>
  <si>
    <t>Road paving and minor reconstruction</t>
  </si>
  <si>
    <t>01-03-8134-0 Disability Insurance</t>
  </si>
  <si>
    <t>Uniform allowance - Dispatchers</t>
  </si>
  <si>
    <t>01-21-8260-0 Telephone</t>
  </si>
  <si>
    <t>Cellular telephones</t>
  </si>
  <si>
    <t>31-10-8244-0 Water</t>
  </si>
  <si>
    <t>Security monitoring</t>
  </si>
  <si>
    <t>01-03-8203-0 Operating Supplies</t>
  </si>
  <si>
    <t>Public notices</t>
  </si>
  <si>
    <t>01-16-8204-0 Uniforms</t>
  </si>
  <si>
    <t>Uniform allowance - Assistant Comm Supervisor</t>
  </si>
  <si>
    <t>01-05-8220-0 Printing</t>
  </si>
  <si>
    <t>Laboratory services</t>
  </si>
  <si>
    <t>Non-union</t>
  </si>
  <si>
    <t>Union - others</t>
  </si>
  <si>
    <t>Full-time</t>
  </si>
  <si>
    <t>01-21-8351-0 Consultants</t>
  </si>
  <si>
    <t>Employee cost sharing Non Union 10%</t>
  </si>
  <si>
    <t>Deputy Town Clerk/Tax Collector</t>
  </si>
  <si>
    <t>Human Resources Coordinator - seminars and criminal records check</t>
  </si>
  <si>
    <t>Executive Secretary - seminars and conferences</t>
  </si>
  <si>
    <t>Program and craft supplies</t>
  </si>
  <si>
    <t>01-15-8230-0 Postage</t>
  </si>
  <si>
    <t>Actual</t>
  </si>
  <si>
    <t>Budget</t>
  </si>
  <si>
    <t>Operations Manager</t>
  </si>
  <si>
    <t>Highway Foreman/Inspector</t>
  </si>
  <si>
    <t>01-16-8201-0 Office Supplies</t>
  </si>
  <si>
    <t>01-16-8203-0 Operating Supplies</t>
  </si>
  <si>
    <t>01-07-8103-0 Wages - Supervisory</t>
  </si>
  <si>
    <t>Public Works Director</t>
  </si>
  <si>
    <t>Maintenance Manager</t>
  </si>
  <si>
    <t>31-10-8504-0 Office Equipment</t>
  </si>
  <si>
    <t>Fire Alarm System Annual Test</t>
  </si>
  <si>
    <t xml:space="preserve">No. of </t>
  </si>
  <si>
    <t>non-union</t>
  </si>
  <si>
    <t>Call personnel</t>
  </si>
  <si>
    <t>Request</t>
  </si>
  <si>
    <t>Computer equipment</t>
  </si>
  <si>
    <t>Sewer Fund</t>
  </si>
  <si>
    <t>01-01-8142-0 Compensated Absences</t>
  </si>
  <si>
    <t>Proposed</t>
  </si>
  <si>
    <t xml:space="preserve">  Total</t>
  </si>
  <si>
    <t>01-01-8201-0 Office Supplies</t>
  </si>
  <si>
    <t>Large print books</t>
  </si>
  <si>
    <t>01-15-8460-0 Other Operating Expenses</t>
  </si>
  <si>
    <t>01-08-8460-0 Other Operating Expenses</t>
  </si>
  <si>
    <t>01-15-8502-0 Buildings</t>
  </si>
  <si>
    <t>01-05-8103-0 Wages - Supervisory</t>
  </si>
  <si>
    <t>Back-up media for imaging system</t>
  </si>
  <si>
    <t>8107 - part-time</t>
  </si>
  <si>
    <t>01-15-8201-0 Office Supplies</t>
  </si>
  <si>
    <t>MYA Building</t>
  </si>
  <si>
    <t>01-13-8244-0 Water</t>
  </si>
  <si>
    <t>Nominal amount to provide an appropriation should the issuance of</t>
  </si>
  <si>
    <t>tax anticipation notes become necessary</t>
  </si>
  <si>
    <t>01-21-8504-0 Office Equipment</t>
  </si>
  <si>
    <t>01-25-8493-0 Insurance</t>
  </si>
  <si>
    <t>01-25-8494-0 Burials</t>
  </si>
  <si>
    <t>01-27-8601-0 Interest-TAN</t>
  </si>
  <si>
    <t>01-03-8332-0 Maintenance-Vehicles</t>
  </si>
  <si>
    <t>01-03-8334-0 Maintenance-Office Equipment</t>
  </si>
  <si>
    <t>01-03-8336-0 Maintenance-Other</t>
  </si>
  <si>
    <t>01-03-8352-0 Education &amp; Training</t>
  </si>
  <si>
    <t>Carpet cleaning</t>
  </si>
  <si>
    <t>Finance Director - seminars and conferences</t>
  </si>
  <si>
    <t>Purchasing Agent- conferences and seminars</t>
  </si>
  <si>
    <t>01-25-8399-0 Social &amp; Health Services</t>
  </si>
  <si>
    <t>Human Resource Coordinator</t>
  </si>
  <si>
    <t>Painting</t>
  </si>
  <si>
    <t>Plumbing repairs</t>
  </si>
  <si>
    <t>Miscellaneous repairs</t>
  </si>
  <si>
    <t>8104 - full-time</t>
  </si>
  <si>
    <t>8107 - full-time</t>
  </si>
  <si>
    <t>31-10-8135-0 Workers Compensation</t>
  </si>
  <si>
    <t>01-03-8135-0 Workers Compensation</t>
  </si>
  <si>
    <t>01-09-8321-0 Maintenance-Buildings</t>
  </si>
  <si>
    <t>01-08-8321-0 Maintenance-Buildings</t>
  </si>
  <si>
    <t>Highway - fire alarm system, furnace, plumbing, electrical,</t>
  </si>
  <si>
    <t>8104 - part-time &gt;$14,000</t>
  </si>
  <si>
    <t>8104 - Others</t>
  </si>
  <si>
    <t>Severance pay re: terminating employees of all departments:</t>
  </si>
  <si>
    <t>Copier paper, computer paper, software, and other office supplies</t>
  </si>
  <si>
    <t>Martel Field</t>
  </si>
  <si>
    <t>Reeds Ferry Field</t>
  </si>
  <si>
    <t>Veterans Park</t>
  </si>
  <si>
    <t>Cellular telephone</t>
  </si>
  <si>
    <t>Telephone system maintenance</t>
  </si>
  <si>
    <t>Full-time employees - Union</t>
  </si>
  <si>
    <t>Full-time employees - Non Union</t>
  </si>
  <si>
    <t>Recording Elderly/Disabled Liens</t>
  </si>
  <si>
    <t>Mileage to NH Local Welfare Administrators Association meetings</t>
  </si>
  <si>
    <t>Assistant Planner</t>
  </si>
  <si>
    <t>01-02-8104-0 Wages - Other Full-Time</t>
  </si>
  <si>
    <t>16</t>
  </si>
  <si>
    <t>Equipment Maintenance</t>
  </si>
  <si>
    <t>17</t>
  </si>
  <si>
    <t>Buildings &amp; Grounds</t>
  </si>
  <si>
    <t>21</t>
  </si>
  <si>
    <t>Community Development</t>
  </si>
  <si>
    <t>24</t>
  </si>
  <si>
    <t>25</t>
  </si>
  <si>
    <t>Welfare</t>
  </si>
  <si>
    <t>27</t>
  </si>
  <si>
    <t>Council</t>
  </si>
  <si>
    <t xml:space="preserve">  Nursery stock</t>
  </si>
  <si>
    <t xml:space="preserve">  Loam and mulch</t>
  </si>
  <si>
    <t>Stationery and presentation folders</t>
  </si>
  <si>
    <t>Other</t>
  </si>
  <si>
    <t>01-01-8230-0 Postage</t>
  </si>
  <si>
    <t>Postage</t>
  </si>
  <si>
    <t>Postage meter rental</t>
  </si>
  <si>
    <t>01-01-8260-0 Telephone</t>
  </si>
  <si>
    <t>Postage and shipping charges</t>
  </si>
  <si>
    <t>Mailing of public notices and general correspondence</t>
  </si>
  <si>
    <t>Administrative Assessor</t>
  </si>
  <si>
    <t>Computer Equipment Capital Reserve Fund</t>
  </si>
  <si>
    <t>Property Insurance Deductible Trust Fund</t>
  </si>
  <si>
    <t>Merrimack Village District (water, Hydrant Charges)</t>
  </si>
  <si>
    <t>Gasoline</t>
  </si>
  <si>
    <t>8102 (Clerical)</t>
  </si>
  <si>
    <t>8103 (Supervisory)</t>
  </si>
  <si>
    <t>8104 Firefighter/EMT)</t>
  </si>
  <si>
    <t>8107 - (Per-diem EMT)</t>
  </si>
  <si>
    <t>01-02-8132-0 Dental Insurance</t>
  </si>
  <si>
    <t>01-01-8104-0 Wages - Other Full-Time</t>
  </si>
  <si>
    <t>01-01-8136-0 Unemployment Compensation</t>
  </si>
  <si>
    <t>01-13-8136-0 Unemployment Compensation</t>
  </si>
  <si>
    <t>01-13-8201-0 Office Supplies</t>
  </si>
  <si>
    <t>Landscaping</t>
  </si>
  <si>
    <t>31-10-8202-0 Maintenance Supplies</t>
  </si>
  <si>
    <t>Hardware and plumbing supplies</t>
  </si>
  <si>
    <t>31-10-8203-0 Operating Supplies</t>
  </si>
  <si>
    <t>Water Environmental Federation</t>
  </si>
  <si>
    <t>NEBRA</t>
  </si>
  <si>
    <t>Voted</t>
  </si>
  <si>
    <t>Teamsters</t>
  </si>
  <si>
    <t>Full-time employees - Teamster</t>
  </si>
  <si>
    <t>Teamster</t>
  </si>
  <si>
    <t>Police Chief</t>
  </si>
  <si>
    <t>01-07-8136-0 Unemployment Compensation</t>
  </si>
  <si>
    <t>01-07-8201-0 Office Supplies</t>
  </si>
  <si>
    <t>Miscellaneous supplies</t>
  </si>
  <si>
    <t>31-10-8241-0 Electricity</t>
  </si>
  <si>
    <t>Main plant</t>
  </si>
  <si>
    <t>01-02-8359-0 Other Outside Services</t>
  </si>
  <si>
    <t>Mapping maintenance</t>
  </si>
  <si>
    <t>Contractual Assessor services</t>
  </si>
  <si>
    <t>31-10-8245-0 Sewer</t>
  </si>
  <si>
    <t>01-07-8220-0 Printing</t>
  </si>
  <si>
    <t>01-04-8131-0 Health Insurance</t>
  </si>
  <si>
    <t>Polling place rental</t>
  </si>
  <si>
    <t>Overhead Door Maintenance Repair/Agreement</t>
  </si>
  <si>
    <t>Boots, Gloves, Helmets, and SCBA/SABA Masks</t>
  </si>
  <si>
    <t>Bedding and linen service (Union Contract)</t>
  </si>
  <si>
    <t>Public Notification Door Forms</t>
  </si>
  <si>
    <t>Reed's Ferry Station</t>
  </si>
  <si>
    <t>31-10-8205-0 Laboratory Supplies</t>
  </si>
  <si>
    <t>31-10-8212-0 Equipment Rental</t>
  </si>
  <si>
    <t>01-24-8201-0 Office Supplies</t>
  </si>
  <si>
    <t>Calculators</t>
  </si>
  <si>
    <t>Valuation books</t>
  </si>
  <si>
    <t>01-24-8220-0 Printing</t>
  </si>
  <si>
    <t>Stationery and billing forms</t>
  </si>
  <si>
    <t>01-24-8230-0 Postage</t>
  </si>
  <si>
    <t xml:space="preserve">  Emergency Medical Technician-Paramedic</t>
  </si>
  <si>
    <t>International Association of Arson Investigators</t>
  </si>
  <si>
    <t>CLIA waiver State of New Hampshire Medical</t>
  </si>
  <si>
    <t>01-01-8408-0 Agricultural Committee</t>
  </si>
  <si>
    <t>Farm Bureau membership                                                          </t>
  </si>
  <si>
    <t>Sprinkler System Annual test</t>
  </si>
  <si>
    <t>2010-11</t>
  </si>
  <si>
    <t>Hats and shirts for identification and safety</t>
  </si>
  <si>
    <t>01-04-8242-0 Natural Gas</t>
  </si>
  <si>
    <t>01-13-8242-0 Natural Gas</t>
  </si>
  <si>
    <t>01-17-8242-0 Natural Gas</t>
  </si>
  <si>
    <t>31-10-8242-0 Natural Gas</t>
  </si>
  <si>
    <t>01-21-8103-0 Wages - Supervisory</t>
  </si>
  <si>
    <t>Community Development Director</t>
  </si>
  <si>
    <t>Planning/Zoning Administrator</t>
  </si>
  <si>
    <t>Building/Health Official</t>
  </si>
  <si>
    <t>Special mailings</t>
  </si>
  <si>
    <t>01-15-8242-0 Natural Gas</t>
  </si>
  <si>
    <t>01-04-8430-0 Dog Pound</t>
  </si>
  <si>
    <t>Keystone - shelter and chemical dependency counseling</t>
  </si>
  <si>
    <t>31-10-8420-0 Advertising</t>
  </si>
  <si>
    <t xml:space="preserve"> </t>
  </si>
  <si>
    <t>01-01-8107-0 Wages - Part-Time</t>
  </si>
  <si>
    <t>Secretary</t>
  </si>
  <si>
    <t>Young adult programs</t>
  </si>
  <si>
    <t xml:space="preserve">  Souhegan River water quality monitoring</t>
  </si>
  <si>
    <t xml:space="preserve">  Lay lake monitoring</t>
  </si>
  <si>
    <t xml:space="preserve">  Total Conservation Commission</t>
  </si>
  <si>
    <t>Electrical repairs</t>
  </si>
  <si>
    <t>01-13-8373-0 Memorial Day</t>
  </si>
  <si>
    <t>Memorial Day parade and wreaths for graves</t>
  </si>
  <si>
    <t>01-21-8460-0 Misc.</t>
  </si>
  <si>
    <t>01-13-8504-0 Office Equipment</t>
  </si>
  <si>
    <t>01-01-8103-0 Wages - Supervisory</t>
  </si>
  <si>
    <t>Town Manager</t>
  </si>
  <si>
    <t>Transfer to Athletic Field Capital Reserve Fund</t>
  </si>
  <si>
    <t>01-15-8103-0 Wages - Supervisory</t>
  </si>
  <si>
    <t>Director</t>
  </si>
  <si>
    <t>01-15-8352-0 Education &amp; Training</t>
  </si>
  <si>
    <t>Copier paper and toner, computer paper and supplies, and miscellaneous</t>
  </si>
  <si>
    <t>Bus transportation to Nashua for elderly and disabled</t>
  </si>
  <si>
    <t>Full-time employees</t>
  </si>
  <si>
    <t>01-24-8125-0 Social Security</t>
  </si>
  <si>
    <t>01-09-8260-0 Telephone</t>
  </si>
  <si>
    <t>01-09-8270-0 Dues &amp; Fees</t>
  </si>
  <si>
    <t>01-09-8280-0 General Insurance</t>
  </si>
  <si>
    <t>01-09-8300-0 Travel &amp; Meetings</t>
  </si>
  <si>
    <t>01-09-8334-0 Maintenance-Office Equipment</t>
  </si>
  <si>
    <t>01-15-8321-0 Maintenance-Buildings</t>
  </si>
  <si>
    <t>Elevator maintenance</t>
  </si>
  <si>
    <t>Heating system maintenance</t>
  </si>
  <si>
    <t>Brochures, flyers, stationery, and forms</t>
  </si>
  <si>
    <t>General litigation and valuation appeals</t>
  </si>
  <si>
    <t>NH Local Welfare Administrators Association</t>
  </si>
  <si>
    <t>01-08-8333-0 Maintenance-Vehicles</t>
  </si>
  <si>
    <t>01-16-8508-0 Operating Equipment</t>
  </si>
  <si>
    <t>31-10-8359-0 Other Outside Services</t>
  </si>
  <si>
    <t>Wastewater testing required by federal and state agencies</t>
  </si>
  <si>
    <t>31-10-8381-0 Sewer Maintenance</t>
  </si>
  <si>
    <t>Replacement frames and covers</t>
  </si>
  <si>
    <t>01-08-8386-0 Bridge Repairs</t>
  </si>
  <si>
    <t>Secretary I</t>
  </si>
  <si>
    <t>Legal fees</t>
  </si>
  <si>
    <t>Parks &amp; Recreation Director</t>
  </si>
  <si>
    <t>8103- Parks &amp; recreation Director</t>
  </si>
  <si>
    <t>01-01-8143-0 EMPLOYEE INCENTIVES/Raises</t>
  </si>
  <si>
    <t>Code Enforcement</t>
  </si>
  <si>
    <t>Book binding of permanent records, mortgage search, and recording and</t>
  </si>
  <si>
    <t>01-15-8504-0 Office Equipment</t>
  </si>
  <si>
    <t>Executive Secretary</t>
  </si>
  <si>
    <t>01-03-8103-0 Wages - Supervisory</t>
  </si>
  <si>
    <t>Fire Chief</t>
  </si>
  <si>
    <t>Assistant Chief</t>
  </si>
  <si>
    <t>Captain</t>
  </si>
  <si>
    <t>Lieutenant</t>
  </si>
  <si>
    <t>Diesel fuel for repairs, pressure washer, and other equipment</t>
  </si>
  <si>
    <t>Electronics</t>
  </si>
  <si>
    <t xml:space="preserve">  Town contribution</t>
  </si>
  <si>
    <t>01-01-8410-0 Elections/Voter Registration</t>
  </si>
  <si>
    <t>Wages:</t>
  </si>
  <si>
    <t xml:space="preserve">  Total wages</t>
  </si>
  <si>
    <t>Social security - 7.65%</t>
  </si>
  <si>
    <t>31-10-8107-0 Wages - Part-Time</t>
  </si>
  <si>
    <t>Pavement markings</t>
  </si>
  <si>
    <t>31-10-8351-0 Consultants</t>
  </si>
  <si>
    <t>Assessing</t>
  </si>
  <si>
    <t>03</t>
  </si>
  <si>
    <t>Fire</t>
  </si>
  <si>
    <t>04</t>
  </si>
  <si>
    <t>Police</t>
  </si>
  <si>
    <t>01-15-8134-0 Disability Insurance</t>
  </si>
  <si>
    <t>01-25-8260-0 Telephone</t>
  </si>
  <si>
    <t>01-24-8334-0 Maintenance-Office Equipment</t>
  </si>
  <si>
    <t>01-21-8203-0 Operating Supplies</t>
  </si>
  <si>
    <t>Film, minor testing equipment, and miscellaneous supplies</t>
  </si>
  <si>
    <t>01-13-8376-0 Senior Citizens</t>
  </si>
  <si>
    <t>Senior excursions</t>
  </si>
  <si>
    <t>01-13-8377-0 Adult Community Center</t>
  </si>
  <si>
    <t>01-21-8133-0 Life Insurance</t>
  </si>
  <si>
    <t>01-21-8134-0 Disability Insurance</t>
  </si>
  <si>
    <t>01-21-8135-0 Workers Compensation</t>
  </si>
  <si>
    <t>8104 - Building Inspector</t>
  </si>
  <si>
    <t>01-21-8136-0 Unemployment Compensation</t>
  </si>
  <si>
    <t>01-21-8201-0 Office Supplies</t>
  </si>
  <si>
    <t>Sub Total</t>
  </si>
  <si>
    <t>01-16-8136-0 Unemployment Compensation</t>
  </si>
  <si>
    <t xml:space="preserve">  training, sick, vacation, court, and holidays</t>
  </si>
  <si>
    <t>Justice of the Peace</t>
  </si>
  <si>
    <t>Ballots and memory pack programming</t>
  </si>
  <si>
    <t>Grand total</t>
  </si>
  <si>
    <t>NHMA Annual Conference</t>
  </si>
  <si>
    <t>01-21-8420-0 Advertising</t>
  </si>
  <si>
    <t>Patrolman</t>
  </si>
  <si>
    <t>MYA Building and outdoor lighting</t>
  </si>
  <si>
    <t>Regional Solid Waste District</t>
  </si>
  <si>
    <t>Council (7)</t>
  </si>
  <si>
    <t>Total * includes $3,500 from Library Trustees</t>
  </si>
  <si>
    <t>Seminars, meetings, and conferences</t>
  </si>
  <si>
    <t>Dispatchers Part-time</t>
  </si>
  <si>
    <t>01-03-8107-0 Wages - Part-Time</t>
  </si>
  <si>
    <t>Dumpsters</t>
  </si>
  <si>
    <t>01-04-8204-0 Uniforms</t>
  </si>
  <si>
    <t>Police officers - non-union</t>
  </si>
  <si>
    <t>Police officers - AFSCME 93</t>
  </si>
  <si>
    <t>01-15-8280-0 General Insurance</t>
  </si>
  <si>
    <t>8103 - Secretary/Scale Operator</t>
  </si>
  <si>
    <t>01-08-8270-0 Dues &amp; Fees</t>
  </si>
  <si>
    <t>Pickup truck and sedan - unleaded gasoline</t>
  </si>
  <si>
    <t>01-21-8104-0 Wages - Other Full-Time</t>
  </si>
  <si>
    <t>Janitorial supplies, tools, hardware, and other supplies</t>
  </si>
  <si>
    <t>St. John Neumann Food Pantry &amp; Outreach</t>
  </si>
  <si>
    <t>2006-07</t>
  </si>
  <si>
    <t>Scheduled overtime for construction projects, pavement markings,</t>
  </si>
  <si>
    <t>Unscheduled overtime during winter for snow plowing, sanding,</t>
  </si>
  <si>
    <t xml:space="preserve">  salting, drainage problems, and fallen tree limb removal</t>
  </si>
  <si>
    <t xml:space="preserve">  drainage projects, elections, and other activities</t>
  </si>
  <si>
    <t>01-25-8352-0 Education &amp; Training</t>
  </si>
  <si>
    <t>01-25-8359-0 Other Outside Services</t>
  </si>
  <si>
    <t>8111 - NHRS</t>
  </si>
  <si>
    <t>Copier - Finance</t>
  </si>
  <si>
    <t>Fax</t>
  </si>
  <si>
    <t>01-21-8131-0 Health Insurance</t>
  </si>
  <si>
    <t>01-21-8132-0 Dental Insurance</t>
  </si>
  <si>
    <t>Seminars and meetings</t>
  </si>
  <si>
    <t>Employee recruitment ads</t>
  </si>
  <si>
    <t>01-09-8103-0 Wages - Supervisory</t>
  </si>
  <si>
    <t>01-09-8104-0 Wages - Other Full-Time</t>
  </si>
  <si>
    <t>01-09-8105-0 Overtime-Supervisory</t>
  </si>
  <si>
    <t>01-03-8260-0 Telephone</t>
  </si>
  <si>
    <t>General office supplies</t>
  </si>
  <si>
    <t>Library supplies</t>
  </si>
  <si>
    <t>01-03-8420-0 Advertising</t>
  </si>
  <si>
    <t>01-03-8459-0 Physical Exams</t>
  </si>
  <si>
    <t>01-03-8502-0 Buildings</t>
  </si>
  <si>
    <t>01-01-8334-0 Maintenance-Office Equipment</t>
  </si>
  <si>
    <t>Town Manager - conferences</t>
  </si>
  <si>
    <t>01-17-8502-0 Buildings</t>
  </si>
  <si>
    <t>01-05-8104-0 Wages - Other Full-Time</t>
  </si>
  <si>
    <t xml:space="preserve">    Merrimack River Watershed Council</t>
  </si>
  <si>
    <t>Repair of fire equipment and maintenance of</t>
  </si>
  <si>
    <t>Ground Ladder Testing (Annual)</t>
  </si>
  <si>
    <t>Replacement parts, contractual services, and supplies</t>
  </si>
  <si>
    <t>01-09-8335-0 Maintenance-Communications Equip</t>
  </si>
  <si>
    <t xml:space="preserve">  Chain link fence repairs</t>
  </si>
  <si>
    <t xml:space="preserve">  Field marking</t>
  </si>
  <si>
    <t xml:space="preserve">  Bases</t>
  </si>
  <si>
    <t>01-08-8105-0 Overtime - Supervisory</t>
  </si>
  <si>
    <t>Tolls - unmarked vehicles</t>
  </si>
  <si>
    <t>01-04-8332-0 Maintenance-Vehicles</t>
  </si>
  <si>
    <t>Scheduled and unscheduled maintenance and tires</t>
  </si>
  <si>
    <t>01-08-8133-0 Life Insurance</t>
  </si>
  <si>
    <t>2009-10</t>
  </si>
  <si>
    <t>Increase (decrease)</t>
  </si>
  <si>
    <t>01-24-8103-0 Wages - Supervisory</t>
  </si>
  <si>
    <t>Outside Detail - Police</t>
  </si>
  <si>
    <t>Outside Detail - Fire</t>
  </si>
  <si>
    <t>Transfer to Communication Equipment Capital Reserve Fund</t>
  </si>
  <si>
    <t>Transfer to Fire Equipment Capital Reserve Fund</t>
  </si>
  <si>
    <t>8107 - Maintenance I</t>
  </si>
  <si>
    <t>01-24-8135-0 Workers Compensation</t>
  </si>
  <si>
    <t>Computer equipment (repairs)</t>
  </si>
  <si>
    <t>Dumpster Contract Station 2</t>
  </si>
  <si>
    <t>Department Infrastructure Maintenance</t>
  </si>
  <si>
    <t>01-09-8111-0 Overtime - Other</t>
  </si>
  <si>
    <t>01-09-8125-0 Social Security</t>
  </si>
  <si>
    <t>01-09-8128-0 Retirement</t>
  </si>
  <si>
    <t>01-09-8131-0 Health Insurance</t>
  </si>
  <si>
    <t>01-09-8132-0 Dental Insurance</t>
  </si>
  <si>
    <t>01-09-8133-0 Life Insurance</t>
  </si>
  <si>
    <t>01-09-8134-0 Disability Insurance</t>
  </si>
  <si>
    <t>01-09-8135-0 Workers Compensation</t>
  </si>
  <si>
    <t>01-09-8136-0 Unemployment Compensation</t>
  </si>
  <si>
    <t>Heritage Fund:</t>
  </si>
  <si>
    <t>Herbicide contractor</t>
  </si>
  <si>
    <t>Street sweeping</t>
  </si>
  <si>
    <t>01-08-8361-0 Street Lights</t>
  </si>
  <si>
    <t>Current street lights:</t>
  </si>
  <si>
    <t>01-13-8204-0 Uniforms</t>
  </si>
  <si>
    <t>01-15-8450-0 Library Materials</t>
  </si>
  <si>
    <t>01-06-8334-0 Maintenance-Office Equipment</t>
  </si>
  <si>
    <t>01-06-8504-0 Office Equipment</t>
  </si>
  <si>
    <t xml:space="preserve">  Substitute coverage</t>
  </si>
  <si>
    <t>01-15-8107-0 Wages - Custodial</t>
  </si>
  <si>
    <t>01-04-8107-0 Wages - Part-Time</t>
  </si>
  <si>
    <t>01-04-8103-0 Wages - Supervisory</t>
  </si>
  <si>
    <t>20-03-8432-0 Outside Details/EMS Coverage</t>
  </si>
  <si>
    <t>20-04-8432-0 Outside Details</t>
  </si>
  <si>
    <t>20-04</t>
  </si>
  <si>
    <t>20-03</t>
  </si>
  <si>
    <t>20-13</t>
  </si>
  <si>
    <t>38-15</t>
  </si>
  <si>
    <t xml:space="preserve">Library </t>
  </si>
  <si>
    <t>01-02-8300-0 Travel &amp; Meetings</t>
  </si>
  <si>
    <t>supplies</t>
  </si>
  <si>
    <t>Education &amp; training</t>
  </si>
  <si>
    <t>Finance Dept system maintenance and support</t>
  </si>
  <si>
    <t>01-01-8359-0 Other Outside Services</t>
  </si>
  <si>
    <t>Annual audit</t>
  </si>
  <si>
    <t>8104 - part-time &lt;$14,000</t>
  </si>
  <si>
    <t>Personnel services</t>
  </si>
  <si>
    <t>01-25-8334-0 Maintenance-Office Equipment</t>
  </si>
  <si>
    <t>Totals</t>
  </si>
  <si>
    <t>Hours</t>
  </si>
  <si>
    <t>Pay Rate</t>
  </si>
  <si>
    <t>Gallons</t>
  </si>
  <si>
    <t>$ Per Gal</t>
  </si>
  <si>
    <t>01-01-8407-0 Historic Preservation</t>
  </si>
  <si>
    <t>State of NH scale license</t>
  </si>
  <si>
    <t>Voters Guide and budget information booklets</t>
  </si>
  <si>
    <t xml:space="preserve">  Special projects</t>
  </si>
  <si>
    <t xml:space="preserve">Full-time employees </t>
  </si>
  <si>
    <t>Employee cost sharing 10%</t>
  </si>
  <si>
    <t>Officer Pay Call Division</t>
  </si>
  <si>
    <t>Seminars, meetings, conferences and CDL testing travel</t>
  </si>
  <si>
    <t>01-08-8242-0  Natural Gas</t>
  </si>
  <si>
    <t>Health Inspector</t>
  </si>
  <si>
    <t>All facilities, continuing scheduled maintenance: painting, roofs, woodrot etc</t>
  </si>
  <si>
    <t xml:space="preserve">Lake water quality tests </t>
  </si>
  <si>
    <t xml:space="preserve">Pickup truck </t>
  </si>
  <si>
    <t>Full time employees</t>
  </si>
  <si>
    <t>Postage machine and scale</t>
  </si>
  <si>
    <t>Northern New England Recreation Conference</t>
  </si>
  <si>
    <t>Fire Prevention Educational Material for Schools /Day Care (Private)</t>
  </si>
  <si>
    <t>Fire prevention Educational Material for Town Events (Expo etc.)</t>
  </si>
  <si>
    <t>Juvenile Fire Setter Educational Program (Legal System)</t>
  </si>
  <si>
    <t>Local Emergency Planning Committee (LEPC) (federal State Regulations)</t>
  </si>
  <si>
    <t>Janitorial supplies, lightbulbs</t>
  </si>
  <si>
    <t>Cable internet/VPN</t>
  </si>
  <si>
    <t>Building Inspector</t>
  </si>
  <si>
    <t>01-21-8107-0 Wages - Part-Time</t>
  </si>
  <si>
    <t>31-10-8250-0 Vehicle Fuel</t>
  </si>
  <si>
    <t>Meals</t>
  </si>
  <si>
    <t>01-09-8204-0 Uniforms</t>
  </si>
  <si>
    <t>Martel Field and Bise Field</t>
  </si>
  <si>
    <t>01-13-8241-0 Electricity</t>
  </si>
  <si>
    <t>01-03-8230-0 Postage</t>
  </si>
  <si>
    <t>Air conditioning maintenance</t>
  </si>
  <si>
    <t>File server and personal computer maintenance</t>
  </si>
  <si>
    <t xml:space="preserve">  Current service</t>
  </si>
  <si>
    <t>Janitorial supplies, light bulbs, tools, and miscellaneous hardware</t>
  </si>
  <si>
    <t>Social security</t>
  </si>
  <si>
    <t>Workers compensation</t>
  </si>
  <si>
    <t>Unemployment compensation</t>
  </si>
  <si>
    <t>01-01-8405-0 Nashua Transit System</t>
  </si>
  <si>
    <t>01-03-8406-0 Emergency Management</t>
  </si>
  <si>
    <t>Internet services</t>
  </si>
  <si>
    <t>01-03-8280-0 General Insurance</t>
  </si>
  <si>
    <t>01-24-8504-0 Office Equipment</t>
  </si>
  <si>
    <t>01-25-8107-0 Wages - Part-Time</t>
  </si>
  <si>
    <t>01-04-8321-0 Maintenance-Building</t>
  </si>
  <si>
    <t>Consulting services</t>
  </si>
  <si>
    <t>01-07-8131-0 Health Insurance</t>
  </si>
  <si>
    <t>01-21-8270-0 Dues &amp; Fees</t>
  </si>
  <si>
    <t>01-21-8393-0 Conservation</t>
  </si>
  <si>
    <t>Conservation Commission:</t>
  </si>
  <si>
    <t>01-08-8502-0 Buildings</t>
  </si>
  <si>
    <t>31-10-8311-0 Chemicals</t>
  </si>
  <si>
    <t>Polymer for belt filter press</t>
  </si>
  <si>
    <t>01-03-8331-0 Maintenance-Machinery</t>
  </si>
  <si>
    <t>01-13-8374-0 Recreation Programs</t>
  </si>
  <si>
    <t>Easter egg hunt</t>
  </si>
  <si>
    <t>Boot allowance - AFSCME</t>
  </si>
  <si>
    <t>Contingency for purchase of land</t>
  </si>
  <si>
    <t>Clothing allowance and boots</t>
  </si>
  <si>
    <t>31-10-8125-0 Social Security</t>
  </si>
  <si>
    <t>01-27-8604-0 Principal - Long-Term Debt</t>
  </si>
  <si>
    <t>Amount</t>
  </si>
  <si>
    <t>%</t>
  </si>
  <si>
    <t>01</t>
  </si>
  <si>
    <t>General Government</t>
  </si>
  <si>
    <t>02</t>
  </si>
  <si>
    <t>NH Town Clerk Seminar - all staff training</t>
  </si>
  <si>
    <t>01-25-8270-0 Dues &amp; Fees</t>
  </si>
  <si>
    <t>Wasserman Park trails, fencing, and rec areas</t>
  </si>
  <si>
    <t>31-10-8131-0 Health Insurance</t>
  </si>
  <si>
    <t>31-10-8132-0 Dental Insurance</t>
  </si>
  <si>
    <t>31-10-8133-0 Life Insurance</t>
  </si>
  <si>
    <t>01-16-8359-0 Other Outside Services</t>
  </si>
  <si>
    <t>01-25-8893-0 Crisis Funds</t>
  </si>
  <si>
    <t>31-10-8331-0 Maintenance-Machinery</t>
  </si>
  <si>
    <t>Legal notices and notices of vacancies, bids, and meetings</t>
  </si>
  <si>
    <t>Propane fuel: forklift and Bobcat loader</t>
  </si>
  <si>
    <t>Fax/modem line</t>
  </si>
  <si>
    <t xml:space="preserve">  releasing tax liens and deeds</t>
  </si>
  <si>
    <t>01-24-8420-0 Advertising</t>
  </si>
  <si>
    <t>Dog tags</t>
  </si>
  <si>
    <t>31-10-8134-0 Disability Insurance</t>
  </si>
  <si>
    <t>Balance as of</t>
  </si>
  <si>
    <t>01-04-8132-0 Dental Insurance</t>
  </si>
  <si>
    <t>01-04-8133-0 Life Insurance</t>
  </si>
  <si>
    <t>01-04-8134-0 Disability Insurance</t>
  </si>
  <si>
    <t>Operating supplies:</t>
  </si>
  <si>
    <t>01-25-8125-0 Social Security</t>
  </si>
  <si>
    <t>Welfare Administrator</t>
  </si>
  <si>
    <t>01-25-8135-0 Workers Compensation</t>
  </si>
  <si>
    <t>01-25-8136-0 Unemployment Compensation</t>
  </si>
  <si>
    <t>01-25-8201-0 Office Supplies</t>
  </si>
  <si>
    <t>Saturday shift premium - 8 hr X 52 wk X 4 employees</t>
  </si>
  <si>
    <t>Holiday pay - 7 days X 8 hr X 4 employees</t>
  </si>
  <si>
    <t>Town Council Adjustment</t>
  </si>
  <si>
    <t>Revenue, excluding Town grant</t>
  </si>
  <si>
    <t>32-32-8351-0 Consultants</t>
  </si>
  <si>
    <t>Office furniture</t>
  </si>
  <si>
    <t>Movie Licensing USA</t>
  </si>
  <si>
    <t>01-09-8370-0 Landfill Monitoring</t>
  </si>
  <si>
    <t>01-07-8300-0 Travel &amp; Meetings</t>
  </si>
  <si>
    <t>NH Tax Collector Seminar</t>
  </si>
  <si>
    <t xml:space="preserve">INCLUDED IN MUNICIPAL OPERATING BUDGET </t>
  </si>
  <si>
    <t>Bud. Expend.</t>
  </si>
  <si>
    <t>Balance *</t>
  </si>
  <si>
    <t>Est. Expend</t>
  </si>
  <si>
    <t xml:space="preserve"> Balance **</t>
  </si>
  <si>
    <t>Ambulance</t>
  </si>
  <si>
    <t>Athletic Fields</t>
  </si>
  <si>
    <t>Communications Equipment</t>
  </si>
  <si>
    <t>Computer Equipment</t>
  </si>
  <si>
    <t>Daniel Webster Highway</t>
  </si>
  <si>
    <t>Fire Equipment</t>
  </si>
  <si>
    <t>Highway Equipment</t>
  </si>
  <si>
    <t>Land Bank</t>
  </si>
  <si>
    <t>Library Building Maintenance Fund</t>
  </si>
  <si>
    <t>Playground Equipment</t>
  </si>
  <si>
    <t>Property Revaluation</t>
  </si>
  <si>
    <t>Road Improvements</t>
  </si>
  <si>
    <t xml:space="preserve">Fire Station Improvements </t>
  </si>
  <si>
    <t>Traffic Signal Pre-emption</t>
  </si>
  <si>
    <t>Road Infrastructure CRF</t>
  </si>
  <si>
    <t xml:space="preserve">Sewer Infrastructure Improvements </t>
  </si>
  <si>
    <t>Operating budget</t>
  </si>
  <si>
    <t>01-03-8335-0 Maintenance-Communications Equipment</t>
  </si>
  <si>
    <t>01-04-8230-0 Postage</t>
  </si>
  <si>
    <t>01-08-8104-0 Wages - Other Full-Time</t>
  </si>
  <si>
    <t xml:space="preserve">  vacation/sick time coverage by Highway</t>
  </si>
  <si>
    <t>8103 - Foreman/Supervisor</t>
  </si>
  <si>
    <t xml:space="preserve"> Chief Operator and Maintenance Manager</t>
  </si>
  <si>
    <t>Contractual ambulance billing service</t>
  </si>
  <si>
    <t xml:space="preserve">  Water and sewer</t>
  </si>
  <si>
    <t>Dispatcher</t>
  </si>
  <si>
    <t>01-05-8105-0 Overtime-Supervisory</t>
  </si>
  <si>
    <t>01-15-8374-0 Programs</t>
  </si>
  <si>
    <t>On call Pay (winter 16 weeks X 7 days X1 hr)</t>
  </si>
  <si>
    <t>01-25-8483-0 Natural Gas Heat</t>
  </si>
  <si>
    <t>01-25-8484-0 Heating Oil and Kerosene</t>
  </si>
  <si>
    <t>Office Manager</t>
  </si>
  <si>
    <t>Account Clerk III</t>
  </si>
  <si>
    <t>Certified mail and shipping</t>
  </si>
  <si>
    <t>01-02-8250-0 Vehicle Fuel</t>
  </si>
  <si>
    <t>Unleaded fuel</t>
  </si>
  <si>
    <t>01-02-8260-0 Telephone</t>
  </si>
  <si>
    <t>Auto and liability insurance cost allocation</t>
  </si>
  <si>
    <t>01-25-8492-0 Santa Fund</t>
  </si>
  <si>
    <t>31-10-8103-0 Wages - Supervisory</t>
  </si>
  <si>
    <t>Chief Operator</t>
  </si>
  <si>
    <t>Laboratory Manager</t>
  </si>
  <si>
    <t>Portable toilets</t>
  </si>
  <si>
    <t>Pennichuck Square Pumping Station</t>
  </si>
  <si>
    <t>Burt Street Pumping Station</t>
  </si>
  <si>
    <t>Compost facility</t>
  </si>
  <si>
    <t>Net expenditures/Town grant</t>
  </si>
  <si>
    <t>Sedan repair and maintenance</t>
  </si>
  <si>
    <t>2011-12</t>
  </si>
  <si>
    <t>Electrical Repair</t>
  </si>
  <si>
    <t>Media Coordinator</t>
  </si>
  <si>
    <t>Assistant Media Coordinator</t>
  </si>
  <si>
    <t>32-32-8103-0 Wages - Supervisory</t>
  </si>
  <si>
    <t>32-32-8107-0 Wages - Part-Time</t>
  </si>
  <si>
    <t>32-32-8125-0 Social Security</t>
  </si>
  <si>
    <t>01-21-8352-0 Education &amp; Training</t>
  </si>
  <si>
    <t>Children's programs</t>
  </si>
  <si>
    <t>Children's materials</t>
  </si>
  <si>
    <t>01-13-8371-0 Merrimack Youth Association</t>
  </si>
  <si>
    <t>Soccer</t>
  </si>
  <si>
    <t>01-08-8107-0 Wages - Part-Time</t>
  </si>
  <si>
    <t>01-15-8353-0 Computer Services</t>
  </si>
  <si>
    <t>Football/Cheerleading</t>
  </si>
  <si>
    <t>Basketball</t>
  </si>
  <si>
    <t>Lacrosse</t>
  </si>
  <si>
    <t>Total expenditures</t>
  </si>
  <si>
    <t>Revenues, excluding Town grant</t>
  </si>
  <si>
    <t>Net expenditures</t>
  </si>
  <si>
    <t>01-08-8111-0 Overtime - Other</t>
  </si>
  <si>
    <t>Hydrant fees - fully offset by special assessments:</t>
  </si>
  <si>
    <t>01-07-8460-0 Other Operating Expenses</t>
  </si>
  <si>
    <t>01-07-8504-0 Office Equipment</t>
  </si>
  <si>
    <t>01-08-8102-0 Wages - Clerical</t>
  </si>
  <si>
    <t>Recording of plans</t>
  </si>
  <si>
    <t>01-08-8508-0 Operating Equipment</t>
  </si>
  <si>
    <t>01-08-8510-0 Capital Reserve Fund</t>
  </si>
  <si>
    <t>Maintenance of sprinklers and smoke detectors</t>
  </si>
  <si>
    <t>01-24-8102-0 Wages - Clerical</t>
  </si>
  <si>
    <t>Mailing of brochures, flyers, and general correspondence; and third-class</t>
  </si>
  <si>
    <t>Computer paper and supplies and miscellaneous office supplies</t>
  </si>
  <si>
    <t>01-05-8203-0 Operating Supplies</t>
  </si>
  <si>
    <t>Public notices and bid advertisements</t>
  </si>
  <si>
    <t>31-10-8460-0 Other Operating Expenses</t>
  </si>
  <si>
    <t>01-07-8133-0 Life Insurance</t>
  </si>
  <si>
    <t>01-07-8134-0 Disability Insurance</t>
  </si>
  <si>
    <t>01-07-8135-0 Workers Compensation</t>
  </si>
  <si>
    <t>31-10-8102-0 Wages-Clerical</t>
  </si>
  <si>
    <t>Infrastructure Upgrades / Installations</t>
  </si>
  <si>
    <t>Building Systems</t>
  </si>
  <si>
    <t>01-04-8335-0 Maintenance-Communications Equipment</t>
  </si>
  <si>
    <t>Radar units and radios</t>
  </si>
  <si>
    <t>01-13-8372-0 Fourth of July</t>
  </si>
  <si>
    <t>NESPIN</t>
  </si>
  <si>
    <t>01-07-8107-0 Wages - Part-Time</t>
  </si>
  <si>
    <t>Net</t>
  </si>
  <si>
    <t>DW Highway Capital Reserve Fund</t>
  </si>
  <si>
    <t>01-08-8382-0 Tree Service</t>
  </si>
  <si>
    <t>01-01-8504-0 Office Equipment</t>
  </si>
  <si>
    <t>2002 Greens Pond Bonds</t>
  </si>
  <si>
    <t>01-01-8111-0 Overtime - Other</t>
  </si>
  <si>
    <t>8104</t>
  </si>
  <si>
    <t>01-04-8334-0 Maintenance-Office Equipment</t>
  </si>
  <si>
    <t>Copiers</t>
  </si>
  <si>
    <t>32-32-8104-0 Wages - Other Full-Time</t>
  </si>
  <si>
    <t xml:space="preserve">  Building improvements</t>
  </si>
  <si>
    <t>Uniform cleaning</t>
  </si>
  <si>
    <t>Uniform patches</t>
  </si>
  <si>
    <t>01-04-8220-0 Printing</t>
  </si>
  <si>
    <t>Forms and stationery</t>
  </si>
  <si>
    <t>Highway</t>
  </si>
  <si>
    <t>09</t>
  </si>
  <si>
    <t>01-16-8103-0 Wages - Supervisory</t>
  </si>
  <si>
    <t>Foreman</t>
  </si>
  <si>
    <t>01-16-8104-0 Wages - Other Full-Time</t>
  </si>
  <si>
    <t>Merrimack Historical Society:</t>
  </si>
  <si>
    <t xml:space="preserve">  Electricity</t>
  </si>
  <si>
    <t xml:space="preserve">  Telephone</t>
  </si>
  <si>
    <t xml:space="preserve">  Heat</t>
  </si>
  <si>
    <t xml:space="preserve">  Insurance</t>
  </si>
  <si>
    <t xml:space="preserve">  Postage</t>
  </si>
  <si>
    <t>Short-term disability insurance</t>
  </si>
  <si>
    <t>2008-09</t>
  </si>
  <si>
    <t>01-05-8260-0 Telephone</t>
  </si>
  <si>
    <t>American Red Cross-disaster, blood, health &amp; safety education</t>
  </si>
  <si>
    <t>Recording Secretary – Planning/Zoning Boards</t>
  </si>
  <si>
    <t>Forms, Pamphlets, Stationery</t>
  </si>
  <si>
    <t>01-04-8104-0 Wages - Other Full-Time</t>
  </si>
  <si>
    <t>Patrol Sergeant</t>
  </si>
  <si>
    <t>Detective First</t>
  </si>
  <si>
    <t>Dues &amp; fees - state permit, ACA Annual Dues</t>
  </si>
  <si>
    <t>Janitorial &amp; Cleaning supplies</t>
  </si>
  <si>
    <t>8107- (Fire Inspector)</t>
  </si>
  <si>
    <t>01-03-8204-0 Uniforms, Personal Protective Clothing</t>
  </si>
  <si>
    <t>Fire Extinguisher Testing/Certification</t>
  </si>
  <si>
    <t xml:space="preserve">  EMT/Basic Class (EMS Volunteer Division)</t>
  </si>
  <si>
    <t xml:space="preserve">  Firefighter 1 (Call Fire Volunteer Division)</t>
  </si>
  <si>
    <t>01-04-8280-0 General Insurance</t>
  </si>
  <si>
    <t>01-04-8300-0 Travel &amp; Meetings</t>
  </si>
  <si>
    <t>Meetings</t>
  </si>
  <si>
    <t>NH Town Clerks Conference</t>
  </si>
  <si>
    <t>NH Tax Collectors Conference</t>
  </si>
  <si>
    <t>Tax collectors workshops</t>
  </si>
  <si>
    <t>Regional meetings</t>
  </si>
  <si>
    <t>Mileage for Town Clerk/Tax Collector</t>
  </si>
  <si>
    <t>01-09-8510-0 Capital Reserve Fund</t>
  </si>
  <si>
    <t>.</t>
  </si>
  <si>
    <t>ARL Fee</t>
  </si>
  <si>
    <t>Office Equipment</t>
  </si>
  <si>
    <t>01-16-8280-0 General Insurance</t>
  </si>
  <si>
    <t>01-16-8300-0 Travel &amp; Meetings</t>
  </si>
  <si>
    <t>01-02-8334-0 Maintenance-Office Equipment</t>
  </si>
  <si>
    <t>Copier</t>
  </si>
  <si>
    <t>Printers</t>
  </si>
  <si>
    <t>01-02-8352-0 Education &amp; Training</t>
  </si>
  <si>
    <t>Computer courses</t>
  </si>
  <si>
    <t>31-10-8230-0 Postage</t>
  </si>
  <si>
    <t>8102 - Full-time</t>
  </si>
  <si>
    <t>8106 - Full-time</t>
  </si>
  <si>
    <t>01-04-8201-0 Office Supplies</t>
  </si>
  <si>
    <t>Copier paper and toner</t>
  </si>
  <si>
    <t>Liability insurance cost allocation</t>
  </si>
  <si>
    <t>Subscriptions</t>
  </si>
  <si>
    <t>01-21-8280-0 General Insurance</t>
  </si>
  <si>
    <t>Liability and auto insurance</t>
  </si>
  <si>
    <t>01-21-8300-0 Travel &amp; Meetings</t>
  </si>
  <si>
    <t>Police station</t>
  </si>
  <si>
    <t>Bandstand</t>
  </si>
  <si>
    <t>01-17-8244-0 Water</t>
  </si>
  <si>
    <t>01-17-8245-0 Sewer</t>
  </si>
  <si>
    <t>01-17-8250-0 Vehicle Fuel</t>
  </si>
  <si>
    <t>01-17-8260-0 Telephone</t>
  </si>
  <si>
    <t>01-17-8280-0 General Insurance</t>
  </si>
  <si>
    <t>01-17-8321-0 Maintenance-Buildings</t>
  </si>
  <si>
    <t>Transfer to Playground Equipment Capital Reserve Fund</t>
  </si>
  <si>
    <t>01-07-8230-0 Postage</t>
  </si>
  <si>
    <t>31-10-8280-0 General Insurance</t>
  </si>
  <si>
    <t xml:space="preserve"> Cell Phone Fire Marshal</t>
  </si>
  <si>
    <t xml:space="preserve"> Cell Phone Fire Inspector</t>
  </si>
  <si>
    <t xml:space="preserve"> Cell Phone Building Official</t>
  </si>
  <si>
    <t xml:space="preserve"> Cell Phone Building Inspector</t>
  </si>
  <si>
    <t xml:space="preserve"> Cell Phone Health Officer</t>
  </si>
  <si>
    <t>State Agency permit fees (lab, air, compost, scale, hazwaste)</t>
  </si>
  <si>
    <t>NHWPCA and APWA memberships</t>
  </si>
  <si>
    <t>01-21-8220-0 Printing</t>
  </si>
  <si>
    <t>01-21-8230-0 Postage</t>
  </si>
  <si>
    <t>Hats and other identification apparel</t>
  </si>
  <si>
    <t>01-16-8250-0 Vehicle Fuel</t>
  </si>
  <si>
    <t>31-10-8352-0 Education &amp; Training</t>
  </si>
  <si>
    <t>01-03-8125-0 Social Security</t>
  </si>
  <si>
    <t>8102</t>
  </si>
  <si>
    <t>8105</t>
  </si>
  <si>
    <t>01-03-8128-0 Retirement</t>
  </si>
  <si>
    <t>8103 - NHRS</t>
  </si>
  <si>
    <t>8104 - NHRS</t>
  </si>
  <si>
    <t>8105 - NHRS</t>
  </si>
  <si>
    <t>01-16-8131-0 Health Insurance</t>
  </si>
  <si>
    <t>01-16-8132-0 Dental Insurance</t>
  </si>
  <si>
    <t>01-16-8133-0 Life Insurance</t>
  </si>
  <si>
    <t>AFSCME- boot allowance</t>
  </si>
  <si>
    <t>Collection agency - delinquent ambulance bills</t>
  </si>
  <si>
    <t>Wrestling</t>
  </si>
  <si>
    <t>Crime scene supplies</t>
  </si>
  <si>
    <t>Narcotic unit supplies</t>
  </si>
  <si>
    <t xml:space="preserve">  8104 - IAFF Contract</t>
  </si>
  <si>
    <t xml:space="preserve">  8103 - AFSCME 93 Contract</t>
  </si>
  <si>
    <t>NFPA Code subscription service - network version &amp; CD</t>
  </si>
  <si>
    <t>Fire Prevention Educational Material for Schools (Public)</t>
  </si>
  <si>
    <t>Sewer Line Extension</t>
  </si>
  <si>
    <t>01-13-8505-0  Infrastructure</t>
  </si>
  <si>
    <t>Nashua Soup Kitchen &amp; Shelter - basic needs and shelters</t>
  </si>
  <si>
    <t>St. Joseph's Community Services - elderly meals and services</t>
  </si>
  <si>
    <t>01-05-8111-0 Overtime - Other</t>
  </si>
  <si>
    <t>Shift overtime and coverage for vacations, sick leave,</t>
  </si>
  <si>
    <t>holidays, and training</t>
  </si>
  <si>
    <t>01-05-8125-0 Social Security</t>
  </si>
  <si>
    <t>01-17-8107-0 Wages - Part-Time</t>
  </si>
  <si>
    <t>01-17-8111-0 Overtime - Other</t>
  </si>
  <si>
    <t>Harbor Homes Shelter for Mental Health</t>
  </si>
  <si>
    <t>HIV/AIDS Task Force</t>
  </si>
  <si>
    <t>01-13-8322-0 Maintenance-Grounds</t>
  </si>
  <si>
    <t>01-17-8125-0 Social Security</t>
  </si>
  <si>
    <t>01-17-8128-0 Retirement</t>
  </si>
  <si>
    <t>01-17-8131-0 Health Insurance</t>
  </si>
  <si>
    <t>01-04-8102-0 Wages - Clerical</t>
  </si>
  <si>
    <t>Uniform service - AFSCME</t>
  </si>
  <si>
    <t>Dept</t>
  </si>
  <si>
    <t>Day Camp</t>
  </si>
  <si>
    <t>Sewer Fund Total</t>
  </si>
  <si>
    <t>CATV Fund</t>
  </si>
  <si>
    <t>Fire Protection Area Fund</t>
  </si>
  <si>
    <t>Warrant Articles:</t>
  </si>
  <si>
    <t>Warrant Article Total</t>
  </si>
  <si>
    <t>Total after Warrant Articles</t>
  </si>
  <si>
    <t>8103 - Planning/zoning</t>
  </si>
  <si>
    <t>Ambulance Garage</t>
  </si>
  <si>
    <t>06</t>
  </si>
  <si>
    <t>College courses and seminars - NEPBA</t>
  </si>
  <si>
    <t>01-01-8131-0 Health Insurance</t>
  </si>
  <si>
    <t>01-01-8132-0 Dental Insurance</t>
  </si>
  <si>
    <t>01-01-8133-0 Life Insurance</t>
  </si>
  <si>
    <t>01-01-8134-0 Disability Insurance</t>
  </si>
  <si>
    <t>01-13-8260-0 Telephone</t>
  </si>
  <si>
    <t>Lieutenants - shift overtime and coverage for</t>
  </si>
  <si>
    <t>01-03-8408-0 Rescue</t>
  </si>
  <si>
    <t>Highway garage</t>
  </si>
  <si>
    <t>Coordinator - subcontract</t>
  </si>
  <si>
    <t>Parts and contractual services</t>
  </si>
  <si>
    <t>Uniform allowance:</t>
  </si>
  <si>
    <t>01-03-8220-0 Printing</t>
  </si>
  <si>
    <t>01-04-8105-0 Overtime - Supervisory</t>
  </si>
  <si>
    <t>Other operating expenses</t>
  </si>
  <si>
    <t>Capital outlay</t>
  </si>
  <si>
    <t>Telephone cost allocation</t>
  </si>
  <si>
    <t>Holiday pay - Foreman: 8 hr X 7 days</t>
  </si>
  <si>
    <t>Holiday pay - Scale Operator: 8 hr X 7 days</t>
  </si>
  <si>
    <t>Other equipment</t>
  </si>
  <si>
    <t>01-25-8481-0 Housing (rent and mortgage payments)</t>
  </si>
  <si>
    <t>01-25-8482-0 Electricity</t>
  </si>
  <si>
    <t>01-25-8485-0 Vehicle fuel</t>
  </si>
  <si>
    <t>01-25-8486-0 Telephone</t>
  </si>
  <si>
    <t>01-25-8488-0 Food</t>
  </si>
  <si>
    <t>01-25-8489-0 Medical</t>
  </si>
  <si>
    <t>Safety supplies, tools, gloves, paint, chains, lumber,</t>
  </si>
  <si>
    <t>01-03-8241-0 Electricity</t>
  </si>
  <si>
    <t>Sludge grinder and channel grinder repairs</t>
  </si>
  <si>
    <t>01-03-8105-0 Overtime - Supervisory</t>
  </si>
  <si>
    <t>Excess sick leave purchase</t>
  </si>
  <si>
    <t>Chemical toilet service</t>
  </si>
  <si>
    <t>Tire removal</t>
  </si>
  <si>
    <t>Solid Waste Disposal</t>
  </si>
  <si>
    <t>10</t>
  </si>
  <si>
    <t>Wastewater Treatment</t>
  </si>
  <si>
    <t>01-25-8230-0 Postage</t>
  </si>
  <si>
    <t>Mailing of reports, notices, and general correspondence</t>
  </si>
  <si>
    <t>Personal services</t>
  </si>
  <si>
    <t>01-02-8270-0 Dues &amp; Fees</t>
  </si>
  <si>
    <t>Marshall &amp; Swift subscription services</t>
  </si>
  <si>
    <t>01-02-8280-0 General Insurance</t>
  </si>
  <si>
    <t>01-03-8131-0 Health Insurance</t>
  </si>
  <si>
    <t>01-03-8132-0 Dental Insurance</t>
  </si>
  <si>
    <t>01-03-8133-0 Life Insurance</t>
  </si>
  <si>
    <t>31-10-8332-0 Maintenance-Vehicles</t>
  </si>
  <si>
    <t>31-10-8334-0 Maintenance-Office Equipment</t>
  </si>
  <si>
    <t>Fire alarm</t>
  </si>
  <si>
    <t>Operator 10 Plus Premium Support</t>
  </si>
  <si>
    <t>Admin Charge</t>
  </si>
  <si>
    <t>01-04-8250-0 Vehicle Fuel</t>
  </si>
  <si>
    <t>01-04-8270-0 Dues &amp; Fees</t>
  </si>
  <si>
    <t>01-24-8260-0 Telephone</t>
  </si>
  <si>
    <t>01-24-8270-0 Dues &amp; Fees</t>
  </si>
  <si>
    <t>31-10-8111-0 Overtime - Other</t>
  </si>
  <si>
    <t>01-17-8322-0 Maintenance-Grounds</t>
  </si>
  <si>
    <t>Bark mulch</t>
  </si>
  <si>
    <t>Winter coats - Teamsters</t>
  </si>
  <si>
    <t>AFSCME - winter coats</t>
  </si>
  <si>
    <t>01-07-8132-0 Dental Insurance</t>
  </si>
  <si>
    <t>01-08-8134-0 Disability Insurance</t>
  </si>
  <si>
    <t>01-08-8135-0 Workers Compensation</t>
  </si>
  <si>
    <t>01-08-8136-0 Unemployment Compensation</t>
  </si>
  <si>
    <t>01-08-8201-0 Office Supplies</t>
  </si>
  <si>
    <t>01-08-8125-0 Social Security</t>
  </si>
  <si>
    <t>Cellular telephone for emergency calls</t>
  </si>
  <si>
    <t>Society For Human Resource Management</t>
  </si>
  <si>
    <t>Flowers and shrubs</t>
  </si>
  <si>
    <t>31-10-8508-0 Operating Equipment</t>
  </si>
  <si>
    <t>Hillstown</t>
  </si>
  <si>
    <t>01-24-8107-0 Wages - Part-Time</t>
  </si>
  <si>
    <t>01-24-8111-0 Overtime - Other</t>
  </si>
  <si>
    <t>Custodial services</t>
  </si>
  <si>
    <t>Furnishings</t>
  </si>
  <si>
    <t>Repair and maintenance</t>
  </si>
  <si>
    <t>Snow removal</t>
  </si>
  <si>
    <t>01-08-8202-0 Maintenance Supplies</t>
  </si>
  <si>
    <t>01-08-8203-0 Operating Supplies</t>
  </si>
  <si>
    <t>Fire extinguishers, gloves, safety vests, hard hats, flags, first aid</t>
  </si>
  <si>
    <t>01-08-8204-0 Uniforms</t>
  </si>
  <si>
    <t>Foreman/Supervisor</t>
  </si>
  <si>
    <t>Secretary/Scale Operator</t>
  </si>
  <si>
    <t>Janitorial supplies</t>
  </si>
  <si>
    <t>01-03-8504-0 Office Equipment</t>
  </si>
  <si>
    <t>01-03-8506-0 Communications Equipment</t>
  </si>
  <si>
    <t>01-25-8495-0 Propane fuel heat</t>
  </si>
  <si>
    <t xml:space="preserve">  Supplies, seminars, and other administrative costs</t>
  </si>
  <si>
    <t>01-17-8241-0 Electricity</t>
  </si>
  <si>
    <t>Custodial Aide - part-time</t>
  </si>
  <si>
    <t>Laminator</t>
  </si>
  <si>
    <t>Thornton Ferry Pumping Station</t>
  </si>
  <si>
    <t>Souhegan Pumping Station</t>
  </si>
  <si>
    <t>01-15-8104-0 Wages - Hourly</t>
  </si>
  <si>
    <t>Full-time:</t>
  </si>
  <si>
    <t>Console, base stations, repeater, and radio voting system</t>
  </si>
  <si>
    <t>01-03-8242-0 Natural Gas</t>
  </si>
  <si>
    <t>Caregivers - coordinated volunteer transportation assistance</t>
  </si>
  <si>
    <t>Human Resources Coordinator - conferences and seminars</t>
  </si>
  <si>
    <t>01-07-8352-0 Education &amp; Training</t>
  </si>
  <si>
    <t>01-07-8420-0 Advertising</t>
  </si>
  <si>
    <t>01-04-8106-0 Animal Control</t>
  </si>
  <si>
    <t>01-08-8346-0 Road Materials</t>
  </si>
  <si>
    <t>01-24-8101-0 Wages - Elected Officials</t>
  </si>
  <si>
    <t>Town Clerk/Tax Collector</t>
  </si>
  <si>
    <t>Baseball - Cal Ripken</t>
  </si>
  <si>
    <t>01-04-8352-0 Education &amp; Training</t>
  </si>
  <si>
    <t>Polymer for rotary drum thickeners</t>
  </si>
  <si>
    <t>Generator maintenance</t>
  </si>
  <si>
    <t>01-05-8128-0 Retirement</t>
  </si>
  <si>
    <t xml:space="preserve">  Clay</t>
  </si>
  <si>
    <t>01-17-8133-0 Life Insurance</t>
  </si>
  <si>
    <t>Bank service charges</t>
  </si>
  <si>
    <t>31-10-8300-0 Travel &amp; Meetings</t>
  </si>
  <si>
    <t>01-13-8220-0 Printing</t>
  </si>
  <si>
    <t>Miscellaneous</t>
  </si>
  <si>
    <t>NH Employment Law Letter</t>
  </si>
  <si>
    <t>Others</t>
  </si>
  <si>
    <t>01-01-8280-0 General Insurance</t>
  </si>
  <si>
    <t>Property, liability, and auto insurance</t>
  </si>
  <si>
    <t>01-01-8293-0 Legal-Other</t>
  </si>
  <si>
    <t>01-01-8300-0 Travel &amp; Meetings</t>
  </si>
  <si>
    <t>01-24-8300-0 Travel &amp; Meetings</t>
  </si>
  <si>
    <t>Holiday pay</t>
  </si>
  <si>
    <t>Copier - Town Manager's Office</t>
  </si>
  <si>
    <t>01-04-8135-0 Workers Compensation</t>
  </si>
  <si>
    <t>Boot allowance - Teamsters</t>
  </si>
  <si>
    <t>Uniform service - Teamsters</t>
  </si>
  <si>
    <t>Non-union - clothing allowance and boot allowance</t>
  </si>
  <si>
    <t>Apparel for identification and safety purposes</t>
  </si>
  <si>
    <t>01-24-8430-0 Dog Licenses</t>
  </si>
  <si>
    <t xml:space="preserve">Mailing of tax bills, motor vehicle renewals, tax lien and mortgagee </t>
  </si>
  <si>
    <t>notices,  and general correspondence</t>
  </si>
  <si>
    <t>01-03-8270-0 Dues &amp; Fees</t>
  </si>
  <si>
    <t xml:space="preserve">  supplies, record books, and miscellaneous office supplies</t>
  </si>
  <si>
    <t>01-13-8321-0 Maintenance-Buildings &amp; Grounds</t>
  </si>
  <si>
    <t>01-08-8342-0 Cold Patch</t>
  </si>
  <si>
    <t>01-08-8359-0 Other Outside Services</t>
  </si>
  <si>
    <t>01-24-8133-0 Life Insurance</t>
  </si>
  <si>
    <t>01-24-8134-0 Disability Insurance</t>
  </si>
  <si>
    <t>424-7312 Fax</t>
  </si>
  <si>
    <t>01-08-8212-0 Equipment Rental</t>
  </si>
  <si>
    <t>Propane tanks for forklift and skid steer</t>
  </si>
  <si>
    <t>Highway Equipment Capital Reserve Fund</t>
  </si>
  <si>
    <t>Facility use decals</t>
  </si>
  <si>
    <t>Transfer station</t>
  </si>
  <si>
    <t>Perimeter fencing repairs</t>
  </si>
  <si>
    <t>Overtime during major tax collection periods</t>
  </si>
  <si>
    <t>01-17-8332-0 Maintenance-Vehicles</t>
  </si>
  <si>
    <t>Field maintenance:</t>
  </si>
  <si>
    <t>31-10-8270-0 Dues &amp; Fees</t>
  </si>
  <si>
    <t>01-13-8132-0 Dental Insurance</t>
  </si>
  <si>
    <t>Parks &amp; Recreation</t>
  </si>
  <si>
    <t>15</t>
  </si>
  <si>
    <t>Library</t>
  </si>
  <si>
    <t>Account Clerk II</t>
  </si>
  <si>
    <t>01-15-8131-0 Health Insurance</t>
  </si>
  <si>
    <t>01-15-8132-0 Dental Insurance</t>
  </si>
  <si>
    <t>01-16-8331-0 Maintenance-Machinery</t>
  </si>
  <si>
    <t>01-16-8333-0 Maintenance-Vehicles</t>
  </si>
  <si>
    <t>Prisoner food</t>
  </si>
  <si>
    <t>Narcotics Unit informants and evidence</t>
  </si>
  <si>
    <t>Chemical test materials</t>
  </si>
  <si>
    <t>01-04-8503-0 Vehicles</t>
  </si>
  <si>
    <t>01-04-8504-0 Office Equipment</t>
  </si>
  <si>
    <t>01-04-8508-0 Operating Equipment</t>
  </si>
  <si>
    <t>Total - fully offset by revenues</t>
  </si>
  <si>
    <t>8104 - Technology Services Coordinator</t>
  </si>
  <si>
    <t>01-13-8107-0 Wages - Part-Time</t>
  </si>
  <si>
    <t>01-17-8104-0 Wages - Other Full-Time</t>
  </si>
  <si>
    <t>Compost facility heating system</t>
  </si>
  <si>
    <t>31-10-8243-0 Heating Oil</t>
  </si>
  <si>
    <t>Diesel fuel for plant generators</t>
  </si>
  <si>
    <t>8107 Secretary</t>
  </si>
  <si>
    <t>Insurance</t>
  </si>
  <si>
    <t>Part time employees</t>
  </si>
  <si>
    <t>32</t>
  </si>
  <si>
    <t>33</t>
  </si>
  <si>
    <t>Bandstand concerts</t>
  </si>
  <si>
    <t>01-27-8602-0 Interest - Long-Term Debt</t>
  </si>
  <si>
    <t xml:space="preserve">  Office supplies </t>
  </si>
  <si>
    <t>Pearson Road Pumping Station</t>
  </si>
  <si>
    <t>01-07-8280-0 General Insurance</t>
  </si>
  <si>
    <t>Security cards, station logs, business cards, and other forms</t>
  </si>
  <si>
    <t>01-05-8131-0 Health Insurance</t>
  </si>
  <si>
    <t>01-03-8104-0 Wages - Other Full-Time</t>
  </si>
  <si>
    <t>Light bulbs</t>
  </si>
  <si>
    <t>NH Municipal Management Association</t>
  </si>
  <si>
    <t>ICMA</t>
  </si>
  <si>
    <t>01-09-8910-0 Capital Reserve Fund Purchases</t>
  </si>
  <si>
    <t>Blueprints, topographical maps</t>
  </si>
  <si>
    <t>NH Public Works Association</t>
  </si>
  <si>
    <t>Other CATV Equipment</t>
  </si>
  <si>
    <t>Transfer to Solid Waste Disposal Capital Reserve Fund</t>
  </si>
  <si>
    <t>01-13-8230-0 Postage</t>
  </si>
  <si>
    <t>01-01-8353-0 Computer Services</t>
  </si>
  <si>
    <t>01-09-8322-0 Maintenance-Grounds</t>
  </si>
  <si>
    <t>01-09-8333-0 Maintenance-Vehicles &amp; Equipment</t>
  </si>
  <si>
    <t>Debt Service</t>
  </si>
  <si>
    <t>Data cards, assessment update notices, and various forms</t>
  </si>
  <si>
    <t>Workstations</t>
  </si>
  <si>
    <t>Copier and computer equipment</t>
  </si>
  <si>
    <t>01-13-8352-0 Education &amp; Training</t>
  </si>
  <si>
    <t>Mechanic I</t>
  </si>
  <si>
    <t>Weekend shift differential</t>
  </si>
  <si>
    <t>31-10-8128-0 Retirement</t>
  </si>
  <si>
    <t>01-06-8102-0 Wages - Clerical</t>
  </si>
  <si>
    <t>01-06-8103-0 Wages - Supervisory</t>
  </si>
  <si>
    <t>01-06-8104-0 Wages - Other Full-Time</t>
  </si>
  <si>
    <t>01-06-8107-0 Wages - Part-Time</t>
  </si>
  <si>
    <t>01-06-8125-0 Social Security</t>
  </si>
  <si>
    <t>01-06-8128-0 Retirement</t>
  </si>
  <si>
    <t>01-06-8131-0 Health Insurance</t>
  </si>
  <si>
    <t>01-06-8132-0 Dental Insurance</t>
  </si>
  <si>
    <t>01-06-8133-0 Life Insurance</t>
  </si>
  <si>
    <t>01-06-8134-0 Disability Insurance</t>
  </si>
  <si>
    <t>01-06-8135-0 Workers Compensation</t>
  </si>
  <si>
    <t>01-06-8136-0 Unemployment Compensation</t>
  </si>
  <si>
    <t>01-06-8201-0 Office Supplies</t>
  </si>
  <si>
    <t>01-06-8220-0 Printing</t>
  </si>
  <si>
    <t>01-06-8250-0 Vehicle Fuel</t>
  </si>
  <si>
    <t>01-06-8260-0 Telephone</t>
  </si>
  <si>
    <t>01-06-8270-0 Dues &amp; Fees</t>
  </si>
  <si>
    <t>01-06-8280-0 General Insurance</t>
  </si>
  <si>
    <t>01-06-8300-0 Travel &amp; Meetings</t>
  </si>
  <si>
    <t>01-06-8332-0 Maintenance-Vehicles</t>
  </si>
  <si>
    <t>01-06-8352-0 Education &amp; Training</t>
  </si>
  <si>
    <t>01-06-8359-0 Other Outside Services</t>
  </si>
  <si>
    <t>8103 - Parks &amp; Recreation Director</t>
  </si>
  <si>
    <t>31-10-8204-0 Uniforms</t>
  </si>
  <si>
    <t>Asst Dir and Inspector - clothing allowance</t>
  </si>
  <si>
    <t>01-01-8460-0 Other Operating Expenses</t>
  </si>
  <si>
    <t>Public relations</t>
  </si>
  <si>
    <t>01-02-8420-0 Advertising</t>
  </si>
  <si>
    <t>01-02-8504-0 Office Equipment</t>
  </si>
  <si>
    <t>01-03-8102-0 Wages - Clerical</t>
  </si>
  <si>
    <t>01-03-8508-0 Operating Equipment</t>
  </si>
  <si>
    <t>Boot Allowance - Teamsters</t>
  </si>
  <si>
    <t>Boot Allowance - AFSCME</t>
  </si>
  <si>
    <t>Highway Foreman</t>
  </si>
  <si>
    <t>Annual meeting</t>
  </si>
  <si>
    <t>Special cleaning</t>
  </si>
  <si>
    <t>Elevator inspection</t>
  </si>
  <si>
    <t>Softball</t>
  </si>
  <si>
    <t>01-15-8244-0 Water</t>
  </si>
  <si>
    <t>01-15-8245-0 Sewer</t>
  </si>
  <si>
    <t>State certification requirements</t>
  </si>
  <si>
    <t>01-13-8270-0 Dues &amp; Fees</t>
  </si>
  <si>
    <t>31-10-8316-0 Bulking Agent</t>
  </si>
  <si>
    <t>31-10-8321-0 Maintenance-Buildings</t>
  </si>
  <si>
    <t>College course tuition reimbursement - AFSCME 93</t>
  </si>
  <si>
    <t>01-09-8201-0 Office Supplies</t>
  </si>
  <si>
    <t>01-09-8202-0 Maintenance Supplies</t>
  </si>
  <si>
    <t>01-09-8203-0 Operating Supplies</t>
  </si>
  <si>
    <t>Building Improvements</t>
  </si>
  <si>
    <t>NH GFOA</t>
  </si>
  <si>
    <t>bulk mailing fee</t>
  </si>
  <si>
    <t>01-15-8300-0 Travel &amp; Meetings</t>
  </si>
  <si>
    <t xml:space="preserve">  Architectural/landscaping needs re: historic areas</t>
  </si>
  <si>
    <t>Landfill Maint.-weed control</t>
  </si>
  <si>
    <t>Other memberships (NHAAO statutory requirement RSA 31:8)</t>
  </si>
  <si>
    <t>Software support / web hosting</t>
  </si>
  <si>
    <t xml:space="preserve">01-02-8510-0 Capital Reserve Fund </t>
  </si>
  <si>
    <t>Aggregates, flake calcium, guardrail, bridge materials</t>
  </si>
  <si>
    <t>01-08-8371-0 Maintenance - Grounds (MYA)</t>
  </si>
  <si>
    <t>Minor bridge, fencing, and guardrail repairs,</t>
  </si>
  <si>
    <t>treatment of concrete abutments, linseed treatments</t>
  </si>
  <si>
    <t>Cellular telephone ( 3 )</t>
  </si>
  <si>
    <t>01-02-8201-0 Office Supplies</t>
  </si>
  <si>
    <t>Field file folders, computer paper, copier toner, and other office supplies</t>
  </si>
  <si>
    <t>Heating sludge loading garage</t>
  </si>
  <si>
    <t>Main plant (meter charge 1.5" and consumption)</t>
  </si>
  <si>
    <t>Chlorination building (meter charge 5/8")</t>
  </si>
  <si>
    <t>Hydrant charge 8"</t>
  </si>
  <si>
    <t>Pumping stations (consumption and backflow testing)</t>
  </si>
  <si>
    <t>Est. Quantity</t>
  </si>
  <si>
    <t>Pump and motor repairs/replacement and controls</t>
  </si>
  <si>
    <t>Flow measuring equipment maintenance and calibrations</t>
  </si>
  <si>
    <t>Maintenance of ancillary &amp; support equipment to include SCADA</t>
  </si>
  <si>
    <t>Scale software annual support</t>
  </si>
  <si>
    <t xml:space="preserve">emergency call ins and on call </t>
  </si>
  <si>
    <t>Full-time employees - NEBPA 112</t>
  </si>
  <si>
    <t>NEBPA 112</t>
  </si>
  <si>
    <t xml:space="preserve"> No special duty</t>
  </si>
  <si>
    <t xml:space="preserve">1 additional Special Duty assignment </t>
  </si>
  <si>
    <t>2+ Special Duty assignments</t>
  </si>
  <si>
    <t xml:space="preserve"> K9 Officer</t>
  </si>
  <si>
    <t>Fire Marshal</t>
  </si>
  <si>
    <t>Stryker stretcher service agreement (EMSAR)</t>
  </si>
  <si>
    <t>01-06-8503-0 Vehicles</t>
  </si>
  <si>
    <t>Building Inspection/Official vehicles</t>
  </si>
  <si>
    <t>32-32-8230-0 Postage</t>
  </si>
  <si>
    <t>32-32-8260-0 Telephone</t>
  </si>
  <si>
    <t>32-32-8270-0 Dues &amp; Fees</t>
  </si>
  <si>
    <t>32-32-8280-0 General Insurance</t>
  </si>
  <si>
    <t>32-32-8300-0 Travel &amp; Meetings</t>
  </si>
  <si>
    <t>32-32-8334-0 Maintenance-Office Equipment</t>
  </si>
  <si>
    <t>32-32-8352-0 Education &amp; Training</t>
  </si>
  <si>
    <t>Longevity bonus - Master Firefighters:</t>
  </si>
  <si>
    <t>New England Conference of Town Clerks</t>
  </si>
  <si>
    <t xml:space="preserve">  Signage and wood stock to repair picnic tables and kiosks</t>
  </si>
  <si>
    <t>Service truck and pool cars - unleaded gasoline</t>
  </si>
  <si>
    <t>01-16-8260-0 Telephone</t>
  </si>
  <si>
    <t>01-01-8101-0 Wages - Elected Officials</t>
  </si>
  <si>
    <t>Trustee of Trust Funds</t>
  </si>
  <si>
    <t>Total</t>
  </si>
  <si>
    <t>8102 - Clerical</t>
  </si>
  <si>
    <t>8103 - Supervisory</t>
  </si>
  <si>
    <t>8104 - Other Full Time</t>
  </si>
  <si>
    <t>8107 - Part Time</t>
  </si>
  <si>
    <t>8103 - Director</t>
  </si>
  <si>
    <t>8103 -  Code Enforcement Officer</t>
  </si>
  <si>
    <t>8107 Part-Time</t>
  </si>
  <si>
    <t>Full-Time employees</t>
  </si>
  <si>
    <t>8101 - Elected Officials</t>
  </si>
  <si>
    <t>8103 - Other Salary employees</t>
  </si>
  <si>
    <t>8104 - Other hourly employees</t>
  </si>
  <si>
    <t>Uniform service - Teamsters/AFSCME</t>
  </si>
  <si>
    <t>01-17-8132-0 Dental Insurance</t>
  </si>
  <si>
    <t>Salt Shed</t>
  </si>
  <si>
    <t>Cellular telephones - 3</t>
  </si>
  <si>
    <t>Trash Removal</t>
  </si>
  <si>
    <t>Association memberships for Town Clerk/Tax Collector</t>
  </si>
  <si>
    <t>College courses and seminars - AFSCME 93</t>
  </si>
  <si>
    <t>NH Revised Statutes and other publications</t>
  </si>
  <si>
    <t>01-04-8420-0 Advertising</t>
  </si>
  <si>
    <t>01-15-8270-0 Dues &amp; Fees</t>
  </si>
  <si>
    <t>ALA including PLA</t>
  </si>
  <si>
    <t>NELA</t>
  </si>
  <si>
    <t>NHLA including READS, CHILIS, and UPLC</t>
  </si>
  <si>
    <t>Computers</t>
  </si>
  <si>
    <t>systems and materials for constructing storm water catch basins</t>
  </si>
  <si>
    <t>and manholes</t>
  </si>
  <si>
    <t>31-27-8609-0 Interest - Long-Term Debt</t>
  </si>
  <si>
    <t>31-27-8610-0 Principal - Long-Term Debt</t>
  </si>
  <si>
    <t>01-17-8134-0 Disability Insurance</t>
  </si>
  <si>
    <t>01-17-8135-0 Workers Compensation</t>
  </si>
  <si>
    <t>Confined Space and other required training</t>
  </si>
  <si>
    <t>01-03-8244-0 Water</t>
  </si>
  <si>
    <t>01-03-8245-0 Sewer</t>
  </si>
  <si>
    <t>01-03-8250-0 Vehicle Fuel</t>
  </si>
  <si>
    <t>Diesel fuel</t>
  </si>
  <si>
    <t>Unleaded gasoline</t>
  </si>
  <si>
    <t>01-21-8334-0 Maintenance-Office Equipment</t>
  </si>
  <si>
    <t>Paint and painting supplies</t>
  </si>
  <si>
    <t>Heating system filters</t>
  </si>
  <si>
    <t>Miscellaneous materials</t>
  </si>
  <si>
    <t>31-10-8322-0 Maintenance-Grounds</t>
  </si>
  <si>
    <t>Power equipment repair</t>
  </si>
  <si>
    <t>Fully offset by revenues</t>
  </si>
  <si>
    <t xml:space="preserve">Town Hall </t>
  </si>
  <si>
    <t>01-13-8334-0 Maintenance-Office Equipment</t>
  </si>
  <si>
    <t xml:space="preserve">  Miscellaneous</t>
  </si>
  <si>
    <t xml:space="preserve">  Total expenditures</t>
  </si>
  <si>
    <t>01-15-8125-0 Social Security</t>
  </si>
  <si>
    <t>01-15-8128-0 Retirement</t>
  </si>
  <si>
    <t>State of NH weighmaster licenses</t>
  </si>
  <si>
    <t>01-08-8335-0 Maintenance-Communications Equip</t>
  </si>
  <si>
    <t>01-08-8341-0 Sand &amp; Salt</t>
  </si>
  <si>
    <t>01-25-8490-0 Prescriptions</t>
  </si>
  <si>
    <t>Abbie Griffin Park</t>
  </si>
  <si>
    <t>Wasserman Park</t>
  </si>
  <si>
    <t>MYA Building, Bise Field, Kids Kove</t>
  </si>
  <si>
    <t>01-03-8300-0 Travel &amp; Meetings</t>
  </si>
  <si>
    <t>01-03-8321-0 Maintenance-Buildings &amp; Grounds</t>
  </si>
  <si>
    <t>Publications</t>
  </si>
  <si>
    <t>Addition to (use of) MYA surplus</t>
  </si>
  <si>
    <t>Town grant</t>
  </si>
  <si>
    <t>01-02-8133-0 Life Insurance</t>
  </si>
  <si>
    <t>01-02-8134-0 Disability Insurance</t>
  </si>
  <si>
    <t>01-02-8135-0 Workers Compensation</t>
  </si>
  <si>
    <t>Heating and air conditioning systems</t>
  </si>
  <si>
    <t>Fire extinguisher</t>
  </si>
  <si>
    <t>Telephone line for digitizer and fire alarm</t>
  </si>
  <si>
    <t>01-24-8280-0 General Insurance</t>
  </si>
  <si>
    <t>Liability insurance and bonds</t>
  </si>
  <si>
    <t>Dues - NFDOA</t>
  </si>
  <si>
    <t>01-08-8344-0 Hot Top</t>
  </si>
  <si>
    <t>Material for permanent pavement patches, driveway</t>
  </si>
  <si>
    <t>01-08-8910-0 Capital Reserve Fund Purchases</t>
  </si>
  <si>
    <t>01-03-8910-0 Capital Reserve Fund Purchases</t>
  </si>
  <si>
    <t>31-10-8910-0 Capital Reserve Fund Purchases</t>
  </si>
  <si>
    <t>Cellular telephones (2)</t>
  </si>
  <si>
    <t xml:space="preserve">Sand, salt, liquid calcium chloride for winter </t>
  </si>
  <si>
    <t>Firefighter Certifications and Training:</t>
  </si>
  <si>
    <t>01-16-8105-0 Overtime-Supervisory</t>
  </si>
  <si>
    <t>01-16-8111-0 Overtime - Other</t>
  </si>
  <si>
    <t>Mechanics</t>
  </si>
  <si>
    <t>01-16-8125-0 Social Security</t>
  </si>
  <si>
    <t>01-16-8128-0 Retirement</t>
  </si>
  <si>
    <t>GRAND TOTAL</t>
  </si>
  <si>
    <t>Rental of power tools and construction equipment</t>
  </si>
  <si>
    <t>01-08-8220-0 Printing</t>
  </si>
  <si>
    <t>01-08-8241-0 Electricity</t>
  </si>
  <si>
    <t>429-2148 Elevator</t>
  </si>
  <si>
    <t>Bridges - rape and assault support services and shelters</t>
  </si>
  <si>
    <t>Admin fee to General Govt</t>
  </si>
  <si>
    <t>32-32-8271-0 Subscriptions</t>
  </si>
  <si>
    <t>32-32-8460-0 Miscellaneous</t>
  </si>
  <si>
    <t>other</t>
  </si>
  <si>
    <t xml:space="preserve">  Library Assistant II - Reference</t>
  </si>
  <si>
    <t>01-21-8388-0 Economic Development</t>
  </si>
  <si>
    <t>01-08-8103-0 Wages - Supervisory</t>
  </si>
  <si>
    <t>Adult programs</t>
  </si>
  <si>
    <t>01-15-8420-0 Advertising</t>
  </si>
  <si>
    <t>Total - partially offset by revenues</t>
  </si>
  <si>
    <t>Copiers, fax, computers, and other office equipment</t>
  </si>
  <si>
    <t>01-05-8136-0 Unemployment Compensation</t>
  </si>
  <si>
    <t>01-05-8201-0 Office Supplies</t>
  </si>
  <si>
    <t>01-08-8334-0 Maintenance-Office Equipment</t>
  </si>
  <si>
    <t>Grand Total</t>
  </si>
  <si>
    <t>NH Public Works Mutual Aid Program</t>
  </si>
  <si>
    <t>Rental of equipment</t>
  </si>
  <si>
    <t>General Fund</t>
  </si>
  <si>
    <t>Trustee Funds</t>
  </si>
  <si>
    <t>01-27-8606-0 Interest - Long-Term Debt</t>
  </si>
  <si>
    <t>01-27-8608-0 Principal - Long-Term Debt</t>
  </si>
  <si>
    <t>01-15-8510-0 Capital Reserve Fund</t>
  </si>
  <si>
    <t>Diesel fuel - screening plant</t>
  </si>
  <si>
    <t>Custodian</t>
  </si>
  <si>
    <t>Equipment Operator III</t>
  </si>
  <si>
    <t>Electricity</t>
  </si>
  <si>
    <t>Seminars, workshops, and conferences</t>
  </si>
  <si>
    <t>01-13-8359-0 Other Outside Services</t>
  </si>
  <si>
    <t>Contractual tree work</t>
  </si>
  <si>
    <t>Emergency septic system repair - fully offset by revenues</t>
  </si>
  <si>
    <t>31-10-8104-0 Wages - Other Full-Time</t>
  </si>
  <si>
    <t>01-13-8203-0 Operating Supplies</t>
  </si>
  <si>
    <t>01-21-8102-0 Wages - Clerical</t>
  </si>
  <si>
    <t>Souhegan Valley Mutual Aid Association</t>
  </si>
  <si>
    <t>Regional HazMat Response Team (Level A Protection)</t>
  </si>
  <si>
    <t>01-09-8355-0 Solid Waste Disposal</t>
  </si>
  <si>
    <t xml:space="preserve">8104/8111 </t>
  </si>
  <si>
    <t>01-13-8280-0 General Insurance</t>
  </si>
  <si>
    <t>01-15-8241-0 Electricity</t>
  </si>
  <si>
    <t>Library building</t>
  </si>
  <si>
    <t>Batteries for portable radios</t>
  </si>
  <si>
    <t>01-05-8204-0 Uniforms</t>
  </si>
  <si>
    <t>Home Health &amp; Hospice - home health visits and clinics</t>
  </si>
  <si>
    <t xml:space="preserve">Highway - sign and fencing repairs, parking lot </t>
  </si>
  <si>
    <t>01-08-8362-0 Traffic Signals</t>
  </si>
  <si>
    <t>Maintenance (on call)</t>
  </si>
  <si>
    <t>Big Brothers/Big Sisters - mentoring youth and education</t>
  </si>
  <si>
    <t>Chemical Absorbent Material Bags (Clay)</t>
  </si>
  <si>
    <t>Backflow testing</t>
  </si>
  <si>
    <t>01-01-8270-0 Dues &amp; Fees</t>
  </si>
  <si>
    <t>NHMA</t>
  </si>
  <si>
    <t>Employee cost sharing Union 10%</t>
  </si>
  <si>
    <t xml:space="preserve">  Town Manager adjustment</t>
  </si>
  <si>
    <t>Advertising</t>
  </si>
  <si>
    <t xml:space="preserve">8103 </t>
  </si>
  <si>
    <t>8111 - Overtime</t>
  </si>
  <si>
    <t>Police officers - NEPBA:</t>
  </si>
  <si>
    <t>K-9 Expenses</t>
  </si>
  <si>
    <t>Volunteers</t>
  </si>
  <si>
    <t>31-27-8606-0 Interest - Long-Term Debt</t>
  </si>
  <si>
    <t>31-27-8608-0 Principal - Long-Term Debt</t>
  </si>
  <si>
    <t>School Crossing Guards</t>
  </si>
  <si>
    <t>01-04-8111-0 Overtime - Other</t>
  </si>
  <si>
    <t>01-04-8125-0 Social Security</t>
  </si>
  <si>
    <t>8106</t>
  </si>
  <si>
    <t>01-04-8128-0 Retirement</t>
  </si>
  <si>
    <t>Term life insurance</t>
  </si>
  <si>
    <t>Part-time:</t>
  </si>
  <si>
    <t>Union</t>
  </si>
  <si>
    <t>01-02-8128-0 Retirement</t>
  </si>
  <si>
    <t>05</t>
  </si>
  <si>
    <t>Communications</t>
  </si>
  <si>
    <t>07</t>
  </si>
  <si>
    <t>Public Works Administration</t>
  </si>
  <si>
    <t>08</t>
  </si>
  <si>
    <t>01-03-8359-0 Other Outside Services</t>
  </si>
  <si>
    <t>01-08-8128-0 Retirement</t>
  </si>
  <si>
    <t>01-08-8131-0 Health Insurance</t>
  </si>
  <si>
    <t>01-08-8132-0 Dental Insurance</t>
  </si>
  <si>
    <t>Computer equipment (2 printers/ 2 desk tops)</t>
  </si>
  <si>
    <t>32-32-8134-0 Disability Insurance</t>
  </si>
  <si>
    <t>NE and NH Chiefs Association, IAFC</t>
  </si>
  <si>
    <t>01-05-8510-0 Capital Reserve Fund</t>
  </si>
  <si>
    <t>31-10-8105-0 Overtime-Supervisory</t>
  </si>
  <si>
    <t>Copier paper and toner, computer paper and supplies, notebooks, fax</t>
  </si>
  <si>
    <t>01-03-8202-0 Maintenance Supplies</t>
  </si>
  <si>
    <t>01-13-8510-0 Capital Reserve Fund</t>
  </si>
  <si>
    <t>01-01-8510-0 Transfer To Other Funds</t>
  </si>
  <si>
    <t>31-10-8260-0 Telephone</t>
  </si>
  <si>
    <t>and DRA seminars</t>
  </si>
  <si>
    <t>01-08-8280-0 General Insurance</t>
  </si>
  <si>
    <t>01-08-8300-0 Travel &amp; Meetings</t>
  </si>
  <si>
    <t>Hillsborough Registry transfers on-line &amp; recordings</t>
  </si>
  <si>
    <t>Temp - Part-time</t>
  </si>
  <si>
    <t>Hardware, safety equipment, oxygen/acetylene, parts clnr., welding supplies</t>
  </si>
  <si>
    <t xml:space="preserve">other equipment </t>
  </si>
  <si>
    <t xml:space="preserve">01-25-8892-0 Heating/ Electric Assistance Fund </t>
  </si>
  <si>
    <t>Alarm System Monitor</t>
  </si>
  <si>
    <t>Ballistic Vests</t>
  </si>
  <si>
    <t>Small engine oil/gas mix, spark plugs, Chain Saw blades</t>
  </si>
  <si>
    <t>Metal &amp; wood cutting blades K12 &amp;  Saws-All, Tarps, Nails</t>
  </si>
  <si>
    <t>wood sheeting, Plastic Rolls, Hack Saws, Vacuum Filters</t>
  </si>
  <si>
    <t>Toxic Gas Monitoring Equipment Sensor Replacements</t>
  </si>
  <si>
    <t xml:space="preserve">General    </t>
  </si>
  <si>
    <t>State of NH operator licenses</t>
  </si>
  <si>
    <t>31-10-8136-0 Unemployment Compensation</t>
  </si>
  <si>
    <t>31-10-8201-0 Office Supplies</t>
  </si>
  <si>
    <t>Copier paper and toner, computer paper and supplies, file folders,</t>
  </si>
  <si>
    <t>01-24-8128-0 Retirement</t>
  </si>
  <si>
    <t>01-24-8131-0 Health Insurance</t>
  </si>
  <si>
    <t>01-24-8132-0 Dental Insurance</t>
  </si>
  <si>
    <t>Prosecutor</t>
  </si>
  <si>
    <t>8103 Prosecutor</t>
  </si>
  <si>
    <t>01-08-8322-0 Maintenance-Grounds</t>
  </si>
  <si>
    <t>01-24-8352-0 Education &amp; Training</t>
  </si>
  <si>
    <t>01-24-8359-0 Other Outside Services</t>
  </si>
  <si>
    <t>01-05-8352-0 Education &amp; Training</t>
  </si>
  <si>
    <t>Assistant Assessor</t>
  </si>
  <si>
    <t>Town Manager Adjustment</t>
  </si>
  <si>
    <t>Clerk - document scanning</t>
  </si>
  <si>
    <t>01-15-8133-0 Life Insurance</t>
  </si>
  <si>
    <t>Department heads</t>
  </si>
  <si>
    <t>Teamsters - boot allowance</t>
  </si>
  <si>
    <t>Teamsters - uniform service</t>
  </si>
  <si>
    <t>AFSCME - boot allowance</t>
  </si>
  <si>
    <t>8107- Per Diem</t>
  </si>
  <si>
    <t>01-02-8332-0 Maintenance - Vehicles</t>
  </si>
  <si>
    <t>01-16-8134-0 Disability Insurance</t>
  </si>
  <si>
    <t>01-16-8135-0 Workers Compensation</t>
  </si>
  <si>
    <t>01-13-8332-0 Maintenance-Vehicles</t>
  </si>
  <si>
    <t>8103</t>
  </si>
  <si>
    <t>Drinking water service</t>
  </si>
  <si>
    <t>CDL drug testing</t>
  </si>
  <si>
    <t>Septic tank pumping</t>
  </si>
  <si>
    <t>Property and liability insurance</t>
  </si>
  <si>
    <t>Legal notices and bid advertisements</t>
  </si>
  <si>
    <t>01-01-8135-0 Workers Compensation</t>
  </si>
  <si>
    <t>01-08-8351-0 Consultants</t>
  </si>
  <si>
    <t>01-08-8352-0 Education &amp; Training</t>
  </si>
  <si>
    <t>01-08-8354-0 Traffic Control Devices</t>
  </si>
  <si>
    <t>01-01-8501-0 Land</t>
  </si>
  <si>
    <t>01-13-8103-0 Wages - Supervisory</t>
  </si>
  <si>
    <t>01-01-8220-0 Printing</t>
  </si>
  <si>
    <t>Town Report</t>
  </si>
  <si>
    <t>01-17-8331-0 Maintenance-Machinery</t>
  </si>
  <si>
    <t>Computer paper and supplies</t>
  </si>
  <si>
    <t>Other office supplies</t>
  </si>
  <si>
    <t>01-04-8203-0 Operating Supplies</t>
  </si>
  <si>
    <t>Photography supplies</t>
  </si>
  <si>
    <t>01-25-8280-0 General Insurance</t>
  </si>
  <si>
    <t>01-25-8300-0 Travel &amp; Meetings</t>
  </si>
  <si>
    <t>Teaching and promotional materials</t>
  </si>
  <si>
    <t>01-02-8230-0 Postage</t>
  </si>
  <si>
    <t>01-04-8241-0 Electricity</t>
  </si>
  <si>
    <t>01-04-8244-0 Water</t>
  </si>
  <si>
    <t>01-04-8245-0 Sewer</t>
  </si>
  <si>
    <t>32-32-8128-0 Retirement</t>
  </si>
  <si>
    <t>32-32-8131-0 Health Insurance</t>
  </si>
  <si>
    <t>32-32-8132-0 Dental Insurance</t>
  </si>
  <si>
    <t>32-32-8133-0 Life Insurance</t>
  </si>
  <si>
    <t>NH Firemen's Association Membership</t>
  </si>
  <si>
    <t>01-24-8136-0 Unemployment Compensation</t>
  </si>
  <si>
    <t>Portable radio batteries, radio parts, and contractual services</t>
  </si>
  <si>
    <t>01-08-8244-0 Water</t>
  </si>
  <si>
    <t>01-08-8250-0 Vehicle Fuel</t>
  </si>
  <si>
    <t>01-08-8260-0 Telephone</t>
  </si>
  <si>
    <t>01-03-8111-0 Overtime - Other</t>
  </si>
  <si>
    <t>Technical and professional meetings</t>
  </si>
  <si>
    <t>01-07-8334-0 Maintenance-Office Equipment</t>
  </si>
  <si>
    <t>8107 - Other</t>
  </si>
  <si>
    <t>01-03-8201-0 Office Supplies</t>
  </si>
  <si>
    <t>Firearms instructors</t>
  </si>
  <si>
    <t>01-02-8131-0 Health Insurance</t>
  </si>
  <si>
    <t>Medical supplies not replaced by Hospital</t>
  </si>
  <si>
    <t>Medical Supplies, Oxygen Cylinders</t>
  </si>
  <si>
    <t>Fire extinguisher Dry Chemical refills, maintenance and replacement</t>
  </si>
  <si>
    <t>Emergency Medical Certifications and Training:</t>
  </si>
  <si>
    <t>Other operating expenses 8201 - 8459</t>
  </si>
  <si>
    <t>Capital outlay 8502 - 8910</t>
  </si>
  <si>
    <t>01-01-8910-0 Capital Reserve Fund Purchases</t>
  </si>
  <si>
    <t>01-05-8910-0 Capital Reserve Fund Purchases</t>
  </si>
  <si>
    <t>01-09-8352-0 Education &amp; Training</t>
  </si>
  <si>
    <t>01-09-8359-0 Other Outside Services</t>
  </si>
  <si>
    <t>01-09-8388-0 Special Waste Disposal</t>
  </si>
  <si>
    <t>01-17-8136-0 Unemployment Compensation</t>
  </si>
  <si>
    <t>01-07-8260-0 Telephone</t>
  </si>
  <si>
    <t>Continuing education</t>
  </si>
  <si>
    <t xml:space="preserve">Temp - Part-time Tax </t>
  </si>
  <si>
    <t xml:space="preserve"> Cell Phone Fire Chief/Emergency Management</t>
  </si>
  <si>
    <t xml:space="preserve"> Cell Phone Assistant Fire Chief</t>
  </si>
  <si>
    <t>01-02-8103-0 Wages - Field Personnel</t>
  </si>
  <si>
    <t>Assessing Coordinator</t>
  </si>
  <si>
    <t>DRA intensive training courses</t>
  </si>
  <si>
    <t>01-08-8230-0 Postage</t>
  </si>
  <si>
    <t>Firehouse/Preplan/EMS Mobil software service agreement</t>
  </si>
  <si>
    <t>Outside technical support on computer systems</t>
  </si>
  <si>
    <t>COMCAST modem</t>
  </si>
  <si>
    <t>College Course Tuition Reimbursement:</t>
  </si>
  <si>
    <t>Deputy Finance Director</t>
  </si>
  <si>
    <t>Town Council- Minutes</t>
  </si>
  <si>
    <t>Heron Cove</t>
  </si>
  <si>
    <t>Freight charges , Certified Mail, and Mail</t>
  </si>
  <si>
    <t>8107 &gt;$14,000</t>
  </si>
  <si>
    <t>Information Network</t>
  </si>
  <si>
    <t xml:space="preserve">Software, upgrades, etc.  </t>
  </si>
  <si>
    <t>GMILCS consortium + CBC + automation</t>
  </si>
  <si>
    <t>Librarica (CASSIE)</t>
  </si>
  <si>
    <t xml:space="preserve">Total </t>
  </si>
  <si>
    <t>Deputy Public Works Director/Town Engineer</t>
  </si>
  <si>
    <t>01-07-8203-0perating Supplies</t>
  </si>
  <si>
    <t>Summer Help (4 maintainers x 12 weeks)</t>
  </si>
  <si>
    <t>Fleet AVL/GPS</t>
  </si>
  <si>
    <t>MUTCD-required guide and/regulatory sign replacement</t>
  </si>
  <si>
    <t>Asphalt pile recyling</t>
  </si>
  <si>
    <t>Extended hours and snow removal</t>
  </si>
  <si>
    <t>Trash hauling, snow removal, extended schedule and</t>
  </si>
  <si>
    <t xml:space="preserve">Copier paper and toner, computer paper and supplies, </t>
  </si>
  <si>
    <t>baling supplies</t>
  </si>
  <si>
    <t>CMA Engineers</t>
  </si>
  <si>
    <t>Sampling and laboratory analysis water quality</t>
  </si>
  <si>
    <t>Sampling and laboratory analysis landfill soil gas</t>
  </si>
  <si>
    <t>01-16-8334-0 Maintenance-Office Equipment</t>
  </si>
  <si>
    <t>Custodian P.D.</t>
  </si>
  <si>
    <t>Fertilizer</t>
  </si>
  <si>
    <t>Sewer Inspector</t>
  </si>
  <si>
    <t>and holidays and on call</t>
  </si>
  <si>
    <t>Compost facility (meter charge 1")</t>
  </si>
  <si>
    <t>Fire Investigation/Events Inspection/Code Enforcement/JFS 100</t>
  </si>
  <si>
    <t>On-Call EMS (volunteer Group)</t>
  </si>
  <si>
    <t>On Call / Per-Diem EMS Attendant Protective Clothing</t>
  </si>
  <si>
    <t>National: FDIC, FDSOA, IAFC EPA Region, National Homeland Security</t>
  </si>
  <si>
    <t>Dumpster Contract Station 1 (235)</t>
  </si>
  <si>
    <t>Pump Testing Eng 1, 2, 3, 4 and Ladder 1</t>
  </si>
  <si>
    <t>NH Emergency Medical Services State Electronic Reporting Fees (HIPPA)</t>
  </si>
  <si>
    <t>Maintenance of Emergency Breathing Air System Rescue 1</t>
  </si>
  <si>
    <t>Annual EMS Certifications and Training (National Registry Requirements)</t>
  </si>
  <si>
    <t xml:space="preserve">  EMT/ Intermediate Class (Volunteers)</t>
  </si>
  <si>
    <t>NH Fire Academy Continuing Education Programs (FF III, ICS, Command etc.)</t>
  </si>
  <si>
    <t>Outside Conference Seminars for education &amp; Officer Development FDIC</t>
  </si>
  <si>
    <t>New England Association of Fire Chief's Conference</t>
  </si>
  <si>
    <t>IT System Computer / printer / monitor / upgrades</t>
  </si>
  <si>
    <t>Inspection and occupancy forms Building</t>
  </si>
  <si>
    <t>Inspection and occupancy forms Health</t>
  </si>
  <si>
    <t>ICC dues (International Code Council)</t>
  </si>
  <si>
    <t>New Hampshire Building Officials Association dues</t>
  </si>
  <si>
    <t>New England Health Association dues</t>
  </si>
  <si>
    <t>Health Serve Safe Certification (Food Safety)</t>
  </si>
  <si>
    <t>Building Continuing Education</t>
  </si>
  <si>
    <t>Welfare officials workshop ($40) &amp; meeting seminars(4 x $15)</t>
  </si>
  <si>
    <t xml:space="preserve">  Education, Seminars, Presentations, and Training</t>
  </si>
  <si>
    <t xml:space="preserve">  Website Hosting Servicess</t>
  </si>
  <si>
    <t>DMV Training</t>
  </si>
  <si>
    <t>ACIM (A Child Is Missing Alert)</t>
  </si>
  <si>
    <t>General Building Renovations</t>
  </si>
  <si>
    <t>01-16-8352-0 Education &amp; Training</t>
  </si>
  <si>
    <t xml:space="preserve"> Microsoft licenses</t>
  </si>
  <si>
    <t>Milfoil</t>
  </si>
  <si>
    <t xml:space="preserve">Survey supplies, stakes, nails, marking paint and </t>
  </si>
  <si>
    <t>01-15-8910-0 Capital Reserve Fund Purchases</t>
  </si>
  <si>
    <t>Virtual Town Hall</t>
  </si>
  <si>
    <t>Heat (Gas)</t>
  </si>
  <si>
    <t>Open and Close</t>
  </si>
  <si>
    <t>Post Office (PO) Box</t>
  </si>
  <si>
    <t>Telephone &amp; Internet</t>
  </si>
  <si>
    <t xml:space="preserve">water and sewer </t>
  </si>
  <si>
    <t>Seminars and courses</t>
  </si>
  <si>
    <t>Technology Coordinator/Computer tech - seminars and conferences</t>
  </si>
  <si>
    <t>Deputy Finance Director - conferences and seminars</t>
  </si>
  <si>
    <t>NHAAO and DRA meetings, NHAAO and conferences,</t>
  </si>
  <si>
    <t>Repair of radio base station, portable radios, and mobile radios, radio system upgrades</t>
  </si>
  <si>
    <t>Seminars, conferences, and meeting registrations</t>
  </si>
  <si>
    <t>Seminars, conferences, and meetings travel and related expenses</t>
  </si>
  <si>
    <t>Copier paper and toner, computer paper and supplies, and miscellaneous supplies</t>
  </si>
  <si>
    <t>2015-16</t>
  </si>
  <si>
    <t>Master Fire Fighter</t>
  </si>
  <si>
    <t>Fire Fighter - Paramedic</t>
  </si>
  <si>
    <t>Firefighter</t>
  </si>
  <si>
    <t>Bishop field</t>
  </si>
  <si>
    <t>Fraser Square</t>
  </si>
  <si>
    <t xml:space="preserve">  Town Paid internet</t>
  </si>
  <si>
    <t xml:space="preserve">   Total reimbursed to historical society</t>
  </si>
  <si>
    <t>Checks</t>
  </si>
  <si>
    <t>Office Supplies</t>
  </si>
  <si>
    <t>Inspection Health Test Equipment</t>
  </si>
  <si>
    <t>Inspection Building Test Equipment</t>
  </si>
  <si>
    <t>Seminars / Meetings / Other than Certifications</t>
  </si>
  <si>
    <t>01-06-8321-0 Maintenance-Buildings &amp; Grounds</t>
  </si>
  <si>
    <t>Rust/Body Repair old Police Crusers</t>
  </si>
  <si>
    <t>International Code Council (ICC) Code Ref Material</t>
  </si>
  <si>
    <t>IT System upgrades</t>
  </si>
  <si>
    <t>Assistant Chief  Support Services</t>
  </si>
  <si>
    <t>Fire inspector 3 x 8 hr. shifts x 52 wk = 1,248 hr.  First Shift</t>
  </si>
  <si>
    <t>Paramedic In-house Educational Shift Class Coverage</t>
  </si>
  <si>
    <t>Emergency Call Back</t>
  </si>
  <si>
    <t>Holidays - 10 holidays X 24 hr. X 2 personnel</t>
  </si>
  <si>
    <t>CPR AED Supplies</t>
  </si>
  <si>
    <t>Ambulance Decontamination Supplies (Bio-Hazard Solutions etc.)</t>
  </si>
  <si>
    <t>Cost Ea.</t>
  </si>
  <si>
    <t>Stationery, training aids, time cards, business cards, Inspection forms, etc.</t>
  </si>
  <si>
    <t xml:space="preserve"> wireless for laptops</t>
  </si>
  <si>
    <t>G4 Communications Fastreach SDSL Annual Business</t>
  </si>
  <si>
    <t xml:space="preserve"> Cell Phone Engine (1 &amp; 2) I PAD Report/Data Access</t>
  </si>
  <si>
    <t xml:space="preserve"> Cell Phone Ambulance (1 &amp; 2) I PAD Report/Data Access</t>
  </si>
  <si>
    <t xml:space="preserve"> Cell Phone Ambulance 1 (Zoll Cardiac Monitor)</t>
  </si>
  <si>
    <t xml:space="preserve"> Cell Phone Ambulance 2 (Zoll Cardiac Monitor)</t>
  </si>
  <si>
    <t xml:space="preserve"> Cell Phone Ambulance 3 (Zoll  Cardiac Monitor)</t>
  </si>
  <si>
    <t>Emergency Generator and Switch Gear Maintenance Sta 1, 2 &amp; 3)</t>
  </si>
  <si>
    <t>Repair Overloaded Circuits, light ballast, switches etc. (on-going)</t>
  </si>
  <si>
    <t>Software Maintenance/Support Agreement</t>
  </si>
  <si>
    <t>Mattresses  Replacement</t>
  </si>
  <si>
    <t>Cardiac Monitor and Defibrillator service agreements  (Zoll)</t>
  </si>
  <si>
    <t xml:space="preserve">Replacement Mobile Radios </t>
  </si>
  <si>
    <t>F350 Ambulance 220</t>
  </si>
  <si>
    <t>SCBA Breathing Apparatus</t>
  </si>
  <si>
    <t>Public Access Cameras and Audio Equipment</t>
  </si>
  <si>
    <t xml:space="preserve">  Supervisors of Checklist - 600 hr X $10</t>
  </si>
  <si>
    <t>Total wages</t>
  </si>
  <si>
    <t>Director allocation (revenue transfer to General Fund)</t>
  </si>
  <si>
    <t>T-shirts</t>
  </si>
  <si>
    <t>Watson Park</t>
  </si>
  <si>
    <t>NH Rec and Park Association</t>
  </si>
  <si>
    <t>Fourth of July Celebration - Parade &amp; Fun Day</t>
  </si>
  <si>
    <t>Winter carnival (Port-a-potty, activity items)</t>
  </si>
  <si>
    <t>Lifeguards &amp; 4th of July</t>
  </si>
  <si>
    <t>Radio voting system - phone lines - 4</t>
  </si>
  <si>
    <t>Dispatching seminars &amp; Training</t>
  </si>
  <si>
    <t>Emergency Field First Aid supplies</t>
  </si>
  <si>
    <t>Welfare Software Maintenance Fee</t>
  </si>
  <si>
    <t xml:space="preserve">Adult fiction </t>
  </si>
  <si>
    <t>Adult non-fiction</t>
  </si>
  <si>
    <t xml:space="preserve">Reference </t>
  </si>
  <si>
    <t>Periodicals - Newspapers</t>
  </si>
  <si>
    <t>Periodicals - Professional</t>
  </si>
  <si>
    <t>Professional Non-Fiction</t>
  </si>
  <si>
    <t>CDs</t>
  </si>
  <si>
    <t>Video Games</t>
  </si>
  <si>
    <t>Property, liability and auto insurance</t>
  </si>
  <si>
    <t xml:space="preserve">Sprinkler system </t>
  </si>
  <si>
    <t>Elevator permits</t>
  </si>
  <si>
    <t>Maintenance of lawn mowers, bagger for mower, snowblowers and vacuum cleaners</t>
  </si>
  <si>
    <t>Computer paper, ink and miscellaneous office supplies</t>
  </si>
  <si>
    <t>Hand tools, maintenance of power tools, lifts, jacks  and</t>
  </si>
  <si>
    <t>log books and miscellaneous supplies</t>
  </si>
  <si>
    <t>Skid steer, loader, forklift and truck</t>
  </si>
  <si>
    <t>Heating of buildings, site lighting and other electrical services</t>
  </si>
  <si>
    <t>Diesel fuel: road tractors, loader and 1-ton truck</t>
  </si>
  <si>
    <t>Unleaded gasoline: pickup truck, mowers and other equipment</t>
  </si>
  <si>
    <t>Building repair, maintenanceand minor improvements</t>
  </si>
  <si>
    <t>Seeds, fertilizer and plants</t>
  </si>
  <si>
    <t>Printer, copier, alarm system, scale systems and computer</t>
  </si>
  <si>
    <t>Misc. wastes - light bulbs, propane tanks, etc.</t>
  </si>
  <si>
    <t>Solid Waste Attendant</t>
  </si>
  <si>
    <t>ESRI-GIS (software maintenance)</t>
  </si>
  <si>
    <t>Total Station calibration</t>
  </si>
  <si>
    <t xml:space="preserve">Computer equipment </t>
  </si>
  <si>
    <t>Farmers market assistant</t>
  </si>
  <si>
    <t>stationery, software and miscellaneous supplies</t>
  </si>
  <si>
    <t>Rubber boots, gloves and safety items</t>
  </si>
  <si>
    <t>Uniform service-Part Time</t>
  </si>
  <si>
    <t>Chemicals, filter paper, glassware, small instruments and other</t>
  </si>
  <si>
    <t>Mailing of monthly reports, correspondence and UPS shipping</t>
  </si>
  <si>
    <t>2-Compost hydrant charge 6"</t>
  </si>
  <si>
    <t>Conferences) and mileage reimbursement</t>
  </si>
  <si>
    <t>Maintenance of six pump stations</t>
  </si>
  <si>
    <t>Compost facility equipment maintenance</t>
  </si>
  <si>
    <t>VueWorks Software Support (Asset Management Software)</t>
  </si>
  <si>
    <t>Utility billing software support-Avitar</t>
  </si>
  <si>
    <t>Seminars, courses and state certification training</t>
  </si>
  <si>
    <t>Allocation of general fund administrative costs</t>
  </si>
  <si>
    <t>Hazardous &amp; universal waste removal</t>
  </si>
  <si>
    <t>Drug and alcohol- DOT testing</t>
  </si>
  <si>
    <t>Misc operating expenses not othewise assigned</t>
  </si>
  <si>
    <t>Computer replacements, installation and set up</t>
  </si>
  <si>
    <t>Transfer to sewer infrastructure Capital Reserve Fund</t>
  </si>
  <si>
    <t xml:space="preserve">Copier paper, ink cartridges, binders, file folders, log books, time cards </t>
  </si>
  <si>
    <t>supplies, batteries, propane and hand tools</t>
  </si>
  <si>
    <t>Uniform allowance - Teamsters</t>
  </si>
  <si>
    <t>Travel to meetings, workshops, seminars, and training sessions; travel to random CDL testing</t>
  </si>
  <si>
    <t>painting and other building repairs, oil/water separator</t>
  </si>
  <si>
    <t xml:space="preserve">  Seeding (30% coverage rate)</t>
  </si>
  <si>
    <t xml:space="preserve">  Fertilizer (2 applications)</t>
  </si>
  <si>
    <t>road maintenance and brine anti icing</t>
  </si>
  <si>
    <t>berms, sluiceways and catch basins</t>
  </si>
  <si>
    <t>Materials testing and fuel tank tightness tests</t>
  </si>
  <si>
    <t>Seminars, courses, conferences and training materials</t>
  </si>
  <si>
    <t>in-house sign making and traffic marking paint</t>
  </si>
  <si>
    <t>Trash removal</t>
  </si>
  <si>
    <t>Police details</t>
  </si>
  <si>
    <t>Volunteer supplies, Public Work Week outreach and MS4 education</t>
  </si>
  <si>
    <t>Roofing, emergency egress, insulation, air quality improvements</t>
  </si>
  <si>
    <t>Traffic Light Preemption</t>
  </si>
  <si>
    <t>Excess Sick Leave Purchase</t>
  </si>
  <si>
    <t>Finance Director/Assistant Town Manager</t>
  </si>
  <si>
    <t>Maintenance of vehicles, light and heavy equipment</t>
  </si>
  <si>
    <t>Nixel</t>
  </si>
  <si>
    <t>Building Inspections after hours (20)</t>
  </si>
  <si>
    <t>Office Administration (100)</t>
  </si>
  <si>
    <t>8111 - overtime</t>
  </si>
  <si>
    <t>8111 Overtime</t>
  </si>
  <si>
    <t>TM Adjustment</t>
  </si>
  <si>
    <t>01-08-8505-0 Infrastructure/Paving</t>
  </si>
  <si>
    <t xml:space="preserve">Road Infrastructure Capital Reserve Fund </t>
  </si>
  <si>
    <t>GIS</t>
  </si>
  <si>
    <t>Total CRF</t>
  </si>
  <si>
    <t>33-33-8363-0 Fire Protection Area</t>
  </si>
  <si>
    <t xml:space="preserve"> Legal and professional advise Pipeline</t>
  </si>
  <si>
    <t xml:space="preserve">Full-time employees - </t>
  </si>
  <si>
    <t>Employee cost sharing  10%</t>
  </si>
  <si>
    <t>Short courses, technical seminars, conferences, books and APWA national conference</t>
  </si>
  <si>
    <t>2016-17</t>
  </si>
  <si>
    <t>01-25-8504-0 Office Equipment</t>
  </si>
  <si>
    <t>01-09-8504-0 Office Equipment</t>
  </si>
  <si>
    <t>01-09-8356-0 Solid Waste Disposal Constr &amp; Demolition materials</t>
  </si>
  <si>
    <t>01-08-8504-0 Office Equipment</t>
  </si>
  <si>
    <t xml:space="preserve"> Balance </t>
  </si>
  <si>
    <t>01-21-8910-0 Capital Reserve Fund Purchases</t>
  </si>
  <si>
    <t>Electronic Message Board Singage</t>
  </si>
  <si>
    <t>Maintenance I - 40 hr x 12 wks (June, July, August)</t>
  </si>
  <si>
    <t>Registration Software for Recreation Programs</t>
  </si>
  <si>
    <t xml:space="preserve">Credit Card Transaction Fees </t>
  </si>
  <si>
    <t>Compost</t>
  </si>
  <si>
    <t>Phase II</t>
  </si>
  <si>
    <t>Phase II and Compost</t>
  </si>
  <si>
    <t xml:space="preserve">   Less revenues</t>
  </si>
  <si>
    <t>Chairs-Replacement (Dispatch Console)</t>
  </si>
  <si>
    <t>OHRV</t>
  </si>
  <si>
    <t>Taser Replacement Program</t>
  </si>
  <si>
    <t>Camera / Recorder - Detectives</t>
  </si>
  <si>
    <t>Part Time Admin Clerk</t>
  </si>
  <si>
    <t>Install Security door at counter</t>
  </si>
  <si>
    <t>Station Shift Coverage (Vacation, Personal Time, 50% sick Time)</t>
  </si>
  <si>
    <t>Telephone cost allocation for Station 1, 2 and 3</t>
  </si>
  <si>
    <t>Cell Phone Officers</t>
  </si>
  <si>
    <t>Boarder Area Mutual Aid Association</t>
  </si>
  <si>
    <t>Regional Swift Water Rescue Team (Flood Protection)</t>
  </si>
  <si>
    <t>Hazardous Materials Containment Booms and Pads</t>
  </si>
  <si>
    <t>Office Chairs / Training Room Equipment</t>
  </si>
  <si>
    <t xml:space="preserve">Service truck </t>
  </si>
  <si>
    <t>Fleet maintenance courses and Emergency Vehicle Technician</t>
  </si>
  <si>
    <t>Lawn services</t>
  </si>
  <si>
    <t>Hand tools, safety, and misc items</t>
  </si>
  <si>
    <t>Flagger for working in railroad right-of-way</t>
  </si>
  <si>
    <t>Minor repairs to sewer manholes &amp; sewer line root control</t>
  </si>
  <si>
    <t>Summer Library Student Intern - Youth Services 10 weeks @ 20H</t>
  </si>
  <si>
    <t>Seasonal snow removal/landscaping</t>
  </si>
  <si>
    <t>01-15-8143 Incentive</t>
  </si>
  <si>
    <t>Librarica (SPOT)</t>
  </si>
  <si>
    <t>Graphic/Manga books</t>
  </si>
  <si>
    <t>OverDrive (NHSL downloadable, books, audio, magazines)</t>
  </si>
  <si>
    <t>Parking Lot Paving sidewalk</t>
  </si>
  <si>
    <t>State Bridge Aid/TAP Grant</t>
  </si>
  <si>
    <t>01-02-8910-0 Capital Reserve Fund Purchases</t>
  </si>
  <si>
    <t>Town Wide valuation</t>
  </si>
  <si>
    <t>Sewer Pump Maintenance agreement  -Police</t>
  </si>
  <si>
    <t>Pickup (1 ton) Forestry Truck F1</t>
  </si>
  <si>
    <t>Boat Inflatable B2</t>
  </si>
  <si>
    <t>2017-18</t>
  </si>
  <si>
    <t>Holiday pay - 10 holidays X 8 hr X 7 employees</t>
  </si>
  <si>
    <t>PT - Animal Control Officer</t>
  </si>
  <si>
    <t>31-10-8143-0 EMPLOYEE INCENTIVES/Raises</t>
  </si>
  <si>
    <t>01-15-8260-0 Telephone &amp; Services</t>
  </si>
  <si>
    <t xml:space="preserve">424-5021  - 5 lines bundled </t>
  </si>
  <si>
    <t>429-0576 Line 2</t>
  </si>
  <si>
    <t>424-8519 Burglar Alarm</t>
  </si>
  <si>
    <t>Employee recruitment ads and public notices; community outreach; marketing</t>
  </si>
  <si>
    <t>01-09-8107-0 Wages - Part-Time</t>
  </si>
  <si>
    <t>31-27-8612-0 Principal - Long-Term Debt</t>
  </si>
  <si>
    <t>31-27-8614-0 Principal - Long-Term Debt</t>
  </si>
  <si>
    <t>31-27-8611-0 Interest - Long-Term Debt</t>
  </si>
  <si>
    <t>On-call Dispatchers</t>
  </si>
  <si>
    <t>College course tuition reimbursement - NEPBA112</t>
  </si>
  <si>
    <t>Master Firefighter - Paramedic</t>
  </si>
  <si>
    <t>Wing Rate</t>
  </si>
  <si>
    <t>and brochures and meals (over 14 hours of work during an emergency)</t>
  </si>
  <si>
    <t>Full-time employees - NEPBA 12</t>
  </si>
  <si>
    <t>Employee cost sharing - NEPBA 12</t>
  </si>
  <si>
    <t>Full-time employees - AFSCME 3657</t>
  </si>
  <si>
    <t>Full-time employees - NEPBA 112</t>
  </si>
  <si>
    <t>2017-18 BUDGET</t>
  </si>
  <si>
    <t>01-05-8321-0 Maintenance-Buildings &amp; Grounds</t>
  </si>
  <si>
    <t>01-09-8503-0 Vehicles</t>
  </si>
  <si>
    <t>01-17-8359-0 Other Outside Services</t>
  </si>
  <si>
    <t>8104 - Program Manager</t>
  </si>
  <si>
    <t>Wasserman Park facilities and outdoor lighting</t>
  </si>
  <si>
    <t>AFSCME 3657</t>
  </si>
  <si>
    <t>Operator I</t>
  </si>
  <si>
    <t>Operator II</t>
  </si>
  <si>
    <t>Maintainer I</t>
  </si>
  <si>
    <t>89-89-8375-0 Day Camp</t>
  </si>
  <si>
    <t>Cablecast/Webcast Devices</t>
  </si>
  <si>
    <t>Lower Power FM equipment</t>
  </si>
  <si>
    <t>Wasserman Park - removal of abandoned underground oil tank</t>
  </si>
  <si>
    <t>Wasserman Park - MYA Cabin</t>
  </si>
  <si>
    <t>Operating supplies - Food</t>
  </si>
  <si>
    <t>Medical Supplies</t>
  </si>
  <si>
    <t xml:space="preserve">Uniforms </t>
  </si>
  <si>
    <t>Supplies</t>
  </si>
  <si>
    <t>Sibling Discount</t>
  </si>
  <si>
    <t>Swimming Lessons (8 weeks)</t>
  </si>
  <si>
    <t>Supplies - Red Cross Certification Cards</t>
  </si>
  <si>
    <t>Back ground checks  (2 x $25.00 each)</t>
  </si>
  <si>
    <t>Tennis Lessons (8 weeks)</t>
  </si>
  <si>
    <t>Tennis Instructor - 20 hrs/wk x 8 weeks</t>
  </si>
  <si>
    <t>Back ground checks  (1 x $25.00 each)</t>
  </si>
  <si>
    <t>School Vacation Week Programs (3 weeks)</t>
  </si>
  <si>
    <t>Back ground checks  (4 x $25.00 each)</t>
  </si>
  <si>
    <t xml:space="preserve">Operating Expense - Food </t>
  </si>
  <si>
    <t>20-13-8375-0 Day Camp Moved to revolving fund</t>
  </si>
  <si>
    <t>TOTAL</t>
  </si>
  <si>
    <t>Park Attendant (weekends) for town beach -10 weekends</t>
  </si>
  <si>
    <t xml:space="preserve">Waterfront Director hours divided between town and camp - 20 hr x 9 wk </t>
  </si>
  <si>
    <t xml:space="preserve">8107- secretary/ Maintenance </t>
  </si>
  <si>
    <t>Cellular telephones - (9 Data / 3 service)</t>
  </si>
  <si>
    <t>Access Control / Security System Maintenance (PMI) Agreement</t>
  </si>
  <si>
    <t>Radio base station Police &amp; Fire</t>
  </si>
  <si>
    <t>Technology Assistant</t>
  </si>
  <si>
    <t>Criminal  &amp; Driving records checks</t>
  </si>
  <si>
    <t xml:space="preserve">Office Manager - Administration </t>
  </si>
  <si>
    <t>Head of Circulation</t>
  </si>
  <si>
    <t xml:space="preserve">  Aide I - Youth Services  </t>
  </si>
  <si>
    <t>Educational Incentive</t>
  </si>
  <si>
    <t>Online SRP Tracking - all (Beanstack)</t>
  </si>
  <si>
    <t>Museum Passes ( Library Insight)</t>
  </si>
  <si>
    <t xml:space="preserve"> Teen materials</t>
  </si>
  <si>
    <t>Replacement Large format color printer/Copy Machine</t>
  </si>
  <si>
    <t>EMT Recertification Practical  (3 x 24) [from 96 reduced to 72]</t>
  </si>
  <si>
    <t>National Guard Backfill</t>
  </si>
  <si>
    <t>EMS Training Requirements</t>
  </si>
  <si>
    <t>EMT Recertification Practical [384 hrs reduced to 192]</t>
  </si>
  <si>
    <t>Auto Pulse Bands</t>
  </si>
  <si>
    <t>EZIO Needles</t>
  </si>
  <si>
    <t>Plowing of Station 1, Station 2 and Station 3</t>
  </si>
  <si>
    <t>Replacement Batteries for Stryker Power Stretchers</t>
  </si>
  <si>
    <t>Advanced Life Support Manikin Training Device</t>
  </si>
  <si>
    <t>Hazardous Materials Cleanup Materials</t>
  </si>
  <si>
    <t>Large Diameter Supply Hose</t>
  </si>
  <si>
    <t>Custodian Town Hall - Nights</t>
  </si>
  <si>
    <t>Adult Community Center (General Maintenance)</t>
  </si>
  <si>
    <t>Maintenance of B&amp;G Vehicles</t>
  </si>
  <si>
    <t>PD - HVAC Replacement (1 of 6 units)</t>
  </si>
  <si>
    <t>TH - Projector for CDD Conference Room</t>
  </si>
  <si>
    <t>01-17-8503-0 Vehicles</t>
  </si>
  <si>
    <t xml:space="preserve">Fleet management license agreement </t>
  </si>
  <si>
    <t>Diagnostic Laptop</t>
  </si>
  <si>
    <t>NH Designer</t>
  </si>
  <si>
    <t>NH Land Surveyor</t>
  </si>
  <si>
    <t>NH Professional Engineer ( 2 @ $150.)</t>
  </si>
  <si>
    <t>Cadnet</t>
  </si>
  <si>
    <t>Internet service (Business Class)</t>
  </si>
  <si>
    <t>01-09-8502-0 Buildings</t>
  </si>
  <si>
    <t xml:space="preserve">and miscellaneous supplies. </t>
  </si>
  <si>
    <t>Minor repairs to Park buildings, winterizing, fuel island repairs, etc.</t>
  </si>
  <si>
    <t>Field maintenance (Martel, Twardosky, Watson):</t>
  </si>
  <si>
    <t>(MicroPaver, Iworq, ArcView, fuel software)</t>
  </si>
  <si>
    <t>Mosquito control application process to State</t>
  </si>
  <si>
    <t>Building repairs</t>
  </si>
  <si>
    <t>Small Equipment</t>
  </si>
  <si>
    <t>6 Wheel dump truck, H-22</t>
  </si>
  <si>
    <t>6 Wheel dump truck, H-27</t>
  </si>
  <si>
    <t>Paint Trailer</t>
  </si>
  <si>
    <t>SUV  H-1</t>
  </si>
  <si>
    <t>Mechanic II</t>
  </si>
  <si>
    <t xml:space="preserve">  Employees - NHRS Group I - age 60  - 1</t>
  </si>
  <si>
    <t>Sunset Shores Pump Stations (3)</t>
  </si>
  <si>
    <t>Plant boilers</t>
  </si>
  <si>
    <t>Heating remote buildings and generator operation</t>
  </si>
  <si>
    <t>Diesel fuel - loaders, roll off truck, sewer vac and skid steers</t>
  </si>
  <si>
    <t>Seminars, meetings, conferences (including WEF, VUEWorks,</t>
  </si>
  <si>
    <t>Sawdust bulking agent for composting</t>
  </si>
  <si>
    <t>Manhole/Sewer Line rehab</t>
  </si>
  <si>
    <t>First year of five year program to evaluate the sewer system</t>
  </si>
  <si>
    <t xml:space="preserve">Traffic Preemption </t>
  </si>
  <si>
    <t>Hutchinson Tower</t>
  </si>
  <si>
    <t>Job related training and seminars</t>
  </si>
  <si>
    <t>Thermal Imaging Rescue Cameras (2)</t>
  </si>
  <si>
    <t>Program Manager (65/45 GF and Revolving Fund)</t>
  </si>
  <si>
    <t>8104 - Other Full-time</t>
  </si>
  <si>
    <t>Executive Park Drive Reconstruction</t>
  </si>
  <si>
    <t>Bridge Replacement - US 3 (Design)  (Town portion is $60,000)</t>
  </si>
  <si>
    <t>Electrical and plumbing supplies, ice melt and hand tools</t>
  </si>
  <si>
    <t>Technology Coordinator</t>
  </si>
  <si>
    <t xml:space="preserve">Full-time employees - Union (IAFF) </t>
  </si>
  <si>
    <t xml:space="preserve">Full-time employees - Union (AFSCME 3657) </t>
  </si>
  <si>
    <t xml:space="preserve">Emergency Call Back </t>
  </si>
  <si>
    <t xml:space="preserve">Station Shift Coverage (Vacation, Sick Time, Personnel Time, etc.) </t>
  </si>
  <si>
    <t xml:space="preserve">AFSCME 93 </t>
  </si>
  <si>
    <t>Total GENERAL FUND less Grant</t>
  </si>
  <si>
    <t>Netting Twardosky Ball field</t>
  </si>
  <si>
    <t>WSI's for town swim lesson- 12.5 hrs wk X 8 wk X 3 employees  offset by revenues</t>
  </si>
  <si>
    <t>Tennis - Summer &amp; Fall for Youth &amp; Adults  offset by revenues</t>
  </si>
  <si>
    <t>01-13-8910-0 Capital Reserve Fund Purchases</t>
  </si>
  <si>
    <t xml:space="preserve">  Aide I -Youth Services </t>
  </si>
  <si>
    <t>(5021 Line 1; 7536 Line 3; 8456 Fire Alarm; 2519 &amp; 7537 DSL)</t>
  </si>
  <si>
    <t>Periodicals - Magazines Revistas</t>
  </si>
  <si>
    <t>General Fund Totals</t>
  </si>
  <si>
    <t xml:space="preserve">01 - GENERAL GOVERNMENT </t>
  </si>
  <si>
    <t>08 - HIGHWAY</t>
  </si>
  <si>
    <t>02 - ASSESSING</t>
  </si>
  <si>
    <t>03- FIRE</t>
  </si>
  <si>
    <t>04 - POLICE</t>
  </si>
  <si>
    <t>05 - COMMUNICATIONS</t>
  </si>
  <si>
    <t>06 - Code Enforcement</t>
  </si>
  <si>
    <t>07 - PUBLIC WORKS ADMINISTRATION</t>
  </si>
  <si>
    <t>09 - SOLID WASTE DISPOSAL</t>
  </si>
  <si>
    <t>13 - PARKS &amp; RECREATION</t>
  </si>
  <si>
    <t>15 - LIBRARY</t>
  </si>
  <si>
    <t>16 - EQUIPMENT MAINTENANCE</t>
  </si>
  <si>
    <t>17 - BUILDINGS &amp; GROUNDS</t>
  </si>
  <si>
    <t>21 - COMMUNITY DEVELOPMENT</t>
  </si>
  <si>
    <t>24 - TOWN CLERK/TAX COLLECTOR</t>
  </si>
  <si>
    <t>25 - WELFARE</t>
  </si>
  <si>
    <t>27 -DEBT SERVICE</t>
  </si>
  <si>
    <t>31-27 WWTF DEBT SERVICE</t>
  </si>
  <si>
    <t>10 - WASTEWATER TREATMENT</t>
  </si>
  <si>
    <t>32 - MEDIA</t>
  </si>
  <si>
    <t>33 - Fire Protection Area</t>
  </si>
  <si>
    <t>20 -Self Supporting Fund</t>
  </si>
  <si>
    <t>01-13-8104-0 Wages - Other Full-Time</t>
  </si>
  <si>
    <t>Parks &amp; Recreation Revolving Fund</t>
  </si>
  <si>
    <t>Grand Total All FUNDS</t>
  </si>
  <si>
    <t xml:space="preserve">Animal Control Officer </t>
  </si>
  <si>
    <t>Fuction Hall (propane)</t>
  </si>
  <si>
    <t>Bridge replacement - Bedford Road (Town portion is $225,808)</t>
  </si>
  <si>
    <t>Wage Adjustment</t>
  </si>
  <si>
    <t>Merrimack River Boat Access Mast Rd (Formally Griffin Street Boat Ramp)</t>
  </si>
  <si>
    <t>32-32-8143-0 EMPLOYEE INCENTIVES/Raises</t>
  </si>
  <si>
    <t>Holidays - 10 holidays X 24 hr. X 7personnel</t>
  </si>
  <si>
    <t>Holiday pay:10 holidays X 10 hr X 28 employees</t>
  </si>
  <si>
    <t>Misc.</t>
  </si>
  <si>
    <t>Capital Project  Fund</t>
  </si>
  <si>
    <t>Increase in clothing allowance per contract</t>
  </si>
  <si>
    <t>01-01-8128-0 Retirement</t>
  </si>
  <si>
    <t>2018-19</t>
  </si>
  <si>
    <t>Highway Facility Project Bond</t>
  </si>
  <si>
    <t>01-07-8111-0 Overtime - Other</t>
  </si>
  <si>
    <t>01-21-8111-0 Overtime - Other</t>
  </si>
  <si>
    <t>31-10-8502-0 Buildings</t>
  </si>
  <si>
    <t>31-10-8505-0 Infrastructure</t>
  </si>
  <si>
    <t>32-32-8502-0 Building Improvements</t>
  </si>
  <si>
    <t>89-89-8321-0 Maintenance - Buildings and Grounds</t>
  </si>
  <si>
    <t>89-89-8359-0 Other Outside Services (Credit Card fees)</t>
  </si>
  <si>
    <t>Dog Park (01.01.8893)</t>
  </si>
  <si>
    <t>Difference</t>
  </si>
  <si>
    <t>Rescue Equipment (01.03.8893)</t>
  </si>
  <si>
    <t xml:space="preserve">8105 </t>
  </si>
  <si>
    <t xml:space="preserve">8111 </t>
  </si>
  <si>
    <t>Wifi Function Hall</t>
  </si>
  <si>
    <t>Bishop Field</t>
  </si>
  <si>
    <t>A&amp;E Public Safety Building</t>
  </si>
  <si>
    <t>01-27-8607-0 Interest - Long-Term Debt</t>
  </si>
  <si>
    <t>01-27-8609-0 Principal - Long-Term Debt</t>
  </si>
  <si>
    <t>2017 Highway Garage Improvements</t>
  </si>
  <si>
    <t>Deputy Chief</t>
  </si>
  <si>
    <t>45-45</t>
  </si>
  <si>
    <t xml:space="preserve"> NEBPA 12</t>
  </si>
  <si>
    <t>Industrial Pretreat Mgr</t>
  </si>
  <si>
    <t>Asst. Maint. MGR.</t>
  </si>
  <si>
    <t>Fire/Building/Health Inspectors</t>
  </si>
  <si>
    <t>Uniform Patches etc.</t>
  </si>
  <si>
    <t>Fire Officer Projects and Program Ownership</t>
  </si>
  <si>
    <t>CPAP</t>
  </si>
  <si>
    <t>Firefighter Protective Clothing</t>
  </si>
  <si>
    <t>Off Probation Class A Uniform (per Union Contract)</t>
  </si>
  <si>
    <t>New Hire Firefighter Initial Uniform Issue (per Union Conract)</t>
  </si>
  <si>
    <t>Maintenance of  Air Packs  SCBA Units, SAR Units, Regulator Function test</t>
  </si>
  <si>
    <t>Fire extinguisher APW Foam maintenance and replacement</t>
  </si>
  <si>
    <t>Advanced EMT Course</t>
  </si>
  <si>
    <t>ACLS and PALS Litrature Education Materals</t>
  </si>
  <si>
    <t>Annual Promotional Testing, MFF, Lieutenant, Captain</t>
  </si>
  <si>
    <t>Master Firefighter Test (Union Contract)</t>
  </si>
  <si>
    <t>16' Trailer for Sheltering Supplies</t>
  </si>
  <si>
    <t>Replacement Mobile Radio (Mobile Command Trailer) Multi-Band</t>
  </si>
  <si>
    <t>Radio Programming  and Antennas, mounting</t>
  </si>
  <si>
    <t>NFPA 1582 Annual Employee Health Physicals</t>
  </si>
  <si>
    <t>Secretary (Building) (Part Time to Full Time)</t>
  </si>
  <si>
    <t>ICC License, IRC &amp; IBC Certifications ( Rick 2020)</t>
  </si>
  <si>
    <t xml:space="preserve"> Building Inspection Courses (Commercial Codes Stds)</t>
  </si>
  <si>
    <t>Master Electrical NFPA Code Course (Fred 2020)</t>
  </si>
  <si>
    <t>Building/Health Annual Continuing Education</t>
  </si>
  <si>
    <t>Electrical/Pumbing Code Books</t>
  </si>
  <si>
    <t>Holiday pay - Captains Lieutenants Admin Officer and Fire Marshal</t>
  </si>
  <si>
    <t>Paramedic In-house Educational Development Program</t>
  </si>
  <si>
    <t>Computer Software Udated</t>
  </si>
  <si>
    <t>IAFF 2904</t>
  </si>
  <si>
    <t xml:space="preserve">Apparatus Preventative Mainnenace outside Contractor (NE Fire Equip, </t>
  </si>
  <si>
    <t>Bull Dog Fire App, AEV Ambulance, Grappone FORD</t>
  </si>
  <si>
    <t>211 United Way of Greater Nashua (Information, Homeless &amp; Addiction primary)</t>
  </si>
  <si>
    <t>new</t>
  </si>
  <si>
    <t>The Front Door Agency - (Emergency assistance, Security Deposit, Housing)</t>
  </si>
  <si>
    <t>NHPA dues, APA/AICP Dues, NHEDA Dues</t>
  </si>
  <si>
    <t>State planning and zoning workshops (for board members)</t>
  </si>
  <si>
    <t>Other training and professional development (staff members)</t>
  </si>
  <si>
    <t xml:space="preserve">  Commercial Printing of property pamphlets &amp; maps</t>
  </si>
  <si>
    <t xml:space="preserve">  Memberships:   NH Association of Conservation Commissions</t>
  </si>
  <si>
    <t>Remote Web and Cablecast Equipment</t>
  </si>
  <si>
    <t>PCI Compliance Training (annual re: credit/debit card processing)</t>
  </si>
  <si>
    <t>Voting Booths</t>
  </si>
  <si>
    <t>National Recreation &amp; Park Association</t>
  </si>
  <si>
    <t>Seasonal activities - Movies in the Park</t>
  </si>
  <si>
    <t>Back ground checks  (5 x $25.00 each)</t>
  </si>
  <si>
    <t>Physicals, psychological exams, drug tests, and written entrance exams</t>
  </si>
  <si>
    <t>Mobile Messaging License</t>
  </si>
  <si>
    <t xml:space="preserve">Head of Adult Services, </t>
  </si>
  <si>
    <t>Head of Youth Services</t>
  </si>
  <si>
    <t xml:space="preserve">  Library Assistant I - Youth Services </t>
  </si>
  <si>
    <t xml:space="preserve">  Library Assistant I - Technical Services </t>
  </si>
  <si>
    <t xml:space="preserve">  Aide I - Circulation  </t>
  </si>
  <si>
    <t xml:space="preserve">  Page - Circulation</t>
  </si>
  <si>
    <t xml:space="preserve">  Page/Aide - Children's Room</t>
  </si>
  <si>
    <t>overdue notices, interlibrary loan books, general correspondence</t>
  </si>
  <si>
    <t>Website hosting annual fee</t>
  </si>
  <si>
    <t>Email hosting annual fee; service</t>
  </si>
  <si>
    <t>Computer and printer maintenance</t>
  </si>
  <si>
    <t xml:space="preserve">Bindery </t>
  </si>
  <si>
    <t xml:space="preserve">Hoopla </t>
  </si>
  <si>
    <t>audio books</t>
  </si>
  <si>
    <t xml:space="preserve">Video  </t>
  </si>
  <si>
    <t>Summer engineering student - 3</t>
  </si>
  <si>
    <t>NH Septic Evaluator License</t>
  </si>
  <si>
    <t>Misc., National Public Works Week, PW Open House</t>
  </si>
  <si>
    <t xml:space="preserve">Diagnostic Equipment Software &amp; Updates </t>
  </si>
  <si>
    <t>Pest control (Termites, Ants, Rodents, Etc.) TH &amp; PD &amp; ACC</t>
  </si>
  <si>
    <t>Plowing Municipal Lots</t>
  </si>
  <si>
    <t xml:space="preserve">2 Interns - Summer 440 hours each - Interns to assist </t>
  </si>
  <si>
    <t xml:space="preserve">        Sewer/Pretreatment Program/Lab/Collections System</t>
  </si>
  <si>
    <t>1-Year round, part time maintainer (24 hours/week)</t>
  </si>
  <si>
    <t xml:space="preserve">City of Nashua </t>
  </si>
  <si>
    <t xml:space="preserve">Cellular telephones and wireless communications ( 8) </t>
  </si>
  <si>
    <t>Replacement liners for screw conveyors</t>
  </si>
  <si>
    <t>Replacement screw for press</t>
  </si>
  <si>
    <t xml:space="preserve">Trucks, loaders and sewer cleaner </t>
  </si>
  <si>
    <t>Summer Maintainer T-shirts and safety boot allowance</t>
  </si>
  <si>
    <t>American Public Works Association (3 members)</t>
  </si>
  <si>
    <t>All-weather picnic tables (long lasting) (Replace 5 per year)</t>
  </si>
  <si>
    <t>Electrical Repairs for Vets Scoreboard</t>
  </si>
  <si>
    <t>Irrigation maintenance - (Vets, Reeds, Bise and Bishop)</t>
  </si>
  <si>
    <t>Exmark Mower</t>
  </si>
  <si>
    <t>DW Hwy Paving - Cracksealing</t>
  </si>
  <si>
    <t>Paving Gravel Roads</t>
  </si>
  <si>
    <t>Seaverns Bridge Canoe Launch</t>
  </si>
  <si>
    <t>H-29 Spreader and Plow fit up</t>
  </si>
  <si>
    <t>3/4T Pickup H-2</t>
  </si>
  <si>
    <t>6 Wheel dump truck, H-28</t>
  </si>
  <si>
    <t>6 Wheel dump truck, H-34</t>
  </si>
  <si>
    <t>NE Resource Recovery Association</t>
  </si>
  <si>
    <t>Maintenenace software for Scale</t>
  </si>
  <si>
    <t>Chargers and batteries for vehicle and portable radios</t>
  </si>
  <si>
    <t xml:space="preserve">Surveilance Camera </t>
  </si>
  <si>
    <t>Portable Radio Replacement</t>
  </si>
  <si>
    <t>Rescue 1 Breathing Air Cascade Replacement</t>
  </si>
  <si>
    <t>Fire Apparatus Computer Replacement</t>
  </si>
  <si>
    <t>Fire Suppression Hose</t>
  </si>
  <si>
    <t>Access Monitoring Faciltiy Control</t>
  </si>
  <si>
    <t>Athletic Field groomer</t>
  </si>
  <si>
    <t>Skate Park</t>
  </si>
  <si>
    <t>Crime Scene vehicle replacement upfit</t>
  </si>
  <si>
    <t xml:space="preserve">TH - HVAC Upgrade </t>
  </si>
  <si>
    <t>01-21-8503-0 Vehicle</t>
  </si>
  <si>
    <t>Pool Car</t>
  </si>
  <si>
    <t xml:space="preserve">  Telephone upgrade</t>
  </si>
  <si>
    <t>* Anticipated Balance as of 7/1/18.  Balance could vary due to interest and purchases during the 2017-18 budget</t>
  </si>
  <si>
    <t>** Estimated balance as of 6/30/19 does not include interest and may vary due to purchases during the 2018-19 budget year</t>
  </si>
  <si>
    <t>45 - Capital Project Fund</t>
  </si>
  <si>
    <t xml:space="preserve">  10 holidays X 10 hours X 9 officers = 900 hours</t>
  </si>
  <si>
    <t>Unemployment compensation - .18%</t>
  </si>
  <si>
    <t>Last Rest Cemetery</t>
  </si>
  <si>
    <t>Milfoil Treatment Expendable trust</t>
  </si>
  <si>
    <t xml:space="preserve">  Wi-Fi Campus project </t>
  </si>
  <si>
    <t>8107 - Part Time &gt; $14,000</t>
  </si>
  <si>
    <t>8107 - Part Time &lt; $14,000</t>
  </si>
  <si>
    <t>8107 &gt; $14,000</t>
  </si>
  <si>
    <t>8107 - Part Time &gt;$14,000</t>
  </si>
  <si>
    <t>Personnel services 8102 - 8136</t>
  </si>
  <si>
    <t>SPO2 Adult/Pediatric</t>
  </si>
  <si>
    <t>Fire Command SUV (including Fitup $XXX)</t>
  </si>
  <si>
    <t>International Association Chief of Police (IACP) Model Policy update and subscription service</t>
  </si>
  <si>
    <r>
      <t xml:space="preserve">01-25-8491-0 Other </t>
    </r>
    <r>
      <rPr>
        <sz val="8"/>
        <rFont val="Times New Roman"/>
        <family val="1"/>
      </rPr>
      <t>(property taxes, sewer, water, and personal maintenance)</t>
    </r>
  </si>
  <si>
    <t>Hiring of 1 new Officers</t>
  </si>
  <si>
    <t xml:space="preserve">  Emergency Medical Technician-Basic &amp; Intermediates Recertification's for Career, Call Division, Part Time</t>
  </si>
  <si>
    <t>Asst Director Waste Water</t>
  </si>
  <si>
    <t>Laptops for patrol vehicles</t>
  </si>
  <si>
    <t>Crossing Guards</t>
  </si>
  <si>
    <t>Program Manager (moved to Full-time)</t>
  </si>
  <si>
    <t>Dock Replacemnt</t>
  </si>
  <si>
    <t>Pearson Rd. / Reeds Ferry School Ball field</t>
  </si>
  <si>
    <t>Turkey Hill &amp; Martel</t>
  </si>
  <si>
    <t>Matthew Thornton Room Cameras and Equipment</t>
  </si>
  <si>
    <t>8101 - Medicare only</t>
  </si>
  <si>
    <t>8101 - exempt</t>
  </si>
  <si>
    <t>8107 Other</t>
  </si>
  <si>
    <t>2019-20 BUDGET</t>
  </si>
  <si>
    <t>2019-20</t>
  </si>
  <si>
    <t>01-01-8502-0 Building Improvements</t>
  </si>
  <si>
    <t>01-09-8460-0 Miscellaneous Expenses</t>
  </si>
  <si>
    <t>01-17-8203-0 Operating Supplies</t>
  </si>
  <si>
    <t>01-17-8212-0 Equipment Rental</t>
  </si>
  <si>
    <t>01-24-8460-0 Misc Operating Expenses</t>
  </si>
  <si>
    <t>31-10-8220-0 Printing</t>
  </si>
  <si>
    <t>45-45-8505-0 Infrastructure</t>
  </si>
  <si>
    <t>89-89-8280-0 General Insurance</t>
  </si>
  <si>
    <t>Workers compensation - 0.15%</t>
  </si>
  <si>
    <t xml:space="preserve">Pump station monitoring </t>
  </si>
  <si>
    <t>Comcast</t>
  </si>
  <si>
    <t>Liability insurance allocation</t>
  </si>
  <si>
    <t>Modems</t>
  </si>
  <si>
    <t>Detectives Secretary</t>
  </si>
  <si>
    <t>Police Record Clerkl</t>
  </si>
  <si>
    <t xml:space="preserve">Prosecutor Secretary </t>
  </si>
  <si>
    <t xml:space="preserve">Fire Capital Reserve </t>
  </si>
  <si>
    <t>AFSCME 2986</t>
  </si>
  <si>
    <t>IAFF</t>
  </si>
  <si>
    <t>NEPBA 112</t>
  </si>
  <si>
    <t>Patrolman/ Master Patrolman</t>
  </si>
  <si>
    <t>Solid Waste Equipment Operator III</t>
  </si>
  <si>
    <t>Solid Waste Recycling Attendant</t>
  </si>
  <si>
    <t>Operator II/ Lab Tech</t>
  </si>
  <si>
    <t xml:space="preserve">  Turnover (average $4007) - 1</t>
  </si>
  <si>
    <t xml:space="preserve">  Turnover (average $7,883) - 7</t>
  </si>
  <si>
    <t xml:space="preserve">  Employees - NHRS Group II - 20 years of service - 1</t>
  </si>
  <si>
    <t xml:space="preserve">  Employees - NHRS Group I - age 60  - 2</t>
  </si>
  <si>
    <t>GASB actuarial services</t>
  </si>
  <si>
    <t xml:space="preserve">  Moderators - 150 hr X 2 elections = 300 hr X $10</t>
  </si>
  <si>
    <t xml:space="preserve">  Election workers - 150 hr X 2 election = 300hr X $7.25</t>
  </si>
  <si>
    <t>Business cards and forms.</t>
  </si>
  <si>
    <t>none</t>
  </si>
  <si>
    <t>Family Promise (Anne Marie Transitional Housing for homeless families)</t>
  </si>
  <si>
    <t>Credit card terminals</t>
  </si>
  <si>
    <t>Master Plan Implementation (if needed/deemed necessary)</t>
  </si>
  <si>
    <t>Economic development activities</t>
  </si>
  <si>
    <t xml:space="preserve">  Aide I - Circulation - 15 hours </t>
  </si>
  <si>
    <t xml:space="preserve">  Aide I - Circulation - 17 H</t>
  </si>
  <si>
    <t>BENEFTS FOR PT CIRC 17 H</t>
  </si>
  <si>
    <t>BENEFITS FOR FT CUSTODIAL AIDE</t>
  </si>
  <si>
    <t>New Server installation costs</t>
  </si>
  <si>
    <t>LBOT FINES</t>
  </si>
  <si>
    <t>7 new public computers installation and protective software</t>
  </si>
  <si>
    <t>Amazon Prime</t>
  </si>
  <si>
    <t>Constant Contact</t>
  </si>
  <si>
    <t>Notary + Justice of the Peace</t>
  </si>
  <si>
    <t>Niche Academy</t>
  </si>
  <si>
    <t>Databases</t>
  </si>
  <si>
    <t>Passes</t>
  </si>
  <si>
    <t>Flipster</t>
  </si>
  <si>
    <t>3M eBooks (Cloud)</t>
  </si>
  <si>
    <t xml:space="preserve">Server replacement </t>
  </si>
  <si>
    <t>7 computer replacements</t>
  </si>
  <si>
    <t xml:space="preserve">Merrimack River - WWTF Coalition </t>
  </si>
  <si>
    <t/>
  </si>
  <si>
    <t xml:space="preserve">RDT Drum  - </t>
  </si>
  <si>
    <t>Professional services - permit renewals/compliance</t>
  </si>
  <si>
    <t>Brush Bucket for Tool Cat</t>
  </si>
  <si>
    <t xml:space="preserve">Turbidity Meter - Current Meter is 10 years old </t>
  </si>
  <si>
    <t>Screener</t>
  </si>
  <si>
    <t>Sewer Rate Study</t>
  </si>
  <si>
    <t>Plumber Services</t>
  </si>
  <si>
    <t>Electrician Services</t>
  </si>
  <si>
    <t>Door/Security Maintenance</t>
  </si>
  <si>
    <t>Irrigation Maintenance</t>
  </si>
  <si>
    <t>Repairs to slate roof old town hall</t>
  </si>
  <si>
    <t>Repairs to Gazebo at Abbie Griffin Park</t>
  </si>
  <si>
    <t>Maintenance Supplies</t>
  </si>
  <si>
    <t>Replace Town Hall sign</t>
  </si>
  <si>
    <t>TH - Window Replacements - West Wing</t>
  </si>
  <si>
    <t>One ton truck w/ stainless dump body and plow</t>
  </si>
  <si>
    <t>Spreader for B&amp;G 1</t>
  </si>
  <si>
    <t>2005 Loader</t>
  </si>
  <si>
    <t>safety supplies/PPE</t>
  </si>
  <si>
    <t>GIS consultant support / Vueworks</t>
  </si>
  <si>
    <t>Stationery, plans, maps, business cards and forms, Door Hangers</t>
  </si>
  <si>
    <t>Cracksealing/Striping shared church lot (Town share is 35%)</t>
  </si>
  <si>
    <t>Repave MYA Parking lot/basketball area</t>
  </si>
  <si>
    <t>Repairs to Bise concession stand</t>
  </si>
  <si>
    <t>Turkey Hill Road realignment at Baboosic Lake Road</t>
  </si>
  <si>
    <t>3/4T Pickup H-6</t>
  </si>
  <si>
    <t>6 Wheel dump truck, H-20</t>
  </si>
  <si>
    <t>6 Wheel dump truck, H-30</t>
  </si>
  <si>
    <t>Landscape Trailer</t>
  </si>
  <si>
    <t>Personal Protective Clothing and Equipment (Safety)</t>
  </si>
  <si>
    <t>(Safety Shoes, Hard Hats, Gloves, Clothing,</t>
  </si>
  <si>
    <t>High Visiblity Jackets and Vests etc.</t>
  </si>
  <si>
    <t>ICC License, IRC &amp; IBC Certifications (Peter)</t>
  </si>
  <si>
    <t>NH State Master Electrical License(Peter)</t>
  </si>
  <si>
    <t>Cellular airtime for mobile data terminals - 10</t>
  </si>
  <si>
    <t>Schedule Anywhere</t>
  </si>
  <si>
    <t>CO Detectors for Cruisers</t>
  </si>
  <si>
    <t>Patrol SUVs (4)</t>
  </si>
  <si>
    <t>New Officers (2)</t>
  </si>
  <si>
    <t>Lifeguards (weekdays) for town beach - 40 hr x 9 wk x 2 employees</t>
  </si>
  <si>
    <t xml:space="preserve">Wasserman Park Function Hall </t>
  </si>
  <si>
    <t>Pond Dredging / Beach Erosion Control</t>
  </si>
  <si>
    <t>* need to spread 62,646 of overhead cost</t>
  </si>
  <si>
    <t>89-89-8375-0 Day Camp - 9 weeks</t>
  </si>
  <si>
    <t>Camp Director - 8 hours/day x 50 days</t>
  </si>
  <si>
    <t>Assistant Director- 8 hours/day x 48 days</t>
  </si>
  <si>
    <t>Camp EMT - B - 8 hrs/day x 47 days</t>
  </si>
  <si>
    <t>Kitchen Manager/Cook - 8 hrs/day x 45 days</t>
  </si>
  <si>
    <t>Kitchen Help/Cooks Assistant - 8 hrs/day x 45 days</t>
  </si>
  <si>
    <t>Waterfront Director-hrs divided between town &amp; camp - 4 hrs/day x 47 days</t>
  </si>
  <si>
    <t xml:space="preserve">1 Lifeguard - 8 hrs / day x 45 </t>
  </si>
  <si>
    <t>WSI's for camp swim lesson- 8 hrs/day x 45 days X 4 employees</t>
  </si>
  <si>
    <t>Senior Counselors- 8 hrs/days x 45 days x 9 employees</t>
  </si>
  <si>
    <t>Junior Counselors -8 hrs/day x 45 days x 4 employees</t>
  </si>
  <si>
    <t>1:1 Aides - 8 hrs/ day x 45 days x 2 employees</t>
  </si>
  <si>
    <t>Activity Specialists -8 hrs / days x 46 days x 4 employees</t>
  </si>
  <si>
    <t>Program Supplies (Sports equipment, Arts &amp; Crafts)</t>
  </si>
  <si>
    <t>Back ground checks  (30x $25.00 each)</t>
  </si>
  <si>
    <t>Education &amp; training - ACA conference, Staff Training Costs</t>
  </si>
  <si>
    <t>Advertising - Camp Fair</t>
  </si>
  <si>
    <t>Total Expenses</t>
  </si>
  <si>
    <t xml:space="preserve">Camp Trek - 9 Weeks </t>
  </si>
  <si>
    <t>Teen Coordinator - 8 hrs/day x 47 days</t>
  </si>
  <si>
    <t>Senior Counselors - 8 hrs x 45 days x 1 employee</t>
  </si>
  <si>
    <t>Bus Transportation (3x per week x 9 weeks)</t>
  </si>
  <si>
    <t>Field Trip Admission Fees (3 days wk x 9 wks)</t>
  </si>
  <si>
    <t>Program Supplies</t>
  </si>
  <si>
    <t>Uniforms &amp; Camper Shirts</t>
  </si>
  <si>
    <t>Theater Camp -1 Week</t>
  </si>
  <si>
    <t>Director - 40 hours/wk  + 10 Prep</t>
  </si>
  <si>
    <t>Senior Counselors - 45 hrs x 3 employees</t>
  </si>
  <si>
    <t>WSI's - public  swim lesson- 15hr X 8 wk</t>
  </si>
  <si>
    <t>Specialty Program Mananger - 40 hrs/wk x 3 wks</t>
  </si>
  <si>
    <t>Counselors  - 40 hrs/wk x 3 wks x 3 employees</t>
  </si>
  <si>
    <t xml:space="preserve">Cook  - 20 hrs/wk x 3 wks </t>
  </si>
  <si>
    <t>Director Allocation</t>
  </si>
  <si>
    <t>Wilderness Medical Training Courses</t>
  </si>
  <si>
    <t>Instructor - 22 hrs/wk x 3 wks</t>
  </si>
  <si>
    <t>SOLO Course Participant Fees - $50/pp x 40 pp</t>
  </si>
  <si>
    <t>Cardiac 12 Lead Pads / Dfib Pads</t>
  </si>
  <si>
    <t>Tubing (Nitro, Medication)</t>
  </si>
  <si>
    <t>National Fire Protection Association Membership of personnel</t>
  </si>
  <si>
    <t xml:space="preserve">  compressors, portable power units and HVAC systems</t>
  </si>
  <si>
    <t>Toxic Material Monitoring Sensor Multi Gas &amp; (CO, HCN, Units)</t>
  </si>
  <si>
    <t>Jaws of Life maintenance, hydraulic Units, Tool Replacement cutting tips etc.</t>
  </si>
  <si>
    <t>Paint and Body Repair for vehicles (Engine 4, 8K)</t>
  </si>
  <si>
    <t>Stryker Stair Chair,  SCOOP Stokes service agreement (EMSAR)</t>
  </si>
  <si>
    <t>Maintenance Agreement for IV Pumps</t>
  </si>
  <si>
    <t>Hydrocarbon Containment Pools, DECON Replacement Equipment</t>
  </si>
  <si>
    <t>AMKUS Rescue RAM Set</t>
  </si>
  <si>
    <t xml:space="preserve">Station 1 Second Floor Tile </t>
  </si>
  <si>
    <t>Station 1 &amp; 2 Night Lighting (SAFETY)</t>
  </si>
  <si>
    <t>Pave Apron Station 1, 2, &amp; 3</t>
  </si>
  <si>
    <t>Signage for Station (MERRIMACK Fire Rescue Station 2)</t>
  </si>
  <si>
    <t>Renovation Station 3 (Shed Harris Fund) NO COST TO BUDGET</t>
  </si>
  <si>
    <t xml:space="preserve">Blitz Fire Nozzzle </t>
  </si>
  <si>
    <t>Ladder Location Beacons</t>
  </si>
  <si>
    <t>Ambulance UV Emitter (Biological Safety)</t>
  </si>
  <si>
    <t>Nozzle Parts, Adapters,  "O" Rings, Ball Valve Parts, Hand Tools</t>
  </si>
  <si>
    <t>Fire/EMS Training Grounds, Testing &amp; Training (2 OFF x 4 Shifts) 32 hours</t>
  </si>
  <si>
    <t>Recertification Training Paramedic (PALS), (ACLS) (4x 24)</t>
  </si>
  <si>
    <t>AEMT Recertification Program (1 x 24)</t>
  </si>
  <si>
    <t>Part Time Emergency Medical Support</t>
  </si>
  <si>
    <t>Part Time Paramedic (ALS)</t>
  </si>
  <si>
    <t>Part Time Advanced Emergency Medical Technician (ALS)</t>
  </si>
  <si>
    <t>Part Time Emergency Medical Technician (BLS)</t>
  </si>
  <si>
    <t>Part Time Fire Prevention / Inspection / Code Enforcement</t>
  </si>
  <si>
    <t>On-Call Firefighter/EMT (Volunteers)</t>
  </si>
  <si>
    <t>On-Call Fire Division (On-Call Group)</t>
  </si>
  <si>
    <t>Fire/EMS Training Grounds, Testing &amp; Training (7 FF x 4 Shifts) 96 hours</t>
  </si>
  <si>
    <t>AEMT Advanced Recertification (15) [216]</t>
  </si>
  <si>
    <t>Recertification Training Paramedic (PALS), (ACLS) (8 x 24)</t>
  </si>
  <si>
    <t>Training Personnel</t>
  </si>
  <si>
    <t>Hire 4 new LT's</t>
  </si>
  <si>
    <t>Phase III Bond</t>
  </si>
  <si>
    <t>CAD/RMS Server Replacement</t>
  </si>
  <si>
    <t>Replacement instruments controllers and probes</t>
  </si>
  <si>
    <t>Media Staff software</t>
  </si>
  <si>
    <t>Cablecast and local head end equipment</t>
  </si>
  <si>
    <t>Computers/RMS</t>
  </si>
  <si>
    <t>Depot Street Boat Ramp</t>
  </si>
  <si>
    <t>DW &amp; Woodbury Sidewalk (Design) (Town portion is $25,600)</t>
  </si>
  <si>
    <t>SCBA Fit Testing (Health Protection, SCBA)</t>
  </si>
  <si>
    <t>01-04-8814-0 Convincer Grant</t>
  </si>
  <si>
    <r>
      <t xml:space="preserve">  Library Assistant I - Administration/</t>
    </r>
    <r>
      <rPr>
        <strike/>
        <sz val="10"/>
        <rFont val="Times New Roman"/>
        <family val="1"/>
      </rPr>
      <t>Circ</t>
    </r>
    <r>
      <rPr>
        <sz val="10"/>
        <rFont val="Times New Roman"/>
        <family val="1"/>
      </rPr>
      <t>/Outreach</t>
    </r>
  </si>
  <si>
    <t>GRAND TOTAL * includes $3,500/$23,000 from Library Trustees</t>
  </si>
  <si>
    <t>01-06-8204-0 Uniforms, Personal Protective Clothing</t>
  </si>
  <si>
    <t>01-21-8510-0 Transfer To GIS CRF</t>
  </si>
  <si>
    <t>SIU Overtime</t>
  </si>
  <si>
    <t>Leads online</t>
  </si>
  <si>
    <t>South Fire Station Space Needs Assessment</t>
  </si>
  <si>
    <t>Custodian - Full-time</t>
  </si>
  <si>
    <t>Repairs/renovations childrens room</t>
  </si>
  <si>
    <t>Tipping fees paid at remote disposal site (Rate increase from $70.00)</t>
  </si>
  <si>
    <t>Single stream disposal costs (Rate increase from $54.50)</t>
  </si>
  <si>
    <t>Water analysis re: industrial pretreatment program(PFAS GenX)</t>
  </si>
  <si>
    <t xml:space="preserve">Town Hall (east &amp; west), Ambulance Garage building, </t>
  </si>
  <si>
    <t xml:space="preserve"> Legal Union Negotiations</t>
  </si>
  <si>
    <t>CRF Deposits WWTF</t>
  </si>
  <si>
    <t>CRF Deposits GF</t>
  </si>
  <si>
    <t>Welfare Administrator -28 hr X 52 wk = 1,456 hr</t>
  </si>
  <si>
    <t>Budget**</t>
  </si>
  <si>
    <t>43 - Capital Project Fund</t>
  </si>
  <si>
    <t>43-43-8505-0 Infrastructure</t>
  </si>
  <si>
    <t>WWTF Bond Phase III</t>
  </si>
  <si>
    <t>Training stipend</t>
  </si>
  <si>
    <t xml:space="preserve">Educational bonuses </t>
  </si>
  <si>
    <t>LEEDA Training II</t>
  </si>
  <si>
    <t>Fire Fighter - Paramedic/master</t>
  </si>
  <si>
    <t>Firefighter/master</t>
  </si>
  <si>
    <t>Firefighter- paramedic</t>
  </si>
  <si>
    <t>Equipment Operator I</t>
  </si>
  <si>
    <t>Equipment Operator II</t>
  </si>
  <si>
    <t>2019-20 Proposed Capital Reserve Funding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</si>
</sst>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0_);_(* \(#,##0.0000\);_(* &quot;-&quot;????_);_(@_)"/>
    <numFmt numFmtId="165" formatCode="_(* #,##0.0000_);_(* \(#,##0.0000\);_(* &quot;-&quot;_);_(@_)"/>
    <numFmt numFmtId="166" formatCode="_(* #,##0.000_);_(* \(#,##0.000\);_(* &quot;-&quot;???_);_(@_)"/>
    <numFmt numFmtId="167" formatCode="0_);\(0\)"/>
    <numFmt numFmtId="168" formatCode="_(* #,##0.0_);_(* \(#,##0.0\);_(* &quot;-&quot;?_);_(@_)"/>
    <numFmt numFmtId="169" formatCode="0.0%"/>
    <numFmt numFmtId="170" formatCode="_(* #,##0.00_);_(* \(#,##0.00\);_(* &quot;-&quot;_);_(@_)"/>
    <numFmt numFmtId="171" formatCode="&quot;$&quot;#,##0.00"/>
    <numFmt numFmtId="172" formatCode="_(* #,##0_);_(* \(#,##0\);_(* &quot;-&quot;??_);_(@_)"/>
  </numFmts>
  <fonts count="39" x14ac:knownFonts="1">
    <font>
      <sz val="10"/>
      <name val="Arial"/>
    </font>
    <font>
      <sz val="10"/>
      <name val="Arial"/>
      <family val="2"/>
    </font>
    <font>
      <sz val="10"/>
      <name val="Arial"/>
      <family val="2"/>
    </font>
    <font>
      <u/>
      <sz val="10"/>
      <color indexed="12"/>
      <name val="Arial"/>
      <family val="2"/>
    </font>
    <font>
      <sz val="12"/>
      <name val="Arial"/>
      <family val="2"/>
    </font>
    <font>
      <sz val="8"/>
      <name val="Arial"/>
      <family val="2"/>
    </font>
    <font>
      <b/>
      <sz val="10"/>
      <name val="Times New Roman"/>
      <family val="1"/>
    </font>
    <font>
      <sz val="10"/>
      <name val="Times New Roman"/>
      <family val="1"/>
    </font>
    <font>
      <u val="singleAccounting"/>
      <sz val="10"/>
      <name val="Times New Roman"/>
      <family val="1"/>
    </font>
    <font>
      <b/>
      <u/>
      <sz val="10"/>
      <name val="Times New Roman"/>
      <family val="1"/>
    </font>
    <font>
      <b/>
      <i/>
      <u/>
      <sz val="10"/>
      <name val="Times New Roman"/>
      <family val="1"/>
    </font>
    <font>
      <u/>
      <sz val="10"/>
      <name val="Times New Roman"/>
      <family val="1"/>
    </font>
    <font>
      <b/>
      <i/>
      <sz val="10"/>
      <name val="Times New Roman"/>
      <family val="1"/>
    </font>
    <font>
      <b/>
      <u val="singleAccounting"/>
      <sz val="10"/>
      <name val="Times New Roman"/>
      <family val="1"/>
    </font>
    <font>
      <sz val="8"/>
      <name val="Times New Roman"/>
      <family val="1"/>
    </font>
    <font>
      <sz val="12"/>
      <name val="Times New Roman"/>
      <family val="1"/>
    </font>
    <font>
      <u val="singleAccounting"/>
      <sz val="12"/>
      <name val="Times New Roman"/>
      <family val="1"/>
    </font>
    <font>
      <i/>
      <u/>
      <sz val="10"/>
      <name val="Times New Roman"/>
      <family val="1"/>
    </font>
    <font>
      <sz val="9"/>
      <name val="Times New Roman"/>
      <family val="1"/>
    </font>
    <font>
      <b/>
      <sz val="12"/>
      <name val="Times New Roman"/>
      <family val="1"/>
    </font>
    <font>
      <b/>
      <i/>
      <sz val="12"/>
      <name val="Times New Roman"/>
      <family val="1"/>
    </font>
    <font>
      <b/>
      <u/>
      <sz val="12"/>
      <name val="Times New Roman"/>
      <family val="1"/>
    </font>
    <font>
      <b/>
      <u val="singleAccounting"/>
      <sz val="12"/>
      <name val="Times New Roman"/>
      <family val="1"/>
    </font>
    <font>
      <b/>
      <sz val="9"/>
      <color indexed="81"/>
      <name val="Tahoma"/>
      <family val="2"/>
    </font>
    <font>
      <sz val="9"/>
      <color indexed="81"/>
      <name val="Tahoma"/>
      <family val="2"/>
    </font>
    <font>
      <strike/>
      <sz val="10"/>
      <name val="Times New Roman"/>
      <family val="1"/>
    </font>
    <font>
      <b/>
      <sz val="14"/>
      <name val="Times New Roman"/>
      <family val="1"/>
    </font>
    <font>
      <sz val="11"/>
      <color theme="1"/>
      <name val="Calibri"/>
      <family val="2"/>
      <scheme val="minor"/>
    </font>
    <font>
      <sz val="11"/>
      <name val="Calibri"/>
      <family val="2"/>
      <scheme val="minor"/>
    </font>
    <font>
      <sz val="10"/>
      <color theme="1"/>
      <name val="Times New Roman"/>
      <family val="1"/>
    </font>
    <font>
      <b/>
      <sz val="11"/>
      <color theme="1"/>
      <name val="Calibri"/>
      <family val="2"/>
      <scheme val="minor"/>
    </font>
    <font>
      <sz val="10"/>
      <color theme="1"/>
      <name val="Calibri"/>
      <family val="2"/>
      <scheme val="minor"/>
    </font>
    <font>
      <b/>
      <sz val="10"/>
      <color theme="1"/>
      <name val="Calibri"/>
      <family val="2"/>
      <scheme val="minor"/>
    </font>
    <font>
      <u/>
      <sz val="10"/>
      <color theme="1"/>
      <name val="Calibri"/>
      <family val="2"/>
      <scheme val="minor"/>
    </font>
    <font>
      <sz val="10"/>
      <name val="Arial"/>
      <family val="2"/>
    </font>
    <font>
      <strike/>
      <u val="singleAccounting"/>
      <sz val="10"/>
      <name val="Times New Roman"/>
      <family val="1"/>
    </font>
    <font>
      <b/>
      <sz val="10"/>
      <color theme="1"/>
      <name val="Times New Roman"/>
      <family val="1"/>
    </font>
    <font>
      <u val="singleAccounting"/>
      <sz val="10"/>
      <color theme="1"/>
      <name val="Times New Roman"/>
      <family val="1"/>
    </font>
    <font>
      <b/>
      <u/>
      <sz val="10"/>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2">
    <border>
      <left/>
      <right/>
      <top/>
      <bottom/>
      <diagonal/>
    </border>
    <border>
      <left/>
      <right/>
      <top/>
      <bottom style="thin">
        <color indexed="64"/>
      </bottom>
      <diagonal/>
    </border>
  </borders>
  <cellStyleXfs count="13">
    <xf numFmtId="0" fontId="0" fillId="0" borderId="0"/>
    <xf numFmtId="43" fontId="2" fillId="0" borderId="0" applyFon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0" fontId="2" fillId="0" borderId="0"/>
    <xf numFmtId="0" fontId="27" fillId="0" borderId="0"/>
    <xf numFmtId="0" fontId="2" fillId="0" borderId="0"/>
    <xf numFmtId="0" fontId="2" fillId="0" borderId="0"/>
    <xf numFmtId="0" fontId="2" fillId="0" borderId="0"/>
    <xf numFmtId="0" fontId="1" fillId="0" borderId="0"/>
    <xf numFmtId="0" fontId="4" fillId="0" borderId="0"/>
    <xf numFmtId="9" fontId="1" fillId="0" borderId="0" applyFont="0" applyFill="0" applyBorder="0" applyAlignment="0" applyProtection="0"/>
    <xf numFmtId="43" fontId="34" fillId="0" borderId="0" applyFont="0" applyFill="0" applyBorder="0" applyAlignment="0" applyProtection="0"/>
  </cellStyleXfs>
  <cellXfs count="315">
    <xf numFmtId="0" fontId="0" fillId="0" borderId="0" xfId="0"/>
    <xf numFmtId="41" fontId="6" fillId="0" borderId="0" xfId="0" applyNumberFormat="1" applyFont="1" applyFill="1"/>
    <xf numFmtId="41" fontId="7" fillId="0" borderId="0" xfId="0" applyNumberFormat="1" applyFont="1" applyFill="1"/>
    <xf numFmtId="41" fontId="7" fillId="0" borderId="0" xfId="0" applyNumberFormat="1" applyFont="1" applyFill="1" applyBorder="1"/>
    <xf numFmtId="41" fontId="6" fillId="0" borderId="0" xfId="0" applyNumberFormat="1" applyFont="1" applyFill="1" applyAlignment="1">
      <alignment horizontal="center"/>
    </xf>
    <xf numFmtId="0" fontId="6" fillId="0" borderId="0" xfId="0" applyFont="1" applyFill="1" applyAlignment="1">
      <alignment horizontal="center"/>
    </xf>
    <xf numFmtId="0" fontId="7" fillId="0" borderId="0" xfId="0" applyFont="1" applyFill="1" applyAlignment="1"/>
    <xf numFmtId="0" fontId="7" fillId="0" borderId="0" xfId="0" applyFont="1" applyFill="1"/>
    <xf numFmtId="41" fontId="7" fillId="0" borderId="0" xfId="0" applyNumberFormat="1" applyFont="1" applyFill="1" applyAlignment="1">
      <alignment horizontal="right"/>
    </xf>
    <xf numFmtId="41" fontId="8" fillId="0" borderId="0" xfId="0" applyNumberFormat="1" applyFont="1" applyFill="1" applyAlignment="1">
      <alignment horizontal="right"/>
    </xf>
    <xf numFmtId="0" fontId="10" fillId="0" borderId="0" xfId="0" applyFont="1" applyFill="1" applyAlignment="1">
      <alignment horizontal="center"/>
    </xf>
    <xf numFmtId="41" fontId="8" fillId="0" borderId="0" xfId="0" applyNumberFormat="1" applyFont="1" applyFill="1"/>
    <xf numFmtId="43" fontId="7" fillId="0" borderId="0" xfId="0" applyNumberFormat="1" applyFont="1" applyFill="1"/>
    <xf numFmtId="0" fontId="7" fillId="0" borderId="0" xfId="0" quotePrefix="1" applyFont="1" applyFill="1"/>
    <xf numFmtId="164" fontId="7" fillId="0" borderId="0" xfId="0" applyNumberFormat="1" applyFont="1" applyFill="1"/>
    <xf numFmtId="0" fontId="10" fillId="0" borderId="0" xfId="0" quotePrefix="1" applyFont="1" applyFill="1" applyAlignment="1">
      <alignment horizontal="center"/>
    </xf>
    <xf numFmtId="41" fontId="7" fillId="0" borderId="0" xfId="0" applyNumberFormat="1" applyFont="1" applyFill="1" applyAlignment="1">
      <alignment horizontal="center"/>
    </xf>
    <xf numFmtId="14" fontId="10" fillId="0" borderId="0" xfId="0" applyNumberFormat="1" applyFont="1" applyFill="1" applyAlignment="1">
      <alignment horizontal="center"/>
    </xf>
    <xf numFmtId="41" fontId="11" fillId="0" borderId="0" xfId="0" applyNumberFormat="1" applyFont="1" applyFill="1"/>
    <xf numFmtId="41" fontId="11" fillId="0" borderId="0" xfId="0" applyNumberFormat="1" applyFont="1" applyFill="1" applyAlignment="1">
      <alignment horizontal="right"/>
    </xf>
    <xf numFmtId="0" fontId="6" fillId="0" borderId="0" xfId="0" applyFont="1" applyFill="1"/>
    <xf numFmtId="0" fontId="7" fillId="0" borderId="0" xfId="0" applyFont="1" applyFill="1" applyAlignment="1">
      <alignment horizontal="center"/>
    </xf>
    <xf numFmtId="43" fontId="7" fillId="0" borderId="0" xfId="0" applyNumberFormat="1" applyFont="1" applyFill="1" applyAlignment="1">
      <alignment horizontal="right"/>
    </xf>
    <xf numFmtId="0" fontId="7" fillId="0" borderId="0" xfId="0" applyFont="1" applyFill="1" applyAlignment="1">
      <alignment horizontal="left"/>
    </xf>
    <xf numFmtId="41" fontId="6" fillId="0" borderId="0" xfId="0" applyNumberFormat="1" applyFont="1" applyFill="1" applyAlignment="1">
      <alignment horizontal="right"/>
    </xf>
    <xf numFmtId="0" fontId="7" fillId="0" borderId="0" xfId="10" applyFont="1" applyFill="1"/>
    <xf numFmtId="41" fontId="7" fillId="0" borderId="0" xfId="10" applyNumberFormat="1" applyFont="1" applyFill="1"/>
    <xf numFmtId="41" fontId="16" fillId="0" borderId="0" xfId="0" applyNumberFormat="1" applyFont="1" applyFill="1"/>
    <xf numFmtId="0" fontId="11" fillId="0" borderId="0" xfId="0" applyFont="1" applyFill="1"/>
    <xf numFmtId="41" fontId="11" fillId="0" borderId="0" xfId="0" applyNumberFormat="1" applyFont="1" applyFill="1" applyAlignment="1">
      <alignment horizontal="center"/>
    </xf>
    <xf numFmtId="0" fontId="7" fillId="0" borderId="0" xfId="0" applyFont="1" applyFill="1" applyAlignment="1">
      <alignment horizontal="right"/>
    </xf>
    <xf numFmtId="41" fontId="8" fillId="0" borderId="0" xfId="0" applyNumberFormat="1" applyFont="1" applyFill="1" applyBorder="1"/>
    <xf numFmtId="164" fontId="7" fillId="0" borderId="0" xfId="10" applyNumberFormat="1" applyFont="1" applyFill="1"/>
    <xf numFmtId="0" fontId="7" fillId="0" borderId="0" xfId="0" applyFont="1" applyFill="1" applyAlignment="1">
      <alignment wrapText="1"/>
    </xf>
    <xf numFmtId="0" fontId="7" fillId="0" borderId="0" xfId="0" quotePrefix="1" applyFont="1" applyFill="1" applyAlignment="1">
      <alignment horizontal="left"/>
    </xf>
    <xf numFmtId="41" fontId="7" fillId="0" borderId="1" xfId="0" applyNumberFormat="1" applyFont="1" applyFill="1" applyBorder="1"/>
    <xf numFmtId="0" fontId="7" fillId="0" borderId="0" xfId="0" quotePrefix="1" applyFont="1" applyFill="1" applyAlignment="1">
      <alignment horizontal="right"/>
    </xf>
    <xf numFmtId="43" fontId="6" fillId="0" borderId="0" xfId="0" applyNumberFormat="1" applyFont="1" applyFill="1" applyAlignment="1">
      <alignment horizontal="center"/>
    </xf>
    <xf numFmtId="0" fontId="11" fillId="0" borderId="0" xfId="0" applyFont="1" applyFill="1" applyAlignment="1">
      <alignment horizontal="right"/>
    </xf>
    <xf numFmtId="43" fontId="7" fillId="0" borderId="0" xfId="0" applyNumberFormat="1" applyFont="1" applyFill="1" applyAlignment="1">
      <alignment horizontal="center"/>
    </xf>
    <xf numFmtId="43" fontId="8" fillId="0" borderId="0" xfId="0" applyNumberFormat="1" applyFont="1" applyFill="1"/>
    <xf numFmtId="41" fontId="7" fillId="0" borderId="0" xfId="0" applyNumberFormat="1" applyFont="1" applyFill="1" applyBorder="1" applyAlignment="1" applyProtection="1"/>
    <xf numFmtId="0" fontId="7" fillId="0" borderId="0" xfId="0" applyFont="1" applyFill="1" applyBorder="1" applyAlignment="1">
      <alignment horizontal="left"/>
    </xf>
    <xf numFmtId="0" fontId="7" fillId="0" borderId="0" xfId="0" applyFont="1" applyFill="1" applyBorder="1" applyAlignment="1">
      <alignment vertical="center"/>
    </xf>
    <xf numFmtId="0" fontId="7" fillId="0" borderId="0" xfId="0" applyNumberFormat="1" applyFont="1" applyFill="1" applyBorder="1" applyAlignment="1">
      <alignment horizontal="left"/>
    </xf>
    <xf numFmtId="41" fontId="7" fillId="0" borderId="0" xfId="0" applyNumberFormat="1" applyFont="1" applyFill="1" applyBorder="1" applyAlignment="1"/>
    <xf numFmtId="41" fontId="7" fillId="0" borderId="0" xfId="0" applyNumberFormat="1" applyFont="1" applyFill="1" applyBorder="1" applyAlignment="1">
      <alignment horizontal="left"/>
    </xf>
    <xf numFmtId="166" fontId="7" fillId="0" borderId="0" xfId="0" applyNumberFormat="1" applyFont="1" applyFill="1"/>
    <xf numFmtId="3" fontId="7" fillId="0" borderId="0" xfId="0" applyNumberFormat="1" applyFont="1" applyFill="1"/>
    <xf numFmtId="0" fontId="15" fillId="0" borderId="0" xfId="10" applyFont="1" applyFill="1"/>
    <xf numFmtId="0" fontId="10" fillId="0" borderId="0" xfId="10" applyFont="1" applyFill="1" applyAlignment="1">
      <alignment horizontal="center"/>
    </xf>
    <xf numFmtId="41" fontId="11" fillId="0" borderId="0" xfId="10" applyNumberFormat="1" applyFont="1" applyFill="1"/>
    <xf numFmtId="41" fontId="7" fillId="0" borderId="0" xfId="0" quotePrefix="1" applyNumberFormat="1" applyFont="1" applyFill="1"/>
    <xf numFmtId="41" fontId="7" fillId="0" borderId="0" xfId="0" applyNumberFormat="1" applyFont="1" applyFill="1" applyAlignment="1">
      <alignment horizontal="left"/>
    </xf>
    <xf numFmtId="41" fontId="10" fillId="0" borderId="0" xfId="0" applyNumberFormat="1" applyFont="1" applyFill="1" applyAlignment="1">
      <alignment horizontal="center"/>
    </xf>
    <xf numFmtId="41" fontId="10" fillId="0" borderId="0" xfId="0" applyNumberFormat="1" applyFont="1" applyFill="1"/>
    <xf numFmtId="41" fontId="8" fillId="0" borderId="0" xfId="10" applyNumberFormat="1" applyFont="1" applyFill="1"/>
    <xf numFmtId="43" fontId="7" fillId="0" borderId="0" xfId="10" applyNumberFormat="1" applyFont="1" applyFill="1"/>
    <xf numFmtId="0" fontId="7" fillId="0" borderId="0" xfId="10" applyFont="1" applyFill="1" applyAlignment="1">
      <alignment horizontal="left"/>
    </xf>
    <xf numFmtId="12" fontId="11" fillId="0" borderId="0" xfId="10" applyNumberFormat="1" applyFont="1" applyFill="1" applyAlignment="1">
      <alignment horizontal="right"/>
    </xf>
    <xf numFmtId="0" fontId="12" fillId="0" borderId="0" xfId="0" applyFont="1" applyFill="1" applyAlignment="1">
      <alignment horizontal="center"/>
    </xf>
    <xf numFmtId="49" fontId="6" fillId="0" borderId="0" xfId="9" applyNumberFormat="1" applyFont="1" applyFill="1"/>
    <xf numFmtId="0" fontId="7" fillId="0" borderId="0" xfId="0" applyFont="1" applyFill="1" applyBorder="1"/>
    <xf numFmtId="0" fontId="10" fillId="0" borderId="0" xfId="0" applyFont="1" applyFill="1" applyBorder="1" applyAlignment="1">
      <alignment horizontal="center"/>
    </xf>
    <xf numFmtId="0" fontId="7" fillId="0" borderId="0" xfId="0" applyFont="1" applyFill="1" applyBorder="1" applyAlignment="1"/>
    <xf numFmtId="43" fontId="7" fillId="0" borderId="0" xfId="0" applyNumberFormat="1" applyFont="1" applyFill="1" applyBorder="1"/>
    <xf numFmtId="41" fontId="7" fillId="0" borderId="0" xfId="2" applyNumberFormat="1" applyFont="1" applyFill="1"/>
    <xf numFmtId="0" fontId="18" fillId="0" borderId="0" xfId="0" applyFont="1" applyFill="1" applyAlignment="1"/>
    <xf numFmtId="3" fontId="11" fillId="0" borderId="0" xfId="0" applyNumberFormat="1" applyFont="1" applyFill="1"/>
    <xf numFmtId="1" fontId="7" fillId="0" borderId="0" xfId="0" applyNumberFormat="1" applyFont="1" applyFill="1"/>
    <xf numFmtId="169" fontId="7" fillId="0" borderId="0" xfId="11" applyNumberFormat="1" applyFont="1" applyFill="1" applyAlignment="1">
      <alignment horizontal="left"/>
    </xf>
    <xf numFmtId="0" fontId="17" fillId="0" borderId="0" xfId="0" applyFont="1" applyFill="1" applyBorder="1" applyAlignment="1">
      <alignment horizontal="center"/>
    </xf>
    <xf numFmtId="41" fontId="11" fillId="0" borderId="0" xfId="0" applyNumberFormat="1" applyFont="1" applyFill="1" applyBorder="1"/>
    <xf numFmtId="41" fontId="7" fillId="0" borderId="0" xfId="0" applyNumberFormat="1" applyFont="1" applyFill="1" applyBorder="1" applyAlignment="1">
      <alignment horizontal="center"/>
    </xf>
    <xf numFmtId="41" fontId="7" fillId="0" borderId="0" xfId="0" applyNumberFormat="1" applyFont="1" applyFill="1" applyBorder="1" applyAlignment="1">
      <alignment horizontal="right"/>
    </xf>
    <xf numFmtId="41" fontId="7" fillId="0" borderId="0" xfId="2" applyNumberFormat="1" applyFont="1" applyFill="1" applyBorder="1"/>
    <xf numFmtId="38" fontId="7" fillId="0" borderId="0" xfId="0" applyNumberFormat="1" applyFont="1" applyFill="1"/>
    <xf numFmtId="164" fontId="7" fillId="0" borderId="0" xfId="0" applyNumberFormat="1" applyFont="1" applyFill="1" applyBorder="1"/>
    <xf numFmtId="3" fontId="7" fillId="0" borderId="0" xfId="0" applyNumberFormat="1" applyFont="1" applyFill="1" applyBorder="1"/>
    <xf numFmtId="41" fontId="13" fillId="0" borderId="0" xfId="0" applyNumberFormat="1" applyFont="1" applyFill="1"/>
    <xf numFmtId="41" fontId="8" fillId="0" borderId="0" xfId="0" applyNumberFormat="1" applyFont="1" applyFill="1" applyAlignment="1">
      <alignment horizontal="center"/>
    </xf>
    <xf numFmtId="0" fontId="9" fillId="0" borderId="0" xfId="0" applyFont="1" applyFill="1" applyBorder="1" applyAlignment="1">
      <alignment horizontal="center"/>
    </xf>
    <xf numFmtId="14" fontId="9" fillId="0" borderId="0" xfId="0" applyNumberFormat="1" applyFont="1" applyFill="1" applyBorder="1" applyAlignment="1">
      <alignment horizontal="center"/>
    </xf>
    <xf numFmtId="3" fontId="7" fillId="0" borderId="0" xfId="0" applyNumberFormat="1" applyFont="1" applyFill="1" applyBorder="1" applyAlignment="1" applyProtection="1">
      <alignment horizontal="left"/>
      <protection locked="0"/>
    </xf>
    <xf numFmtId="10" fontId="7" fillId="0" borderId="0" xfId="0" applyNumberFormat="1" applyFont="1" applyFill="1"/>
    <xf numFmtId="0" fontId="11" fillId="0" borderId="0" xfId="0" applyFont="1" applyFill="1" applyAlignment="1">
      <alignment horizontal="left"/>
    </xf>
    <xf numFmtId="0" fontId="10" fillId="0" borderId="0" xfId="0" quotePrefix="1" applyFont="1" applyFill="1" applyBorder="1" applyAlignment="1">
      <alignment horizontal="center"/>
    </xf>
    <xf numFmtId="0" fontId="19" fillId="0" borderId="0" xfId="0" applyFont="1" applyAlignment="1">
      <alignment horizontal="center"/>
    </xf>
    <xf numFmtId="0" fontId="19" fillId="0" borderId="0" xfId="0" applyFont="1"/>
    <xf numFmtId="0" fontId="19" fillId="0" borderId="0" xfId="0" applyFont="1" applyAlignment="1">
      <alignment horizontal="right"/>
    </xf>
    <xf numFmtId="0" fontId="21" fillId="0" borderId="0" xfId="0" applyFont="1" applyAlignment="1">
      <alignment horizontal="right"/>
    </xf>
    <xf numFmtId="0" fontId="21" fillId="0" borderId="0" xfId="0" applyFont="1" applyAlignment="1">
      <alignment horizontal="center"/>
    </xf>
    <xf numFmtId="14" fontId="21" fillId="0" borderId="0" xfId="0" applyNumberFormat="1" applyFont="1" applyAlignment="1">
      <alignment horizontal="center"/>
    </xf>
    <xf numFmtId="0" fontId="21" fillId="0" borderId="0" xfId="0" applyFont="1" applyFill="1" applyAlignment="1">
      <alignment horizontal="center"/>
    </xf>
    <xf numFmtId="41" fontId="19" fillId="0" borderId="0" xfId="0" applyNumberFormat="1" applyFont="1"/>
    <xf numFmtId="41" fontId="19" fillId="0" borderId="0" xfId="0" applyNumberFormat="1" applyFont="1" applyFill="1"/>
    <xf numFmtId="41" fontId="19" fillId="0" borderId="0" xfId="0" applyNumberFormat="1" applyFont="1" applyAlignment="1">
      <alignment vertical="justify"/>
    </xf>
    <xf numFmtId="0" fontId="19" fillId="0" borderId="0" xfId="0" applyFont="1" applyBorder="1"/>
    <xf numFmtId="41" fontId="21" fillId="0" borderId="0" xfId="0" applyNumberFormat="1" applyFont="1"/>
    <xf numFmtId="41" fontId="21" fillId="0" borderId="0" xfId="0" applyNumberFormat="1" applyFont="1" applyAlignment="1">
      <alignment vertical="justify"/>
    </xf>
    <xf numFmtId="41" fontId="21" fillId="0" borderId="0" xfId="0" applyNumberFormat="1" applyFont="1" applyFill="1"/>
    <xf numFmtId="41" fontId="22" fillId="0" borderId="0" xfId="0" applyNumberFormat="1" applyFont="1" applyFill="1"/>
    <xf numFmtId="41" fontId="22" fillId="0" borderId="0" xfId="0" applyNumberFormat="1" applyFont="1"/>
    <xf numFmtId="0" fontId="20" fillId="0" borderId="0" xfId="0" applyFont="1" applyAlignment="1"/>
    <xf numFmtId="0" fontId="20" fillId="0" borderId="0" xfId="0" applyFont="1" applyFill="1" applyAlignment="1"/>
    <xf numFmtId="41" fontId="20" fillId="0" borderId="0" xfId="0" applyNumberFormat="1" applyFont="1" applyAlignment="1"/>
    <xf numFmtId="41" fontId="20" fillId="0" borderId="0" xfId="0" applyNumberFormat="1" applyFont="1" applyFill="1" applyAlignment="1"/>
    <xf numFmtId="165" fontId="7" fillId="0" borderId="0" xfId="0" applyNumberFormat="1" applyFont="1" applyFill="1"/>
    <xf numFmtId="0" fontId="6" fillId="0" borderId="0" xfId="0" applyFont="1" applyFill="1" applyAlignment="1"/>
    <xf numFmtId="0" fontId="6" fillId="0" borderId="0" xfId="0" applyNumberFormat="1" applyFont="1" applyFill="1" applyBorder="1" applyAlignment="1">
      <alignment horizontal="left"/>
    </xf>
    <xf numFmtId="41" fontId="7" fillId="0" borderId="0" xfId="4" applyNumberFormat="1" applyFont="1" applyFill="1" applyBorder="1"/>
    <xf numFmtId="0" fontId="7" fillId="0" borderId="0" xfId="4" applyFont="1" applyFill="1" applyBorder="1"/>
    <xf numFmtId="43" fontId="7" fillId="0" borderId="0" xfId="4" applyNumberFormat="1" applyFont="1" applyFill="1" applyBorder="1"/>
    <xf numFmtId="41" fontId="8" fillId="0" borderId="0" xfId="4" applyNumberFormat="1" applyFont="1" applyFill="1" applyBorder="1"/>
    <xf numFmtId="164" fontId="7" fillId="0" borderId="0" xfId="4" applyNumberFormat="1" applyFont="1" applyFill="1" applyBorder="1"/>
    <xf numFmtId="0" fontId="10" fillId="0" borderId="0" xfId="4" applyFont="1" applyFill="1" applyBorder="1" applyAlignment="1">
      <alignment horizontal="center"/>
    </xf>
    <xf numFmtId="0" fontId="7" fillId="0" borderId="0" xfId="4" applyFont="1" applyFill="1" applyBorder="1" applyAlignment="1"/>
    <xf numFmtId="0" fontId="7" fillId="0" borderId="0" xfId="4" quotePrefix="1" applyFont="1" applyFill="1" applyBorder="1"/>
    <xf numFmtId="14" fontId="10" fillId="0" borderId="0" xfId="4" applyNumberFormat="1" applyFont="1" applyFill="1" applyBorder="1" applyAlignment="1">
      <alignment horizontal="center"/>
    </xf>
    <xf numFmtId="0" fontId="7" fillId="0" borderId="0" xfId="0" applyNumberFormat="1" applyFont="1" applyFill="1"/>
    <xf numFmtId="0" fontId="15" fillId="0" borderId="0" xfId="0" applyFont="1"/>
    <xf numFmtId="0" fontId="19" fillId="0" borderId="0" xfId="0" applyFont="1" applyFill="1"/>
    <xf numFmtId="0" fontId="15" fillId="0" borderId="0" xfId="0" applyFont="1" applyFill="1"/>
    <xf numFmtId="170" fontId="7" fillId="0" borderId="0" xfId="4" applyNumberFormat="1" applyFont="1" applyFill="1" applyBorder="1"/>
    <xf numFmtId="0" fontId="10" fillId="0" borderId="0" xfId="0" applyFont="1" applyFill="1" applyAlignment="1">
      <alignment horizontal="left"/>
    </xf>
    <xf numFmtId="41" fontId="7" fillId="0" borderId="0" xfId="4" applyNumberFormat="1" applyFont="1" applyFill="1" applyBorder="1" applyProtection="1">
      <protection locked="0"/>
    </xf>
    <xf numFmtId="0" fontId="7" fillId="0" borderId="0" xfId="4" applyFont="1" applyFill="1" applyBorder="1" applyAlignment="1">
      <alignment horizontal="left"/>
    </xf>
    <xf numFmtId="0" fontId="7" fillId="2" borderId="0" xfId="0" quotePrefix="1" applyFont="1" applyFill="1" applyAlignment="1">
      <alignment horizontal="right"/>
    </xf>
    <xf numFmtId="0" fontId="7" fillId="2" borderId="0" xfId="0" applyFont="1" applyFill="1"/>
    <xf numFmtId="41" fontId="7" fillId="2" borderId="0" xfId="0" applyNumberFormat="1" applyFont="1" applyFill="1"/>
    <xf numFmtId="43" fontId="7" fillId="2" borderId="0" xfId="0" applyNumberFormat="1" applyFont="1" applyFill="1"/>
    <xf numFmtId="0" fontId="7" fillId="2" borderId="0" xfId="0" applyFont="1" applyFill="1" applyAlignment="1">
      <alignment horizontal="right"/>
    </xf>
    <xf numFmtId="41" fontId="8" fillId="2" borderId="0" xfId="0" applyNumberFormat="1" applyFont="1" applyFill="1"/>
    <xf numFmtId="41" fontId="9" fillId="0" borderId="0" xfId="0" applyNumberFormat="1" applyFont="1" applyFill="1" applyAlignment="1">
      <alignment horizontal="center"/>
    </xf>
    <xf numFmtId="41" fontId="7" fillId="0" borderId="0" xfId="0" applyNumberFormat="1" applyFont="1" applyFill="1" applyBorder="1" applyAlignment="1" applyProtection="1">
      <protection locked="0"/>
    </xf>
    <xf numFmtId="41" fontId="11" fillId="0" borderId="0" xfId="0" applyNumberFormat="1" applyFont="1" applyFill="1" applyBorder="1" applyAlignment="1" applyProtection="1">
      <protection locked="0"/>
    </xf>
    <xf numFmtId="2" fontId="7" fillId="0" borderId="0" xfId="0" applyNumberFormat="1" applyFont="1" applyFill="1"/>
    <xf numFmtId="170" fontId="7" fillId="0" borderId="0" xfId="0" applyNumberFormat="1" applyFont="1" applyFill="1"/>
    <xf numFmtId="0" fontId="19" fillId="2" borderId="0" xfId="0" applyFont="1" applyFill="1"/>
    <xf numFmtId="41" fontId="19" fillId="2" borderId="0" xfId="0" applyNumberFormat="1" applyFont="1" applyFill="1"/>
    <xf numFmtId="41" fontId="19" fillId="2" borderId="0" xfId="0" applyNumberFormat="1" applyFont="1" applyFill="1" applyAlignment="1">
      <alignment vertical="justify"/>
    </xf>
    <xf numFmtId="0" fontId="19" fillId="2" borderId="0" xfId="0" applyFont="1" applyFill="1" applyAlignment="1">
      <alignment horizontal="left"/>
    </xf>
    <xf numFmtId="41" fontId="22" fillId="2" borderId="0" xfId="0" applyNumberFormat="1" applyFont="1" applyFill="1"/>
    <xf numFmtId="41" fontId="21" fillId="2" borderId="0" xfId="0" applyNumberFormat="1" applyFont="1" applyFill="1" applyAlignment="1">
      <alignment vertical="justify"/>
    </xf>
    <xf numFmtId="167" fontId="7" fillId="0" borderId="0" xfId="0" applyNumberFormat="1" applyFont="1" applyFill="1"/>
    <xf numFmtId="41" fontId="7" fillId="0" borderId="0" xfId="5" applyNumberFormat="1" applyFont="1" applyFill="1"/>
    <xf numFmtId="41" fontId="7" fillId="0" borderId="0" xfId="5" applyNumberFormat="1" applyFont="1" applyFill="1" applyAlignment="1">
      <alignment horizontal="center" vertical="center"/>
    </xf>
    <xf numFmtId="41" fontId="8" fillId="0" borderId="0" xfId="5" applyNumberFormat="1" applyFont="1" applyFill="1"/>
    <xf numFmtId="41" fontId="8" fillId="0" borderId="0" xfId="5" applyNumberFormat="1" applyFont="1" applyFill="1" applyAlignment="1">
      <alignment horizontal="center" vertical="center"/>
    </xf>
    <xf numFmtId="3" fontId="8" fillId="0" borderId="0" xfId="0" applyNumberFormat="1" applyFont="1" applyFill="1"/>
    <xf numFmtId="0" fontId="11" fillId="0" borderId="0" xfId="0" applyFont="1" applyFill="1" applyAlignment="1">
      <alignment horizontal="center"/>
    </xf>
    <xf numFmtId="9" fontId="7" fillId="0" borderId="0" xfId="0" applyNumberFormat="1" applyFont="1" applyFill="1"/>
    <xf numFmtId="43" fontId="8" fillId="2" borderId="0" xfId="0" applyNumberFormat="1" applyFont="1" applyFill="1"/>
    <xf numFmtId="37" fontId="7" fillId="0" borderId="0" xfId="0" applyNumberFormat="1" applyFont="1" applyFill="1" applyBorder="1"/>
    <xf numFmtId="41" fontId="8" fillId="0" borderId="0" xfId="0" applyNumberFormat="1" applyFont="1" applyFill="1" applyBorder="1" applyAlignment="1">
      <alignment horizontal="center"/>
    </xf>
    <xf numFmtId="0" fontId="28" fillId="0" borderId="0" xfId="5" applyFont="1" applyFill="1"/>
    <xf numFmtId="41" fontId="11" fillId="0" borderId="0" xfId="3" applyNumberFormat="1" applyFont="1" applyFill="1" applyAlignment="1" applyProtection="1"/>
    <xf numFmtId="168" fontId="7" fillId="0" borderId="0" xfId="0" applyNumberFormat="1" applyFont="1" applyFill="1"/>
    <xf numFmtId="43" fontId="6" fillId="0" borderId="0" xfId="0" applyNumberFormat="1" applyFont="1" applyFill="1"/>
    <xf numFmtId="171" fontId="7" fillId="0" borderId="0" xfId="0" applyNumberFormat="1" applyFont="1" applyFill="1"/>
    <xf numFmtId="0" fontId="29" fillId="0" borderId="0" xfId="0" applyFont="1"/>
    <xf numFmtId="0" fontId="30" fillId="0" borderId="0" xfId="0" applyFont="1"/>
    <xf numFmtId="0" fontId="31" fillId="0" borderId="0" xfId="0" applyFont="1"/>
    <xf numFmtId="3" fontId="7" fillId="0" borderId="0" xfId="0" applyNumberFormat="1" applyFont="1" applyFill="1" applyAlignment="1">
      <alignment horizontal="right"/>
    </xf>
    <xf numFmtId="3" fontId="8" fillId="0" borderId="0" xfId="0" applyNumberFormat="1" applyFont="1" applyFill="1" applyAlignment="1">
      <alignment horizontal="right"/>
    </xf>
    <xf numFmtId="3" fontId="33" fillId="0" borderId="0" xfId="0" applyNumberFormat="1" applyFont="1"/>
    <xf numFmtId="3" fontId="31" fillId="0" borderId="0" xfId="0" applyNumberFormat="1" applyFont="1"/>
    <xf numFmtId="41" fontId="7" fillId="0" borderId="0" xfId="4" applyNumberFormat="1" applyFont="1" applyFill="1"/>
    <xf numFmtId="0" fontId="7" fillId="0" borderId="0" xfId="6" applyFont="1" applyFill="1"/>
    <xf numFmtId="41" fontId="7" fillId="0" borderId="0" xfId="6" applyNumberFormat="1" applyFont="1" applyFill="1"/>
    <xf numFmtId="41" fontId="7" fillId="0" borderId="0" xfId="4" applyNumberFormat="1" applyFont="1" applyFill="1" applyAlignment="1">
      <alignment horizontal="right"/>
    </xf>
    <xf numFmtId="41" fontId="8" fillId="0" borderId="0" xfId="4" applyNumberFormat="1" applyFont="1" applyFill="1"/>
    <xf numFmtId="41" fontId="10" fillId="0" borderId="0" xfId="4" applyNumberFormat="1" applyFont="1" applyFill="1" applyAlignment="1">
      <alignment horizontal="center"/>
    </xf>
    <xf numFmtId="41" fontId="6" fillId="0" borderId="0" xfId="4" applyNumberFormat="1" applyFont="1" applyFill="1"/>
    <xf numFmtId="41" fontId="6" fillId="0" borderId="0" xfId="4" applyNumberFormat="1" applyFont="1" applyFill="1" applyAlignment="1">
      <alignment horizontal="right"/>
    </xf>
    <xf numFmtId="41" fontId="12" fillId="0" borderId="0" xfId="4" applyNumberFormat="1" applyFont="1" applyFill="1" applyAlignment="1">
      <alignment horizontal="center"/>
    </xf>
    <xf numFmtId="41" fontId="7" fillId="0" borderId="0" xfId="0" quotePrefix="1" applyNumberFormat="1" applyFont="1" applyFill="1" applyAlignment="1">
      <alignment horizontal="left"/>
    </xf>
    <xf numFmtId="3" fontId="27" fillId="0" borderId="0" xfId="0" applyNumberFormat="1" applyFont="1"/>
    <xf numFmtId="14" fontId="10" fillId="0" borderId="0" xfId="0" applyNumberFormat="1" applyFont="1" applyFill="1" applyBorder="1" applyAlignment="1">
      <alignment horizontal="center"/>
    </xf>
    <xf numFmtId="41" fontId="10" fillId="0" borderId="0" xfId="0" applyNumberFormat="1" applyFont="1" applyFill="1" applyBorder="1" applyAlignment="1">
      <alignment horizontal="center"/>
    </xf>
    <xf numFmtId="0" fontId="26" fillId="0" borderId="0" xfId="0" applyFont="1" applyFill="1" applyAlignment="1"/>
    <xf numFmtId="41" fontId="6" fillId="0" borderId="0" xfId="0" applyNumberFormat="1" applyFont="1" applyFill="1" applyAlignment="1"/>
    <xf numFmtId="41" fontId="26" fillId="0" borderId="0" xfId="0" applyNumberFormat="1" applyFont="1" applyFill="1" applyAlignment="1"/>
    <xf numFmtId="0" fontId="26" fillId="0" borderId="0" xfId="0" applyFont="1" applyFill="1" applyBorder="1" applyAlignment="1"/>
    <xf numFmtId="41" fontId="12" fillId="0" borderId="0" xfId="0" applyNumberFormat="1" applyFont="1" applyFill="1"/>
    <xf numFmtId="41" fontId="26" fillId="0" borderId="0" xfId="0" applyNumberFormat="1" applyFont="1" applyFill="1"/>
    <xf numFmtId="0" fontId="7" fillId="0" borderId="0" xfId="0" applyFont="1" applyFill="1"/>
    <xf numFmtId="0" fontId="7" fillId="0" borderId="0" xfId="0" applyFont="1" applyFill="1"/>
    <xf numFmtId="0" fontId="7" fillId="0" borderId="0" xfId="0" applyFont="1" applyFill="1"/>
    <xf numFmtId="0" fontId="10" fillId="0" borderId="0" xfId="0" applyFont="1" applyFill="1" applyAlignment="1">
      <alignment horizontal="center"/>
    </xf>
    <xf numFmtId="0" fontId="7" fillId="0" borderId="0" xfId="0" applyFont="1" applyFill="1"/>
    <xf numFmtId="41" fontId="8" fillId="0" borderId="0" xfId="0" applyNumberFormat="1" applyFont="1" applyFill="1" applyAlignment="1">
      <alignment horizontal="center"/>
    </xf>
    <xf numFmtId="0" fontId="7" fillId="0" borderId="0" xfId="0" applyFont="1" applyFill="1"/>
    <xf numFmtId="41" fontId="8" fillId="0" borderId="0" xfId="0" applyNumberFormat="1" applyFont="1" applyFill="1" applyAlignment="1">
      <alignment horizontal="center"/>
    </xf>
    <xf numFmtId="41" fontId="8" fillId="0" borderId="0" xfId="0" quotePrefix="1" applyNumberFormat="1" applyFont="1" applyFill="1" applyAlignment="1">
      <alignment horizontal="center"/>
    </xf>
    <xf numFmtId="41" fontId="7" fillId="0" borderId="0" xfId="0" applyNumberFormat="1" applyFont="1" applyAlignment="1">
      <alignment horizontal="center"/>
    </xf>
    <xf numFmtId="0" fontId="7" fillId="0" borderId="0" xfId="0" applyFont="1" applyFill="1"/>
    <xf numFmtId="0" fontId="7" fillId="0" borderId="0" xfId="0" applyFont="1" applyFill="1"/>
    <xf numFmtId="0" fontId="10" fillId="0" borderId="0" xfId="0" applyFont="1" applyFill="1" applyAlignment="1">
      <alignment horizontal="center"/>
    </xf>
    <xf numFmtId="41" fontId="7" fillId="0" borderId="0" xfId="0" quotePrefix="1" applyNumberFormat="1" applyFont="1" applyFill="1" applyBorder="1"/>
    <xf numFmtId="0" fontId="1" fillId="0" borderId="0" xfId="0" applyFont="1"/>
    <xf numFmtId="10" fontId="7" fillId="0" borderId="0" xfId="0" applyNumberFormat="1" applyFont="1" applyFill="1" applyBorder="1"/>
    <xf numFmtId="0" fontId="7" fillId="0" borderId="0" xfId="0" applyFont="1" applyFill="1"/>
    <xf numFmtId="0" fontId="19" fillId="0" borderId="0" xfId="0" applyFont="1" applyAlignment="1">
      <alignment horizontal="center"/>
    </xf>
    <xf numFmtId="0" fontId="10" fillId="0" borderId="0" xfId="0" applyFont="1" applyFill="1" applyAlignment="1">
      <alignment horizontal="center"/>
    </xf>
    <xf numFmtId="0" fontId="7" fillId="0" borderId="0" xfId="0" applyFont="1" applyFill="1"/>
    <xf numFmtId="3" fontId="32" fillId="0" borderId="0" xfId="0" applyNumberFormat="1" applyFont="1"/>
    <xf numFmtId="8" fontId="1" fillId="0" borderId="0" xfId="7" applyNumberFormat="1" applyFont="1" applyFill="1"/>
    <xf numFmtId="0" fontId="7" fillId="0" borderId="0" xfId="4" applyNumberFormat="1" applyFont="1" applyFill="1" applyBorder="1" applyAlignment="1">
      <alignment horizontal="left"/>
    </xf>
    <xf numFmtId="0" fontId="25" fillId="0" borderId="0" xfId="0" applyFont="1" applyFill="1"/>
    <xf numFmtId="1" fontId="1" fillId="0" borderId="0" xfId="0" applyNumberFormat="1" applyFont="1" applyFill="1"/>
    <xf numFmtId="0" fontId="1" fillId="0" borderId="0" xfId="0" applyFont="1" applyFill="1"/>
    <xf numFmtId="0" fontId="1" fillId="0" borderId="0" xfId="8" applyFont="1" applyFill="1"/>
    <xf numFmtId="0" fontId="7" fillId="0" borderId="0" xfId="0" applyFont="1" applyFill="1"/>
    <xf numFmtId="0" fontId="7" fillId="0" borderId="0" xfId="0" applyFont="1" applyFill="1"/>
    <xf numFmtId="0" fontId="10" fillId="0" borderId="0" xfId="0" applyFont="1" applyFill="1" applyAlignment="1">
      <alignment horizontal="center"/>
    </xf>
    <xf numFmtId="41" fontId="1" fillId="0" borderId="0" xfId="0" applyNumberFormat="1" applyFont="1" applyFill="1" applyBorder="1"/>
    <xf numFmtId="0" fontId="7" fillId="0" borderId="0" xfId="0" applyFont="1" applyFill="1" applyBorder="1" applyAlignment="1">
      <alignment wrapText="1"/>
    </xf>
    <xf numFmtId="41" fontId="7" fillId="0" borderId="0" xfId="0" applyNumberFormat="1" applyFont="1" applyFill="1" applyAlignment="1">
      <alignment wrapText="1"/>
    </xf>
    <xf numFmtId="41" fontId="7" fillId="0" borderId="0" xfId="0" applyNumberFormat="1" applyFont="1" applyFill="1" applyAlignment="1">
      <alignment horizontal="left" wrapText="1"/>
    </xf>
    <xf numFmtId="0" fontId="7" fillId="0" borderId="0" xfId="0" applyFont="1" applyFill="1"/>
    <xf numFmtId="0" fontId="7" fillId="0" borderId="0" xfId="0" applyFont="1" applyFill="1"/>
    <xf numFmtId="0" fontId="10" fillId="0" borderId="0" xfId="0" applyFont="1" applyFill="1" applyAlignment="1">
      <alignment horizontal="center"/>
    </xf>
    <xf numFmtId="0" fontId="7" fillId="0" borderId="0" xfId="0" applyFont="1" applyFill="1"/>
    <xf numFmtId="0" fontId="7" fillId="0" borderId="0" xfId="0" applyFont="1" applyFill="1"/>
    <xf numFmtId="41" fontId="8" fillId="0" borderId="0" xfId="0" applyNumberFormat="1" applyFont="1" applyFill="1" applyAlignment="1">
      <alignment horizontal="center"/>
    </xf>
    <xf numFmtId="172" fontId="7" fillId="0" borderId="0" xfId="12" applyNumberFormat="1" applyFont="1" applyFill="1"/>
    <xf numFmtId="0" fontId="7" fillId="0" borderId="0" xfId="0" applyFont="1" applyFill="1"/>
    <xf numFmtId="41" fontId="8" fillId="0" borderId="0" xfId="0" applyNumberFormat="1" applyFont="1" applyFill="1" applyAlignment="1">
      <alignment horizontal="center"/>
    </xf>
    <xf numFmtId="0" fontId="7" fillId="0" borderId="0" xfId="0" applyFont="1" applyFill="1"/>
    <xf numFmtId="172" fontId="7" fillId="0" borderId="0" xfId="12" applyNumberFormat="1" applyFont="1" applyFill="1" applyBorder="1"/>
    <xf numFmtId="0" fontId="7" fillId="0" borderId="0" xfId="0" applyFont="1" applyFill="1"/>
    <xf numFmtId="0" fontId="19" fillId="0" borderId="0" xfId="0" applyFont="1" applyAlignment="1">
      <alignment horizontal="center"/>
    </xf>
    <xf numFmtId="0" fontId="27" fillId="0" borderId="0" xfId="5"/>
    <xf numFmtId="0" fontId="27" fillId="0" borderId="0" xfId="5"/>
    <xf numFmtId="0" fontId="2" fillId="0" borderId="0" xfId="4"/>
    <xf numFmtId="41" fontId="1" fillId="0" borderId="0" xfId="7" applyNumberFormat="1" applyFont="1" applyFill="1"/>
    <xf numFmtId="0" fontId="7" fillId="0" borderId="0" xfId="0" applyFont="1" applyFill="1"/>
    <xf numFmtId="0" fontId="10" fillId="0" borderId="0" xfId="0" applyFont="1" applyFill="1" applyAlignment="1">
      <alignment horizontal="center"/>
    </xf>
    <xf numFmtId="0" fontId="7" fillId="0" borderId="0" xfId="0" applyFont="1" applyFill="1"/>
    <xf numFmtId="41" fontId="8" fillId="0" borderId="0" xfId="0" applyNumberFormat="1" applyFont="1" applyFill="1" applyAlignment="1">
      <alignment horizontal="center"/>
    </xf>
    <xf numFmtId="0" fontId="10" fillId="0" borderId="0" xfId="0" applyFont="1" applyFill="1" applyAlignment="1">
      <alignment horizontal="center"/>
    </xf>
    <xf numFmtId="41" fontId="25" fillId="0" borderId="0" xfId="4" applyNumberFormat="1" applyFont="1" applyFill="1" applyBorder="1"/>
    <xf numFmtId="43" fontId="25" fillId="0" borderId="0" xfId="4" applyNumberFormat="1" applyFont="1" applyFill="1" applyBorder="1"/>
    <xf numFmtId="41" fontId="35" fillId="0" borderId="0" xfId="4" applyNumberFormat="1" applyFont="1" applyFill="1" applyBorder="1"/>
    <xf numFmtId="3" fontId="7" fillId="0" borderId="0" xfId="0" quotePrefix="1" applyNumberFormat="1" applyFont="1" applyFill="1"/>
    <xf numFmtId="41" fontId="7" fillId="0" borderId="1" xfId="0" quotePrefix="1" applyNumberFormat="1" applyFont="1" applyFill="1" applyBorder="1"/>
    <xf numFmtId="0" fontId="7" fillId="0" borderId="0" xfId="0" applyFont="1" applyFill="1"/>
    <xf numFmtId="41" fontId="8" fillId="0" borderId="0" xfId="0" applyNumberFormat="1" applyFont="1" applyFill="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left"/>
    </xf>
    <xf numFmtId="44" fontId="29" fillId="0" borderId="0" xfId="0" applyNumberFormat="1" applyFont="1"/>
    <xf numFmtId="3" fontId="6" fillId="0" borderId="0" xfId="0" applyNumberFormat="1" applyFont="1" applyFill="1"/>
    <xf numFmtId="42" fontId="29" fillId="0" borderId="0" xfId="0" applyNumberFormat="1" applyFont="1"/>
    <xf numFmtId="171" fontId="8" fillId="0" borderId="0" xfId="0" applyNumberFormat="1" applyFont="1" applyFill="1"/>
    <xf numFmtId="171" fontId="36" fillId="0" borderId="0" xfId="0" applyNumberFormat="1" applyFont="1"/>
    <xf numFmtId="44" fontId="29" fillId="0" borderId="0" xfId="0" applyNumberFormat="1" applyFont="1" applyAlignment="1">
      <alignment horizontal="left"/>
    </xf>
    <xf numFmtId="171" fontId="29" fillId="0" borderId="0" xfId="0" applyNumberFormat="1" applyFont="1"/>
    <xf numFmtId="171" fontId="37" fillId="0" borderId="0" xfId="0" applyNumberFormat="1" applyFont="1"/>
    <xf numFmtId="0" fontId="36" fillId="0" borderId="0" xfId="0" applyFont="1"/>
    <xf numFmtId="171" fontId="11" fillId="0" borderId="0" xfId="0" applyNumberFormat="1" applyFont="1" applyFill="1"/>
    <xf numFmtId="44" fontId="31" fillId="0" borderId="0" xfId="0" applyNumberFormat="1" applyFont="1"/>
    <xf numFmtId="171" fontId="31" fillId="0" borderId="0" xfId="0" applyNumberFormat="1" applyFont="1"/>
    <xf numFmtId="43" fontId="36" fillId="0" borderId="0" xfId="0" applyNumberFormat="1" applyFont="1"/>
    <xf numFmtId="43" fontId="29" fillId="0" borderId="0" xfId="0" applyNumberFormat="1" applyFont="1"/>
    <xf numFmtId="4" fontId="11" fillId="0" borderId="0" xfId="0" applyNumberFormat="1" applyFont="1" applyFill="1"/>
    <xf numFmtId="4" fontId="36" fillId="0" borderId="0" xfId="0" applyNumberFormat="1" applyFont="1"/>
    <xf numFmtId="4" fontId="7" fillId="0" borderId="0" xfId="0" applyNumberFormat="1" applyFont="1" applyFill="1"/>
    <xf numFmtId="4" fontId="29" fillId="0" borderId="0" xfId="0" applyNumberFormat="1" applyFont="1"/>
    <xf numFmtId="0" fontId="38" fillId="0" borderId="0" xfId="0" applyFont="1"/>
    <xf numFmtId="41" fontId="6" fillId="0" borderId="0" xfId="0" applyNumberFormat="1" applyFont="1" applyFill="1" applyAlignment="1">
      <alignment horizontal="center" vertical="center"/>
    </xf>
    <xf numFmtId="0" fontId="7" fillId="0" borderId="0" xfId="0" applyFont="1" applyFill="1"/>
    <xf numFmtId="41" fontId="28" fillId="0" borderId="0" xfId="5" applyNumberFormat="1" applyFont="1" applyFill="1"/>
    <xf numFmtId="0" fontId="7" fillId="0" borderId="0" xfId="0" applyFont="1" applyFill="1"/>
    <xf numFmtId="41" fontId="8" fillId="0" borderId="0" xfId="0" applyNumberFormat="1" applyFont="1" applyFill="1" applyAlignment="1">
      <alignment horizontal="center"/>
    </xf>
    <xf numFmtId="0" fontId="9" fillId="0" borderId="0" xfId="0" applyFont="1" applyFill="1" applyAlignment="1">
      <alignment horizontal="center"/>
    </xf>
    <xf numFmtId="0" fontId="10" fillId="0" borderId="0" xfId="0" applyFont="1" applyFill="1" applyAlignment="1">
      <alignment horizontal="center"/>
    </xf>
    <xf numFmtId="41" fontId="7" fillId="0" borderId="0" xfId="4" applyNumberFormat="1" applyFont="1" applyFill="1" applyAlignment="1">
      <alignment horizontal="left"/>
    </xf>
    <xf numFmtId="43" fontId="7" fillId="0" borderId="0" xfId="4" applyNumberFormat="1" applyFont="1" applyFill="1"/>
    <xf numFmtId="41" fontId="25" fillId="0" borderId="0" xfId="0" applyNumberFormat="1" applyFont="1" applyFill="1"/>
    <xf numFmtId="0" fontId="7" fillId="0" borderId="0" xfId="0" applyFont="1" applyFill="1"/>
    <xf numFmtId="41" fontId="8" fillId="0" borderId="0" xfId="0" applyNumberFormat="1" applyFont="1" applyFill="1" applyAlignment="1">
      <alignment horizontal="center"/>
    </xf>
    <xf numFmtId="0" fontId="10" fillId="0" borderId="0" xfId="0" applyFont="1" applyFill="1" applyAlignment="1">
      <alignment horizontal="center"/>
    </xf>
    <xf numFmtId="41" fontId="17" fillId="0" borderId="0" xfId="0" applyNumberFormat="1" applyFont="1" applyFill="1" applyAlignment="1">
      <alignment horizontal="center"/>
    </xf>
    <xf numFmtId="43" fontId="28" fillId="0" borderId="0" xfId="5" applyNumberFormat="1" applyFont="1"/>
    <xf numFmtId="41" fontId="7" fillId="0" borderId="0" xfId="4" applyNumberFormat="1" applyFont="1" applyFill="1" applyBorder="1" applyAlignment="1">
      <alignment horizontal="left"/>
    </xf>
    <xf numFmtId="41" fontId="7" fillId="3" borderId="0" xfId="0" applyNumberFormat="1" applyFont="1" applyFill="1"/>
    <xf numFmtId="41" fontId="7" fillId="3" borderId="0" xfId="4" applyNumberFormat="1" applyFont="1" applyFill="1" applyBorder="1"/>
    <xf numFmtId="0" fontId="25" fillId="0" borderId="0" xfId="4" applyFont="1" applyFill="1" applyBorder="1"/>
    <xf numFmtId="41" fontId="25" fillId="3" borderId="0" xfId="4" applyNumberFormat="1" applyFont="1" applyFill="1" applyBorder="1"/>
    <xf numFmtId="41" fontId="6" fillId="0" borderId="0" xfId="0" quotePrefix="1" applyNumberFormat="1" applyFont="1" applyFill="1"/>
    <xf numFmtId="41" fontId="8" fillId="0" borderId="0" xfId="0" applyNumberFormat="1" applyFont="1" applyFill="1" applyAlignment="1">
      <alignment horizontal="center"/>
    </xf>
    <xf numFmtId="41" fontId="7" fillId="4" borderId="0" xfId="0" applyNumberFormat="1" applyFont="1" applyFill="1"/>
    <xf numFmtId="0" fontId="7" fillId="4" borderId="0" xfId="0" applyFont="1" applyFill="1"/>
    <xf numFmtId="0" fontId="7" fillId="0" borderId="0" xfId="0" applyFont="1" applyFill="1"/>
    <xf numFmtId="0" fontId="7" fillId="0" borderId="0" xfId="0" applyFont="1" applyFill="1"/>
    <xf numFmtId="41" fontId="8" fillId="0" borderId="0" xfId="0" applyNumberFormat="1" applyFont="1" applyFill="1" applyAlignment="1">
      <alignment horizontal="center"/>
    </xf>
    <xf numFmtId="0" fontId="2" fillId="0" borderId="0" xfId="4" applyFill="1"/>
    <xf numFmtId="0" fontId="7" fillId="0" borderId="0" xfId="0" applyFont="1" applyFill="1"/>
    <xf numFmtId="41" fontId="8" fillId="0" borderId="0" xfId="0" applyNumberFormat="1" applyFont="1" applyFill="1" applyAlignment="1">
      <alignment horizontal="center"/>
    </xf>
    <xf numFmtId="0" fontId="10" fillId="0" borderId="0" xfId="0" applyFont="1" applyFill="1" applyAlignment="1">
      <alignment horizontal="center"/>
    </xf>
    <xf numFmtId="0" fontId="7" fillId="0" borderId="0" xfId="0" applyFont="1" applyFill="1"/>
    <xf numFmtId="43" fontId="0" fillId="0" borderId="0" xfId="0" applyNumberFormat="1" applyFill="1" applyBorder="1"/>
    <xf numFmtId="0" fontId="7" fillId="0" borderId="0" xfId="0" applyFont="1" applyFill="1"/>
    <xf numFmtId="41" fontId="8" fillId="0" borderId="0" xfId="0" applyNumberFormat="1" applyFont="1" applyFill="1" applyAlignment="1">
      <alignment horizontal="center"/>
    </xf>
    <xf numFmtId="0" fontId="10" fillId="0" borderId="0" xfId="0" applyFont="1" applyFill="1" applyAlignment="1">
      <alignment horizontal="center"/>
    </xf>
    <xf numFmtId="0" fontId="0" fillId="4" borderId="0" xfId="0" applyFill="1"/>
    <xf numFmtId="0" fontId="6" fillId="0" borderId="0" xfId="0" applyFont="1" applyFill="1" applyAlignment="1">
      <alignment horizontal="center"/>
    </xf>
    <xf numFmtId="0" fontId="7" fillId="0" borderId="0" xfId="0" applyFont="1" applyFill="1"/>
    <xf numFmtId="41" fontId="8" fillId="0" borderId="0" xfId="0" applyNumberFormat="1" applyFont="1" applyFill="1" applyAlignment="1">
      <alignment horizontal="center"/>
    </xf>
    <xf numFmtId="0" fontId="19" fillId="0" borderId="0" xfId="0" applyFont="1" applyAlignment="1">
      <alignment horizontal="center"/>
    </xf>
    <xf numFmtId="0" fontId="20" fillId="0" borderId="0" xfId="0" applyFont="1" applyAlignment="1">
      <alignment horizontal="center"/>
    </xf>
    <xf numFmtId="0" fontId="8" fillId="0" borderId="0" xfId="0" applyFont="1" applyFill="1" applyAlignment="1">
      <alignment horizontal="center"/>
    </xf>
    <xf numFmtId="0" fontId="10" fillId="0" borderId="0" xfId="0" applyFont="1" applyFill="1" applyAlignment="1">
      <alignment horizontal="center"/>
    </xf>
    <xf numFmtId="0" fontId="0" fillId="0" borderId="0" xfId="0" applyFill="1"/>
  </cellXfs>
  <cellStyles count="13">
    <cellStyle name="Comma" xfId="12" builtinId="3"/>
    <cellStyle name="Comma 2" xfId="1"/>
    <cellStyle name="Currency" xfId="2" builtinId="4"/>
    <cellStyle name="Hyperlink" xfId="3" builtinId="8"/>
    <cellStyle name="Normal" xfId="0" builtinId="0"/>
    <cellStyle name="Normal 2" xfId="4"/>
    <cellStyle name="Normal 3" xfId="5"/>
    <cellStyle name="Normal_03-fire" xfId="6"/>
    <cellStyle name="Normal_04-police" xfId="7"/>
    <cellStyle name="Normal_08-highway" xfId="8"/>
    <cellStyle name="Normal_budget detail 2006-07" xfId="9"/>
    <cellStyle name="Normal_Highway Parks Solid Waste EquipMaint Budgets" xfId="10"/>
    <cellStyle name="Percent" xfId="1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micali\My%20Documents\budget%202010-11\voted\budget%20detail%20201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DOWS\TEMP\budget%20detail%202005-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1\bob\LOCALS~1\Temp\Administrator\Local%20Settings\Temporary%20Internet%20Files\Content.IE5\YNCLY5G7\budget%20detail%202005-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paul.MERRNET\My%20Documents\budget%202009-10\voted\Approved%20budget%20detail%202009-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gen gov"/>
      <sheetName val="02-assessing"/>
      <sheetName val="03-fire"/>
      <sheetName val="04-police"/>
      <sheetName val="05-comm"/>
      <sheetName val="06-code enforcement"/>
      <sheetName val="07-pub works"/>
      <sheetName val="08-highway"/>
      <sheetName val="09-solid waste"/>
      <sheetName val="11-park mntc"/>
      <sheetName val="13-parks &amp; rec"/>
      <sheetName val="15-library"/>
      <sheetName val="16-equip mntc"/>
      <sheetName val="17-bldg &amp; grounds"/>
      <sheetName val="21-comm dev"/>
      <sheetName val="24-tax coll"/>
      <sheetName val="25-welfare"/>
      <sheetName val="27-debt svc"/>
      <sheetName val="10-wastewater"/>
      <sheetName val="32-Media"/>
      <sheetName val="33-Fire Protection -other"/>
      <sheetName val="-other SPECIAL REVENUE FUNDING"/>
      <sheetName val="SUMMARY BY FUND"/>
      <sheetName val="FUND"/>
      <sheetName val="OBJECT"/>
      <sheetName val="TAX RATE"/>
      <sheetName val="CRF"/>
      <sheetName val="revenue "/>
      <sheetName val="revenue summary(2)"/>
      <sheetName val="Revenue Summary by Fu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gen gov"/>
      <sheetName val="02-assessing"/>
      <sheetName val="03-fire"/>
      <sheetName val="04-police"/>
      <sheetName val="05-comm"/>
      <sheetName val="07-pub works"/>
      <sheetName val="08-highway"/>
      <sheetName val="09-solid waste"/>
      <sheetName val="10-wastewater"/>
      <sheetName val="11-park mntc"/>
      <sheetName val="13-parks &amp; rec"/>
      <sheetName val="15-library"/>
      <sheetName val="16-equip mntc"/>
      <sheetName val="17-bldg &amp; grounds"/>
      <sheetName val="21-comm dev"/>
      <sheetName val="24-tax coll"/>
      <sheetName val="25-welfare"/>
      <sheetName val="27-debt svc"/>
      <sheetName val="summary-dept"/>
      <sheetName val="summary-line items"/>
      <sheetName val="summary-object"/>
      <sheetName val="summary-function"/>
      <sheetName val="revenue"/>
      <sheetName val="mgr adj"/>
      <sheetName val="bos adj"/>
      <sheetName val="mun tax rate"/>
      <sheetName val="summary-fund"/>
      <sheetName val="default"/>
      <sheetName val="crf"/>
      <sheetName val="union summary"/>
      <sheetName val="afscme2986"/>
      <sheetName val="ibpo"/>
      <sheetName val="ibpo (2)"/>
      <sheetName val="iaff"/>
      <sheetName val="teamsters"/>
      <sheetName val="afscme 93"/>
      <sheetName val="Sheet1"/>
      <sheetName val="wor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gen gov"/>
      <sheetName val="02-assessing"/>
      <sheetName val="03-fire"/>
      <sheetName val="04-police"/>
      <sheetName val="05-comm"/>
      <sheetName val="07-pub works"/>
      <sheetName val="08-highway"/>
      <sheetName val="09-solid waste"/>
      <sheetName val="10-wastewater"/>
      <sheetName val="11-park mntc"/>
      <sheetName val="13-parks &amp; rec"/>
      <sheetName val="15-library"/>
      <sheetName val="16-equip mntc"/>
      <sheetName val="17-bldg &amp; grounds"/>
      <sheetName val="21-comm dev"/>
      <sheetName val="24-tax coll"/>
      <sheetName val="25-welfare"/>
      <sheetName val="27-debt svc"/>
      <sheetName val="summary-dept"/>
      <sheetName val="summary-line items"/>
      <sheetName val="summary-object"/>
      <sheetName val="summary-function"/>
      <sheetName val="revenue"/>
      <sheetName val="mun tax rate"/>
      <sheetName val="voted"/>
      <sheetName val="summary-fund"/>
      <sheetName val="default"/>
      <sheetName val="crf"/>
      <sheetName val="ms7-appr"/>
      <sheetName val="ms7-rev"/>
      <sheetName val="afscme2986"/>
      <sheetName val="work1"/>
      <sheetName val="work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gen gov"/>
      <sheetName val="02-assessing"/>
      <sheetName val="03-fire"/>
      <sheetName val="04-police"/>
      <sheetName val="05-comm"/>
      <sheetName val="07-pub works"/>
      <sheetName val="08-highway"/>
      <sheetName val="09-solid waste"/>
      <sheetName val="11-park mntc"/>
      <sheetName val="13-parks &amp; rec"/>
      <sheetName val="15-library"/>
      <sheetName val="16-equip mntc"/>
      <sheetName val="17-bldg &amp; grounds"/>
      <sheetName val="21-comm dev"/>
      <sheetName val="24-tax coll"/>
      <sheetName val="25-welfare"/>
      <sheetName val="27-debt svc"/>
      <sheetName val="10-wastewater"/>
      <sheetName val="32-Media"/>
      <sheetName val="33-Fire Protection -other"/>
      <sheetName val="-other SPECIAL REVENUE FUNDING"/>
      <sheetName val="FUND"/>
      <sheetName val="OBJECT"/>
      <sheetName val="ms-6 approp"/>
      <sheetName val="LINE ITEM"/>
      <sheetName val="summary-dept"/>
      <sheetName val="SUMMARY BY FUND"/>
      <sheetName val="TAX RATE"/>
      <sheetName val="CRF"/>
      <sheetName val="council adjustments"/>
      <sheetName val="MS -6 Rev"/>
      <sheetName val="revenu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E47"/>
  <sheetViews>
    <sheetView view="pageBreakPreview" zoomScaleNormal="100" zoomScaleSheetLayoutView="100" workbookViewId="0">
      <selection activeCell="AH33" sqref="AH33"/>
    </sheetView>
  </sheetViews>
  <sheetFormatPr defaultColWidth="8.88671875" defaultRowHeight="15.6" x14ac:dyDescent="0.3"/>
  <cols>
    <col min="1" max="1" width="41.5546875" style="120" customWidth="1"/>
    <col min="2" max="2" width="9.6640625" style="120" hidden="1" customWidth="1"/>
    <col min="3" max="5" width="11.44140625" style="120" hidden="1" customWidth="1"/>
    <col min="6" max="6" width="9.6640625" style="120" hidden="1" customWidth="1"/>
    <col min="7" max="7" width="13.5546875" style="120" hidden="1" customWidth="1"/>
    <col min="8" max="8" width="9.6640625" style="120" hidden="1" customWidth="1"/>
    <col min="9" max="9" width="13.44140625" style="121" hidden="1" customWidth="1"/>
    <col min="10" max="10" width="11.44140625" style="122" hidden="1" customWidth="1"/>
    <col min="11" max="11" width="9.6640625" style="122" hidden="1" customWidth="1"/>
    <col min="12" max="12" width="12.33203125" style="122" hidden="1" customWidth="1"/>
    <col min="13" max="13" width="11.44140625" style="122" hidden="1" customWidth="1"/>
    <col min="14" max="14" width="11.44140625" style="120" bestFit="1" customWidth="1"/>
    <col min="15" max="15" width="12.33203125" style="120" hidden="1" customWidth="1"/>
    <col min="16" max="16" width="11.44140625" style="120" hidden="1" customWidth="1"/>
    <col min="17" max="17" width="11.44140625" style="120" bestFit="1" customWidth="1"/>
    <col min="18" max="18" width="12.33203125" style="120" hidden="1" customWidth="1"/>
    <col min="19" max="19" width="11.6640625" style="120" hidden="1" customWidth="1"/>
    <col min="20" max="20" width="11.44140625" style="120" bestFit="1" customWidth="1"/>
    <col min="21" max="21" width="12.33203125" style="120" hidden="1" customWidth="1"/>
    <col min="22" max="22" width="11.44140625" style="120" hidden="1" customWidth="1"/>
    <col min="23" max="23" width="11.44140625" style="120" bestFit="1" customWidth="1"/>
    <col min="24" max="24" width="12.44140625" style="120" hidden="1" customWidth="1"/>
    <col min="25" max="25" width="12.33203125" style="120" bestFit="1" customWidth="1"/>
    <col min="26" max="26" width="11.44140625" style="120" bestFit="1" customWidth="1"/>
    <col min="27" max="27" width="12.33203125" style="120" bestFit="1" customWidth="1"/>
    <col min="28" max="28" width="11.6640625" style="120" bestFit="1" customWidth="1"/>
    <col min="29" max="29" width="11.44140625" style="120" bestFit="1" customWidth="1"/>
    <col min="30" max="30" width="12.21875" style="120" bestFit="1" customWidth="1"/>
    <col min="31" max="31" width="11.77734375" style="120" bestFit="1" customWidth="1"/>
    <col min="32" max="16384" width="8.88671875" style="120"/>
  </cols>
  <sheetData>
    <row r="1" spans="1:31" x14ac:dyDescent="0.3">
      <c r="A1" s="310" t="s">
        <v>2339</v>
      </c>
      <c r="B1" s="310"/>
      <c r="C1" s="310"/>
      <c r="D1" s="310"/>
      <c r="E1" s="310"/>
      <c r="F1" s="310"/>
      <c r="G1" s="310"/>
      <c r="H1" s="310"/>
      <c r="I1" s="310"/>
      <c r="J1" s="310"/>
      <c r="K1" s="310"/>
      <c r="L1" s="310"/>
      <c r="M1" s="310"/>
      <c r="N1" s="310"/>
      <c r="O1" s="310"/>
      <c r="P1" s="310"/>
      <c r="Q1" s="310"/>
      <c r="R1" s="310"/>
      <c r="S1" s="310"/>
      <c r="T1" s="310"/>
      <c r="U1" s="310"/>
      <c r="V1" s="310"/>
      <c r="W1" s="310"/>
      <c r="X1" s="310"/>
      <c r="Y1" s="310"/>
    </row>
    <row r="2" spans="1:31" ht="16.2" x14ac:dyDescent="0.35">
      <c r="A2" s="311" t="s">
        <v>702</v>
      </c>
      <c r="B2" s="311"/>
      <c r="C2" s="311"/>
      <c r="D2" s="311"/>
      <c r="E2" s="311"/>
      <c r="F2" s="311"/>
      <c r="G2" s="311"/>
      <c r="H2" s="311"/>
      <c r="I2" s="311"/>
      <c r="J2" s="311"/>
      <c r="K2" s="311"/>
      <c r="L2" s="311"/>
      <c r="M2" s="311"/>
      <c r="N2" s="311"/>
      <c r="O2" s="311"/>
      <c r="P2" s="311"/>
      <c r="Q2" s="311"/>
      <c r="R2" s="311"/>
      <c r="S2" s="311"/>
      <c r="T2" s="311"/>
      <c r="U2" s="311"/>
      <c r="V2" s="311"/>
      <c r="W2" s="311"/>
      <c r="X2" s="311"/>
      <c r="Y2" s="311"/>
    </row>
    <row r="3" spans="1:31" x14ac:dyDescent="0.3">
      <c r="A3" s="310" t="s">
        <v>396</v>
      </c>
      <c r="B3" s="310"/>
      <c r="C3" s="310"/>
      <c r="D3" s="310"/>
      <c r="E3" s="310"/>
      <c r="F3" s="310"/>
      <c r="G3" s="310"/>
      <c r="H3" s="310"/>
      <c r="I3" s="310"/>
      <c r="J3" s="310"/>
      <c r="K3" s="310"/>
      <c r="L3" s="310"/>
      <c r="M3" s="310"/>
    </row>
    <row r="4" spans="1:31" x14ac:dyDescent="0.3">
      <c r="A4" s="88"/>
      <c r="B4" s="89" t="s">
        <v>233</v>
      </c>
      <c r="C4" s="87" t="s">
        <v>233</v>
      </c>
      <c r="D4" s="87" t="s">
        <v>233</v>
      </c>
      <c r="E4" s="87" t="s">
        <v>233</v>
      </c>
      <c r="F4" s="87" t="s">
        <v>233</v>
      </c>
      <c r="G4" s="87" t="s">
        <v>682</v>
      </c>
      <c r="H4" s="87" t="s">
        <v>233</v>
      </c>
      <c r="I4" s="87" t="s">
        <v>703</v>
      </c>
      <c r="J4" s="87" t="s">
        <v>704</v>
      </c>
      <c r="K4" s="87" t="s">
        <v>233</v>
      </c>
      <c r="L4" s="87" t="s">
        <v>705</v>
      </c>
      <c r="M4" s="87" t="s">
        <v>100</v>
      </c>
      <c r="N4" s="87" t="s">
        <v>233</v>
      </c>
      <c r="O4" s="87" t="s">
        <v>705</v>
      </c>
      <c r="P4" s="87" t="s">
        <v>1752</v>
      </c>
      <c r="Q4" s="87" t="s">
        <v>234</v>
      </c>
      <c r="R4" s="87" t="s">
        <v>705</v>
      </c>
      <c r="S4" s="87" t="s">
        <v>706</v>
      </c>
      <c r="T4" s="87" t="s">
        <v>234</v>
      </c>
      <c r="U4" s="87" t="s">
        <v>705</v>
      </c>
      <c r="V4" s="87" t="s">
        <v>100</v>
      </c>
      <c r="W4" s="87" t="s">
        <v>234</v>
      </c>
      <c r="X4" s="87" t="s">
        <v>705</v>
      </c>
      <c r="Y4" s="87" t="s">
        <v>100</v>
      </c>
      <c r="Z4" s="203" t="s">
        <v>234</v>
      </c>
      <c r="AA4" s="203" t="s">
        <v>705</v>
      </c>
      <c r="AB4" s="203" t="s">
        <v>100</v>
      </c>
      <c r="AC4" s="232" t="s">
        <v>234</v>
      </c>
      <c r="AD4" s="232" t="s">
        <v>705</v>
      </c>
      <c r="AE4" s="232" t="s">
        <v>706</v>
      </c>
    </row>
    <row r="5" spans="1:31" x14ac:dyDescent="0.3">
      <c r="A5" s="88"/>
      <c r="B5" s="90" t="s">
        <v>506</v>
      </c>
      <c r="C5" s="91" t="s">
        <v>17</v>
      </c>
      <c r="D5" s="91" t="s">
        <v>828</v>
      </c>
      <c r="E5" s="91" t="s">
        <v>546</v>
      </c>
      <c r="F5" s="91" t="s">
        <v>381</v>
      </c>
      <c r="G5" s="92">
        <v>40724</v>
      </c>
      <c r="H5" s="93" t="s">
        <v>755</v>
      </c>
      <c r="I5" s="93" t="s">
        <v>755</v>
      </c>
      <c r="J5" s="92">
        <v>41456</v>
      </c>
      <c r="K5" s="93" t="s">
        <v>84</v>
      </c>
      <c r="L5" s="93" t="s">
        <v>84</v>
      </c>
      <c r="M5" s="92">
        <v>41821</v>
      </c>
      <c r="N5" s="93" t="s">
        <v>125</v>
      </c>
      <c r="O5" s="93" t="s">
        <v>125</v>
      </c>
      <c r="P5" s="92">
        <v>42185</v>
      </c>
      <c r="Q5" s="93" t="s">
        <v>1611</v>
      </c>
      <c r="R5" s="93" t="s">
        <v>1611</v>
      </c>
      <c r="S5" s="92">
        <v>42551</v>
      </c>
      <c r="T5" s="93" t="s">
        <v>1747</v>
      </c>
      <c r="U5" s="93" t="s">
        <v>1747</v>
      </c>
      <c r="V5" s="92">
        <v>42916</v>
      </c>
      <c r="W5" s="93" t="s">
        <v>1794</v>
      </c>
      <c r="X5" s="93" t="s">
        <v>1794</v>
      </c>
      <c r="Y5" s="92">
        <v>43281</v>
      </c>
      <c r="Z5" s="93" t="s">
        <v>1970</v>
      </c>
      <c r="AA5" s="93" t="s">
        <v>1970</v>
      </c>
      <c r="AB5" s="92">
        <v>43646</v>
      </c>
      <c r="AC5" s="93" t="s">
        <v>2129</v>
      </c>
      <c r="AD5" s="93" t="s">
        <v>2129</v>
      </c>
      <c r="AE5" s="92">
        <v>43646</v>
      </c>
    </row>
    <row r="6" spans="1:31" x14ac:dyDescent="0.3">
      <c r="A6" s="88" t="s">
        <v>707</v>
      </c>
      <c r="B6" s="94">
        <v>50000</v>
      </c>
      <c r="C6" s="95">
        <v>50000</v>
      </c>
      <c r="D6" s="95">
        <v>50000</v>
      </c>
      <c r="E6" s="96">
        <v>50000</v>
      </c>
      <c r="F6" s="96">
        <v>50000</v>
      </c>
      <c r="G6" s="96">
        <v>203284</v>
      </c>
      <c r="H6" s="95">
        <v>50000</v>
      </c>
      <c r="I6" s="95">
        <v>0</v>
      </c>
      <c r="J6" s="96">
        <v>303789</v>
      </c>
      <c r="K6" s="95">
        <v>12000</v>
      </c>
      <c r="L6" s="95">
        <v>-200000</v>
      </c>
      <c r="M6" s="95" t="e">
        <f>#N/A</f>
        <v>#N/A</v>
      </c>
      <c r="N6" s="95">
        <v>50000</v>
      </c>
      <c r="O6" s="95">
        <v>0</v>
      </c>
      <c r="P6" s="95">
        <v>169931.28</v>
      </c>
      <c r="Q6" s="95">
        <v>60000</v>
      </c>
      <c r="R6" s="95">
        <v>-200000</v>
      </c>
      <c r="S6" s="95">
        <f>-189896.49+230812.89</f>
        <v>40916.400000000023</v>
      </c>
      <c r="T6" s="95">
        <v>85000</v>
      </c>
      <c r="U6" s="95">
        <v>0</v>
      </c>
      <c r="V6" s="95">
        <v>152522</v>
      </c>
      <c r="W6" s="95">
        <v>115000</v>
      </c>
      <c r="X6" s="95">
        <v>-235000</v>
      </c>
      <c r="Y6" s="95">
        <f t="shared" ref="Y6:Y25" si="0">+V6+W6+X6</f>
        <v>32522</v>
      </c>
      <c r="Z6" s="95">
        <v>80000</v>
      </c>
      <c r="AA6" s="95">
        <v>0</v>
      </c>
      <c r="AB6" s="95">
        <f t="shared" ref="AB6:AB25" si="1">+Y6+Z6+AA6</f>
        <v>112522</v>
      </c>
      <c r="AC6" s="95">
        <v>80000</v>
      </c>
      <c r="AD6" s="95"/>
      <c r="AE6" s="95">
        <f t="shared" ref="AE6:AE25" si="2">+AB6+AC6+AD6</f>
        <v>192522</v>
      </c>
    </row>
    <row r="7" spans="1:31" x14ac:dyDescent="0.3">
      <c r="A7" s="138" t="s">
        <v>708</v>
      </c>
      <c r="B7" s="139">
        <v>0</v>
      </c>
      <c r="C7" s="139">
        <v>0</v>
      </c>
      <c r="D7" s="139">
        <v>75000</v>
      </c>
      <c r="E7" s="140">
        <v>0</v>
      </c>
      <c r="F7" s="140">
        <v>0</v>
      </c>
      <c r="G7" s="140">
        <v>173356</v>
      </c>
      <c r="H7" s="139">
        <v>0</v>
      </c>
      <c r="I7" s="139">
        <v>0</v>
      </c>
      <c r="J7" s="140">
        <v>173856</v>
      </c>
      <c r="K7" s="139">
        <v>0</v>
      </c>
      <c r="L7" s="139">
        <v>0</v>
      </c>
      <c r="M7" s="139" t="e">
        <f>#N/A</f>
        <v>#N/A</v>
      </c>
      <c r="N7" s="139">
        <v>0</v>
      </c>
      <c r="O7" s="139">
        <v>0</v>
      </c>
      <c r="P7" s="139">
        <v>174213.31</v>
      </c>
      <c r="Q7" s="139">
        <v>0</v>
      </c>
      <c r="R7" s="139">
        <v>0</v>
      </c>
      <c r="S7" s="139">
        <v>174970.3</v>
      </c>
      <c r="T7" s="139">
        <v>0</v>
      </c>
      <c r="U7" s="139">
        <v>0</v>
      </c>
      <c r="V7" s="139">
        <v>176142</v>
      </c>
      <c r="W7" s="139">
        <v>0</v>
      </c>
      <c r="X7" s="139">
        <v>-50000</v>
      </c>
      <c r="Y7" s="139">
        <f t="shared" si="0"/>
        <v>126142</v>
      </c>
      <c r="Z7" s="139">
        <v>0</v>
      </c>
      <c r="AA7" s="139">
        <v>0</v>
      </c>
      <c r="AB7" s="139">
        <f t="shared" si="1"/>
        <v>126142</v>
      </c>
      <c r="AC7" s="139"/>
      <c r="AD7" s="139"/>
      <c r="AE7" s="139">
        <f t="shared" si="2"/>
        <v>126142</v>
      </c>
    </row>
    <row r="8" spans="1:31" x14ac:dyDescent="0.3">
      <c r="A8" s="88" t="s">
        <v>709</v>
      </c>
      <c r="B8" s="94">
        <v>10000</v>
      </c>
      <c r="C8" s="95">
        <v>10000</v>
      </c>
      <c r="D8" s="95">
        <v>35000</v>
      </c>
      <c r="E8" s="96">
        <v>0</v>
      </c>
      <c r="F8" s="96">
        <v>0</v>
      </c>
      <c r="G8" s="96">
        <v>57170</v>
      </c>
      <c r="H8" s="95">
        <v>0</v>
      </c>
      <c r="I8" s="95">
        <v>-15000</v>
      </c>
      <c r="J8" s="96">
        <v>47259</v>
      </c>
      <c r="K8" s="95">
        <v>10000</v>
      </c>
      <c r="L8" s="95">
        <v>-25000</v>
      </c>
      <c r="M8" s="95" t="e">
        <f>#N/A</f>
        <v>#N/A</v>
      </c>
      <c r="N8" s="95">
        <v>25000</v>
      </c>
      <c r="O8" s="95">
        <v>-20000</v>
      </c>
      <c r="P8" s="95">
        <v>58744.65</v>
      </c>
      <c r="Q8" s="95">
        <v>146000</v>
      </c>
      <c r="R8" s="95"/>
      <c r="S8" s="95">
        <v>192074.96</v>
      </c>
      <c r="T8" s="95">
        <v>182000</v>
      </c>
      <c r="U8" s="95"/>
      <c r="V8" s="95">
        <v>375995</v>
      </c>
      <c r="W8" s="95">
        <v>185000</v>
      </c>
      <c r="X8" s="95">
        <v>-559000</v>
      </c>
      <c r="Y8" s="95">
        <f t="shared" si="0"/>
        <v>1995</v>
      </c>
      <c r="Z8" s="95">
        <v>125000</v>
      </c>
      <c r="AA8" s="95">
        <v>0</v>
      </c>
      <c r="AB8" s="95">
        <f t="shared" si="1"/>
        <v>126995</v>
      </c>
      <c r="AC8" s="95">
        <v>125000</v>
      </c>
      <c r="AD8" s="95">
        <v>0</v>
      </c>
      <c r="AE8" s="95">
        <f t="shared" si="2"/>
        <v>251995</v>
      </c>
    </row>
    <row r="9" spans="1:31" x14ac:dyDescent="0.3">
      <c r="A9" s="138" t="s">
        <v>710</v>
      </c>
      <c r="B9" s="139">
        <v>26000</v>
      </c>
      <c r="C9" s="139">
        <v>50000</v>
      </c>
      <c r="D9" s="139">
        <v>10000</v>
      </c>
      <c r="E9" s="140">
        <v>10000</v>
      </c>
      <c r="F9" s="140">
        <v>5000</v>
      </c>
      <c r="G9" s="140">
        <v>30851</v>
      </c>
      <c r="H9" s="139">
        <v>0</v>
      </c>
      <c r="I9" s="139">
        <v>-6950</v>
      </c>
      <c r="J9" s="140">
        <v>45954</v>
      </c>
      <c r="K9" s="139">
        <v>35000</v>
      </c>
      <c r="L9" s="139">
        <f>-55000-16000+15000</f>
        <v>-56000</v>
      </c>
      <c r="M9" s="139" t="e">
        <f>#N/A</f>
        <v>#N/A</v>
      </c>
      <c r="N9" s="139">
        <v>35000</v>
      </c>
      <c r="O9" s="139">
        <v>-50000</v>
      </c>
      <c r="P9" s="139">
        <v>24974.97</v>
      </c>
      <c r="Q9" s="139">
        <v>35000</v>
      </c>
      <c r="R9" s="139">
        <v>-35000</v>
      </c>
      <c r="S9" s="139">
        <f>-6428.24+38975.88</f>
        <v>32547.64</v>
      </c>
      <c r="T9" s="139">
        <v>35000</v>
      </c>
      <c r="U9" s="139">
        <v>-30000</v>
      </c>
      <c r="V9" s="139">
        <f>-9736+74404</f>
        <v>64668</v>
      </c>
      <c r="W9" s="139">
        <v>35000</v>
      </c>
      <c r="X9" s="139">
        <v>-45000</v>
      </c>
      <c r="Y9" s="139">
        <f t="shared" si="0"/>
        <v>54668</v>
      </c>
      <c r="Z9" s="139">
        <v>35000</v>
      </c>
      <c r="AA9" s="139">
        <v>-71311</v>
      </c>
      <c r="AB9" s="139">
        <f t="shared" si="1"/>
        <v>18357</v>
      </c>
      <c r="AC9" s="139">
        <v>35000</v>
      </c>
      <c r="AD9" s="139">
        <v>-50000</v>
      </c>
      <c r="AE9" s="139">
        <f t="shared" si="2"/>
        <v>3357</v>
      </c>
    </row>
    <row r="10" spans="1:31" x14ac:dyDescent="0.3">
      <c r="A10" s="88" t="s">
        <v>711</v>
      </c>
      <c r="B10" s="94">
        <f>-28525+103525</f>
        <v>75000</v>
      </c>
      <c r="C10" s="95">
        <v>155000</v>
      </c>
      <c r="D10" s="95">
        <v>100000</v>
      </c>
      <c r="E10" s="96">
        <v>50000</v>
      </c>
      <c r="F10" s="96">
        <v>0</v>
      </c>
      <c r="G10" s="96">
        <v>639438</v>
      </c>
      <c r="H10" s="95">
        <v>25000</v>
      </c>
      <c r="I10" s="95">
        <v>-362168</v>
      </c>
      <c r="J10" s="96">
        <v>282404</v>
      </c>
      <c r="K10" s="95">
        <v>25000</v>
      </c>
      <c r="L10" s="95">
        <v>0</v>
      </c>
      <c r="M10" s="95" t="e">
        <f>#N/A</f>
        <v>#N/A</v>
      </c>
      <c r="N10" s="95">
        <v>50000</v>
      </c>
      <c r="O10" s="95">
        <v>0</v>
      </c>
      <c r="P10" s="95">
        <v>358036.2</v>
      </c>
      <c r="Q10" s="95">
        <v>50000</v>
      </c>
      <c r="R10" s="95">
        <v>-400000</v>
      </c>
      <c r="S10" s="95">
        <v>60066.41</v>
      </c>
      <c r="T10" s="95">
        <v>50000</v>
      </c>
      <c r="U10" s="95">
        <v>0</v>
      </c>
      <c r="V10" s="95">
        <v>110645</v>
      </c>
      <c r="W10" s="95">
        <v>50000</v>
      </c>
      <c r="X10" s="95">
        <v>0</v>
      </c>
      <c r="Y10" s="95">
        <f t="shared" si="0"/>
        <v>160645</v>
      </c>
      <c r="Z10" s="95">
        <v>50000</v>
      </c>
      <c r="AA10" s="95">
        <v>-50000</v>
      </c>
      <c r="AB10" s="95">
        <f t="shared" si="1"/>
        <v>160645</v>
      </c>
      <c r="AC10" s="95">
        <v>50000</v>
      </c>
      <c r="AD10" s="95"/>
      <c r="AE10" s="95">
        <f t="shared" si="2"/>
        <v>210645</v>
      </c>
    </row>
    <row r="11" spans="1:31" x14ac:dyDescent="0.3">
      <c r="A11" s="141" t="s">
        <v>712</v>
      </c>
      <c r="B11" s="139">
        <v>100000</v>
      </c>
      <c r="C11" s="139">
        <v>100000</v>
      </c>
      <c r="D11" s="139">
        <v>100000</v>
      </c>
      <c r="E11" s="140">
        <v>100000</v>
      </c>
      <c r="F11" s="140">
        <v>100000</v>
      </c>
      <c r="G11" s="140">
        <v>424541</v>
      </c>
      <c r="H11" s="139">
        <v>100000</v>
      </c>
      <c r="I11" s="139">
        <v>0</v>
      </c>
      <c r="J11" s="140">
        <v>499024</v>
      </c>
      <c r="K11" s="139">
        <v>100000</v>
      </c>
      <c r="L11" s="139">
        <v>-331301</v>
      </c>
      <c r="M11" s="139" t="e">
        <f>#N/A</f>
        <v>#N/A</v>
      </c>
      <c r="N11" s="139">
        <v>75000</v>
      </c>
      <c r="O11" s="139">
        <v>-70000</v>
      </c>
      <c r="P11" s="139">
        <v>287421.56</v>
      </c>
      <c r="Q11" s="139">
        <v>95000</v>
      </c>
      <c r="R11" s="139">
        <v>-82334</v>
      </c>
      <c r="S11" s="139">
        <v>379582.58</v>
      </c>
      <c r="T11" s="139">
        <v>160000</v>
      </c>
      <c r="U11" s="139">
        <v>-140000</v>
      </c>
      <c r="V11" s="139">
        <f>-131205+490911</f>
        <v>359706</v>
      </c>
      <c r="W11" s="139">
        <v>192000</v>
      </c>
      <c r="X11" s="139">
        <v>-53000</v>
      </c>
      <c r="Y11" s="139">
        <f t="shared" si="0"/>
        <v>498706</v>
      </c>
      <c r="Z11" s="139">
        <v>250000</v>
      </c>
      <c r="AA11" s="139">
        <f>-419000-15000</f>
        <v>-434000</v>
      </c>
      <c r="AB11" s="139">
        <f t="shared" si="1"/>
        <v>314706</v>
      </c>
      <c r="AC11" s="139">
        <v>250000</v>
      </c>
      <c r="AD11" s="139">
        <v>-47000</v>
      </c>
      <c r="AE11" s="139">
        <f t="shared" si="2"/>
        <v>517706</v>
      </c>
    </row>
    <row r="12" spans="1:31" x14ac:dyDescent="0.3">
      <c r="A12" s="88" t="s">
        <v>713</v>
      </c>
      <c r="B12" s="94">
        <v>145000</v>
      </c>
      <c r="C12" s="95">
        <v>75000</v>
      </c>
      <c r="D12" s="95">
        <v>150000</v>
      </c>
      <c r="E12" s="96">
        <v>75000</v>
      </c>
      <c r="F12" s="96">
        <v>168000</v>
      </c>
      <c r="G12" s="96">
        <v>366972</v>
      </c>
      <c r="H12" s="95">
        <v>176960</v>
      </c>
      <c r="I12" s="95">
        <v>-301784</v>
      </c>
      <c r="J12" s="96">
        <v>432686</v>
      </c>
      <c r="K12" s="95">
        <v>300000</v>
      </c>
      <c r="L12" s="95">
        <f>-235000-258057</f>
        <v>-493057</v>
      </c>
      <c r="M12" s="95" t="e">
        <f>#N/A</f>
        <v>#N/A</v>
      </c>
      <c r="N12" s="95">
        <v>300000</v>
      </c>
      <c r="O12" s="95">
        <v>-390000</v>
      </c>
      <c r="P12" s="95">
        <v>88273.7</v>
      </c>
      <c r="Q12" s="95">
        <v>300000</v>
      </c>
      <c r="R12" s="95">
        <v>-305000</v>
      </c>
      <c r="S12" s="95">
        <v>89495.47</v>
      </c>
      <c r="T12" s="95">
        <v>300000</v>
      </c>
      <c r="U12" s="95">
        <v>-295000</v>
      </c>
      <c r="V12" s="95">
        <v>119697</v>
      </c>
      <c r="W12" s="95">
        <v>325000</v>
      </c>
      <c r="X12" s="95">
        <v>-383000</v>
      </c>
      <c r="Y12" s="95">
        <f t="shared" si="0"/>
        <v>61697</v>
      </c>
      <c r="Z12" s="95">
        <v>400000</v>
      </c>
      <c r="AA12" s="95">
        <v>-459000</v>
      </c>
      <c r="AB12" s="95">
        <f t="shared" si="1"/>
        <v>2697</v>
      </c>
      <c r="AC12" s="95">
        <v>400000</v>
      </c>
      <c r="AD12" s="95">
        <v>-410000</v>
      </c>
      <c r="AE12" s="95">
        <f t="shared" si="2"/>
        <v>-7303</v>
      </c>
    </row>
    <row r="13" spans="1:31" x14ac:dyDescent="0.3">
      <c r="A13" s="138" t="s">
        <v>714</v>
      </c>
      <c r="B13" s="139">
        <v>0</v>
      </c>
      <c r="C13" s="139">
        <v>0</v>
      </c>
      <c r="D13" s="139">
        <v>129000</v>
      </c>
      <c r="E13" s="140">
        <v>0</v>
      </c>
      <c r="F13" s="140">
        <v>0</v>
      </c>
      <c r="G13" s="140">
        <v>412216.46</v>
      </c>
      <c r="H13" s="139">
        <v>0</v>
      </c>
      <c r="I13" s="139">
        <v>0</v>
      </c>
      <c r="J13" s="140">
        <v>412657</v>
      </c>
      <c r="K13" s="139">
        <v>0</v>
      </c>
      <c r="L13" s="139">
        <v>0</v>
      </c>
      <c r="M13" s="139" t="e">
        <f>#N/A</f>
        <v>#N/A</v>
      </c>
      <c r="N13" s="139">
        <v>0</v>
      </c>
      <c r="O13" s="139">
        <v>0</v>
      </c>
      <c r="P13" s="139">
        <v>413511.92</v>
      </c>
      <c r="Q13" s="139">
        <v>0</v>
      </c>
      <c r="R13" s="139">
        <v>0</v>
      </c>
      <c r="S13" s="139">
        <v>415324.22</v>
      </c>
      <c r="T13" s="139">
        <v>0</v>
      </c>
      <c r="U13" s="139">
        <v>0</v>
      </c>
      <c r="V13" s="139">
        <v>418129</v>
      </c>
      <c r="W13" s="139">
        <v>0</v>
      </c>
      <c r="X13" s="139">
        <v>0</v>
      </c>
      <c r="Y13" s="139">
        <f t="shared" si="0"/>
        <v>418129</v>
      </c>
      <c r="Z13" s="139">
        <v>0</v>
      </c>
      <c r="AA13" s="139">
        <v>0</v>
      </c>
      <c r="AB13" s="139">
        <f t="shared" si="1"/>
        <v>418129</v>
      </c>
      <c r="AC13" s="139"/>
      <c r="AD13" s="139"/>
      <c r="AE13" s="139">
        <f t="shared" si="2"/>
        <v>418129</v>
      </c>
    </row>
    <row r="14" spans="1:31" x14ac:dyDescent="0.3">
      <c r="A14" s="97" t="s">
        <v>715</v>
      </c>
      <c r="B14" s="94">
        <v>1000</v>
      </c>
      <c r="C14" s="95">
        <v>1000</v>
      </c>
      <c r="D14" s="95">
        <v>2000</v>
      </c>
      <c r="E14" s="96">
        <v>2000</v>
      </c>
      <c r="F14" s="96">
        <v>2000</v>
      </c>
      <c r="G14" s="96">
        <v>32687.360000000001</v>
      </c>
      <c r="H14" s="95">
        <v>2000</v>
      </c>
      <c r="I14" s="95">
        <v>0</v>
      </c>
      <c r="J14" s="96">
        <v>36796</v>
      </c>
      <c r="K14" s="95">
        <v>2000</v>
      </c>
      <c r="L14" s="95">
        <v>0</v>
      </c>
      <c r="M14" s="95" t="e">
        <f>#N/A</f>
        <v>#N/A</v>
      </c>
      <c r="N14" s="95">
        <v>17000</v>
      </c>
      <c r="O14" s="95">
        <v>-53000</v>
      </c>
      <c r="P14" s="95">
        <v>2890.53</v>
      </c>
      <c r="Q14" s="95">
        <v>10000</v>
      </c>
      <c r="R14" s="95">
        <v>0</v>
      </c>
      <c r="S14" s="95">
        <v>12919.69</v>
      </c>
      <c r="T14" s="95">
        <v>35000</v>
      </c>
      <c r="U14" s="95">
        <v>-45000</v>
      </c>
      <c r="V14" s="95">
        <f>48109-40794</f>
        <v>7315</v>
      </c>
      <c r="W14" s="95">
        <v>35000</v>
      </c>
      <c r="X14" s="95">
        <v>0</v>
      </c>
      <c r="Y14" s="95">
        <f t="shared" si="0"/>
        <v>42315</v>
      </c>
      <c r="Z14" s="95">
        <v>75000</v>
      </c>
      <c r="AA14" s="95">
        <v>0</v>
      </c>
      <c r="AB14" s="95">
        <f t="shared" si="1"/>
        <v>117315</v>
      </c>
      <c r="AC14" s="95">
        <v>75000</v>
      </c>
      <c r="AD14" s="95">
        <v>-75000</v>
      </c>
      <c r="AE14" s="95">
        <f t="shared" si="2"/>
        <v>117315</v>
      </c>
    </row>
    <row r="15" spans="1:31" x14ac:dyDescent="0.3">
      <c r="A15" s="138" t="s">
        <v>716</v>
      </c>
      <c r="B15" s="139">
        <v>0</v>
      </c>
      <c r="C15" s="139">
        <v>0</v>
      </c>
      <c r="D15" s="139">
        <v>10000</v>
      </c>
      <c r="E15" s="140">
        <v>0</v>
      </c>
      <c r="F15" s="140">
        <v>0</v>
      </c>
      <c r="G15" s="140">
        <v>45082</v>
      </c>
      <c r="H15" s="139">
        <v>0</v>
      </c>
      <c r="I15" s="139">
        <v>0</v>
      </c>
      <c r="J15" s="140">
        <v>45137</v>
      </c>
      <c r="K15" s="139">
        <v>0</v>
      </c>
      <c r="L15" s="139">
        <v>0</v>
      </c>
      <c r="M15" s="139" t="e">
        <f>#N/A</f>
        <v>#N/A</v>
      </c>
      <c r="N15" s="139">
        <v>0</v>
      </c>
      <c r="O15" s="139">
        <v>0</v>
      </c>
      <c r="P15" s="139">
        <v>45228.35</v>
      </c>
      <c r="Q15" s="139">
        <v>0</v>
      </c>
      <c r="R15" s="139">
        <v>0</v>
      </c>
      <c r="S15" s="139">
        <v>45422.2</v>
      </c>
      <c r="T15" s="139">
        <v>0</v>
      </c>
      <c r="U15" s="139">
        <v>0</v>
      </c>
      <c r="V15" s="139">
        <v>45721</v>
      </c>
      <c r="W15" s="139">
        <v>0</v>
      </c>
      <c r="X15" s="139">
        <v>0</v>
      </c>
      <c r="Y15" s="139">
        <f t="shared" si="0"/>
        <v>45721</v>
      </c>
      <c r="Z15" s="139">
        <v>0</v>
      </c>
      <c r="AA15" s="139">
        <v>0</v>
      </c>
      <c r="AB15" s="139">
        <f t="shared" si="1"/>
        <v>45721</v>
      </c>
      <c r="AC15" s="139"/>
      <c r="AD15" s="139"/>
      <c r="AE15" s="139">
        <f t="shared" si="2"/>
        <v>45721</v>
      </c>
    </row>
    <row r="16" spans="1:31" x14ac:dyDescent="0.3">
      <c r="A16" s="88" t="s">
        <v>717</v>
      </c>
      <c r="B16" s="94">
        <v>0</v>
      </c>
      <c r="C16" s="95">
        <v>0</v>
      </c>
      <c r="D16" s="95">
        <v>0</v>
      </c>
      <c r="E16" s="96">
        <v>0</v>
      </c>
      <c r="F16" s="96">
        <v>0</v>
      </c>
      <c r="G16" s="96">
        <v>6738</v>
      </c>
      <c r="H16" s="95">
        <v>0</v>
      </c>
      <c r="I16" s="95">
        <v>0</v>
      </c>
      <c r="J16" s="96">
        <v>21773</v>
      </c>
      <c r="K16" s="95">
        <v>15000</v>
      </c>
      <c r="L16" s="95">
        <v>0</v>
      </c>
      <c r="M16" s="95" t="e">
        <f>#N/A</f>
        <v>#N/A</v>
      </c>
      <c r="N16" s="95">
        <v>15000</v>
      </c>
      <c r="O16" s="95">
        <v>0</v>
      </c>
      <c r="P16" s="95">
        <v>51866.82</v>
      </c>
      <c r="Q16" s="95">
        <v>15000</v>
      </c>
      <c r="R16" s="95">
        <v>-75000</v>
      </c>
      <c r="S16" s="95">
        <f>-37500+29218.76</f>
        <v>-8281.2400000000016</v>
      </c>
      <c r="T16" s="95">
        <v>15000</v>
      </c>
      <c r="U16" s="95">
        <v>0</v>
      </c>
      <c r="V16" s="95">
        <v>7402</v>
      </c>
      <c r="W16" s="95">
        <v>15000</v>
      </c>
      <c r="X16" s="95">
        <v>0</v>
      </c>
      <c r="Y16" s="95">
        <f t="shared" si="0"/>
        <v>22402</v>
      </c>
      <c r="Z16" s="95">
        <v>15000</v>
      </c>
      <c r="AA16" s="95">
        <v>0</v>
      </c>
      <c r="AB16" s="95">
        <f t="shared" si="1"/>
        <v>37402</v>
      </c>
      <c r="AC16" s="95">
        <v>15000</v>
      </c>
      <c r="AD16" s="95"/>
      <c r="AE16" s="95">
        <f t="shared" si="2"/>
        <v>52402</v>
      </c>
    </row>
    <row r="17" spans="1:31" x14ac:dyDescent="0.3">
      <c r="A17" s="138" t="s">
        <v>718</v>
      </c>
      <c r="B17" s="139">
        <v>190647</v>
      </c>
      <c r="C17" s="139">
        <v>190000</v>
      </c>
      <c r="D17" s="139">
        <v>200000</v>
      </c>
      <c r="E17" s="140">
        <v>0</v>
      </c>
      <c r="F17" s="140">
        <v>0</v>
      </c>
      <c r="G17" s="140">
        <v>347781</v>
      </c>
      <c r="H17" s="139">
        <v>0</v>
      </c>
      <c r="I17" s="139">
        <v>-72151</v>
      </c>
      <c r="J17" s="140">
        <v>269.19</v>
      </c>
      <c r="K17" s="139">
        <v>0</v>
      </c>
      <c r="L17" s="139">
        <v>0</v>
      </c>
      <c r="M17" s="139" t="e">
        <f>#N/A</f>
        <v>#N/A</v>
      </c>
      <c r="N17" s="139">
        <v>0</v>
      </c>
      <c r="O17" s="139">
        <v>0</v>
      </c>
      <c r="P17" s="139">
        <v>245.53</v>
      </c>
      <c r="Q17" s="139">
        <v>0</v>
      </c>
      <c r="R17" s="139">
        <v>0</v>
      </c>
      <c r="S17" s="139" t="e">
        <f>#N/A</f>
        <v>#N/A</v>
      </c>
      <c r="T17" s="139">
        <v>0</v>
      </c>
      <c r="U17" s="139">
        <v>0</v>
      </c>
      <c r="V17" s="139">
        <v>246</v>
      </c>
      <c r="W17" s="139">
        <v>0</v>
      </c>
      <c r="X17" s="139">
        <v>0</v>
      </c>
      <c r="Y17" s="139">
        <f t="shared" si="0"/>
        <v>246</v>
      </c>
      <c r="Z17" s="139">
        <v>0</v>
      </c>
      <c r="AA17" s="139">
        <v>0</v>
      </c>
      <c r="AB17" s="139">
        <f t="shared" si="1"/>
        <v>246</v>
      </c>
      <c r="AC17" s="139"/>
      <c r="AD17" s="139"/>
      <c r="AE17" s="139">
        <f t="shared" si="2"/>
        <v>246</v>
      </c>
    </row>
    <row r="18" spans="1:31" x14ac:dyDescent="0.3">
      <c r="A18" s="88" t="s">
        <v>1261</v>
      </c>
      <c r="B18" s="94">
        <v>0</v>
      </c>
      <c r="C18" s="95">
        <v>5000</v>
      </c>
      <c r="D18" s="95">
        <v>5000</v>
      </c>
      <c r="E18" s="96">
        <v>0</v>
      </c>
      <c r="F18" s="96">
        <v>0</v>
      </c>
      <c r="G18" s="96">
        <v>20440</v>
      </c>
      <c r="H18" s="95">
        <v>0</v>
      </c>
      <c r="I18" s="95">
        <v>0</v>
      </c>
      <c r="J18" s="96">
        <v>20523</v>
      </c>
      <c r="K18" s="95">
        <v>0</v>
      </c>
      <c r="L18" s="95">
        <v>0</v>
      </c>
      <c r="M18" s="95" t="e">
        <f>#N/A</f>
        <v>#N/A</v>
      </c>
      <c r="N18" s="95">
        <v>0</v>
      </c>
      <c r="O18" s="95">
        <v>0</v>
      </c>
      <c r="P18" s="95">
        <v>20566.23</v>
      </c>
      <c r="Q18" s="95">
        <v>0</v>
      </c>
      <c r="R18" s="95">
        <v>0</v>
      </c>
      <c r="S18" s="95">
        <v>20656.98</v>
      </c>
      <c r="T18" s="95">
        <v>0</v>
      </c>
      <c r="U18" s="95">
        <v>0</v>
      </c>
      <c r="V18" s="95">
        <v>20798</v>
      </c>
      <c r="W18" s="95">
        <v>0</v>
      </c>
      <c r="X18" s="95">
        <v>0</v>
      </c>
      <c r="Y18" s="95">
        <f t="shared" si="0"/>
        <v>20798</v>
      </c>
      <c r="Z18" s="95">
        <v>0</v>
      </c>
      <c r="AA18" s="95">
        <v>0</v>
      </c>
      <c r="AB18" s="95">
        <f t="shared" si="1"/>
        <v>20798</v>
      </c>
      <c r="AC18" s="95"/>
      <c r="AD18" s="95"/>
      <c r="AE18" s="95">
        <f t="shared" si="2"/>
        <v>20798</v>
      </c>
    </row>
    <row r="19" spans="1:31" x14ac:dyDescent="0.3">
      <c r="A19" s="138" t="s">
        <v>914</v>
      </c>
      <c r="B19" s="139">
        <v>115000</v>
      </c>
      <c r="C19" s="139">
        <v>115000</v>
      </c>
      <c r="D19" s="139">
        <v>0</v>
      </c>
      <c r="E19" s="140">
        <v>0</v>
      </c>
      <c r="F19" s="140">
        <v>0</v>
      </c>
      <c r="G19" s="140">
        <v>941393</v>
      </c>
      <c r="H19" s="139">
        <v>0</v>
      </c>
      <c r="I19" s="139">
        <v>-75000</v>
      </c>
      <c r="J19" s="140">
        <v>868161</v>
      </c>
      <c r="K19" s="139">
        <v>0</v>
      </c>
      <c r="L19" s="139">
        <v>0</v>
      </c>
      <c r="M19" s="139" t="e">
        <f>#N/A</f>
        <v>#N/A</v>
      </c>
      <c r="N19" s="139">
        <v>0</v>
      </c>
      <c r="O19" s="139">
        <v>-868000</v>
      </c>
      <c r="P19" s="139">
        <v>475107.72</v>
      </c>
      <c r="Q19" s="139">
        <v>0</v>
      </c>
      <c r="R19" s="139">
        <v>0</v>
      </c>
      <c r="S19" s="139">
        <v>48344.67</v>
      </c>
      <c r="T19" s="139">
        <v>0</v>
      </c>
      <c r="U19" s="139">
        <v>0</v>
      </c>
      <c r="V19" s="139">
        <v>48686</v>
      </c>
      <c r="W19" s="139">
        <v>0</v>
      </c>
      <c r="X19" s="139">
        <v>0</v>
      </c>
      <c r="Y19" s="139">
        <f t="shared" si="0"/>
        <v>48686</v>
      </c>
      <c r="Z19" s="139">
        <v>0</v>
      </c>
      <c r="AA19" s="139">
        <v>0</v>
      </c>
      <c r="AB19" s="139">
        <f t="shared" si="1"/>
        <v>48686</v>
      </c>
      <c r="AC19" s="139"/>
      <c r="AD19" s="139"/>
      <c r="AE19" s="139">
        <f t="shared" si="2"/>
        <v>48686</v>
      </c>
    </row>
    <row r="20" spans="1:31" x14ac:dyDescent="0.3">
      <c r="A20" s="88" t="s">
        <v>976</v>
      </c>
      <c r="B20" s="94">
        <v>10000</v>
      </c>
      <c r="C20" s="95">
        <v>10000</v>
      </c>
      <c r="D20" s="95">
        <v>90000</v>
      </c>
      <c r="E20" s="96">
        <v>75000</v>
      </c>
      <c r="F20" s="96">
        <v>40000</v>
      </c>
      <c r="G20" s="96">
        <v>133781</v>
      </c>
      <c r="H20" s="95">
        <v>0</v>
      </c>
      <c r="I20" s="95">
        <v>0</v>
      </c>
      <c r="J20" s="96">
        <v>156324</v>
      </c>
      <c r="K20" s="95">
        <v>75000</v>
      </c>
      <c r="L20" s="95">
        <v>-220000</v>
      </c>
      <c r="M20" s="95" t="e">
        <f>#N/A</f>
        <v>#N/A</v>
      </c>
      <c r="N20" s="95">
        <v>75000</v>
      </c>
      <c r="O20" s="95">
        <v>0</v>
      </c>
      <c r="P20" s="95">
        <v>86554.35</v>
      </c>
      <c r="Q20" s="95">
        <v>45000</v>
      </c>
      <c r="R20" s="95"/>
      <c r="S20" s="95">
        <v>132029.9</v>
      </c>
      <c r="T20" s="95">
        <v>65000</v>
      </c>
      <c r="U20" s="95">
        <v>0</v>
      </c>
      <c r="V20" s="95">
        <v>198121</v>
      </c>
      <c r="W20" s="95">
        <v>100000</v>
      </c>
      <c r="X20" s="95">
        <v>-70000</v>
      </c>
      <c r="Y20" s="95">
        <f t="shared" si="0"/>
        <v>228121</v>
      </c>
      <c r="Z20" s="95">
        <v>125000</v>
      </c>
      <c r="AA20" s="95">
        <v>-190000</v>
      </c>
      <c r="AB20" s="95">
        <f t="shared" si="1"/>
        <v>163121</v>
      </c>
      <c r="AC20" s="95">
        <v>125000</v>
      </c>
      <c r="AD20" s="95">
        <v>-250000</v>
      </c>
      <c r="AE20" s="95">
        <f t="shared" si="2"/>
        <v>38121</v>
      </c>
    </row>
    <row r="21" spans="1:31" x14ac:dyDescent="0.3">
      <c r="A21" s="138" t="s">
        <v>719</v>
      </c>
      <c r="B21" s="139">
        <v>0</v>
      </c>
      <c r="C21" s="139">
        <v>0</v>
      </c>
      <c r="D21" s="139">
        <v>0</v>
      </c>
      <c r="E21" s="140">
        <v>0</v>
      </c>
      <c r="F21" s="140">
        <v>0</v>
      </c>
      <c r="G21" s="140">
        <v>280004</v>
      </c>
      <c r="H21" s="139">
        <v>0</v>
      </c>
      <c r="I21" s="139">
        <v>-144652</v>
      </c>
      <c r="J21" s="140">
        <v>279697</v>
      </c>
      <c r="K21" s="139">
        <v>0</v>
      </c>
      <c r="L21" s="139">
        <v>0</v>
      </c>
      <c r="M21" s="139" t="e">
        <f>#N/A</f>
        <v>#N/A</v>
      </c>
      <c r="N21" s="139">
        <v>0</v>
      </c>
      <c r="O21" s="139">
        <v>-60000</v>
      </c>
      <c r="P21" s="139">
        <v>280271.71000000002</v>
      </c>
      <c r="Q21" s="139">
        <v>0</v>
      </c>
      <c r="R21" s="139">
        <v>0</v>
      </c>
      <c r="S21" s="139">
        <v>281491.01</v>
      </c>
      <c r="T21" s="139">
        <v>0</v>
      </c>
      <c r="U21" s="139">
        <v>0</v>
      </c>
      <c r="V21" s="139">
        <v>283377</v>
      </c>
      <c r="W21" s="139">
        <v>0</v>
      </c>
      <c r="X21" s="139">
        <v>0</v>
      </c>
      <c r="Y21" s="139">
        <f t="shared" si="0"/>
        <v>283377</v>
      </c>
      <c r="Z21" s="139">
        <v>0</v>
      </c>
      <c r="AA21" s="139">
        <v>0</v>
      </c>
      <c r="AB21" s="139">
        <f t="shared" si="1"/>
        <v>283377</v>
      </c>
      <c r="AC21" s="139"/>
      <c r="AD21" s="139"/>
      <c r="AE21" s="139">
        <f t="shared" si="2"/>
        <v>283377</v>
      </c>
    </row>
    <row r="22" spans="1:31" x14ac:dyDescent="0.3">
      <c r="A22" s="88" t="s">
        <v>720</v>
      </c>
      <c r="B22" s="94">
        <v>0</v>
      </c>
      <c r="C22" s="94">
        <v>0</v>
      </c>
      <c r="D22" s="94">
        <v>5000</v>
      </c>
      <c r="E22" s="96">
        <v>0</v>
      </c>
      <c r="F22" s="96">
        <v>0</v>
      </c>
      <c r="G22" s="96">
        <v>25451</v>
      </c>
      <c r="H22" s="95">
        <v>0</v>
      </c>
      <c r="I22" s="95">
        <v>0</v>
      </c>
      <c r="J22" s="96">
        <v>23772</v>
      </c>
      <c r="K22" s="95">
        <v>0</v>
      </c>
      <c r="L22" s="95">
        <v>-23772</v>
      </c>
      <c r="M22" s="95">
        <f>+K22+J22+L22</f>
        <v>0</v>
      </c>
      <c r="N22" s="95">
        <v>0</v>
      </c>
      <c r="O22" s="95">
        <v>0</v>
      </c>
      <c r="P22" s="95">
        <v>976</v>
      </c>
      <c r="Q22" s="95">
        <v>10000</v>
      </c>
      <c r="R22" s="95">
        <v>0</v>
      </c>
      <c r="S22" s="95">
        <v>11000.47</v>
      </c>
      <c r="T22" s="95">
        <v>10000</v>
      </c>
      <c r="U22" s="95">
        <v>0</v>
      </c>
      <c r="V22" s="95">
        <v>21104</v>
      </c>
      <c r="W22" s="95">
        <v>15000</v>
      </c>
      <c r="X22" s="95">
        <v>-25000</v>
      </c>
      <c r="Y22" s="95">
        <f t="shared" si="0"/>
        <v>11104</v>
      </c>
      <c r="Z22" s="95">
        <v>5000</v>
      </c>
      <c r="AA22" s="95">
        <v>0</v>
      </c>
      <c r="AB22" s="95">
        <f t="shared" si="1"/>
        <v>16104</v>
      </c>
      <c r="AC22" s="95">
        <v>5000</v>
      </c>
      <c r="AD22" s="95">
        <v>-5000</v>
      </c>
      <c r="AE22" s="95">
        <f t="shared" si="2"/>
        <v>16104</v>
      </c>
    </row>
    <row r="23" spans="1:31" x14ac:dyDescent="0.3">
      <c r="A23" s="95" t="s">
        <v>327</v>
      </c>
      <c r="B23" s="94"/>
      <c r="C23" s="94"/>
      <c r="D23" s="94"/>
      <c r="E23" s="96"/>
      <c r="F23" s="96"/>
      <c r="G23" s="96"/>
      <c r="H23" s="95"/>
      <c r="I23" s="95"/>
      <c r="J23" s="96"/>
      <c r="K23" s="95"/>
      <c r="L23" s="95"/>
      <c r="M23" s="95"/>
      <c r="N23" s="95"/>
      <c r="O23" s="95"/>
      <c r="P23" s="95"/>
      <c r="Q23" s="95"/>
      <c r="R23" s="95"/>
      <c r="S23" s="95"/>
      <c r="T23" s="95"/>
      <c r="U23" s="95"/>
      <c r="V23" s="95"/>
      <c r="W23" s="95"/>
      <c r="X23" s="95"/>
      <c r="Y23" s="95"/>
      <c r="Z23" s="95">
        <v>10000</v>
      </c>
      <c r="AA23" s="95"/>
      <c r="AB23" s="95">
        <f t="shared" si="1"/>
        <v>10000</v>
      </c>
      <c r="AC23" s="95">
        <v>10000</v>
      </c>
      <c r="AD23" s="95"/>
      <c r="AE23" s="95">
        <f t="shared" si="2"/>
        <v>20000</v>
      </c>
    </row>
    <row r="24" spans="1:31" x14ac:dyDescent="0.3">
      <c r="A24" s="138" t="s">
        <v>1740</v>
      </c>
      <c r="B24" s="139">
        <v>0</v>
      </c>
      <c r="C24" s="139">
        <v>0</v>
      </c>
      <c r="D24" s="139">
        <v>0</v>
      </c>
      <c r="E24" s="139">
        <v>0</v>
      </c>
      <c r="F24" s="139">
        <v>0</v>
      </c>
      <c r="G24" s="139">
        <v>0</v>
      </c>
      <c r="H24" s="139">
        <v>0</v>
      </c>
      <c r="I24" s="139">
        <v>0</v>
      </c>
      <c r="J24" s="139">
        <v>0</v>
      </c>
      <c r="K24" s="139">
        <v>0</v>
      </c>
      <c r="L24" s="139">
        <v>0</v>
      </c>
      <c r="M24" s="139">
        <f>+K24+J24+L24</f>
        <v>0</v>
      </c>
      <c r="N24" s="139">
        <v>10000</v>
      </c>
      <c r="O24" s="139">
        <v>0</v>
      </c>
      <c r="P24" s="139">
        <v>10016.35</v>
      </c>
      <c r="Q24" s="139">
        <v>65000</v>
      </c>
      <c r="R24" s="139"/>
      <c r="S24" s="139">
        <v>75214</v>
      </c>
      <c r="T24" s="139">
        <v>65000</v>
      </c>
      <c r="U24" s="139">
        <v>-135000</v>
      </c>
      <c r="V24" s="139">
        <f>140945-135000</f>
        <v>5945</v>
      </c>
      <c r="W24" s="139">
        <v>20000</v>
      </c>
      <c r="X24" s="139">
        <v>0</v>
      </c>
      <c r="Y24" s="139">
        <f t="shared" si="0"/>
        <v>25945</v>
      </c>
      <c r="Z24" s="139">
        <v>20000</v>
      </c>
      <c r="AA24" s="139">
        <v>0</v>
      </c>
      <c r="AB24" s="139">
        <f t="shared" si="1"/>
        <v>45945</v>
      </c>
      <c r="AC24" s="139">
        <v>20000</v>
      </c>
      <c r="AD24" s="139"/>
      <c r="AE24" s="139">
        <f t="shared" si="2"/>
        <v>65945</v>
      </c>
    </row>
    <row r="25" spans="1:31" ht="19.2" x14ac:dyDescent="0.6">
      <c r="A25" s="88" t="s">
        <v>721</v>
      </c>
      <c r="B25" s="94">
        <v>135000</v>
      </c>
      <c r="C25" s="98">
        <v>120000</v>
      </c>
      <c r="D25" s="98">
        <v>150000</v>
      </c>
      <c r="E25" s="99">
        <v>525000</v>
      </c>
      <c r="F25" s="99">
        <v>0</v>
      </c>
      <c r="G25" s="99">
        <v>985580</v>
      </c>
      <c r="H25" s="100">
        <v>185000</v>
      </c>
      <c r="I25" s="100">
        <v>-956237</v>
      </c>
      <c r="J25" s="99">
        <v>611343</v>
      </c>
      <c r="K25" s="100">
        <v>400000</v>
      </c>
      <c r="L25" s="100">
        <f>-300049-55428-38000</f>
        <v>-393477</v>
      </c>
      <c r="M25" s="101">
        <f>+J25+K25+L25</f>
        <v>617866</v>
      </c>
      <c r="N25" s="100">
        <v>400000</v>
      </c>
      <c r="O25" s="100">
        <v>-785000</v>
      </c>
      <c r="P25" s="101">
        <v>1121332.76</v>
      </c>
      <c r="Q25" s="100">
        <v>600000</v>
      </c>
      <c r="R25" s="100">
        <v>-420000</v>
      </c>
      <c r="S25" s="101">
        <f>-164296.08+1180189.88</f>
        <v>1015893.7999999999</v>
      </c>
      <c r="T25" s="100">
        <v>600000</v>
      </c>
      <c r="U25" s="100">
        <v>-795500</v>
      </c>
      <c r="V25" s="101">
        <f>1509871-444531</f>
        <v>1065340</v>
      </c>
      <c r="W25" s="100">
        <v>600000</v>
      </c>
      <c r="X25" s="101">
        <f>-1109309+545500</f>
        <v>-563809</v>
      </c>
      <c r="Y25" s="101">
        <f t="shared" si="0"/>
        <v>1101531</v>
      </c>
      <c r="Z25" s="100">
        <v>450000</v>
      </c>
      <c r="AA25" s="101">
        <v>-250000</v>
      </c>
      <c r="AB25" s="101">
        <f t="shared" si="1"/>
        <v>1301531</v>
      </c>
      <c r="AC25" s="100">
        <v>450000</v>
      </c>
      <c r="AD25" s="101">
        <v>-515000</v>
      </c>
      <c r="AE25" s="101">
        <f t="shared" si="2"/>
        <v>1236531</v>
      </c>
    </row>
    <row r="26" spans="1:31" x14ac:dyDescent="0.3">
      <c r="A26" s="138" t="s">
        <v>1741</v>
      </c>
      <c r="B26" s="139"/>
      <c r="C26" s="139" t="e">
        <f>#N/A</f>
        <v>#N/A</v>
      </c>
      <c r="D26" s="139" t="e">
        <f>#N/A</f>
        <v>#N/A</v>
      </c>
      <c r="E26" s="139" t="e">
        <f>#N/A</f>
        <v>#N/A</v>
      </c>
      <c r="F26" s="139" t="e">
        <f>#N/A</f>
        <v>#N/A</v>
      </c>
      <c r="G26" s="139" t="e">
        <f>#N/A</f>
        <v>#N/A</v>
      </c>
      <c r="H26" s="139" t="e">
        <f>#N/A</f>
        <v>#N/A</v>
      </c>
      <c r="I26" s="139" t="e">
        <f>#N/A</f>
        <v>#N/A</v>
      </c>
      <c r="J26" s="139" t="e">
        <f>#N/A</f>
        <v>#N/A</v>
      </c>
      <c r="K26" s="139" t="e">
        <f>#N/A</f>
        <v>#N/A</v>
      </c>
      <c r="L26" s="139" t="e">
        <f>#N/A</f>
        <v>#N/A</v>
      </c>
      <c r="M26" s="139" t="e">
        <f>#N/A</f>
        <v>#N/A</v>
      </c>
      <c r="N26" s="139">
        <f t="shared" ref="N26:Y26" si="3">SUM(N6:N25)</f>
        <v>1052000</v>
      </c>
      <c r="O26" s="139">
        <f t="shared" si="3"/>
        <v>-2296000</v>
      </c>
      <c r="P26" s="139">
        <f t="shared" si="3"/>
        <v>3670163.9400000004</v>
      </c>
      <c r="Q26" s="139">
        <f t="shared" si="3"/>
        <v>1431000</v>
      </c>
      <c r="R26" s="139">
        <f t="shared" si="3"/>
        <v>-1517334</v>
      </c>
      <c r="S26" s="139" t="e">
        <f t="shared" si="3"/>
        <v>#N/A</v>
      </c>
      <c r="T26" s="139">
        <f t="shared" si="3"/>
        <v>1602000</v>
      </c>
      <c r="U26" s="139">
        <f t="shared" si="3"/>
        <v>-1440500</v>
      </c>
      <c r="V26" s="139">
        <f t="shared" si="3"/>
        <v>3481559</v>
      </c>
      <c r="W26" s="139">
        <f t="shared" si="3"/>
        <v>1687000</v>
      </c>
      <c r="X26" s="139">
        <f t="shared" si="3"/>
        <v>-1983809</v>
      </c>
      <c r="Y26" s="139">
        <f t="shared" si="3"/>
        <v>3184750</v>
      </c>
      <c r="Z26" s="139">
        <f t="shared" ref="Z26:AE26" si="4">SUM(Z6:Z25)</f>
        <v>1640000</v>
      </c>
      <c r="AA26" s="139">
        <f t="shared" si="4"/>
        <v>-1454311</v>
      </c>
      <c r="AB26" s="139">
        <f t="shared" si="4"/>
        <v>3370439</v>
      </c>
      <c r="AC26" s="139">
        <f t="shared" si="4"/>
        <v>1640000</v>
      </c>
      <c r="AD26" s="139">
        <f t="shared" si="4"/>
        <v>-1352000</v>
      </c>
      <c r="AE26" s="139">
        <f t="shared" si="4"/>
        <v>3658439</v>
      </c>
    </row>
    <row r="27" spans="1:31" x14ac:dyDescent="0.3">
      <c r="A27" s="88"/>
      <c r="B27" s="94"/>
      <c r="C27" s="94"/>
      <c r="D27" s="94"/>
      <c r="E27" s="96"/>
      <c r="F27" s="96"/>
      <c r="G27" s="96"/>
      <c r="H27" s="95"/>
      <c r="I27" s="95"/>
      <c r="J27" s="96"/>
      <c r="K27" s="95"/>
      <c r="L27" s="95"/>
      <c r="M27" s="95"/>
      <c r="N27" s="95"/>
      <c r="O27" s="95"/>
      <c r="P27" s="95"/>
      <c r="Q27" s="95"/>
      <c r="R27" s="95"/>
      <c r="S27" s="95"/>
      <c r="T27" s="95"/>
      <c r="U27" s="95"/>
      <c r="V27" s="95"/>
      <c r="W27" s="95"/>
      <c r="X27" s="95"/>
      <c r="Y27" s="95"/>
      <c r="Z27" s="95"/>
      <c r="AA27" s="95"/>
      <c r="AB27" s="95"/>
      <c r="AC27" s="95"/>
      <c r="AD27" s="95"/>
      <c r="AE27" s="95"/>
    </row>
    <row r="28" spans="1:31" ht="19.2" x14ac:dyDescent="0.6">
      <c r="A28" s="138" t="s">
        <v>1594</v>
      </c>
      <c r="B28" s="139"/>
      <c r="C28" s="139"/>
      <c r="D28" s="139"/>
      <c r="E28" s="140"/>
      <c r="F28" s="140"/>
      <c r="G28" s="140"/>
      <c r="H28" s="139"/>
      <c r="I28" s="139"/>
      <c r="J28" s="140">
        <v>289</v>
      </c>
      <c r="K28" s="139">
        <v>0</v>
      </c>
      <c r="L28" s="139">
        <v>0</v>
      </c>
      <c r="M28" s="139">
        <f>+K28+J28+L28</f>
        <v>289</v>
      </c>
      <c r="N28" s="142">
        <v>25000</v>
      </c>
      <c r="O28" s="142">
        <v>0</v>
      </c>
      <c r="P28" s="142">
        <v>13445.82</v>
      </c>
      <c r="Q28" s="142">
        <v>15000</v>
      </c>
      <c r="R28" s="142">
        <v>0</v>
      </c>
      <c r="S28" s="142">
        <v>22037.85</v>
      </c>
      <c r="T28" s="142">
        <v>10000</v>
      </c>
      <c r="U28" s="142">
        <v>0</v>
      </c>
      <c r="V28" s="142">
        <v>24462</v>
      </c>
      <c r="W28" s="142">
        <v>10000</v>
      </c>
      <c r="X28" s="142">
        <v>0</v>
      </c>
      <c r="Y28" s="142">
        <f>+V28+W28+X28</f>
        <v>34462</v>
      </c>
      <c r="Z28" s="142">
        <v>10000</v>
      </c>
      <c r="AA28" s="142">
        <v>0</v>
      </c>
      <c r="AB28" s="142">
        <f>+Y28+Z28+AA28</f>
        <v>44462</v>
      </c>
      <c r="AC28" s="142">
        <v>10000</v>
      </c>
      <c r="AD28" s="142">
        <v>0</v>
      </c>
      <c r="AE28" s="142">
        <f>+AB28+AC28+AD28</f>
        <v>54462</v>
      </c>
    </row>
    <row r="30" spans="1:31" x14ac:dyDescent="0.3">
      <c r="A30" s="88" t="s">
        <v>1924</v>
      </c>
      <c r="B30" s="94"/>
      <c r="C30" s="94"/>
      <c r="D30" s="94"/>
      <c r="E30" s="96"/>
      <c r="F30" s="96" t="e">
        <f>+F26+F39+F28</f>
        <v>#N/A</v>
      </c>
      <c r="G30" s="96" t="e">
        <f>#N/A</f>
        <v>#N/A</v>
      </c>
      <c r="H30" s="96" t="e">
        <f>#N/A</f>
        <v>#N/A</v>
      </c>
      <c r="I30" s="96" t="e">
        <f>#N/A</f>
        <v>#N/A</v>
      </c>
      <c r="J30" s="96" t="e">
        <f>#N/A</f>
        <v>#N/A</v>
      </c>
      <c r="K30" s="96" t="e">
        <f>#N/A</f>
        <v>#N/A</v>
      </c>
      <c r="L30" s="96" t="e">
        <f>#N/A</f>
        <v>#N/A</v>
      </c>
      <c r="M30" s="96" t="e">
        <f>#N/A</f>
        <v>#N/A</v>
      </c>
      <c r="N30" s="96">
        <f t="shared" ref="N30:S30" si="5">+N26+N28</f>
        <v>1077000</v>
      </c>
      <c r="O30" s="96">
        <f t="shared" si="5"/>
        <v>-2296000</v>
      </c>
      <c r="P30" s="96">
        <f t="shared" si="5"/>
        <v>3683609.7600000002</v>
      </c>
      <c r="Q30" s="96">
        <f t="shared" si="5"/>
        <v>1446000</v>
      </c>
      <c r="R30" s="96">
        <f t="shared" si="5"/>
        <v>-1517334</v>
      </c>
      <c r="S30" s="96" t="e">
        <f t="shared" si="5"/>
        <v>#N/A</v>
      </c>
      <c r="T30" s="96">
        <f t="shared" ref="T30:Y30" si="6">+T26+T28</f>
        <v>1612000</v>
      </c>
      <c r="U30" s="96">
        <f t="shared" si="6"/>
        <v>-1440500</v>
      </c>
      <c r="V30" s="96">
        <f t="shared" si="6"/>
        <v>3506021</v>
      </c>
      <c r="W30" s="96">
        <f t="shared" si="6"/>
        <v>1697000</v>
      </c>
      <c r="X30" s="96">
        <f t="shared" si="6"/>
        <v>-1983809</v>
      </c>
      <c r="Y30" s="96">
        <f t="shared" si="6"/>
        <v>3219212</v>
      </c>
      <c r="Z30" s="96">
        <f t="shared" ref="Z30:AE30" si="7">+Z26+Z28</f>
        <v>1650000</v>
      </c>
      <c r="AA30" s="96">
        <f t="shared" si="7"/>
        <v>-1454311</v>
      </c>
      <c r="AB30" s="96">
        <f t="shared" si="7"/>
        <v>3414901</v>
      </c>
      <c r="AC30" s="96">
        <f t="shared" si="7"/>
        <v>1650000</v>
      </c>
      <c r="AD30" s="96">
        <f t="shared" si="7"/>
        <v>-1352000</v>
      </c>
      <c r="AE30" s="96">
        <f t="shared" si="7"/>
        <v>3712901</v>
      </c>
    </row>
    <row r="31" spans="1:31" x14ac:dyDescent="0.3">
      <c r="A31" s="88"/>
      <c r="B31" s="94"/>
      <c r="C31" s="94"/>
      <c r="D31" s="94"/>
      <c r="E31" s="96"/>
      <c r="F31" s="96"/>
      <c r="G31" s="96"/>
      <c r="H31" s="95"/>
      <c r="I31" s="95"/>
      <c r="J31" s="96"/>
      <c r="K31" s="95"/>
      <c r="L31" s="95"/>
      <c r="M31" s="95"/>
      <c r="N31" s="95"/>
      <c r="O31" s="95"/>
      <c r="P31" s="95"/>
      <c r="Q31" s="95"/>
      <c r="R31" s="95"/>
      <c r="S31" s="95"/>
      <c r="T31" s="95"/>
      <c r="U31" s="95"/>
      <c r="V31" s="95"/>
      <c r="W31" s="95"/>
      <c r="X31" s="95"/>
      <c r="Y31" s="95"/>
      <c r="Z31" s="95"/>
      <c r="AA31" s="95"/>
      <c r="AB31" s="95"/>
      <c r="AC31" s="95"/>
      <c r="AD31" s="95"/>
      <c r="AE31" s="95"/>
    </row>
    <row r="32" spans="1:31" ht="19.2" x14ac:dyDescent="0.6">
      <c r="A32" s="138" t="s">
        <v>722</v>
      </c>
      <c r="B32" s="142">
        <v>0</v>
      </c>
      <c r="C32" s="142">
        <v>450000</v>
      </c>
      <c r="D32" s="142">
        <v>0</v>
      </c>
      <c r="E32" s="143">
        <v>500000</v>
      </c>
      <c r="F32" s="143">
        <v>350000</v>
      </c>
      <c r="G32" s="143">
        <v>633301</v>
      </c>
      <c r="H32" s="142">
        <v>225000</v>
      </c>
      <c r="I32" s="142">
        <f>-119000-66434</f>
        <v>-185434</v>
      </c>
      <c r="J32" s="143">
        <v>769090</v>
      </c>
      <c r="K32" s="142">
        <v>25000</v>
      </c>
      <c r="L32" s="142">
        <f>-101000-76247</f>
        <v>-177247</v>
      </c>
      <c r="M32" s="142">
        <f>+J32+K32+L32</f>
        <v>616843</v>
      </c>
      <c r="N32" s="142">
        <v>25000</v>
      </c>
      <c r="O32" s="142">
        <v>-75000</v>
      </c>
      <c r="P32" s="142">
        <v>630476.09</v>
      </c>
      <c r="Q32" s="142">
        <v>75000</v>
      </c>
      <c r="R32" s="142">
        <v>-185000</v>
      </c>
      <c r="S32" s="142">
        <v>495519.01</v>
      </c>
      <c r="T32" s="142">
        <v>75000</v>
      </c>
      <c r="U32" s="142">
        <v>-248000</v>
      </c>
      <c r="V32" s="142">
        <f>447494-79944</f>
        <v>367550</v>
      </c>
      <c r="W32" s="142">
        <v>300000</v>
      </c>
      <c r="X32" s="142">
        <v>-550000</v>
      </c>
      <c r="Y32" s="142">
        <f>+V32+W32+X32</f>
        <v>117550</v>
      </c>
      <c r="Z32" s="142">
        <v>300000</v>
      </c>
      <c r="AA32" s="142">
        <v>-298000</v>
      </c>
      <c r="AB32" s="142">
        <f>+Y32+Z32+AA32</f>
        <v>119550</v>
      </c>
      <c r="AC32" s="142">
        <v>350000</v>
      </c>
      <c r="AD32" s="142">
        <v>-369564</v>
      </c>
      <c r="AE32" s="142">
        <f>+AB32+AC32+AD32</f>
        <v>99986</v>
      </c>
    </row>
    <row r="33" spans="1:31" ht="19.2" x14ac:dyDescent="0.6">
      <c r="A33" s="88"/>
      <c r="B33" s="102"/>
      <c r="C33" s="102"/>
      <c r="D33" s="102"/>
      <c r="E33" s="99"/>
      <c r="F33" s="99"/>
      <c r="G33" s="99"/>
      <c r="H33" s="101"/>
      <c r="I33" s="101"/>
      <c r="J33" s="99"/>
      <c r="K33" s="101"/>
      <c r="L33" s="101"/>
      <c r="M33" s="101"/>
      <c r="N33" s="101"/>
      <c r="O33" s="101"/>
      <c r="P33" s="101"/>
      <c r="Q33" s="101"/>
      <c r="R33" s="101"/>
      <c r="S33" s="101"/>
      <c r="T33" s="101"/>
      <c r="U33" s="101"/>
      <c r="V33" s="101"/>
      <c r="W33" s="101"/>
      <c r="X33" s="101"/>
      <c r="Y33" s="101"/>
      <c r="Z33" s="101"/>
      <c r="AA33" s="101"/>
      <c r="AB33" s="101"/>
      <c r="AC33" s="101"/>
      <c r="AD33" s="101"/>
      <c r="AE33" s="101"/>
    </row>
    <row r="34" spans="1:31" x14ac:dyDescent="0.3">
      <c r="A34" s="88" t="s">
        <v>723</v>
      </c>
      <c r="B34" s="94">
        <f>SUM(B6:B32)</f>
        <v>857647</v>
      </c>
      <c r="C34" s="94" t="e">
        <f>+C26+C32</f>
        <v>#N/A</v>
      </c>
      <c r="D34" s="94" t="e">
        <f>+D26+D32</f>
        <v>#N/A</v>
      </c>
      <c r="E34" s="94" t="e">
        <f>+E26+E32</f>
        <v>#N/A</v>
      </c>
      <c r="F34" s="94" t="e">
        <f>+F32+F30</f>
        <v>#N/A</v>
      </c>
      <c r="G34" s="94" t="e">
        <f>#N/A</f>
        <v>#N/A</v>
      </c>
      <c r="H34" s="94" t="e">
        <f>#N/A</f>
        <v>#N/A</v>
      </c>
      <c r="I34" s="94" t="e">
        <f>#N/A</f>
        <v>#N/A</v>
      </c>
      <c r="J34" s="94" t="e">
        <f>#N/A</f>
        <v>#N/A</v>
      </c>
      <c r="K34" s="94" t="e">
        <f>#N/A</f>
        <v>#N/A</v>
      </c>
      <c r="L34" s="94" t="e">
        <f>#N/A</f>
        <v>#N/A</v>
      </c>
      <c r="M34" s="94" t="e">
        <f>#N/A</f>
        <v>#N/A</v>
      </c>
      <c r="N34" s="94">
        <f t="shared" ref="N34:Y34" si="8">+N30+N32</f>
        <v>1102000</v>
      </c>
      <c r="O34" s="94">
        <f t="shared" si="8"/>
        <v>-2371000</v>
      </c>
      <c r="P34" s="94">
        <f t="shared" si="8"/>
        <v>4314085.8500000006</v>
      </c>
      <c r="Q34" s="94">
        <f t="shared" si="8"/>
        <v>1521000</v>
      </c>
      <c r="R34" s="94">
        <f t="shared" si="8"/>
        <v>-1702334</v>
      </c>
      <c r="S34" s="94" t="e">
        <f t="shared" si="8"/>
        <v>#N/A</v>
      </c>
      <c r="T34" s="94">
        <f>+T30+T32</f>
        <v>1687000</v>
      </c>
      <c r="U34" s="94">
        <f t="shared" si="8"/>
        <v>-1688500</v>
      </c>
      <c r="V34" s="94">
        <f t="shared" si="8"/>
        <v>3873571</v>
      </c>
      <c r="W34" s="94">
        <f t="shared" si="8"/>
        <v>1997000</v>
      </c>
      <c r="X34" s="94">
        <f t="shared" si="8"/>
        <v>-2533809</v>
      </c>
      <c r="Y34" s="94">
        <f t="shared" si="8"/>
        <v>3336762</v>
      </c>
      <c r="Z34" s="94">
        <f t="shared" ref="Z34:AE34" si="9">+Z30+Z32</f>
        <v>1950000</v>
      </c>
      <c r="AA34" s="94">
        <f t="shared" si="9"/>
        <v>-1752311</v>
      </c>
      <c r="AB34" s="94">
        <f t="shared" si="9"/>
        <v>3534451</v>
      </c>
      <c r="AC34" s="94">
        <f t="shared" si="9"/>
        <v>2000000</v>
      </c>
      <c r="AD34" s="94">
        <f t="shared" si="9"/>
        <v>-1721564</v>
      </c>
      <c r="AE34" s="94">
        <f t="shared" si="9"/>
        <v>3812887</v>
      </c>
    </row>
    <row r="35" spans="1:31" ht="16.2" x14ac:dyDescent="0.35">
      <c r="A35" s="103"/>
      <c r="B35" s="103"/>
      <c r="C35" s="103"/>
      <c r="D35" s="103"/>
      <c r="E35" s="103"/>
      <c r="F35" s="103"/>
      <c r="G35" s="103"/>
      <c r="H35" s="103"/>
      <c r="I35" s="104"/>
      <c r="J35" s="104"/>
      <c r="K35" s="104"/>
      <c r="L35" s="104"/>
      <c r="M35" s="104"/>
    </row>
    <row r="36" spans="1:31" ht="16.2" x14ac:dyDescent="0.35">
      <c r="A36" s="103" t="s">
        <v>2098</v>
      </c>
      <c r="B36" s="105"/>
      <c r="C36" s="105"/>
      <c r="D36" s="105"/>
      <c r="E36" s="105"/>
      <c r="F36" s="105"/>
      <c r="G36" s="105"/>
      <c r="H36" s="105"/>
      <c r="I36" s="106"/>
      <c r="J36" s="106"/>
      <c r="K36" s="106"/>
      <c r="L36" s="106"/>
      <c r="M36" s="106"/>
    </row>
    <row r="37" spans="1:31" ht="16.2" x14ac:dyDescent="0.35">
      <c r="A37" s="103" t="s">
        <v>2099</v>
      </c>
      <c r="B37" s="103"/>
      <c r="C37" s="103"/>
      <c r="D37" s="103"/>
      <c r="E37" s="103"/>
      <c r="F37" s="103"/>
      <c r="G37" s="103"/>
      <c r="H37" s="103"/>
      <c r="I37" s="104"/>
      <c r="J37" s="104"/>
      <c r="K37" s="104"/>
      <c r="L37" s="104"/>
      <c r="M37" s="104"/>
    </row>
    <row r="38" spans="1:31" ht="16.2" x14ac:dyDescent="0.35">
      <c r="A38" s="103"/>
      <c r="B38" s="103"/>
      <c r="C38" s="103"/>
      <c r="D38" s="103"/>
      <c r="E38" s="103"/>
      <c r="F38" s="103"/>
      <c r="G38" s="103"/>
      <c r="H38" s="103"/>
      <c r="I38" s="104"/>
      <c r="J38" s="104"/>
      <c r="K38" s="104"/>
      <c r="L38" s="104"/>
      <c r="M38" s="104"/>
    </row>
    <row r="39" spans="1:31" x14ac:dyDescent="0.3">
      <c r="A39" s="88" t="s">
        <v>1788</v>
      </c>
      <c r="B39" s="94"/>
      <c r="C39" s="94"/>
      <c r="D39" s="94"/>
      <c r="E39" s="96"/>
      <c r="F39" s="96"/>
      <c r="G39" s="96"/>
      <c r="H39" s="95"/>
      <c r="I39" s="95"/>
      <c r="J39" s="96"/>
      <c r="K39" s="95"/>
      <c r="L39" s="95"/>
      <c r="M39" s="95"/>
      <c r="N39" s="95"/>
      <c r="O39" s="95">
        <v>-1340000</v>
      </c>
      <c r="P39" s="95"/>
      <c r="Q39" s="95"/>
      <c r="R39" s="95">
        <v>-1280000</v>
      </c>
      <c r="S39" s="95"/>
      <c r="T39" s="95"/>
      <c r="U39" s="95">
        <f>-2182000-436000</f>
        <v>-2618000</v>
      </c>
      <c r="V39" s="95"/>
      <c r="W39" s="95"/>
      <c r="X39" s="95">
        <v>-1387231</v>
      </c>
      <c r="Y39" s="95"/>
    </row>
    <row r="40" spans="1:31" ht="16.2" x14ac:dyDescent="0.35">
      <c r="A40" s="103"/>
      <c r="B40" s="103"/>
      <c r="C40" s="103"/>
      <c r="D40" s="103"/>
      <c r="E40" s="103"/>
      <c r="F40" s="103"/>
      <c r="G40" s="103"/>
      <c r="H40" s="103"/>
      <c r="I40" s="104"/>
      <c r="J40" s="104"/>
      <c r="K40" s="104"/>
      <c r="L40" s="104"/>
      <c r="M40" s="104"/>
    </row>
    <row r="41" spans="1:31" ht="16.2" x14ac:dyDescent="0.35">
      <c r="A41" s="103"/>
      <c r="B41" s="103"/>
      <c r="C41" s="103"/>
      <c r="D41" s="103"/>
      <c r="E41" s="103"/>
      <c r="F41" s="103"/>
      <c r="G41" s="103"/>
      <c r="H41" s="103"/>
      <c r="I41" s="104"/>
      <c r="J41" s="104"/>
      <c r="K41" s="104"/>
      <c r="L41" s="104"/>
      <c r="M41" s="104"/>
    </row>
    <row r="42" spans="1:31" ht="16.2" x14ac:dyDescent="0.35">
      <c r="A42" s="103"/>
      <c r="B42" s="103"/>
      <c r="C42" s="103"/>
      <c r="D42" s="103"/>
      <c r="E42" s="103"/>
      <c r="F42" s="103"/>
      <c r="G42" s="103"/>
      <c r="H42" s="103"/>
      <c r="I42" s="104"/>
      <c r="J42" s="104"/>
      <c r="K42" s="104"/>
      <c r="L42" s="104"/>
      <c r="M42" s="104"/>
    </row>
    <row r="43" spans="1:31" ht="16.2" x14ac:dyDescent="0.35">
      <c r="A43" s="103"/>
      <c r="B43" s="103"/>
      <c r="C43" s="103"/>
      <c r="D43" s="103"/>
      <c r="E43" s="103"/>
      <c r="F43" s="103"/>
      <c r="G43" s="103"/>
      <c r="H43" s="103"/>
      <c r="I43" s="104"/>
      <c r="J43" s="104"/>
      <c r="K43" s="104"/>
      <c r="L43" s="104"/>
      <c r="M43" s="104"/>
    </row>
    <row r="44" spans="1:31" ht="16.2" x14ac:dyDescent="0.35">
      <c r="A44" s="103"/>
      <c r="B44" s="103"/>
      <c r="C44" s="103"/>
      <c r="D44" s="103"/>
      <c r="E44" s="103"/>
      <c r="F44" s="103"/>
      <c r="G44" s="103"/>
      <c r="H44" s="103"/>
      <c r="I44" s="104"/>
      <c r="J44" s="104"/>
      <c r="K44" s="104"/>
      <c r="L44" s="104"/>
      <c r="M44" s="104"/>
    </row>
    <row r="45" spans="1:31" ht="16.2" x14ac:dyDescent="0.35">
      <c r="A45" s="103"/>
      <c r="B45" s="103"/>
      <c r="C45" s="103"/>
      <c r="D45" s="103"/>
      <c r="E45" s="103"/>
      <c r="F45" s="103"/>
      <c r="G45" s="103"/>
      <c r="H45" s="103"/>
      <c r="I45" s="104"/>
      <c r="J45" s="104"/>
      <c r="K45" s="104"/>
      <c r="L45" s="104"/>
      <c r="M45" s="104"/>
    </row>
    <row r="46" spans="1:31" ht="16.2" x14ac:dyDescent="0.35">
      <c r="A46" s="103"/>
      <c r="B46" s="103"/>
      <c r="C46" s="103"/>
      <c r="D46" s="103"/>
      <c r="E46" s="103"/>
      <c r="F46" s="103"/>
      <c r="G46" s="103"/>
      <c r="H46" s="103"/>
      <c r="I46" s="104"/>
      <c r="J46" s="104"/>
      <c r="K46" s="104"/>
      <c r="L46" s="104"/>
      <c r="M46" s="104"/>
    </row>
    <row r="47" spans="1:31" ht="16.2" x14ac:dyDescent="0.35">
      <c r="A47" s="103"/>
      <c r="B47" s="103"/>
      <c r="C47" s="103"/>
      <c r="D47" s="103"/>
      <c r="E47" s="103"/>
      <c r="F47" s="103"/>
      <c r="G47" s="103"/>
      <c r="H47" s="103"/>
      <c r="I47" s="104"/>
      <c r="J47" s="104"/>
      <c r="K47" s="104"/>
      <c r="L47" s="104"/>
      <c r="M47" s="104"/>
    </row>
  </sheetData>
  <mergeCells count="3">
    <mergeCell ref="A3:M3"/>
    <mergeCell ref="A1:Y1"/>
    <mergeCell ref="A2:Y2"/>
  </mergeCells>
  <phoneticPr fontId="5" type="noConversion"/>
  <printOptions gridLines="1"/>
  <pageMargins left="0.75" right="0.16" top="0.51" bottom="0.22" header="0.5" footer="0.5"/>
  <pageSetup scale="77" orientation="landscape"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J364"/>
  <sheetViews>
    <sheetView view="pageBreakPreview" zoomScaleNormal="100" zoomScaleSheetLayoutView="100" workbookViewId="0">
      <selection activeCell="K1" sqref="K1:K1048576"/>
    </sheetView>
  </sheetViews>
  <sheetFormatPr defaultColWidth="51.109375" defaultRowHeight="13.2" x14ac:dyDescent="0.25"/>
  <cols>
    <col min="1" max="1" width="51.109375" style="303" customWidth="1"/>
    <col min="2" max="6" width="10.88671875" style="303" customWidth="1"/>
    <col min="7" max="7" width="11.6640625" style="303" bestFit="1" customWidth="1"/>
    <col min="8" max="8" width="13.5546875" style="303" bestFit="1" customWidth="1"/>
    <col min="9" max="9" width="11.33203125" style="303" bestFit="1" customWidth="1"/>
    <col min="10" max="10" width="10.88671875" style="303" customWidth="1"/>
    <col min="11" max="74" width="12.6640625" style="303" customWidth="1"/>
    <col min="75" max="16384" width="51.109375" style="303"/>
  </cols>
  <sheetData>
    <row r="1" spans="1:10" x14ac:dyDescent="0.25">
      <c r="A1" s="307" t="str">
        <f>'SUMMARY BY FUND'!A1:J1</f>
        <v>2019-20 BUDGET</v>
      </c>
      <c r="B1" s="308"/>
      <c r="C1" s="308"/>
      <c r="D1" s="308"/>
      <c r="E1" s="308"/>
      <c r="F1" s="308"/>
      <c r="G1" s="308"/>
      <c r="H1" s="308"/>
      <c r="I1" s="308"/>
      <c r="J1" s="308"/>
    </row>
    <row r="2" spans="1:10" ht="17.399999999999999" x14ac:dyDescent="0.3">
      <c r="A2" s="180" t="s">
        <v>1934</v>
      </c>
      <c r="B2" s="180"/>
      <c r="C2" s="180"/>
      <c r="D2" s="180"/>
      <c r="E2" s="180"/>
      <c r="F2" s="180"/>
    </row>
    <row r="3" spans="1:10" x14ac:dyDescent="0.25">
      <c r="B3" s="2"/>
      <c r="C3" s="2"/>
      <c r="D3" s="2"/>
      <c r="E3" s="2"/>
      <c r="F3" s="2"/>
    </row>
    <row r="4" spans="1:10" x14ac:dyDescent="0.25">
      <c r="B4" s="2"/>
      <c r="C4" s="2"/>
      <c r="D4" s="2"/>
      <c r="E4" s="16" t="s">
        <v>233</v>
      </c>
      <c r="F4" s="16" t="s">
        <v>234</v>
      </c>
      <c r="G4" s="16" t="s">
        <v>70</v>
      </c>
      <c r="H4" s="16" t="s">
        <v>409</v>
      </c>
      <c r="I4" s="16" t="s">
        <v>314</v>
      </c>
      <c r="J4" s="16" t="s">
        <v>345</v>
      </c>
    </row>
    <row r="5" spans="1:10" ht="15" x14ac:dyDescent="0.4">
      <c r="B5" s="2"/>
      <c r="C5" s="2"/>
      <c r="D5" s="2"/>
      <c r="E5" s="304" t="s">
        <v>1794</v>
      </c>
      <c r="F5" s="304" t="s">
        <v>1970</v>
      </c>
      <c r="G5" s="304" t="s">
        <v>2129</v>
      </c>
      <c r="H5" s="304" t="s">
        <v>2129</v>
      </c>
      <c r="I5" s="304" t="s">
        <v>2129</v>
      </c>
      <c r="J5" s="304" t="s">
        <v>2129</v>
      </c>
    </row>
    <row r="6" spans="1:10" ht="13.8" x14ac:dyDescent="0.3">
      <c r="A6" s="305" t="s">
        <v>779</v>
      </c>
      <c r="B6" s="2"/>
      <c r="C6" s="2"/>
      <c r="D6" s="2"/>
      <c r="E6" s="2">
        <v>38916.800000000003</v>
      </c>
      <c r="F6" s="2">
        <v>40092</v>
      </c>
      <c r="G6" s="2">
        <v>40092</v>
      </c>
      <c r="H6" s="2">
        <v>40092</v>
      </c>
      <c r="I6" s="2">
        <v>40092</v>
      </c>
      <c r="J6" s="2">
        <v>40872</v>
      </c>
    </row>
    <row r="7" spans="1:10" x14ac:dyDescent="0.25">
      <c r="A7" s="303" t="s">
        <v>398</v>
      </c>
      <c r="B7" s="2">
        <v>52</v>
      </c>
      <c r="C7" s="2">
        <v>786</v>
      </c>
      <c r="D7" s="2">
        <f>ROUND(B7*C7,0)</f>
        <v>40872</v>
      </c>
      <c r="E7" s="2"/>
      <c r="F7" s="2"/>
      <c r="G7" s="2"/>
      <c r="H7" s="2"/>
      <c r="I7" s="2"/>
      <c r="J7" s="2"/>
    </row>
    <row r="8" spans="1:10" x14ac:dyDescent="0.25">
      <c r="B8" s="2"/>
      <c r="C8" s="2"/>
      <c r="D8" s="2"/>
      <c r="E8" s="2"/>
      <c r="F8" s="2"/>
      <c r="G8" s="2"/>
      <c r="H8" s="2"/>
      <c r="I8" s="2"/>
      <c r="J8" s="2"/>
    </row>
    <row r="9" spans="1:10" ht="13.8" x14ac:dyDescent="0.3">
      <c r="A9" s="305" t="s">
        <v>1344</v>
      </c>
      <c r="B9" s="2"/>
      <c r="C9" s="2"/>
      <c r="D9" s="2"/>
      <c r="E9" s="2">
        <v>192070.11</v>
      </c>
      <c r="F9" s="2">
        <v>200937</v>
      </c>
      <c r="G9" s="2">
        <v>200937</v>
      </c>
      <c r="H9" s="2">
        <v>200937</v>
      </c>
      <c r="I9" s="2">
        <v>204899</v>
      </c>
      <c r="J9" s="2">
        <v>207255</v>
      </c>
    </row>
    <row r="10" spans="1:10" x14ac:dyDescent="0.25">
      <c r="A10" s="303" t="s">
        <v>235</v>
      </c>
      <c r="B10" s="2">
        <v>52</v>
      </c>
      <c r="C10" s="2">
        <v>1570</v>
      </c>
      <c r="D10" s="2">
        <f>ROUND(B10*C10,0)</f>
        <v>81640</v>
      </c>
      <c r="E10" s="2"/>
      <c r="F10" s="2"/>
      <c r="G10" s="2"/>
      <c r="H10" s="2"/>
      <c r="I10" s="2"/>
      <c r="J10" s="2"/>
    </row>
    <row r="11" spans="1:10" x14ac:dyDescent="0.25">
      <c r="A11" s="303" t="s">
        <v>1181</v>
      </c>
      <c r="B11" s="2">
        <v>52</v>
      </c>
      <c r="C11" s="2">
        <v>1142</v>
      </c>
      <c r="D11" s="2">
        <f>ROUND(B11*C11,0)</f>
        <v>59384</v>
      </c>
      <c r="E11" s="2"/>
      <c r="F11" s="2"/>
      <c r="G11" s="2"/>
      <c r="H11" s="2"/>
      <c r="I11" s="2"/>
      <c r="J11" s="2"/>
    </row>
    <row r="12" spans="1:10" x14ac:dyDescent="0.25">
      <c r="A12" s="303" t="s">
        <v>236</v>
      </c>
      <c r="B12" s="2">
        <v>52</v>
      </c>
      <c r="C12" s="2">
        <v>1151</v>
      </c>
      <c r="D12" s="2">
        <f>ROUND(B12*C12,0)</f>
        <v>59852</v>
      </c>
      <c r="E12" s="2"/>
      <c r="F12" s="2"/>
      <c r="G12" s="2"/>
      <c r="H12" s="2"/>
      <c r="I12" s="2"/>
      <c r="J12" s="2"/>
    </row>
    <row r="13" spans="1:10" x14ac:dyDescent="0.25">
      <c r="A13" s="303" t="s">
        <v>735</v>
      </c>
      <c r="B13" s="2">
        <v>112</v>
      </c>
      <c r="C13" s="12">
        <v>27.27</v>
      </c>
      <c r="D13" s="2">
        <f>+C13*B13</f>
        <v>3054.24</v>
      </c>
      <c r="E13" s="2"/>
      <c r="F13" s="2"/>
      <c r="G13" s="2"/>
      <c r="H13" s="2"/>
      <c r="I13" s="2"/>
      <c r="J13" s="2"/>
    </row>
    <row r="14" spans="1:10" ht="15" x14ac:dyDescent="0.4">
      <c r="A14" s="303" t="s">
        <v>973</v>
      </c>
      <c r="B14" s="2"/>
      <c r="C14" s="2"/>
      <c r="D14" s="11">
        <v>3325</v>
      </c>
      <c r="E14" s="2"/>
      <c r="F14" s="2"/>
      <c r="G14" s="2"/>
      <c r="H14" s="2"/>
      <c r="I14" s="2"/>
      <c r="J14" s="2"/>
    </row>
    <row r="15" spans="1:10" x14ac:dyDescent="0.25">
      <c r="A15" s="303" t="s">
        <v>1247</v>
      </c>
      <c r="B15" s="2"/>
      <c r="C15" s="2"/>
      <c r="D15" s="2">
        <f>SUM(D10:D14)</f>
        <v>207255.24</v>
      </c>
      <c r="E15" s="2"/>
      <c r="F15" s="2"/>
      <c r="G15" s="2"/>
      <c r="H15" s="2"/>
      <c r="I15" s="2"/>
      <c r="J15" s="2"/>
    </row>
    <row r="16" spans="1:10" x14ac:dyDescent="0.25">
      <c r="B16" s="2"/>
      <c r="C16" s="2"/>
      <c r="D16" s="2"/>
      <c r="E16" s="2"/>
      <c r="F16" s="2"/>
      <c r="G16" s="2"/>
      <c r="H16" s="2"/>
      <c r="I16" s="2"/>
      <c r="J16" s="2"/>
    </row>
    <row r="17" spans="1:10" ht="13.8" x14ac:dyDescent="0.3">
      <c r="A17" s="305" t="s">
        <v>726</v>
      </c>
      <c r="B17" s="2"/>
      <c r="C17" s="2"/>
      <c r="D17" s="2"/>
      <c r="E17" s="2">
        <v>689993.61</v>
      </c>
      <c r="F17" s="2">
        <v>780405</v>
      </c>
      <c r="G17" s="2">
        <v>776037</v>
      </c>
      <c r="H17" s="2">
        <v>776037</v>
      </c>
      <c r="I17" s="2">
        <v>776037</v>
      </c>
      <c r="J17" s="2">
        <v>792800</v>
      </c>
    </row>
    <row r="18" spans="1:10" x14ac:dyDescent="0.25">
      <c r="A18" s="297" t="s">
        <v>2337</v>
      </c>
      <c r="B18" s="297">
        <v>52</v>
      </c>
      <c r="C18" s="314">
        <v>834</v>
      </c>
      <c r="D18" s="2">
        <f t="shared" ref="D18:D35" si="0">+C18*B18</f>
        <v>43368</v>
      </c>
      <c r="E18" s="2"/>
      <c r="F18" s="2"/>
      <c r="G18" s="2"/>
      <c r="H18" s="2"/>
      <c r="I18" s="2"/>
      <c r="J18" s="2"/>
    </row>
    <row r="19" spans="1:10" x14ac:dyDescent="0.25">
      <c r="A19" s="297" t="s">
        <v>2337</v>
      </c>
      <c r="B19" s="297">
        <v>52</v>
      </c>
      <c r="C19" s="314">
        <v>882</v>
      </c>
      <c r="D19" s="2">
        <f t="shared" si="0"/>
        <v>45864</v>
      </c>
      <c r="E19" s="2"/>
      <c r="F19" s="2"/>
      <c r="G19" s="2"/>
      <c r="H19" s="2"/>
      <c r="I19" s="2"/>
      <c r="J19" s="2"/>
    </row>
    <row r="20" spans="1:10" x14ac:dyDescent="0.25">
      <c r="A20" s="297" t="s">
        <v>2337</v>
      </c>
      <c r="B20" s="297">
        <v>52</v>
      </c>
      <c r="C20" s="314">
        <v>882</v>
      </c>
      <c r="D20" s="2">
        <f t="shared" si="0"/>
        <v>45864</v>
      </c>
      <c r="E20" s="2"/>
      <c r="F20" s="2"/>
      <c r="G20" s="2"/>
      <c r="H20" s="2"/>
      <c r="I20" s="2"/>
      <c r="J20" s="2"/>
    </row>
    <row r="21" spans="1:10" x14ac:dyDescent="0.25">
      <c r="A21" s="297" t="s">
        <v>2337</v>
      </c>
      <c r="B21" s="297">
        <v>52</v>
      </c>
      <c r="C21" s="314">
        <v>848</v>
      </c>
      <c r="D21" s="2">
        <f t="shared" si="0"/>
        <v>44096</v>
      </c>
      <c r="E21" s="2"/>
      <c r="F21" s="2"/>
      <c r="G21" s="2"/>
      <c r="H21" s="2"/>
      <c r="I21" s="2"/>
      <c r="J21" s="2"/>
    </row>
    <row r="22" spans="1:10" x14ac:dyDescent="0.25">
      <c r="A22" s="297" t="s">
        <v>2337</v>
      </c>
      <c r="B22" s="297">
        <v>52</v>
      </c>
      <c r="C22" s="314">
        <v>812</v>
      </c>
      <c r="D22" s="2">
        <f t="shared" si="0"/>
        <v>42224</v>
      </c>
      <c r="E22" s="2"/>
      <c r="F22" s="2"/>
      <c r="G22" s="2"/>
      <c r="H22" s="2"/>
      <c r="I22" s="2"/>
      <c r="J22" s="2"/>
    </row>
    <row r="23" spans="1:10" x14ac:dyDescent="0.25">
      <c r="A23" s="297" t="s">
        <v>2337</v>
      </c>
      <c r="B23" s="297">
        <v>52</v>
      </c>
      <c r="C23" s="314">
        <v>812</v>
      </c>
      <c r="D23" s="2">
        <f t="shared" si="0"/>
        <v>42224</v>
      </c>
      <c r="E23" s="2"/>
      <c r="F23" s="2"/>
      <c r="G23" s="2"/>
      <c r="H23" s="2"/>
      <c r="I23" s="2"/>
      <c r="J23" s="2"/>
    </row>
    <row r="24" spans="1:10" x14ac:dyDescent="0.25">
      <c r="A24" s="297" t="s">
        <v>2337</v>
      </c>
      <c r="B24" s="297">
        <v>52</v>
      </c>
      <c r="C24" s="314">
        <v>812</v>
      </c>
      <c r="D24" s="2">
        <f t="shared" si="0"/>
        <v>42224</v>
      </c>
      <c r="E24" s="2"/>
      <c r="F24" s="2"/>
      <c r="G24" s="2"/>
      <c r="H24" s="2"/>
      <c r="I24" s="2"/>
      <c r="J24" s="2"/>
    </row>
    <row r="25" spans="1:10" x14ac:dyDescent="0.25">
      <c r="A25" s="297" t="s">
        <v>2337</v>
      </c>
      <c r="B25" s="297">
        <v>52</v>
      </c>
      <c r="C25" s="314">
        <v>882</v>
      </c>
      <c r="D25" s="2">
        <f t="shared" si="0"/>
        <v>45864</v>
      </c>
      <c r="E25" s="2"/>
      <c r="F25" s="2"/>
      <c r="G25" s="2"/>
      <c r="H25" s="2"/>
      <c r="I25" s="2"/>
      <c r="J25" s="2"/>
    </row>
    <row r="26" spans="1:10" x14ac:dyDescent="0.25">
      <c r="A26" s="297" t="s">
        <v>2337</v>
      </c>
      <c r="B26" s="297">
        <v>52</v>
      </c>
      <c r="C26" s="314">
        <v>882</v>
      </c>
      <c r="D26" s="2">
        <f t="shared" si="0"/>
        <v>45864</v>
      </c>
      <c r="E26" s="2"/>
      <c r="F26" s="2"/>
      <c r="G26" s="2"/>
      <c r="H26" s="2"/>
      <c r="I26" s="2"/>
      <c r="J26" s="2"/>
    </row>
    <row r="27" spans="1:10" x14ac:dyDescent="0.25">
      <c r="A27" s="297" t="s">
        <v>2337</v>
      </c>
      <c r="B27" s="297">
        <v>52</v>
      </c>
      <c r="C27" s="314">
        <v>888</v>
      </c>
      <c r="D27" s="2">
        <f t="shared" si="0"/>
        <v>46176</v>
      </c>
      <c r="E27" s="2"/>
      <c r="F27" s="2"/>
      <c r="G27" s="2"/>
      <c r="H27" s="2"/>
      <c r="I27" s="2"/>
      <c r="J27" s="2"/>
    </row>
    <row r="28" spans="1:10" x14ac:dyDescent="0.25">
      <c r="A28" s="297" t="s">
        <v>2338</v>
      </c>
      <c r="B28" s="297">
        <v>52</v>
      </c>
      <c r="C28" s="314">
        <v>924</v>
      </c>
      <c r="D28" s="2">
        <f t="shared" si="0"/>
        <v>48048</v>
      </c>
      <c r="E28" s="2"/>
      <c r="F28" s="2"/>
      <c r="G28" s="2"/>
      <c r="H28" s="2"/>
      <c r="I28" s="2"/>
      <c r="J28" s="2"/>
    </row>
    <row r="29" spans="1:10" x14ac:dyDescent="0.25">
      <c r="A29" s="297" t="s">
        <v>2338</v>
      </c>
      <c r="B29" s="297">
        <v>52</v>
      </c>
      <c r="C29" s="314">
        <v>924</v>
      </c>
      <c r="D29" s="2">
        <f t="shared" si="0"/>
        <v>48048</v>
      </c>
      <c r="E29" s="2"/>
      <c r="F29" s="2"/>
      <c r="G29" s="2"/>
      <c r="H29" s="2"/>
      <c r="I29" s="2"/>
      <c r="J29" s="2"/>
    </row>
    <row r="30" spans="1:10" x14ac:dyDescent="0.25">
      <c r="A30" s="297" t="s">
        <v>1362</v>
      </c>
      <c r="B30" s="297">
        <v>52</v>
      </c>
      <c r="C30" s="314">
        <v>1017</v>
      </c>
      <c r="D30" s="2">
        <f t="shared" si="0"/>
        <v>52884</v>
      </c>
      <c r="E30" s="2"/>
      <c r="F30" s="2"/>
      <c r="G30" s="2"/>
      <c r="H30" s="2"/>
      <c r="I30" s="2"/>
      <c r="J30" s="2"/>
    </row>
    <row r="31" spans="1:10" x14ac:dyDescent="0.25">
      <c r="A31" s="297" t="s">
        <v>1825</v>
      </c>
      <c r="B31" s="297">
        <v>52</v>
      </c>
      <c r="C31" s="314">
        <v>615</v>
      </c>
      <c r="D31" s="2">
        <f t="shared" si="0"/>
        <v>31980</v>
      </c>
      <c r="E31" s="2"/>
      <c r="F31" s="2"/>
      <c r="G31" s="2"/>
      <c r="H31" s="2"/>
      <c r="I31" s="2"/>
      <c r="J31" s="2"/>
    </row>
    <row r="32" spans="1:10" x14ac:dyDescent="0.25">
      <c r="A32" s="297" t="s">
        <v>1825</v>
      </c>
      <c r="B32" s="297">
        <v>52</v>
      </c>
      <c r="C32" s="314">
        <v>637</v>
      </c>
      <c r="D32" s="2">
        <f t="shared" si="0"/>
        <v>33124</v>
      </c>
      <c r="E32" s="2"/>
      <c r="F32" s="2"/>
      <c r="G32" s="2"/>
      <c r="H32" s="2"/>
      <c r="I32" s="2"/>
      <c r="J32" s="2"/>
    </row>
    <row r="33" spans="1:10" x14ac:dyDescent="0.25">
      <c r="A33" s="297" t="s">
        <v>2337</v>
      </c>
      <c r="B33" s="297">
        <v>52</v>
      </c>
      <c r="C33" s="314">
        <v>895</v>
      </c>
      <c r="D33" s="2">
        <f t="shared" si="0"/>
        <v>46540</v>
      </c>
      <c r="E33" s="2"/>
      <c r="F33" s="2"/>
      <c r="G33" s="2"/>
      <c r="H33" s="2"/>
      <c r="I33" s="2"/>
      <c r="J33" s="2"/>
    </row>
    <row r="34" spans="1:10" x14ac:dyDescent="0.25">
      <c r="A34" s="297" t="s">
        <v>2337</v>
      </c>
      <c r="B34" s="297">
        <v>52</v>
      </c>
      <c r="C34" s="314">
        <v>895</v>
      </c>
      <c r="D34" s="2">
        <f t="shared" si="0"/>
        <v>46540</v>
      </c>
      <c r="E34" s="2"/>
      <c r="F34" s="2"/>
      <c r="G34" s="2"/>
      <c r="H34" s="2"/>
      <c r="I34" s="2"/>
      <c r="J34" s="2"/>
    </row>
    <row r="35" spans="1:10" x14ac:dyDescent="0.25">
      <c r="A35" s="297" t="s">
        <v>1825</v>
      </c>
      <c r="B35" s="297">
        <v>52</v>
      </c>
      <c r="C35" s="314">
        <v>638</v>
      </c>
      <c r="D35" s="2">
        <f t="shared" si="0"/>
        <v>33176</v>
      </c>
      <c r="E35" s="2"/>
      <c r="F35" s="2"/>
      <c r="G35" s="2"/>
      <c r="H35" s="2"/>
      <c r="I35" s="2"/>
      <c r="J35" s="2"/>
    </row>
    <row r="36" spans="1:10" x14ac:dyDescent="0.25">
      <c r="A36" s="212" t="s">
        <v>1810</v>
      </c>
      <c r="B36" s="2"/>
      <c r="C36" s="2"/>
      <c r="D36" s="26">
        <v>3325</v>
      </c>
      <c r="E36" s="2"/>
      <c r="F36" s="2"/>
      <c r="G36" s="2"/>
      <c r="H36" s="2"/>
      <c r="I36" s="2"/>
      <c r="J36" s="2"/>
    </row>
    <row r="37" spans="1:10" ht="15" x14ac:dyDescent="0.4">
      <c r="A37" s="303" t="s">
        <v>973</v>
      </c>
      <c r="B37" s="2" t="s">
        <v>396</v>
      </c>
      <c r="C37" s="12" t="s">
        <v>852</v>
      </c>
      <c r="D37" s="11">
        <f>-33+5400</f>
        <v>5367</v>
      </c>
      <c r="E37" s="2"/>
      <c r="F37" s="2"/>
      <c r="G37" s="2"/>
      <c r="H37" s="2"/>
      <c r="I37" s="2"/>
      <c r="J37" s="2"/>
    </row>
    <row r="38" spans="1:10" x14ac:dyDescent="0.25">
      <c r="A38" s="303" t="s">
        <v>1247</v>
      </c>
      <c r="D38" s="2">
        <f>SUM(D18:D37)</f>
        <v>792800</v>
      </c>
      <c r="E38" s="2"/>
      <c r="F38" s="2"/>
      <c r="G38" s="2"/>
      <c r="H38" s="2"/>
      <c r="I38" s="2"/>
      <c r="J38" s="2"/>
    </row>
    <row r="39" spans="1:10" x14ac:dyDescent="0.25">
      <c r="D39" s="2"/>
      <c r="E39" s="2"/>
      <c r="F39" s="2"/>
      <c r="G39" s="2"/>
      <c r="H39" s="2"/>
      <c r="I39" s="2"/>
      <c r="J39" s="2"/>
    </row>
    <row r="40" spans="1:10" ht="13.8" x14ac:dyDescent="0.3">
      <c r="A40" s="305" t="s">
        <v>541</v>
      </c>
      <c r="B40" s="6"/>
      <c r="C40" s="6"/>
      <c r="D40" s="2" t="s">
        <v>396</v>
      </c>
      <c r="E40" s="2">
        <v>27805.78</v>
      </c>
      <c r="F40" s="2">
        <v>30000</v>
      </c>
      <c r="G40" s="2">
        <v>30000</v>
      </c>
      <c r="H40" s="2">
        <v>30000</v>
      </c>
      <c r="I40" s="2">
        <v>30000</v>
      </c>
      <c r="J40" s="2">
        <v>30000</v>
      </c>
    </row>
    <row r="41" spans="1:10" x14ac:dyDescent="0.25">
      <c r="A41" s="6" t="s">
        <v>507</v>
      </c>
      <c r="B41" s="2"/>
      <c r="C41" s="12"/>
      <c r="D41" s="2"/>
      <c r="E41" s="2"/>
      <c r="F41" s="2"/>
      <c r="G41" s="2"/>
      <c r="H41" s="2"/>
      <c r="I41" s="2"/>
      <c r="J41" s="2"/>
    </row>
    <row r="42" spans="1:10" x14ac:dyDescent="0.25">
      <c r="A42" s="303" t="s">
        <v>510</v>
      </c>
      <c r="B42" s="2" t="s">
        <v>396</v>
      </c>
      <c r="C42" s="12"/>
      <c r="D42" s="2">
        <v>7000</v>
      </c>
      <c r="E42" s="2"/>
      <c r="F42" s="2"/>
      <c r="G42" s="2"/>
      <c r="H42" s="2"/>
      <c r="I42" s="2"/>
      <c r="J42" s="2"/>
    </row>
    <row r="43" spans="1:10" x14ac:dyDescent="0.25">
      <c r="A43" s="303" t="s">
        <v>508</v>
      </c>
      <c r="B43" s="2"/>
      <c r="C43" s="12"/>
      <c r="D43" s="2"/>
      <c r="E43" s="2"/>
      <c r="F43" s="2"/>
      <c r="G43" s="2"/>
      <c r="H43" s="2"/>
      <c r="I43" s="2"/>
      <c r="J43" s="2"/>
    </row>
    <row r="44" spans="1:10" ht="15" x14ac:dyDescent="0.4">
      <c r="A44" s="303" t="s">
        <v>509</v>
      </c>
      <c r="B44" s="2"/>
      <c r="C44" s="12"/>
      <c r="D44" s="11">
        <v>23000</v>
      </c>
      <c r="E44" s="2"/>
      <c r="F44" s="2"/>
      <c r="G44" s="2"/>
      <c r="H44" s="2"/>
      <c r="I44" s="2"/>
      <c r="J44" s="2"/>
    </row>
    <row r="45" spans="1:10" x14ac:dyDescent="0.25">
      <c r="A45" s="303" t="s">
        <v>1247</v>
      </c>
      <c r="B45" s="2"/>
      <c r="C45" s="12"/>
      <c r="D45" s="2">
        <f>SUM(D41:D44)</f>
        <v>30000</v>
      </c>
      <c r="E45" s="2"/>
      <c r="F45" s="2"/>
      <c r="G45" s="2"/>
      <c r="H45" s="2"/>
      <c r="I45" s="2"/>
      <c r="J45" s="2"/>
    </row>
    <row r="46" spans="1:10" x14ac:dyDescent="0.25">
      <c r="D46" s="2"/>
      <c r="E46" s="2"/>
      <c r="F46" s="2"/>
      <c r="G46" s="2"/>
      <c r="H46" s="2"/>
      <c r="I46" s="2"/>
      <c r="J46" s="2"/>
    </row>
    <row r="47" spans="1:10" ht="13.8" x14ac:dyDescent="0.3">
      <c r="A47" s="305" t="s">
        <v>767</v>
      </c>
      <c r="D47" s="2"/>
      <c r="E47" s="2">
        <v>12246.14</v>
      </c>
      <c r="F47" s="2">
        <v>23731</v>
      </c>
      <c r="G47" s="2">
        <v>23731</v>
      </c>
      <c r="H47" s="2">
        <v>23731</v>
      </c>
      <c r="I47" s="2">
        <v>23731</v>
      </c>
      <c r="J47" s="2">
        <v>23731</v>
      </c>
    </row>
    <row r="48" spans="1:10" x14ac:dyDescent="0.25">
      <c r="A48" s="303" t="s">
        <v>1548</v>
      </c>
      <c r="B48" s="26">
        <v>1920</v>
      </c>
      <c r="C48" s="57">
        <v>12.36</v>
      </c>
      <c r="D48" s="26">
        <f>ROUND(B48*C48,0)</f>
        <v>23731</v>
      </c>
      <c r="E48" s="2"/>
      <c r="F48" s="2"/>
      <c r="G48" s="2"/>
      <c r="H48" s="2"/>
      <c r="I48" s="2"/>
      <c r="J48" s="2"/>
    </row>
    <row r="49" spans="1:10" x14ac:dyDescent="0.25">
      <c r="A49" s="303" t="s">
        <v>396</v>
      </c>
      <c r="D49" s="2" t="s">
        <v>396</v>
      </c>
      <c r="E49" s="2"/>
      <c r="F49" s="2"/>
      <c r="G49" s="2"/>
      <c r="H49" s="2"/>
      <c r="I49" s="2"/>
      <c r="J49" s="2"/>
    </row>
    <row r="50" spans="1:10" ht="13.8" x14ac:dyDescent="0.3">
      <c r="A50" s="305" t="s">
        <v>775</v>
      </c>
      <c r="D50" s="8" t="s">
        <v>396</v>
      </c>
      <c r="E50" s="2">
        <v>92047.32</v>
      </c>
      <c r="F50" s="2">
        <v>81500</v>
      </c>
      <c r="G50" s="2">
        <v>81500</v>
      </c>
      <c r="H50" s="2">
        <v>81500</v>
      </c>
      <c r="I50" s="2">
        <v>81500</v>
      </c>
      <c r="J50" s="2">
        <v>81500</v>
      </c>
    </row>
    <row r="51" spans="1:10" x14ac:dyDescent="0.25">
      <c r="A51" s="303" t="s">
        <v>508</v>
      </c>
      <c r="B51" s="2" t="s">
        <v>396</v>
      </c>
      <c r="D51" s="2" t="s">
        <v>396</v>
      </c>
      <c r="E51" s="2"/>
      <c r="F51" s="2"/>
      <c r="G51" s="2"/>
      <c r="H51" s="2"/>
      <c r="I51" s="2"/>
      <c r="J51" s="2"/>
    </row>
    <row r="52" spans="1:10" x14ac:dyDescent="0.25">
      <c r="A52" s="303" t="s">
        <v>509</v>
      </c>
      <c r="B52" s="2"/>
      <c r="D52" s="2">
        <v>76500</v>
      </c>
      <c r="E52" s="2"/>
      <c r="F52" s="2"/>
      <c r="G52" s="2"/>
      <c r="H52" s="2"/>
      <c r="I52" s="2"/>
      <c r="J52" s="2"/>
    </row>
    <row r="53" spans="1:10" x14ac:dyDescent="0.25">
      <c r="A53" s="6" t="s">
        <v>507</v>
      </c>
      <c r="B53" s="2"/>
      <c r="D53" s="2"/>
      <c r="E53" s="2"/>
      <c r="F53" s="2"/>
      <c r="G53" s="2"/>
      <c r="H53" s="2"/>
      <c r="I53" s="2"/>
      <c r="J53" s="2"/>
    </row>
    <row r="54" spans="1:10" ht="15" x14ac:dyDescent="0.4">
      <c r="A54" s="303" t="s">
        <v>510</v>
      </c>
      <c r="B54" s="2"/>
      <c r="D54" s="11">
        <v>5000</v>
      </c>
      <c r="E54" s="2"/>
      <c r="F54" s="2"/>
      <c r="G54" s="2"/>
      <c r="H54" s="2"/>
      <c r="I54" s="2"/>
      <c r="J54" s="2"/>
    </row>
    <row r="55" spans="1:10" x14ac:dyDescent="0.25">
      <c r="A55" s="303" t="s">
        <v>1247</v>
      </c>
      <c r="B55" s="2"/>
      <c r="D55" s="2">
        <f>SUM(D51:D54)</f>
        <v>81500</v>
      </c>
      <c r="E55" s="2"/>
      <c r="F55" s="2"/>
      <c r="G55" s="2"/>
      <c r="H55" s="2"/>
      <c r="I55" s="2"/>
      <c r="J55" s="2"/>
    </row>
    <row r="56" spans="1:10" x14ac:dyDescent="0.25">
      <c r="B56" s="2" t="s">
        <v>396</v>
      </c>
      <c r="C56" s="12" t="s">
        <v>396</v>
      </c>
      <c r="D56" s="2" t="s">
        <v>396</v>
      </c>
      <c r="E56" s="2"/>
      <c r="F56" s="2"/>
      <c r="G56" s="2"/>
      <c r="H56" s="2"/>
      <c r="I56" s="2"/>
      <c r="J56" s="2"/>
    </row>
    <row r="57" spans="1:10" ht="13.8" x14ac:dyDescent="0.3">
      <c r="A57" s="305" t="s">
        <v>1007</v>
      </c>
      <c r="B57" s="2"/>
      <c r="C57" s="12"/>
      <c r="D57" s="2"/>
      <c r="E57" s="2">
        <v>82205.78</v>
      </c>
      <c r="F57" s="2">
        <v>88485</v>
      </c>
      <c r="G57" s="2">
        <v>88151</v>
      </c>
      <c r="H57" s="2">
        <v>88151</v>
      </c>
      <c r="I57" s="2">
        <v>88454</v>
      </c>
      <c r="J57" s="2">
        <v>89976</v>
      </c>
    </row>
    <row r="58" spans="1:10" x14ac:dyDescent="0.25">
      <c r="A58" s="13" t="s">
        <v>896</v>
      </c>
      <c r="B58" s="2">
        <f>+D7</f>
        <v>40872</v>
      </c>
      <c r="C58" s="14">
        <v>7.6499999999999999E-2</v>
      </c>
      <c r="D58" s="2">
        <f t="shared" ref="D58:D63" si="1">ROUND(B58*C58,0)</f>
        <v>3127</v>
      </c>
      <c r="E58" s="2"/>
      <c r="F58" s="2"/>
      <c r="G58" s="2"/>
      <c r="H58" s="2"/>
      <c r="I58" s="2"/>
      <c r="J58" s="2"/>
    </row>
    <row r="59" spans="1:10" x14ac:dyDescent="0.25">
      <c r="A59" s="13" t="s">
        <v>1468</v>
      </c>
      <c r="B59" s="2">
        <f>+D15</f>
        <v>207255.24</v>
      </c>
      <c r="C59" s="14">
        <v>7.6499999999999999E-2</v>
      </c>
      <c r="D59" s="2">
        <f t="shared" si="1"/>
        <v>15855</v>
      </c>
      <c r="E59" s="2"/>
      <c r="F59" s="2"/>
      <c r="G59" s="2"/>
      <c r="H59" s="2"/>
      <c r="I59" s="2"/>
      <c r="J59" s="2"/>
    </row>
    <row r="60" spans="1:10" x14ac:dyDescent="0.25">
      <c r="A60" s="13" t="s">
        <v>807</v>
      </c>
      <c r="B60" s="2">
        <f>+D38</f>
        <v>792800</v>
      </c>
      <c r="C60" s="14">
        <v>7.6499999999999999E-2</v>
      </c>
      <c r="D60" s="2">
        <f t="shared" si="1"/>
        <v>60649</v>
      </c>
      <c r="E60" s="2"/>
      <c r="F60" s="2"/>
      <c r="G60" s="2"/>
      <c r="H60" s="2"/>
      <c r="I60" s="2"/>
      <c r="J60" s="2"/>
    </row>
    <row r="61" spans="1:10" x14ac:dyDescent="0.25">
      <c r="A61" s="13" t="s">
        <v>897</v>
      </c>
      <c r="B61" s="2">
        <f>+D45</f>
        <v>30000</v>
      </c>
      <c r="C61" s="14">
        <v>7.6499999999999999E-2</v>
      </c>
      <c r="D61" s="2">
        <f t="shared" si="1"/>
        <v>2295</v>
      </c>
      <c r="E61" s="2"/>
      <c r="F61" s="2"/>
      <c r="G61" s="2"/>
      <c r="H61" s="2"/>
      <c r="I61" s="2"/>
      <c r="J61" s="2"/>
    </row>
    <row r="62" spans="1:10" x14ac:dyDescent="0.25">
      <c r="A62" s="13" t="s">
        <v>184</v>
      </c>
      <c r="B62" s="2">
        <f>+D48</f>
        <v>23731</v>
      </c>
      <c r="C62" s="14">
        <v>7.6499999999999999E-2</v>
      </c>
      <c r="D62" s="2">
        <f t="shared" si="1"/>
        <v>1815</v>
      </c>
      <c r="E62" s="2"/>
      <c r="F62" s="2"/>
      <c r="G62" s="2"/>
      <c r="H62" s="2"/>
      <c r="I62" s="2"/>
      <c r="J62" s="2"/>
    </row>
    <row r="63" spans="1:10" ht="15" x14ac:dyDescent="0.4">
      <c r="A63" s="13" t="s">
        <v>185</v>
      </c>
      <c r="B63" s="2">
        <f>+D55</f>
        <v>81500</v>
      </c>
      <c r="C63" s="14">
        <v>7.6499999999999999E-2</v>
      </c>
      <c r="D63" s="11">
        <f t="shared" si="1"/>
        <v>6235</v>
      </c>
      <c r="E63" s="2"/>
      <c r="F63" s="2"/>
      <c r="G63" s="2"/>
      <c r="H63" s="2"/>
      <c r="I63" s="2"/>
      <c r="J63" s="2"/>
    </row>
    <row r="64" spans="1:10" x14ac:dyDescent="0.25">
      <c r="A64" s="303" t="s">
        <v>1247</v>
      </c>
      <c r="D64" s="2">
        <f>SUM(D58:D63)</f>
        <v>89976</v>
      </c>
      <c r="E64" s="2"/>
      <c r="F64" s="2"/>
      <c r="G64" s="2"/>
      <c r="H64" s="2"/>
      <c r="I64" s="2"/>
      <c r="J64" s="2"/>
    </row>
    <row r="65" spans="1:10" x14ac:dyDescent="0.25">
      <c r="D65" s="2"/>
      <c r="E65" s="2"/>
      <c r="F65" s="2"/>
      <c r="G65" s="2"/>
      <c r="H65" s="2"/>
      <c r="I65" s="2"/>
      <c r="J65" s="2"/>
    </row>
    <row r="66" spans="1:10" ht="13.8" x14ac:dyDescent="0.3">
      <c r="A66" s="15" t="s">
        <v>1414</v>
      </c>
      <c r="D66" s="2"/>
      <c r="E66" s="2">
        <v>119383.38</v>
      </c>
      <c r="F66" s="2">
        <v>128928</v>
      </c>
      <c r="G66" s="2">
        <v>126061</v>
      </c>
      <c r="H66" s="2">
        <v>126061</v>
      </c>
      <c r="I66" s="2">
        <v>126503</v>
      </c>
      <c r="J66" s="2">
        <v>128726</v>
      </c>
    </row>
    <row r="67" spans="1:10" x14ac:dyDescent="0.25">
      <c r="A67" s="13" t="s">
        <v>896</v>
      </c>
      <c r="B67" s="2">
        <f>+B58</f>
        <v>40872</v>
      </c>
      <c r="C67" s="14">
        <v>0.11169999999999999</v>
      </c>
      <c r="D67" s="2">
        <f>ROUND(B67*C67,0)</f>
        <v>4565</v>
      </c>
      <c r="E67" s="2"/>
      <c r="F67" s="2"/>
      <c r="G67" s="2"/>
      <c r="H67" s="2"/>
      <c r="I67" s="2"/>
      <c r="J67" s="2"/>
    </row>
    <row r="68" spans="1:10" x14ac:dyDescent="0.25">
      <c r="A68" s="23">
        <v>8103</v>
      </c>
      <c r="B68" s="2">
        <f>+D15</f>
        <v>207255.24</v>
      </c>
      <c r="C68" s="14">
        <v>0.11169999999999999</v>
      </c>
      <c r="D68" s="2">
        <f>ROUND(B68*C68,0)</f>
        <v>23150</v>
      </c>
      <c r="E68" s="2"/>
      <c r="F68" s="2"/>
      <c r="G68" s="2"/>
      <c r="H68" s="2"/>
      <c r="I68" s="2"/>
      <c r="J68" s="2"/>
    </row>
    <row r="69" spans="1:10" x14ac:dyDescent="0.25">
      <c r="A69" s="13" t="s">
        <v>807</v>
      </c>
      <c r="B69" s="2">
        <f>+D38</f>
        <v>792800</v>
      </c>
      <c r="C69" s="14">
        <v>0.11169999999999999</v>
      </c>
      <c r="D69" s="2">
        <f>ROUND(B69*C69,0)</f>
        <v>88556</v>
      </c>
      <c r="E69" s="2"/>
      <c r="F69" s="2"/>
      <c r="G69" s="2"/>
      <c r="H69" s="2"/>
      <c r="I69" s="2"/>
      <c r="J69" s="2"/>
    </row>
    <row r="70" spans="1:10" x14ac:dyDescent="0.25">
      <c r="A70" s="13" t="s">
        <v>897</v>
      </c>
      <c r="B70" s="2">
        <f>+B61</f>
        <v>30000</v>
      </c>
      <c r="C70" s="14">
        <v>0.11169999999999999</v>
      </c>
      <c r="D70" s="2">
        <f>ROUND(B70*C70,0)</f>
        <v>3351</v>
      </c>
      <c r="E70" s="2"/>
      <c r="F70" s="2"/>
      <c r="G70" s="2"/>
      <c r="H70" s="2"/>
      <c r="I70" s="2"/>
      <c r="J70" s="2"/>
    </row>
    <row r="71" spans="1:10" ht="15" x14ac:dyDescent="0.4">
      <c r="A71" s="13" t="s">
        <v>185</v>
      </c>
      <c r="B71" s="2">
        <f>+D55</f>
        <v>81500</v>
      </c>
      <c r="C71" s="14">
        <v>0.11169999999999999</v>
      </c>
      <c r="D71" s="11">
        <f>ROUND(B71*C71,0)</f>
        <v>9104</v>
      </c>
      <c r="E71" s="2"/>
      <c r="F71" s="2"/>
      <c r="G71" s="2"/>
      <c r="H71" s="2"/>
      <c r="I71" s="2"/>
      <c r="J71" s="2"/>
    </row>
    <row r="72" spans="1:10" x14ac:dyDescent="0.25">
      <c r="A72" s="303" t="s">
        <v>1247</v>
      </c>
      <c r="D72" s="2">
        <f>SUM(D67:D71)</f>
        <v>128726</v>
      </c>
      <c r="E72" s="2"/>
      <c r="F72" s="2"/>
      <c r="G72" s="2"/>
      <c r="H72" s="2"/>
      <c r="I72" s="2"/>
      <c r="J72" s="2"/>
    </row>
    <row r="73" spans="1:10" x14ac:dyDescent="0.25">
      <c r="D73" s="2"/>
      <c r="E73" s="2"/>
      <c r="F73" s="2"/>
      <c r="G73" s="2"/>
      <c r="H73" s="2"/>
      <c r="I73" s="2"/>
      <c r="J73" s="2"/>
    </row>
    <row r="74" spans="1:10" ht="13.8" x14ac:dyDescent="0.3">
      <c r="A74" s="305" t="s">
        <v>1415</v>
      </c>
      <c r="D74" s="2"/>
      <c r="E74" s="2">
        <v>353964.01</v>
      </c>
      <c r="F74" s="2">
        <v>402600</v>
      </c>
      <c r="G74" s="2">
        <v>409200</v>
      </c>
      <c r="H74" s="2">
        <v>418550</v>
      </c>
      <c r="I74" s="2">
        <v>418550</v>
      </c>
      <c r="J74" s="2">
        <v>418550</v>
      </c>
    </row>
    <row r="75" spans="1:10" x14ac:dyDescent="0.25">
      <c r="A75" s="303" t="s">
        <v>298</v>
      </c>
      <c r="B75" s="2">
        <v>18</v>
      </c>
      <c r="C75" s="2">
        <v>19025</v>
      </c>
      <c r="D75" s="2">
        <f>ROUND(B75*C75,0)</f>
        <v>342450</v>
      </c>
      <c r="E75" s="2"/>
      <c r="F75" s="2"/>
      <c r="G75" s="2"/>
      <c r="H75" s="2"/>
      <c r="I75" s="2"/>
      <c r="J75" s="2"/>
    </row>
    <row r="76" spans="1:10" x14ac:dyDescent="0.25">
      <c r="A76" s="303" t="s">
        <v>299</v>
      </c>
      <c r="B76" s="2">
        <v>1</v>
      </c>
      <c r="C76" s="2">
        <v>19025</v>
      </c>
      <c r="D76" s="2">
        <f>ROUND(B76*C76,0)</f>
        <v>19025</v>
      </c>
      <c r="E76" s="2"/>
      <c r="F76" s="2"/>
      <c r="G76" s="2"/>
      <c r="H76" s="2"/>
      <c r="I76" s="2"/>
      <c r="J76" s="2"/>
    </row>
    <row r="77" spans="1:10" ht="15" x14ac:dyDescent="0.4">
      <c r="A77" s="303" t="s">
        <v>347</v>
      </c>
      <c r="B77" s="2">
        <v>3</v>
      </c>
      <c r="C77" s="2">
        <v>19025</v>
      </c>
      <c r="D77" s="11">
        <f>ROUND(B77*C77,0)</f>
        <v>57075</v>
      </c>
      <c r="E77" s="2"/>
      <c r="F77" s="2"/>
      <c r="G77" s="2"/>
      <c r="H77" s="2"/>
      <c r="I77" s="2"/>
      <c r="J77" s="2"/>
    </row>
    <row r="78" spans="1:10" x14ac:dyDescent="0.25">
      <c r="A78" s="303" t="s">
        <v>801</v>
      </c>
      <c r="B78" s="2"/>
      <c r="C78" s="2"/>
      <c r="D78" s="2">
        <f>SUM(D75:D77)</f>
        <v>418550</v>
      </c>
      <c r="E78" s="2"/>
      <c r="F78" s="2"/>
      <c r="G78" s="2"/>
      <c r="H78" s="2"/>
      <c r="I78" s="2"/>
      <c r="J78" s="2"/>
    </row>
    <row r="79" spans="1:10" x14ac:dyDescent="0.25">
      <c r="D79" s="2"/>
      <c r="E79" s="2"/>
    </row>
    <row r="80" spans="1:10" ht="13.8" x14ac:dyDescent="0.3">
      <c r="A80" s="305" t="s">
        <v>1416</v>
      </c>
      <c r="D80" s="2"/>
      <c r="E80" s="2">
        <v>25244.16</v>
      </c>
      <c r="F80" s="2">
        <v>25740</v>
      </c>
      <c r="G80" s="2">
        <v>26433</v>
      </c>
      <c r="H80" s="2">
        <v>26730</v>
      </c>
      <c r="I80" s="2">
        <v>26730</v>
      </c>
      <c r="J80" s="2">
        <v>26730</v>
      </c>
    </row>
    <row r="81" spans="1:10" x14ac:dyDescent="0.25">
      <c r="A81" s="303" t="s">
        <v>416</v>
      </c>
      <c r="B81" s="2">
        <v>22</v>
      </c>
      <c r="C81" s="2">
        <v>1350</v>
      </c>
      <c r="D81" s="2">
        <f>ROUND(B81*C81,0)</f>
        <v>29700</v>
      </c>
      <c r="E81" s="2"/>
      <c r="F81" s="2"/>
      <c r="G81" s="2"/>
      <c r="H81" s="2"/>
      <c r="I81" s="2"/>
      <c r="J81" s="2"/>
    </row>
    <row r="82" spans="1:10" ht="15" x14ac:dyDescent="0.4">
      <c r="A82" s="303" t="s">
        <v>606</v>
      </c>
      <c r="B82" s="2"/>
      <c r="C82" s="2"/>
      <c r="D82" s="11">
        <f>+D81*-0.1</f>
        <v>-2970</v>
      </c>
      <c r="E82" s="2"/>
      <c r="F82" s="2"/>
      <c r="G82" s="2"/>
      <c r="H82" s="2"/>
      <c r="I82" s="2"/>
      <c r="J82" s="2"/>
    </row>
    <row r="83" spans="1:10" x14ac:dyDescent="0.25">
      <c r="B83" s="2"/>
      <c r="C83" s="2"/>
      <c r="D83" s="2">
        <f>SUM(D81:D82)</f>
        <v>26730</v>
      </c>
      <c r="E83" s="2"/>
      <c r="F83" s="2"/>
      <c r="G83" s="2"/>
      <c r="H83" s="2"/>
      <c r="I83" s="2"/>
      <c r="J83" s="2"/>
    </row>
    <row r="84" spans="1:10" x14ac:dyDescent="0.25">
      <c r="D84" s="2"/>
      <c r="E84" s="2"/>
      <c r="F84" s="2"/>
      <c r="G84" s="2"/>
      <c r="H84" s="2"/>
      <c r="I84" s="2"/>
      <c r="J84" s="2"/>
    </row>
    <row r="85" spans="1:10" ht="13.8" x14ac:dyDescent="0.3">
      <c r="A85" s="305" t="s">
        <v>545</v>
      </c>
      <c r="D85" s="2"/>
      <c r="E85" s="2">
        <v>947.59</v>
      </c>
      <c r="F85" s="2">
        <v>1170</v>
      </c>
      <c r="G85" s="2">
        <v>1170</v>
      </c>
      <c r="H85" s="2">
        <v>1170</v>
      </c>
      <c r="I85" s="2">
        <v>1170</v>
      </c>
      <c r="J85" s="2">
        <v>1170</v>
      </c>
    </row>
    <row r="86" spans="1:10" ht="12" hidden="1" customHeight="1" x14ac:dyDescent="0.25">
      <c r="A86" s="303" t="s">
        <v>223</v>
      </c>
      <c r="B86" s="2">
        <v>1</v>
      </c>
      <c r="C86" s="2">
        <v>135</v>
      </c>
      <c r="D86" s="2">
        <f>ROUND(B86*C86,0)</f>
        <v>135</v>
      </c>
      <c r="E86" s="2"/>
      <c r="F86" s="2"/>
      <c r="G86" s="2"/>
      <c r="H86" s="2"/>
      <c r="I86" s="2"/>
      <c r="J86" s="2"/>
    </row>
    <row r="87" spans="1:10" hidden="1" x14ac:dyDescent="0.25">
      <c r="A87" s="303" t="s">
        <v>346</v>
      </c>
      <c r="B87" s="2">
        <v>3</v>
      </c>
      <c r="C87" s="2">
        <v>135</v>
      </c>
      <c r="D87" s="2">
        <f>ROUND(B87*C87,0)</f>
        <v>405</v>
      </c>
      <c r="E87" s="2"/>
      <c r="F87" s="2"/>
      <c r="G87" s="2"/>
      <c r="H87" s="2"/>
      <c r="I87" s="2"/>
      <c r="J87" s="2"/>
    </row>
    <row r="88" spans="1:10" ht="15" hidden="1" x14ac:dyDescent="0.4">
      <c r="A88" s="303" t="s">
        <v>318</v>
      </c>
      <c r="B88" s="2">
        <v>18</v>
      </c>
      <c r="C88" s="2">
        <v>35</v>
      </c>
      <c r="D88" s="11">
        <f>ROUND(B88*C88,0)</f>
        <v>630</v>
      </c>
      <c r="E88" s="2"/>
      <c r="F88" s="2"/>
      <c r="G88" s="2"/>
      <c r="H88" s="2"/>
      <c r="I88" s="2"/>
      <c r="J88" s="2"/>
    </row>
    <row r="89" spans="1:10" hidden="1" x14ac:dyDescent="0.25">
      <c r="A89" s="303" t="s">
        <v>1247</v>
      </c>
      <c r="D89" s="2">
        <f>SUM(D86:D88)</f>
        <v>1170</v>
      </c>
      <c r="E89" s="2"/>
      <c r="F89" s="2"/>
      <c r="G89" s="2"/>
      <c r="H89" s="2"/>
      <c r="I89" s="2"/>
      <c r="J89" s="2"/>
    </row>
    <row r="90" spans="1:10" x14ac:dyDescent="0.25">
      <c r="D90" s="2"/>
      <c r="E90" s="2"/>
      <c r="F90" s="2"/>
      <c r="G90" s="2"/>
      <c r="H90" s="2"/>
      <c r="I90" s="2"/>
      <c r="J90" s="2"/>
    </row>
    <row r="91" spans="1:10" ht="13.8" x14ac:dyDescent="0.3">
      <c r="A91" s="305" t="s">
        <v>1003</v>
      </c>
      <c r="D91" s="2"/>
      <c r="E91" s="2">
        <v>9172.7000000000007</v>
      </c>
      <c r="F91" s="2">
        <v>13860</v>
      </c>
      <c r="G91" s="2">
        <v>13200</v>
      </c>
      <c r="H91" s="2">
        <v>13200</v>
      </c>
      <c r="I91" s="2">
        <v>13200</v>
      </c>
      <c r="J91" s="2">
        <v>13200</v>
      </c>
    </row>
    <row r="92" spans="1:10" hidden="1" x14ac:dyDescent="0.25">
      <c r="A92" s="303" t="s">
        <v>223</v>
      </c>
      <c r="B92" s="2">
        <v>1</v>
      </c>
      <c r="C92" s="2">
        <v>600</v>
      </c>
      <c r="D92" s="2">
        <f>ROUND(B92*C92,0)</f>
        <v>600</v>
      </c>
      <c r="E92" s="2"/>
      <c r="F92" s="2"/>
      <c r="G92" s="2"/>
      <c r="H92" s="2"/>
      <c r="I92" s="2"/>
      <c r="J92" s="2"/>
    </row>
    <row r="93" spans="1:10" ht="15" hidden="1" x14ac:dyDescent="0.4">
      <c r="A93" s="303" t="s">
        <v>1406</v>
      </c>
      <c r="B93" s="2">
        <v>21</v>
      </c>
      <c r="C93" s="2">
        <v>600</v>
      </c>
      <c r="D93" s="11">
        <f>ROUND(B93*C93,0)</f>
        <v>12600</v>
      </c>
      <c r="E93" s="2"/>
      <c r="F93" s="2"/>
      <c r="G93" s="2"/>
      <c r="H93" s="2"/>
      <c r="I93" s="2"/>
      <c r="J93" s="2"/>
    </row>
    <row r="94" spans="1:10" hidden="1" x14ac:dyDescent="0.25">
      <c r="A94" s="303" t="s">
        <v>1247</v>
      </c>
      <c r="D94" s="2">
        <f>SUM(D92:D93)</f>
        <v>13200</v>
      </c>
      <c r="E94" s="2"/>
      <c r="F94" s="2"/>
      <c r="G94" s="2"/>
      <c r="H94" s="2"/>
      <c r="I94" s="2"/>
      <c r="J94" s="2"/>
    </row>
    <row r="95" spans="1:10" x14ac:dyDescent="0.25">
      <c r="D95" s="2"/>
      <c r="E95" s="2"/>
      <c r="F95" s="2"/>
      <c r="G95" s="2"/>
      <c r="H95" s="2"/>
      <c r="I95" s="2"/>
      <c r="J95" s="2"/>
    </row>
    <row r="96" spans="1:10" ht="13.8" x14ac:dyDescent="0.3">
      <c r="A96" s="305" t="s">
        <v>1004</v>
      </c>
      <c r="D96" s="2"/>
      <c r="E96" s="2">
        <v>27071.53</v>
      </c>
      <c r="F96" s="2">
        <v>37337</v>
      </c>
      <c r="G96" s="2">
        <v>33170</v>
      </c>
      <c r="H96" s="2">
        <v>33170</v>
      </c>
      <c r="I96" s="2">
        <v>33289</v>
      </c>
      <c r="J96" s="2">
        <v>33871</v>
      </c>
    </row>
    <row r="97" spans="1:10" x14ac:dyDescent="0.25">
      <c r="A97" s="13" t="s">
        <v>896</v>
      </c>
      <c r="B97" s="2">
        <f>+B67</f>
        <v>40872</v>
      </c>
      <c r="C97" s="14">
        <v>1.5E-3</v>
      </c>
      <c r="D97" s="2">
        <f>ROUND(B97*C97,0)-3</f>
        <v>58</v>
      </c>
      <c r="E97" s="2"/>
      <c r="F97" s="2"/>
      <c r="G97" s="2"/>
      <c r="H97" s="2"/>
      <c r="I97" s="2"/>
      <c r="J97" s="2"/>
    </row>
    <row r="98" spans="1:10" x14ac:dyDescent="0.25">
      <c r="A98" s="13" t="s">
        <v>1468</v>
      </c>
      <c r="B98" s="2">
        <f>+D15</f>
        <v>207255.24</v>
      </c>
      <c r="C98" s="14">
        <v>0.03</v>
      </c>
      <c r="D98" s="2">
        <f>ROUND(B98*C98,0)-25</f>
        <v>6193</v>
      </c>
      <c r="E98" s="2"/>
      <c r="F98" s="2"/>
      <c r="G98" s="2"/>
      <c r="H98" s="2"/>
      <c r="I98" s="2"/>
      <c r="J98" s="2"/>
    </row>
    <row r="99" spans="1:10" x14ac:dyDescent="0.25">
      <c r="A99" s="13" t="s">
        <v>807</v>
      </c>
      <c r="B99" s="2">
        <f>+D38</f>
        <v>792800</v>
      </c>
      <c r="C99" s="14">
        <v>0.03</v>
      </c>
      <c r="D99" s="2">
        <f>ROUND(B99*C99,0)</f>
        <v>23784</v>
      </c>
      <c r="E99" s="2"/>
      <c r="F99" s="2"/>
      <c r="G99" s="2"/>
      <c r="H99" s="2"/>
      <c r="I99" s="2"/>
      <c r="J99" s="2"/>
    </row>
    <row r="100" spans="1:10" x14ac:dyDescent="0.25">
      <c r="A100" s="13" t="s">
        <v>1982</v>
      </c>
      <c r="B100" s="2">
        <f>ROUND(+D45,0)</f>
        <v>30000</v>
      </c>
      <c r="C100" s="14">
        <v>2.7799999999999998E-2</v>
      </c>
      <c r="D100" s="2">
        <f>ROUND(B100*C100,0)</f>
        <v>834</v>
      </c>
      <c r="E100" s="2"/>
      <c r="F100" s="2"/>
      <c r="G100" s="2"/>
      <c r="H100" s="2"/>
      <c r="I100" s="2"/>
      <c r="J100" s="2"/>
    </row>
    <row r="101" spans="1:10" x14ac:dyDescent="0.25">
      <c r="A101" s="13" t="s">
        <v>184</v>
      </c>
      <c r="B101" s="2">
        <f>+D48</f>
        <v>23731</v>
      </c>
      <c r="C101" s="14">
        <v>0.03</v>
      </c>
      <c r="D101" s="2">
        <f>ROUND(B101*C101,0)</f>
        <v>712</v>
      </c>
      <c r="E101" s="2"/>
      <c r="F101" s="2"/>
      <c r="G101" s="2"/>
      <c r="H101" s="2"/>
      <c r="I101" s="2"/>
      <c r="J101" s="2"/>
    </row>
    <row r="102" spans="1:10" ht="15" x14ac:dyDescent="0.4">
      <c r="A102" s="13" t="s">
        <v>1983</v>
      </c>
      <c r="B102" s="2">
        <f>ROUND(D55,0)</f>
        <v>81500</v>
      </c>
      <c r="C102" s="14">
        <v>2.7799999999999998E-2</v>
      </c>
      <c r="D102" s="11">
        <f>ROUND(B102*C102,0)+17</f>
        <v>2283</v>
      </c>
      <c r="E102" s="2"/>
      <c r="F102" s="2"/>
      <c r="G102" s="2"/>
      <c r="H102" s="2"/>
      <c r="I102" s="2"/>
      <c r="J102" s="2"/>
    </row>
    <row r="103" spans="1:10" x14ac:dyDescent="0.25">
      <c r="A103" s="303" t="s">
        <v>1247</v>
      </c>
      <c r="D103" s="2">
        <f>SUM(D97:D102)+7</f>
        <v>33871</v>
      </c>
      <c r="E103" s="2"/>
      <c r="F103" s="2"/>
      <c r="G103" s="2"/>
      <c r="H103" s="2"/>
      <c r="I103" s="2"/>
      <c r="J103" s="2"/>
    </row>
    <row r="104" spans="1:10" x14ac:dyDescent="0.25">
      <c r="D104" s="2"/>
      <c r="E104" s="2"/>
      <c r="F104" s="2"/>
      <c r="G104" s="2"/>
      <c r="H104" s="2"/>
      <c r="I104" s="2"/>
      <c r="J104" s="2"/>
    </row>
    <row r="105" spans="1:10" ht="13.8" x14ac:dyDescent="0.3">
      <c r="A105" s="305" t="s">
        <v>1005</v>
      </c>
      <c r="D105" s="2"/>
      <c r="E105" s="2">
        <v>518.75</v>
      </c>
      <c r="F105" s="2">
        <v>641</v>
      </c>
      <c r="G105" s="2">
        <v>641</v>
      </c>
      <c r="H105" s="2">
        <v>641</v>
      </c>
      <c r="I105" s="2">
        <v>641</v>
      </c>
      <c r="J105" s="2">
        <v>641</v>
      </c>
    </row>
    <row r="106" spans="1:10" hidden="1" x14ac:dyDescent="0.25">
      <c r="A106" s="303" t="s">
        <v>614</v>
      </c>
      <c r="B106" s="2">
        <v>23</v>
      </c>
      <c r="C106" s="2">
        <v>26</v>
      </c>
      <c r="D106" s="2">
        <f>ROUND(B106*C106,0)</f>
        <v>598</v>
      </c>
      <c r="E106" s="2"/>
      <c r="F106" s="2"/>
      <c r="G106" s="2"/>
      <c r="H106" s="2"/>
      <c r="I106" s="2"/>
      <c r="J106" s="2"/>
    </row>
    <row r="107" spans="1:10" ht="15" hidden="1" x14ac:dyDescent="0.4">
      <c r="A107" s="303" t="s">
        <v>1117</v>
      </c>
      <c r="B107" s="2">
        <f>+B62</f>
        <v>23731</v>
      </c>
      <c r="C107" s="107">
        <v>1.8E-3</v>
      </c>
      <c r="D107" s="11">
        <f>ROUND(B107*C107,0)</f>
        <v>43</v>
      </c>
      <c r="E107" s="2"/>
      <c r="F107" s="2"/>
      <c r="G107" s="2"/>
      <c r="H107" s="2"/>
      <c r="I107" s="2"/>
      <c r="J107" s="2"/>
    </row>
    <row r="108" spans="1:10" hidden="1" x14ac:dyDescent="0.25">
      <c r="A108" s="303" t="s">
        <v>1247</v>
      </c>
      <c r="D108" s="2">
        <f>SUM(D106:D107)</f>
        <v>641</v>
      </c>
      <c r="E108" s="2"/>
      <c r="F108" s="2"/>
      <c r="G108" s="2"/>
      <c r="H108" s="2"/>
      <c r="I108" s="2"/>
      <c r="J108" s="2"/>
    </row>
    <row r="109" spans="1:10" x14ac:dyDescent="0.25">
      <c r="D109" s="2"/>
      <c r="E109" s="2"/>
      <c r="F109" s="2"/>
      <c r="G109" s="2"/>
      <c r="H109" s="2"/>
      <c r="I109" s="2"/>
      <c r="J109" s="2"/>
    </row>
    <row r="110" spans="1:10" ht="13.8" x14ac:dyDescent="0.3">
      <c r="A110" s="305" t="s">
        <v>1006</v>
      </c>
      <c r="D110" s="2"/>
      <c r="E110" s="2">
        <v>2150.2800000000002</v>
      </c>
      <c r="F110" s="2">
        <v>2200</v>
      </c>
      <c r="G110" s="2">
        <v>2200</v>
      </c>
      <c r="H110" s="2">
        <v>2200</v>
      </c>
      <c r="I110" s="2">
        <v>2200</v>
      </c>
      <c r="J110" s="2">
        <v>2200</v>
      </c>
    </row>
    <row r="111" spans="1:10" x14ac:dyDescent="0.25">
      <c r="A111" s="303" t="s">
        <v>1712</v>
      </c>
      <c r="C111" s="2"/>
      <c r="D111" s="2">
        <v>2200</v>
      </c>
      <c r="E111" s="2"/>
      <c r="F111" s="2"/>
      <c r="G111" s="2"/>
      <c r="H111" s="2"/>
      <c r="I111" s="2"/>
      <c r="J111" s="2"/>
    </row>
    <row r="112" spans="1:10" x14ac:dyDescent="0.25">
      <c r="A112" s="303" t="s">
        <v>1888</v>
      </c>
      <c r="C112" s="18"/>
      <c r="D112" s="2"/>
      <c r="E112" s="2"/>
      <c r="F112" s="2"/>
      <c r="G112" s="2"/>
      <c r="H112" s="2"/>
      <c r="I112" s="2"/>
      <c r="J112" s="2"/>
    </row>
    <row r="113" spans="1:10" x14ac:dyDescent="0.25">
      <c r="A113" s="303" t="s">
        <v>396</v>
      </c>
      <c r="C113" s="2"/>
      <c r="D113" s="2" t="s">
        <v>396</v>
      </c>
      <c r="E113" s="2"/>
      <c r="F113" s="2"/>
      <c r="G113" s="2"/>
      <c r="H113" s="2"/>
      <c r="I113" s="2"/>
      <c r="J113" s="2"/>
    </row>
    <row r="114" spans="1:10" ht="13.8" x14ac:dyDescent="0.3">
      <c r="A114" s="305" t="s">
        <v>1019</v>
      </c>
      <c r="C114" s="18"/>
      <c r="D114" s="2"/>
      <c r="E114" s="2">
        <v>1509.93</v>
      </c>
      <c r="F114" s="2">
        <v>1400</v>
      </c>
      <c r="G114" s="2">
        <v>1400</v>
      </c>
      <c r="H114" s="2">
        <v>1400</v>
      </c>
      <c r="I114" s="2">
        <v>1400</v>
      </c>
      <c r="J114" s="2">
        <v>1400</v>
      </c>
    </row>
    <row r="115" spans="1:10" x14ac:dyDescent="0.25">
      <c r="A115" s="303" t="s">
        <v>621</v>
      </c>
      <c r="C115" s="2"/>
      <c r="D115" s="2">
        <v>1400</v>
      </c>
      <c r="E115" s="2"/>
      <c r="F115" s="2"/>
      <c r="G115" s="2"/>
      <c r="H115" s="2"/>
      <c r="I115" s="2"/>
      <c r="J115" s="2"/>
    </row>
    <row r="116" spans="1:10" x14ac:dyDescent="0.25">
      <c r="C116" s="18"/>
      <c r="D116" s="2"/>
      <c r="E116" s="2"/>
      <c r="F116" s="2"/>
      <c r="G116" s="2"/>
      <c r="H116" s="2"/>
      <c r="I116" s="2"/>
      <c r="J116" s="2"/>
    </row>
    <row r="117" spans="1:10" ht="13.8" x14ac:dyDescent="0.3">
      <c r="A117" s="305" t="s">
        <v>1020</v>
      </c>
      <c r="C117" s="2"/>
      <c r="D117" s="2"/>
      <c r="E117" s="2">
        <v>11022.73</v>
      </c>
      <c r="F117" s="2">
        <v>8500</v>
      </c>
      <c r="G117" s="2">
        <v>8500</v>
      </c>
      <c r="H117" s="2">
        <v>8500</v>
      </c>
      <c r="I117" s="2">
        <v>8500</v>
      </c>
      <c r="J117" s="2">
        <v>8500</v>
      </c>
    </row>
    <row r="118" spans="1:10" x14ac:dyDescent="0.25">
      <c r="A118" s="6" t="s">
        <v>1021</v>
      </c>
      <c r="B118" s="6"/>
      <c r="C118" s="18"/>
      <c r="D118" s="2">
        <v>5500</v>
      </c>
      <c r="E118" s="2"/>
      <c r="F118" s="2"/>
      <c r="G118" s="2"/>
      <c r="H118" s="2"/>
      <c r="I118" s="2"/>
      <c r="J118" s="2"/>
    </row>
    <row r="119" spans="1:10" x14ac:dyDescent="0.25">
      <c r="A119" s="303" t="s">
        <v>1713</v>
      </c>
      <c r="C119" s="2"/>
      <c r="D119" s="2"/>
      <c r="E119" s="2"/>
      <c r="F119" s="2"/>
      <c r="G119" s="2"/>
      <c r="H119" s="2"/>
      <c r="I119" s="2"/>
      <c r="J119" s="2"/>
    </row>
    <row r="120" spans="1:10" x14ac:dyDescent="0.25">
      <c r="A120" s="25" t="s">
        <v>68</v>
      </c>
      <c r="B120" s="25"/>
      <c r="C120" s="26"/>
      <c r="D120" s="51">
        <v>3000</v>
      </c>
      <c r="E120" s="2"/>
      <c r="F120" s="2"/>
      <c r="G120" s="2"/>
      <c r="H120" s="2"/>
      <c r="I120" s="2"/>
      <c r="J120" s="2"/>
    </row>
    <row r="121" spans="1:10" x14ac:dyDescent="0.25">
      <c r="A121" s="25" t="s">
        <v>1247</v>
      </c>
      <c r="B121" s="25"/>
      <c r="C121" s="26"/>
      <c r="D121" s="26">
        <f>SUM(D118:D120)</f>
        <v>8500</v>
      </c>
      <c r="E121" s="2"/>
      <c r="F121" s="2"/>
      <c r="G121" s="2"/>
      <c r="H121" s="2"/>
      <c r="I121" s="2"/>
      <c r="J121" s="2"/>
    </row>
    <row r="122" spans="1:10" x14ac:dyDescent="0.25">
      <c r="A122" s="25"/>
      <c r="B122" s="25"/>
      <c r="C122" s="26"/>
      <c r="D122" s="26"/>
      <c r="E122" s="2"/>
      <c r="F122" s="2"/>
      <c r="G122" s="2"/>
      <c r="H122" s="2"/>
      <c r="I122" s="2"/>
      <c r="J122" s="2"/>
    </row>
    <row r="123" spans="1:10" ht="13.8" x14ac:dyDescent="0.3">
      <c r="A123" s="305" t="s">
        <v>1022</v>
      </c>
      <c r="C123" s="2"/>
      <c r="D123" s="2"/>
      <c r="E123" s="2">
        <v>10756.23</v>
      </c>
      <c r="F123" s="2">
        <v>10380</v>
      </c>
      <c r="G123" s="2">
        <v>10380</v>
      </c>
      <c r="H123" s="2">
        <v>10380</v>
      </c>
      <c r="I123" s="2">
        <v>10380</v>
      </c>
      <c r="J123" s="2">
        <v>10520</v>
      </c>
    </row>
    <row r="124" spans="1:10" x14ac:dyDescent="0.25">
      <c r="A124" s="303" t="s">
        <v>656</v>
      </c>
      <c r="B124" s="2">
        <v>18</v>
      </c>
      <c r="C124" s="2">
        <v>200</v>
      </c>
      <c r="D124" s="2">
        <f t="shared" ref="D124:D131" si="2">ROUND(B124*C124,0)</f>
        <v>3600</v>
      </c>
      <c r="E124" s="2"/>
      <c r="F124" s="2"/>
      <c r="G124" s="2"/>
      <c r="H124" s="2"/>
      <c r="I124" s="2"/>
      <c r="J124" s="2"/>
    </row>
    <row r="125" spans="1:10" x14ac:dyDescent="0.25">
      <c r="A125" s="303" t="s">
        <v>931</v>
      </c>
      <c r="B125" s="2">
        <v>18</v>
      </c>
      <c r="C125" s="2">
        <v>203</v>
      </c>
      <c r="D125" s="2">
        <f t="shared" si="2"/>
        <v>3654</v>
      </c>
      <c r="E125" s="2"/>
      <c r="F125" s="2"/>
      <c r="G125" s="2"/>
      <c r="H125" s="2"/>
      <c r="I125" s="2"/>
      <c r="J125" s="2"/>
    </row>
    <row r="126" spans="1:10" x14ac:dyDescent="0.25">
      <c r="A126" s="303" t="s">
        <v>1068</v>
      </c>
      <c r="B126" s="2">
        <v>2</v>
      </c>
      <c r="C126" s="2">
        <v>275</v>
      </c>
      <c r="D126" s="2">
        <f t="shared" si="2"/>
        <v>550</v>
      </c>
      <c r="E126" s="2"/>
      <c r="F126" s="2"/>
      <c r="G126" s="2"/>
      <c r="H126" s="2"/>
      <c r="I126" s="2"/>
      <c r="J126" s="2"/>
    </row>
    <row r="127" spans="1:10" x14ac:dyDescent="0.25">
      <c r="A127" s="303" t="s">
        <v>1069</v>
      </c>
      <c r="B127" s="2">
        <v>2</v>
      </c>
      <c r="C127" s="2">
        <v>203</v>
      </c>
      <c r="D127" s="2">
        <f t="shared" si="2"/>
        <v>406</v>
      </c>
      <c r="E127" s="2"/>
      <c r="F127" s="2"/>
      <c r="G127" s="2"/>
      <c r="H127" s="2"/>
      <c r="I127" s="2"/>
      <c r="J127" s="2"/>
    </row>
    <row r="128" spans="1:10" x14ac:dyDescent="0.25">
      <c r="A128" s="303" t="s">
        <v>1070</v>
      </c>
      <c r="B128" s="2">
        <v>1</v>
      </c>
      <c r="C128" s="2">
        <v>225</v>
      </c>
      <c r="D128" s="2">
        <f t="shared" si="2"/>
        <v>225</v>
      </c>
      <c r="E128" s="2"/>
      <c r="F128" s="2"/>
      <c r="G128" s="2"/>
      <c r="H128" s="2"/>
      <c r="I128" s="2"/>
      <c r="J128" s="2"/>
    </row>
    <row r="129" spans="1:10" x14ac:dyDescent="0.25">
      <c r="A129" s="303" t="s">
        <v>1714</v>
      </c>
      <c r="B129" s="2">
        <v>1</v>
      </c>
      <c r="C129" s="2">
        <v>255</v>
      </c>
      <c r="D129" s="2">
        <f t="shared" si="2"/>
        <v>255</v>
      </c>
      <c r="E129" s="2"/>
      <c r="F129" s="2"/>
      <c r="G129" s="2"/>
      <c r="H129" s="2"/>
      <c r="I129" s="2"/>
      <c r="J129" s="2"/>
    </row>
    <row r="130" spans="1:10" x14ac:dyDescent="0.25">
      <c r="A130" s="303" t="s">
        <v>2069</v>
      </c>
      <c r="B130" s="2">
        <v>4</v>
      </c>
      <c r="C130" s="2">
        <v>150</v>
      </c>
      <c r="D130" s="2">
        <v>600</v>
      </c>
      <c r="E130" s="2"/>
      <c r="F130" s="2"/>
      <c r="G130" s="2"/>
      <c r="H130" s="2"/>
      <c r="I130" s="2"/>
      <c r="J130" s="2"/>
    </row>
    <row r="131" spans="1:10" ht="15" x14ac:dyDescent="0.4">
      <c r="A131" s="303" t="s">
        <v>1071</v>
      </c>
      <c r="B131" s="2">
        <v>23</v>
      </c>
      <c r="C131" s="11">
        <v>60</v>
      </c>
      <c r="D131" s="11">
        <f t="shared" si="2"/>
        <v>1380</v>
      </c>
      <c r="E131" s="2"/>
      <c r="F131" s="2"/>
      <c r="G131" s="2"/>
      <c r="H131" s="2"/>
      <c r="I131" s="2"/>
      <c r="J131" s="2"/>
    </row>
    <row r="132" spans="1:10" x14ac:dyDescent="0.25">
      <c r="A132" s="303" t="s">
        <v>1247</v>
      </c>
      <c r="C132" s="2"/>
      <c r="D132" s="2">
        <f>SUM(D124:D131)</f>
        <v>10670</v>
      </c>
      <c r="E132" s="2"/>
      <c r="F132" s="2"/>
      <c r="G132" s="2"/>
      <c r="H132" s="2"/>
      <c r="I132" s="2"/>
      <c r="J132" s="2"/>
    </row>
    <row r="133" spans="1:10" x14ac:dyDescent="0.25">
      <c r="C133" s="2"/>
      <c r="D133" s="2"/>
      <c r="E133" s="2"/>
      <c r="F133" s="2"/>
      <c r="G133" s="2"/>
      <c r="H133" s="2"/>
      <c r="I133" s="2"/>
      <c r="J133" s="2"/>
    </row>
    <row r="134" spans="1:10" ht="13.8" x14ac:dyDescent="0.3">
      <c r="A134" s="305" t="s">
        <v>1083</v>
      </c>
      <c r="C134" s="2"/>
      <c r="D134" s="2"/>
      <c r="E134" s="2">
        <v>222.2</v>
      </c>
      <c r="F134" s="2">
        <v>1000</v>
      </c>
      <c r="G134" s="2">
        <v>1000</v>
      </c>
      <c r="H134" s="2">
        <v>1000</v>
      </c>
      <c r="I134" s="2">
        <v>1000</v>
      </c>
      <c r="J134" s="2">
        <v>1000</v>
      </c>
    </row>
    <row r="135" spans="1:10" x14ac:dyDescent="0.25">
      <c r="A135" s="23" t="s">
        <v>1333</v>
      </c>
      <c r="C135" s="2"/>
      <c r="D135" s="2">
        <v>1000</v>
      </c>
      <c r="E135" s="2"/>
      <c r="F135" s="2"/>
      <c r="G135" s="2"/>
      <c r="H135" s="2"/>
      <c r="I135" s="2"/>
      <c r="J135" s="2"/>
    </row>
    <row r="136" spans="1:10" x14ac:dyDescent="0.25">
      <c r="C136" s="18"/>
      <c r="D136" s="2"/>
      <c r="E136" s="2"/>
      <c r="F136" s="2"/>
      <c r="G136" s="2"/>
      <c r="H136" s="2"/>
      <c r="I136" s="2"/>
      <c r="J136" s="2"/>
    </row>
    <row r="137" spans="1:10" ht="13.8" x14ac:dyDescent="0.3">
      <c r="A137" s="305" t="s">
        <v>1334</v>
      </c>
      <c r="C137" s="2"/>
      <c r="D137" s="2"/>
      <c r="E137" s="2">
        <v>365</v>
      </c>
      <c r="F137" s="2">
        <v>500</v>
      </c>
      <c r="G137" s="2">
        <v>500</v>
      </c>
      <c r="H137" s="2">
        <v>500</v>
      </c>
      <c r="I137" s="2">
        <v>500</v>
      </c>
      <c r="J137" s="2">
        <v>500</v>
      </c>
    </row>
    <row r="138" spans="1:10" x14ac:dyDescent="0.25">
      <c r="A138" s="303" t="s">
        <v>2206</v>
      </c>
      <c r="C138" s="2"/>
      <c r="D138" s="2">
        <v>500</v>
      </c>
      <c r="E138" s="2"/>
      <c r="F138" s="2"/>
      <c r="G138" s="2"/>
      <c r="H138" s="2"/>
      <c r="I138" s="2"/>
      <c r="J138" s="2"/>
    </row>
    <row r="139" spans="1:10" x14ac:dyDescent="0.25">
      <c r="C139" s="2"/>
      <c r="D139" s="2"/>
      <c r="E139" s="2"/>
      <c r="F139" s="2"/>
      <c r="G139" s="2"/>
      <c r="H139" s="2"/>
      <c r="I139" s="2"/>
      <c r="J139" s="2"/>
    </row>
    <row r="140" spans="1:10" ht="13.8" x14ac:dyDescent="0.3">
      <c r="A140" s="305" t="s">
        <v>1531</v>
      </c>
      <c r="C140" s="2"/>
      <c r="D140" s="2"/>
      <c r="E140" s="2">
        <v>25.38</v>
      </c>
      <c r="F140" s="2">
        <v>50</v>
      </c>
      <c r="G140" s="2">
        <v>35</v>
      </c>
      <c r="H140" s="2">
        <v>35</v>
      </c>
      <c r="I140" s="2">
        <v>35</v>
      </c>
      <c r="J140" s="2">
        <v>35</v>
      </c>
    </row>
    <row r="141" spans="1:10" ht="13.8" x14ac:dyDescent="0.3">
      <c r="A141" s="305"/>
      <c r="C141" s="18"/>
      <c r="D141" s="2">
        <v>35</v>
      </c>
      <c r="E141" s="2"/>
      <c r="F141" s="2"/>
      <c r="G141" s="2"/>
      <c r="H141" s="2"/>
      <c r="I141" s="2"/>
      <c r="J141" s="2"/>
    </row>
    <row r="142" spans="1:10" x14ac:dyDescent="0.25">
      <c r="C142" s="2"/>
      <c r="D142" s="2"/>
      <c r="E142" s="2"/>
      <c r="F142" s="2"/>
      <c r="G142" s="2"/>
      <c r="H142" s="2"/>
      <c r="I142" s="2"/>
      <c r="J142" s="2"/>
    </row>
    <row r="143" spans="1:10" ht="13.8" x14ac:dyDescent="0.3">
      <c r="A143" s="305" t="s">
        <v>1335</v>
      </c>
      <c r="C143" s="2"/>
      <c r="D143" s="2"/>
      <c r="E143" s="2">
        <v>12012.08</v>
      </c>
      <c r="F143" s="2">
        <v>13925</v>
      </c>
      <c r="G143" s="2">
        <v>12100</v>
      </c>
      <c r="H143" s="2">
        <v>12100</v>
      </c>
      <c r="I143" s="2">
        <v>12100</v>
      </c>
      <c r="J143" s="2">
        <v>12100</v>
      </c>
    </row>
    <row r="144" spans="1:10" x14ac:dyDescent="0.25">
      <c r="A144" s="303" t="s">
        <v>167</v>
      </c>
      <c r="B144" s="2"/>
      <c r="C144" s="2"/>
      <c r="D144" s="2">
        <v>11575</v>
      </c>
      <c r="E144" s="2"/>
      <c r="F144" s="2"/>
      <c r="G144" s="2"/>
      <c r="H144" s="2"/>
      <c r="I144" s="2"/>
      <c r="J144" s="2"/>
    </row>
    <row r="145" spans="1:10" x14ac:dyDescent="0.25">
      <c r="A145" s="303" t="s">
        <v>1261</v>
      </c>
      <c r="B145" s="2"/>
      <c r="C145" s="2"/>
      <c r="D145" s="18">
        <v>525</v>
      </c>
      <c r="E145" s="2"/>
      <c r="F145" s="2"/>
      <c r="G145" s="2"/>
      <c r="H145" s="2"/>
      <c r="I145" s="2"/>
      <c r="J145" s="2"/>
    </row>
    <row r="146" spans="1:10" x14ac:dyDescent="0.25">
      <c r="A146" s="303" t="s">
        <v>1247</v>
      </c>
      <c r="B146" s="2"/>
      <c r="C146" s="2"/>
      <c r="D146" s="2">
        <f>SUM(D144:D145)</f>
        <v>12100</v>
      </c>
      <c r="E146" s="2"/>
      <c r="F146" s="2"/>
      <c r="G146" s="2"/>
      <c r="H146" s="2"/>
      <c r="I146" s="2"/>
      <c r="J146" s="2"/>
    </row>
    <row r="147" spans="1:10" x14ac:dyDescent="0.25">
      <c r="B147" s="2"/>
      <c r="C147" s="2"/>
      <c r="D147" s="2"/>
      <c r="E147" s="2"/>
      <c r="F147" s="2"/>
      <c r="G147" s="2"/>
      <c r="H147" s="2"/>
      <c r="I147" s="2"/>
      <c r="J147" s="2"/>
    </row>
    <row r="148" spans="1:10" ht="13.8" x14ac:dyDescent="0.3">
      <c r="A148" s="305" t="s">
        <v>609</v>
      </c>
      <c r="B148" s="2"/>
      <c r="C148" s="18"/>
      <c r="D148" s="2"/>
      <c r="E148" s="2">
        <v>10663.98</v>
      </c>
      <c r="F148" s="2">
        <v>8800</v>
      </c>
      <c r="G148" s="2">
        <v>10700</v>
      </c>
      <c r="H148" s="2">
        <v>10700</v>
      </c>
      <c r="I148" s="2">
        <v>10700</v>
      </c>
      <c r="J148" s="2">
        <v>10700</v>
      </c>
    </row>
    <row r="149" spans="1:10" x14ac:dyDescent="0.25">
      <c r="A149" s="303" t="s">
        <v>167</v>
      </c>
      <c r="B149" s="2"/>
      <c r="C149" s="12"/>
      <c r="D149" s="2">
        <v>10700</v>
      </c>
      <c r="E149" s="2"/>
      <c r="F149" s="2"/>
      <c r="G149" s="2"/>
      <c r="H149" s="2"/>
      <c r="I149" s="2"/>
      <c r="J149" s="2"/>
    </row>
    <row r="150" spans="1:10" x14ac:dyDescent="0.25">
      <c r="B150" s="2"/>
      <c r="C150" s="12"/>
      <c r="D150" s="2"/>
      <c r="E150" s="2"/>
      <c r="F150" s="2"/>
      <c r="G150" s="2"/>
      <c r="H150" s="2"/>
      <c r="I150" s="2"/>
      <c r="J150" s="2"/>
    </row>
    <row r="151" spans="1:10" x14ac:dyDescent="0.25">
      <c r="B151" s="2"/>
      <c r="C151" s="2"/>
      <c r="D151" s="2"/>
      <c r="E151" s="2"/>
      <c r="F151" s="2"/>
      <c r="G151" s="2"/>
      <c r="H151" s="2"/>
      <c r="I151" s="2"/>
      <c r="J151" s="2"/>
    </row>
    <row r="152" spans="1:10" ht="13.8" x14ac:dyDescent="0.3">
      <c r="A152" s="305" t="s">
        <v>1501</v>
      </c>
      <c r="B152" s="2"/>
      <c r="C152" s="2"/>
      <c r="D152" s="2"/>
      <c r="E152" s="2">
        <v>838.45</v>
      </c>
      <c r="F152" s="2">
        <v>905</v>
      </c>
      <c r="G152" s="2">
        <v>920</v>
      </c>
      <c r="H152" s="2">
        <v>920</v>
      </c>
      <c r="I152" s="2">
        <v>920</v>
      </c>
      <c r="J152" s="2">
        <v>920</v>
      </c>
    </row>
    <row r="153" spans="1:10" x14ac:dyDescent="0.25">
      <c r="A153" s="303" t="s">
        <v>951</v>
      </c>
      <c r="B153" s="2"/>
      <c r="C153" s="2"/>
      <c r="D153" s="2">
        <v>920</v>
      </c>
      <c r="E153" s="2"/>
      <c r="F153" s="2"/>
      <c r="G153" s="2"/>
      <c r="H153" s="2"/>
      <c r="I153" s="2"/>
      <c r="J153" s="2"/>
    </row>
    <row r="154" spans="1:10" x14ac:dyDescent="0.25">
      <c r="B154" s="2"/>
      <c r="C154" s="2"/>
      <c r="D154" s="2"/>
      <c r="E154" s="2"/>
      <c r="F154" s="2"/>
      <c r="G154" s="2"/>
      <c r="H154" s="2"/>
      <c r="I154" s="2"/>
      <c r="J154" s="2"/>
    </row>
    <row r="155" spans="1:10" ht="13.8" x14ac:dyDescent="0.3">
      <c r="A155" s="305" t="s">
        <v>168</v>
      </c>
      <c r="B155" s="2"/>
      <c r="C155" s="2"/>
      <c r="D155" s="2"/>
      <c r="E155" s="2">
        <v>242</v>
      </c>
      <c r="F155" s="2">
        <v>242</v>
      </c>
      <c r="G155" s="2">
        <v>264</v>
      </c>
      <c r="H155" s="2">
        <v>264</v>
      </c>
      <c r="I155" s="2">
        <v>264</v>
      </c>
      <c r="J155" s="2">
        <v>264</v>
      </c>
    </row>
    <row r="156" spans="1:10" x14ac:dyDescent="0.25">
      <c r="A156" s="303" t="s">
        <v>951</v>
      </c>
      <c r="B156" s="2"/>
      <c r="C156" s="2"/>
      <c r="D156" s="2">
        <v>264</v>
      </c>
      <c r="E156" s="2"/>
      <c r="F156" s="2"/>
      <c r="G156" s="2"/>
      <c r="H156" s="2"/>
      <c r="I156" s="2"/>
      <c r="J156" s="2"/>
    </row>
    <row r="157" spans="1:10" x14ac:dyDescent="0.25">
      <c r="C157" s="2"/>
      <c r="D157" s="2"/>
      <c r="E157" s="2"/>
      <c r="F157" s="2"/>
      <c r="G157" s="2"/>
      <c r="H157" s="2"/>
      <c r="I157" s="2"/>
      <c r="J157" s="2"/>
    </row>
    <row r="158" spans="1:10" ht="13.8" x14ac:dyDescent="0.3">
      <c r="A158" s="305" t="s">
        <v>1502</v>
      </c>
      <c r="C158" s="2"/>
      <c r="D158" s="2"/>
      <c r="E158" s="2">
        <v>74779.81</v>
      </c>
      <c r="F158" s="2">
        <v>93084</v>
      </c>
      <c r="G158" s="2">
        <v>93156</v>
      </c>
      <c r="H158" s="2">
        <v>93156</v>
      </c>
      <c r="I158" s="2">
        <v>93156</v>
      </c>
      <c r="J158" s="2">
        <v>93156</v>
      </c>
    </row>
    <row r="159" spans="1:10" x14ac:dyDescent="0.25">
      <c r="A159" s="303" t="s">
        <v>1284</v>
      </c>
      <c r="B159" s="2">
        <v>8200</v>
      </c>
      <c r="C159" s="12">
        <v>2.58</v>
      </c>
      <c r="D159" s="2">
        <f>ROUND(B159*C159,0)</f>
        <v>21156</v>
      </c>
      <c r="E159" s="2"/>
      <c r="F159" s="2"/>
      <c r="G159" s="2"/>
      <c r="H159" s="2"/>
      <c r="I159" s="2"/>
      <c r="J159" s="2"/>
    </row>
    <row r="160" spans="1:10" ht="15" x14ac:dyDescent="0.4">
      <c r="A160" s="303" t="s">
        <v>1283</v>
      </c>
      <c r="B160" s="2">
        <v>25000</v>
      </c>
      <c r="C160" s="12">
        <v>2.88</v>
      </c>
      <c r="D160" s="11">
        <f>ROUND(B160*C160,0)</f>
        <v>72000</v>
      </c>
      <c r="E160" s="2"/>
      <c r="F160" s="2"/>
      <c r="G160" s="2"/>
      <c r="H160" s="2"/>
      <c r="I160" s="2"/>
      <c r="J160" s="2"/>
    </row>
    <row r="161" spans="1:10" x14ac:dyDescent="0.25">
      <c r="A161" s="303" t="s">
        <v>1247</v>
      </c>
      <c r="B161" s="2"/>
      <c r="C161" s="2"/>
      <c r="D161" s="2">
        <f>SUM(D159:D160)</f>
        <v>93156</v>
      </c>
      <c r="E161" s="2"/>
      <c r="F161" s="2"/>
      <c r="G161" s="2"/>
      <c r="H161" s="2"/>
      <c r="I161" s="2"/>
      <c r="J161" s="2"/>
    </row>
    <row r="162" spans="1:10" x14ac:dyDescent="0.25">
      <c r="B162" s="2"/>
      <c r="C162" s="2"/>
      <c r="D162" s="2"/>
      <c r="E162" s="2"/>
      <c r="F162" s="2"/>
      <c r="G162" s="2"/>
      <c r="H162" s="2"/>
      <c r="I162" s="2"/>
      <c r="J162" s="2"/>
    </row>
    <row r="163" spans="1:10" ht="13.8" x14ac:dyDescent="0.3">
      <c r="A163" s="305" t="s">
        <v>1503</v>
      </c>
      <c r="B163" s="2"/>
      <c r="C163" s="2"/>
      <c r="D163" s="2"/>
      <c r="E163" s="2">
        <v>5801.87</v>
      </c>
      <c r="F163" s="2">
        <v>6227</v>
      </c>
      <c r="G163" s="2">
        <v>6052</v>
      </c>
      <c r="H163" s="2">
        <v>6052</v>
      </c>
      <c r="I163" s="2">
        <v>6052</v>
      </c>
      <c r="J163" s="2">
        <v>6052</v>
      </c>
    </row>
    <row r="164" spans="1:10" x14ac:dyDescent="0.25">
      <c r="A164" s="303" t="s">
        <v>959</v>
      </c>
      <c r="B164" s="2"/>
      <c r="C164" s="2"/>
      <c r="D164" s="2">
        <v>1600</v>
      </c>
      <c r="E164" s="2"/>
      <c r="F164" s="2"/>
      <c r="G164" s="2"/>
      <c r="H164" s="2"/>
      <c r="I164" s="2"/>
      <c r="J164" s="2"/>
    </row>
    <row r="165" spans="1:10" x14ac:dyDescent="0.25">
      <c r="A165" s="303" t="s">
        <v>1262</v>
      </c>
      <c r="B165" s="2">
        <v>3</v>
      </c>
      <c r="C165" s="2"/>
      <c r="D165" s="2">
        <v>2760</v>
      </c>
      <c r="E165" s="2"/>
      <c r="F165" s="2"/>
      <c r="G165" s="2"/>
      <c r="H165" s="2"/>
      <c r="I165" s="2"/>
      <c r="J165" s="2"/>
    </row>
    <row r="166" spans="1:10" ht="15" x14ac:dyDescent="0.4">
      <c r="A166" s="303" t="s">
        <v>622</v>
      </c>
      <c r="B166" s="2">
        <v>12</v>
      </c>
      <c r="C166" s="2">
        <v>141</v>
      </c>
      <c r="D166" s="11">
        <f>B166*C166</f>
        <v>1692</v>
      </c>
      <c r="E166" s="2"/>
      <c r="F166" s="2"/>
      <c r="G166" s="2"/>
      <c r="H166" s="2"/>
      <c r="I166" s="2"/>
      <c r="J166" s="2"/>
    </row>
    <row r="167" spans="1:10" x14ac:dyDescent="0.25">
      <c r="B167" s="2"/>
      <c r="C167" s="2"/>
      <c r="D167" s="2">
        <f>SUM(D164:D166)</f>
        <v>6052</v>
      </c>
      <c r="E167" s="2"/>
      <c r="F167" s="2"/>
      <c r="G167" s="2"/>
      <c r="H167" s="2"/>
      <c r="I167" s="2"/>
      <c r="J167" s="2"/>
    </row>
    <row r="168" spans="1:10" x14ac:dyDescent="0.25">
      <c r="C168" s="18"/>
      <c r="D168" s="2"/>
      <c r="E168" s="2"/>
      <c r="F168" s="2"/>
      <c r="G168" s="2"/>
      <c r="H168" s="2"/>
      <c r="I168" s="2"/>
      <c r="J168" s="2"/>
    </row>
    <row r="169" spans="1:10" ht="13.8" x14ac:dyDescent="0.3">
      <c r="A169" s="305" t="s">
        <v>501</v>
      </c>
      <c r="C169" s="2"/>
      <c r="D169" s="2"/>
      <c r="E169" s="2">
        <v>165</v>
      </c>
      <c r="F169" s="2">
        <v>450</v>
      </c>
      <c r="G169" s="2">
        <v>165</v>
      </c>
      <c r="H169" s="2">
        <v>165</v>
      </c>
      <c r="I169" s="2">
        <v>165</v>
      </c>
      <c r="J169" s="2">
        <v>165</v>
      </c>
    </row>
    <row r="170" spans="1:10" x14ac:dyDescent="0.25">
      <c r="A170" s="303" t="s">
        <v>2070</v>
      </c>
      <c r="B170" s="2" t="s">
        <v>396</v>
      </c>
      <c r="C170" s="2"/>
      <c r="D170" s="2">
        <v>450</v>
      </c>
      <c r="E170" s="2"/>
      <c r="F170" s="2"/>
      <c r="G170" s="2"/>
      <c r="H170" s="2"/>
      <c r="I170" s="2"/>
      <c r="J170" s="2"/>
    </row>
    <row r="171" spans="1:10" x14ac:dyDescent="0.25">
      <c r="C171" s="2"/>
      <c r="D171" s="2"/>
      <c r="E171" s="2"/>
      <c r="F171" s="2"/>
      <c r="G171" s="2"/>
      <c r="H171" s="2"/>
      <c r="I171" s="2"/>
      <c r="J171" s="2"/>
    </row>
    <row r="172" spans="1:10" ht="13.8" x14ac:dyDescent="0.3">
      <c r="A172" s="17" t="s">
        <v>1428</v>
      </c>
      <c r="C172" s="2"/>
      <c r="D172" s="2"/>
      <c r="E172" s="2">
        <v>31177.86</v>
      </c>
      <c r="F172" s="2">
        <v>33430</v>
      </c>
      <c r="G172" s="2">
        <v>31880</v>
      </c>
      <c r="H172" s="2">
        <v>31880</v>
      </c>
      <c r="I172" s="2">
        <v>31880</v>
      </c>
      <c r="J172" s="2">
        <v>31880</v>
      </c>
    </row>
    <row r="173" spans="1:10" x14ac:dyDescent="0.25">
      <c r="A173" s="303" t="s">
        <v>1674</v>
      </c>
      <c r="C173" s="2"/>
      <c r="D173" s="2">
        <v>31880</v>
      </c>
      <c r="E173" s="2"/>
      <c r="F173" s="2"/>
      <c r="G173" s="2"/>
      <c r="H173" s="2"/>
      <c r="I173" s="2"/>
      <c r="J173" s="2"/>
    </row>
    <row r="174" spans="1:10" x14ac:dyDescent="0.25">
      <c r="C174" s="2"/>
      <c r="D174" s="2"/>
      <c r="E174" s="2"/>
      <c r="F174" s="2"/>
      <c r="G174" s="2"/>
      <c r="H174" s="2"/>
      <c r="I174" s="2"/>
      <c r="J174" s="2"/>
    </row>
    <row r="175" spans="1:10" ht="13.8" x14ac:dyDescent="0.3">
      <c r="A175" s="305" t="s">
        <v>1429</v>
      </c>
      <c r="C175" s="2"/>
      <c r="D175" s="2"/>
      <c r="E175" s="2">
        <v>346.76</v>
      </c>
      <c r="F175" s="2">
        <v>500</v>
      </c>
      <c r="G175" s="2">
        <v>500</v>
      </c>
      <c r="H175" s="2">
        <v>500</v>
      </c>
      <c r="I175" s="2">
        <v>500</v>
      </c>
      <c r="J175" s="2">
        <v>500</v>
      </c>
    </row>
    <row r="176" spans="1:10" x14ac:dyDescent="0.25">
      <c r="A176" s="303" t="s">
        <v>1715</v>
      </c>
      <c r="C176" s="2"/>
      <c r="D176" s="2">
        <v>500</v>
      </c>
      <c r="E176" s="2"/>
      <c r="F176" s="2"/>
      <c r="G176" s="2"/>
      <c r="H176" s="2"/>
      <c r="I176" s="2"/>
      <c r="J176" s="2"/>
    </row>
    <row r="177" spans="1:10" x14ac:dyDescent="0.25">
      <c r="C177" s="2"/>
      <c r="D177" s="2"/>
      <c r="E177" s="2"/>
      <c r="F177" s="2"/>
      <c r="G177" s="2"/>
      <c r="H177" s="2"/>
      <c r="I177" s="2"/>
      <c r="J177" s="2"/>
    </row>
    <row r="178" spans="1:10" ht="13.8" x14ac:dyDescent="0.3">
      <c r="A178" s="305" t="s">
        <v>287</v>
      </c>
      <c r="C178" s="2"/>
      <c r="D178" s="8" t="s">
        <v>396</v>
      </c>
      <c r="E178" s="2">
        <v>5664.87</v>
      </c>
      <c r="F178" s="2">
        <v>7000</v>
      </c>
      <c r="G178" s="2">
        <v>7000</v>
      </c>
      <c r="H178" s="2">
        <v>7000</v>
      </c>
      <c r="I178" s="2">
        <v>7000</v>
      </c>
      <c r="J178" s="2">
        <v>7000</v>
      </c>
    </row>
    <row r="179" spans="1:10" x14ac:dyDescent="0.25">
      <c r="A179" s="303" t="s">
        <v>288</v>
      </c>
      <c r="C179" s="2"/>
      <c r="D179" s="2"/>
      <c r="E179" s="2"/>
      <c r="F179" s="2"/>
      <c r="G179" s="2"/>
      <c r="H179" s="2"/>
      <c r="I179" s="2"/>
      <c r="J179" s="2"/>
    </row>
    <row r="180" spans="1:10" x14ac:dyDescent="0.25">
      <c r="A180" s="303" t="s">
        <v>1716</v>
      </c>
      <c r="C180" s="2"/>
      <c r="D180" s="2">
        <v>5000</v>
      </c>
      <c r="E180" s="2"/>
      <c r="F180" s="2"/>
      <c r="G180" s="2"/>
      <c r="H180" s="2"/>
      <c r="I180" s="2"/>
      <c r="J180" s="2"/>
    </row>
    <row r="181" spans="1:10" x14ac:dyDescent="0.25">
      <c r="A181" s="25" t="s">
        <v>1889</v>
      </c>
      <c r="B181" s="25"/>
      <c r="C181" s="26"/>
      <c r="D181" s="51">
        <v>2000</v>
      </c>
      <c r="E181" s="2"/>
    </row>
    <row r="182" spans="1:10" x14ac:dyDescent="0.25">
      <c r="A182" s="303" t="s">
        <v>1247</v>
      </c>
      <c r="B182" s="25"/>
      <c r="C182" s="26"/>
      <c r="D182" s="26">
        <f>SUM(D180:D181)</f>
        <v>7000</v>
      </c>
      <c r="E182" s="2"/>
    </row>
    <row r="183" spans="1:10" x14ac:dyDescent="0.25">
      <c r="A183" s="25"/>
      <c r="B183" s="25"/>
      <c r="C183" s="26"/>
      <c r="D183" s="26"/>
      <c r="E183" s="2"/>
    </row>
    <row r="184" spans="1:10" ht="13.8" x14ac:dyDescent="0.3">
      <c r="A184" s="305" t="s">
        <v>1451</v>
      </c>
      <c r="C184" s="2"/>
      <c r="D184" s="2"/>
      <c r="E184" s="2">
        <v>86777.31</v>
      </c>
      <c r="F184" s="2">
        <v>15050</v>
      </c>
      <c r="G184" s="2">
        <v>18060</v>
      </c>
      <c r="H184" s="2">
        <v>18060</v>
      </c>
      <c r="I184" s="2">
        <v>18060</v>
      </c>
      <c r="J184" s="2">
        <v>18060</v>
      </c>
    </row>
    <row r="185" spans="1:10" x14ac:dyDescent="0.25">
      <c r="A185" s="303" t="s">
        <v>1381</v>
      </c>
      <c r="C185" s="8"/>
      <c r="D185" s="8" t="s">
        <v>396</v>
      </c>
      <c r="E185" s="2"/>
      <c r="F185" s="2"/>
      <c r="G185" s="2"/>
      <c r="H185" s="2"/>
      <c r="I185" s="2"/>
      <c r="J185" s="2"/>
    </row>
    <row r="186" spans="1:10" x14ac:dyDescent="0.25">
      <c r="A186" s="303" t="s">
        <v>21</v>
      </c>
      <c r="C186" s="2"/>
      <c r="D186" s="2">
        <v>500</v>
      </c>
      <c r="E186" s="2"/>
      <c r="F186" s="2"/>
      <c r="G186" s="2"/>
      <c r="H186" s="2"/>
      <c r="I186" s="2"/>
      <c r="J186" s="2"/>
    </row>
    <row r="187" spans="1:10" x14ac:dyDescent="0.25">
      <c r="A187" s="25" t="s">
        <v>113</v>
      </c>
      <c r="B187" s="25"/>
      <c r="C187" s="26"/>
      <c r="D187" s="26">
        <v>600</v>
      </c>
      <c r="E187" s="2"/>
      <c r="F187" s="2"/>
      <c r="G187" s="2"/>
      <c r="H187" s="2"/>
      <c r="I187" s="2"/>
      <c r="J187" s="2"/>
    </row>
    <row r="188" spans="1:10" x14ac:dyDescent="0.25">
      <c r="A188" s="25" t="s">
        <v>1890</v>
      </c>
      <c r="B188" s="25"/>
      <c r="C188" s="26"/>
      <c r="D188" s="26"/>
      <c r="E188" s="2"/>
      <c r="F188" s="2"/>
      <c r="G188" s="2"/>
      <c r="H188" s="2"/>
      <c r="I188" s="2"/>
      <c r="J188" s="2"/>
    </row>
    <row r="189" spans="1:10" x14ac:dyDescent="0.25">
      <c r="A189" s="25" t="s">
        <v>538</v>
      </c>
      <c r="B189" s="25"/>
      <c r="C189" s="26"/>
      <c r="D189" s="26">
        <v>200</v>
      </c>
      <c r="E189" s="2"/>
      <c r="F189" s="2"/>
      <c r="G189" s="2"/>
      <c r="H189" s="2"/>
      <c r="I189" s="2"/>
      <c r="J189" s="2"/>
    </row>
    <row r="190" spans="1:10" x14ac:dyDescent="0.25">
      <c r="A190" s="25" t="s">
        <v>539</v>
      </c>
      <c r="B190" s="25"/>
      <c r="C190" s="26"/>
      <c r="D190" s="26">
        <v>600</v>
      </c>
      <c r="E190" s="2"/>
      <c r="F190" s="2"/>
      <c r="G190" s="2"/>
      <c r="H190" s="2"/>
      <c r="I190" s="2"/>
      <c r="J190" s="2"/>
    </row>
    <row r="191" spans="1:10" x14ac:dyDescent="0.25">
      <c r="A191" s="25" t="s">
        <v>540</v>
      </c>
      <c r="B191" s="25"/>
      <c r="C191" s="26"/>
      <c r="D191" s="26">
        <v>100</v>
      </c>
      <c r="E191" s="2"/>
      <c r="F191" s="2"/>
      <c r="G191" s="2"/>
      <c r="H191" s="2"/>
      <c r="I191" s="2"/>
      <c r="J191" s="2"/>
    </row>
    <row r="192" spans="1:10" x14ac:dyDescent="0.25">
      <c r="A192" s="25" t="s">
        <v>1052</v>
      </c>
      <c r="B192" s="25"/>
      <c r="C192" s="26"/>
      <c r="D192" s="26">
        <v>50</v>
      </c>
      <c r="E192" s="2"/>
      <c r="F192" s="2"/>
      <c r="G192" s="2"/>
      <c r="H192" s="2"/>
      <c r="I192" s="2"/>
      <c r="J192" s="2"/>
    </row>
    <row r="193" spans="1:10" x14ac:dyDescent="0.25">
      <c r="A193" s="25" t="s">
        <v>1717</v>
      </c>
      <c r="B193" s="25"/>
      <c r="C193" s="26"/>
      <c r="D193" s="26">
        <v>2000</v>
      </c>
      <c r="E193" s="2"/>
      <c r="F193" s="2"/>
      <c r="G193" s="2"/>
      <c r="H193" s="2"/>
      <c r="I193" s="2"/>
      <c r="J193" s="2"/>
    </row>
    <row r="194" spans="1:10" x14ac:dyDescent="0.25">
      <c r="A194" s="25" t="s">
        <v>1718</v>
      </c>
      <c r="B194" s="25"/>
      <c r="C194" s="26"/>
      <c r="D194" s="26">
        <v>4100</v>
      </c>
      <c r="E194" s="2"/>
      <c r="F194" s="2"/>
      <c r="G194" s="2"/>
      <c r="H194" s="2"/>
      <c r="I194" s="2"/>
      <c r="J194" s="2"/>
    </row>
    <row r="195" spans="1:10" x14ac:dyDescent="0.25">
      <c r="A195" s="25" t="s">
        <v>315</v>
      </c>
      <c r="B195" s="25"/>
      <c r="C195" s="26"/>
      <c r="D195" s="26">
        <v>900</v>
      </c>
      <c r="E195" s="2"/>
      <c r="F195" s="2"/>
      <c r="G195" s="2"/>
      <c r="H195" s="2"/>
      <c r="I195" s="2"/>
      <c r="J195" s="2"/>
    </row>
    <row r="196" spans="1:10" x14ac:dyDescent="0.25">
      <c r="A196" s="25" t="s">
        <v>2207</v>
      </c>
      <c r="B196" s="25">
        <v>8600</v>
      </c>
      <c r="C196" s="26"/>
      <c r="D196" s="26">
        <f>B196*0.35</f>
        <v>3010</v>
      </c>
      <c r="E196" s="2"/>
      <c r="F196" s="2"/>
      <c r="G196" s="2"/>
      <c r="H196" s="2"/>
      <c r="I196" s="2"/>
      <c r="J196" s="2"/>
    </row>
    <row r="197" spans="1:10" x14ac:dyDescent="0.25">
      <c r="A197" s="25" t="s">
        <v>316</v>
      </c>
      <c r="B197" s="25"/>
      <c r="C197" s="26"/>
      <c r="D197" s="26">
        <v>500</v>
      </c>
      <c r="E197" s="2"/>
      <c r="F197" s="2"/>
      <c r="G197" s="2"/>
      <c r="H197" s="2"/>
      <c r="I197" s="2"/>
      <c r="J197" s="2"/>
    </row>
    <row r="198" spans="1:10" x14ac:dyDescent="0.25">
      <c r="A198" s="25" t="s">
        <v>1242</v>
      </c>
      <c r="B198" s="25"/>
      <c r="C198" s="26"/>
      <c r="D198" s="26">
        <v>500</v>
      </c>
      <c r="E198" s="2"/>
      <c r="F198" s="2"/>
      <c r="G198" s="2"/>
      <c r="H198" s="2"/>
      <c r="I198" s="2"/>
      <c r="J198" s="2"/>
    </row>
    <row r="199" spans="1:10" ht="15" x14ac:dyDescent="0.4">
      <c r="A199" s="25" t="s">
        <v>2071</v>
      </c>
      <c r="B199" s="25"/>
      <c r="C199" s="56"/>
      <c r="D199" s="18">
        <v>5000</v>
      </c>
      <c r="E199" s="2"/>
      <c r="F199" s="2"/>
      <c r="G199" s="2"/>
      <c r="H199" s="2"/>
      <c r="I199" s="2"/>
      <c r="J199" s="2"/>
    </row>
    <row r="200" spans="1:10" x14ac:dyDescent="0.25">
      <c r="A200" s="303" t="s">
        <v>1247</v>
      </c>
      <c r="C200" s="2"/>
      <c r="D200" s="2">
        <f>SUM(D186:D199)</f>
        <v>18060</v>
      </c>
      <c r="E200" s="2"/>
      <c r="F200" s="2"/>
      <c r="G200" s="2"/>
      <c r="H200" s="2"/>
      <c r="I200" s="2"/>
      <c r="J200" s="2"/>
    </row>
    <row r="201" spans="1:10" x14ac:dyDescent="0.25">
      <c r="C201" s="2"/>
      <c r="D201" s="2"/>
      <c r="E201" s="2"/>
      <c r="F201" s="2"/>
      <c r="G201" s="2"/>
      <c r="H201" s="2"/>
      <c r="I201" s="2"/>
      <c r="J201" s="2"/>
    </row>
    <row r="202" spans="1:10" ht="13.8" x14ac:dyDescent="0.3">
      <c r="A202" s="305" t="s">
        <v>429</v>
      </c>
      <c r="C202" s="2"/>
      <c r="D202" s="2"/>
      <c r="E202" s="2">
        <v>143661.09</v>
      </c>
      <c r="F202" s="2">
        <v>125000</v>
      </c>
      <c r="G202" s="2">
        <v>144000</v>
      </c>
      <c r="H202" s="2">
        <v>144000</v>
      </c>
      <c r="I202" s="2">
        <v>144000</v>
      </c>
      <c r="J202" s="2">
        <v>144000</v>
      </c>
    </row>
    <row r="203" spans="1:10" ht="15.6" x14ac:dyDescent="0.3">
      <c r="A203" s="122" t="s">
        <v>1731</v>
      </c>
      <c r="C203" s="2"/>
      <c r="D203" s="2">
        <f>108000+36000</f>
        <v>144000</v>
      </c>
      <c r="E203" s="2"/>
      <c r="F203" s="2"/>
      <c r="G203" s="2"/>
      <c r="H203" s="2"/>
      <c r="I203" s="2"/>
      <c r="J203" s="2"/>
    </row>
    <row r="204" spans="1:10" x14ac:dyDescent="0.25">
      <c r="C204" s="18"/>
      <c r="D204" s="2"/>
      <c r="E204" s="2"/>
      <c r="F204" s="2"/>
      <c r="G204" s="2"/>
      <c r="H204" s="2"/>
      <c r="I204" s="2"/>
      <c r="J204" s="2"/>
    </row>
    <row r="205" spans="1:10" ht="13.8" x14ac:dyDescent="0.3">
      <c r="A205" s="305" t="s">
        <v>1351</v>
      </c>
      <c r="C205" s="2"/>
      <c r="D205" s="2"/>
      <c r="E205" s="2">
        <v>3829.53</v>
      </c>
      <c r="F205" s="2">
        <v>2598</v>
      </c>
      <c r="G205" s="2">
        <v>2650</v>
      </c>
      <c r="H205" s="2">
        <v>2650</v>
      </c>
      <c r="I205" s="2">
        <v>2650</v>
      </c>
      <c r="J205" s="2">
        <v>2650</v>
      </c>
    </row>
    <row r="206" spans="1:10" x14ac:dyDescent="0.25">
      <c r="A206" s="303" t="s">
        <v>58</v>
      </c>
      <c r="C206" s="2"/>
      <c r="D206" s="2"/>
      <c r="E206" s="2"/>
      <c r="F206" s="2"/>
      <c r="G206" s="2"/>
      <c r="H206" s="2"/>
      <c r="I206" s="2"/>
      <c r="J206" s="2"/>
    </row>
    <row r="207" spans="1:10" x14ac:dyDescent="0.25">
      <c r="A207" s="303" t="s">
        <v>1891</v>
      </c>
      <c r="C207" s="2"/>
      <c r="D207" s="2">
        <v>1950</v>
      </c>
      <c r="E207" s="2"/>
      <c r="F207" s="2"/>
      <c r="G207" s="2"/>
      <c r="H207" s="2"/>
      <c r="I207" s="2"/>
      <c r="J207" s="2"/>
    </row>
    <row r="208" spans="1:10" ht="15" x14ac:dyDescent="0.4">
      <c r="A208" s="303" t="s">
        <v>53</v>
      </c>
      <c r="C208" s="2"/>
      <c r="D208" s="11">
        <v>700</v>
      </c>
      <c r="E208" s="2"/>
      <c r="F208" s="2"/>
      <c r="G208" s="2"/>
      <c r="H208" s="2"/>
      <c r="I208" s="2"/>
      <c r="J208" s="2"/>
    </row>
    <row r="209" spans="1:10" x14ac:dyDescent="0.25">
      <c r="A209" s="303" t="s">
        <v>1247</v>
      </c>
      <c r="C209" s="2"/>
      <c r="D209" s="2">
        <f>SUM(D206:D208)</f>
        <v>2650</v>
      </c>
      <c r="E209" s="2"/>
      <c r="F209" s="2"/>
    </row>
    <row r="210" spans="1:10" x14ac:dyDescent="0.25">
      <c r="C210" s="2"/>
      <c r="D210" s="2"/>
      <c r="E210" s="2"/>
    </row>
    <row r="211" spans="1:10" ht="13.8" x14ac:dyDescent="0.3">
      <c r="A211" s="305" t="s">
        <v>1299</v>
      </c>
      <c r="B211" s="6"/>
      <c r="C211" s="2"/>
      <c r="D211" s="2"/>
      <c r="E211" s="2">
        <v>16050.2</v>
      </c>
      <c r="F211" s="2">
        <v>17400</v>
      </c>
      <c r="G211" s="2">
        <v>17400</v>
      </c>
      <c r="H211" s="2">
        <v>17400</v>
      </c>
      <c r="I211" s="2">
        <v>17400</v>
      </c>
      <c r="J211" s="2">
        <v>17400</v>
      </c>
    </row>
    <row r="212" spans="1:10" x14ac:dyDescent="0.25">
      <c r="A212" s="303" t="s">
        <v>1607</v>
      </c>
      <c r="C212" s="2"/>
      <c r="D212" s="2">
        <v>5000</v>
      </c>
      <c r="E212" s="2"/>
      <c r="F212" s="2"/>
      <c r="G212" s="2"/>
      <c r="H212" s="2"/>
      <c r="I212" s="2"/>
      <c r="J212" s="2"/>
    </row>
    <row r="213" spans="1:10" ht="15" x14ac:dyDescent="0.4">
      <c r="A213" s="303" t="s">
        <v>1549</v>
      </c>
      <c r="C213" s="2"/>
      <c r="D213" s="11">
        <v>12400</v>
      </c>
      <c r="E213" s="2"/>
      <c r="F213" s="2"/>
      <c r="G213" s="2"/>
      <c r="H213" s="2"/>
      <c r="I213" s="2"/>
      <c r="J213" s="2"/>
    </row>
    <row r="214" spans="1:10" x14ac:dyDescent="0.25">
      <c r="A214" s="303" t="s">
        <v>1247</v>
      </c>
      <c r="C214" s="2"/>
      <c r="D214" s="2">
        <f>SUM(D212:D213)</f>
        <v>17400</v>
      </c>
      <c r="E214" s="2"/>
      <c r="F214" s="2"/>
      <c r="G214" s="2"/>
      <c r="H214" s="2"/>
      <c r="I214" s="2"/>
      <c r="J214" s="2"/>
    </row>
    <row r="215" spans="1:10" x14ac:dyDescent="0.25">
      <c r="C215" s="2"/>
      <c r="D215" s="2"/>
      <c r="E215" s="2"/>
      <c r="F215" s="2"/>
      <c r="G215" s="2"/>
      <c r="H215" s="2"/>
      <c r="I215" s="2"/>
      <c r="J215" s="2"/>
    </row>
    <row r="216" spans="1:10" ht="13.8" x14ac:dyDescent="0.3">
      <c r="A216" s="305" t="s">
        <v>1300</v>
      </c>
      <c r="C216" s="2"/>
      <c r="D216" s="2"/>
      <c r="E216" s="2">
        <v>256001.64</v>
      </c>
      <c r="F216" s="2">
        <v>130000</v>
      </c>
      <c r="G216" s="2">
        <v>135000</v>
      </c>
      <c r="H216" s="2">
        <v>135000</v>
      </c>
      <c r="I216" s="2">
        <v>135000</v>
      </c>
      <c r="J216" s="2">
        <v>135000</v>
      </c>
    </row>
    <row r="217" spans="1:10" x14ac:dyDescent="0.25">
      <c r="A217" s="303" t="s">
        <v>1325</v>
      </c>
      <c r="C217" s="2"/>
      <c r="D217" s="2">
        <v>130000</v>
      </c>
      <c r="E217" s="2"/>
      <c r="F217" s="2"/>
      <c r="G217" s="2"/>
      <c r="H217" s="2"/>
      <c r="I217" s="2"/>
      <c r="J217" s="2"/>
    </row>
    <row r="218" spans="1:10" x14ac:dyDescent="0.25">
      <c r="A218" s="303" t="s">
        <v>1719</v>
      </c>
      <c r="C218" s="2"/>
      <c r="E218" s="2"/>
      <c r="F218" s="2"/>
      <c r="G218" s="2"/>
      <c r="H218" s="2"/>
      <c r="I218" s="2"/>
      <c r="J218" s="2"/>
    </row>
    <row r="219" spans="1:10" x14ac:dyDescent="0.25">
      <c r="C219" s="2"/>
      <c r="D219" s="2"/>
      <c r="E219" s="2"/>
      <c r="F219" s="2"/>
      <c r="G219" s="2"/>
      <c r="H219" s="2"/>
      <c r="I219" s="2"/>
      <c r="J219" s="2"/>
    </row>
    <row r="220" spans="1:10" ht="13.8" x14ac:dyDescent="0.3">
      <c r="A220" s="305" t="s">
        <v>1078</v>
      </c>
      <c r="C220" s="2"/>
      <c r="D220" s="2"/>
      <c r="E220" s="2">
        <v>2991.32</v>
      </c>
      <c r="F220" s="2">
        <v>2000</v>
      </c>
      <c r="G220" s="2">
        <v>2500</v>
      </c>
      <c r="H220" s="2">
        <v>2500</v>
      </c>
      <c r="I220" s="2">
        <v>2500</v>
      </c>
      <c r="J220" s="2">
        <v>2500</v>
      </c>
    </row>
    <row r="221" spans="1:10" x14ac:dyDescent="0.25">
      <c r="A221" s="303" t="s">
        <v>83</v>
      </c>
      <c r="C221" s="2"/>
      <c r="D221" s="2">
        <v>2000</v>
      </c>
      <c r="E221" s="2"/>
      <c r="F221" s="2"/>
      <c r="G221" s="2"/>
      <c r="H221" s="2"/>
      <c r="I221" s="2"/>
      <c r="J221" s="2"/>
    </row>
    <row r="222" spans="1:10" x14ac:dyDescent="0.25">
      <c r="C222" s="2"/>
      <c r="D222" s="2"/>
      <c r="E222" s="2"/>
      <c r="F222" s="2"/>
      <c r="G222" s="2"/>
      <c r="H222" s="2"/>
      <c r="I222" s="2"/>
      <c r="J222" s="2"/>
    </row>
    <row r="223" spans="1:10" ht="13.8" x14ac:dyDescent="0.3">
      <c r="A223" s="305" t="s">
        <v>1319</v>
      </c>
      <c r="C223" s="2"/>
      <c r="D223" s="2"/>
      <c r="E223" s="2">
        <v>8921.5499999999993</v>
      </c>
      <c r="F223" s="2">
        <v>18000</v>
      </c>
      <c r="G223" s="2">
        <v>18000</v>
      </c>
      <c r="H223" s="2">
        <v>18000</v>
      </c>
      <c r="I223" s="2">
        <v>18000</v>
      </c>
      <c r="J223" s="2">
        <v>18000</v>
      </c>
    </row>
    <row r="224" spans="1:10" x14ac:dyDescent="0.25">
      <c r="A224" s="303" t="s">
        <v>1320</v>
      </c>
      <c r="C224" s="2"/>
      <c r="D224" s="2">
        <v>18000</v>
      </c>
      <c r="F224" s="2"/>
      <c r="G224" s="2"/>
      <c r="H224" s="2"/>
      <c r="I224" s="2"/>
      <c r="J224" s="2"/>
    </row>
    <row r="225" spans="1:10" x14ac:dyDescent="0.25">
      <c r="A225" s="303" t="s">
        <v>1720</v>
      </c>
      <c r="C225" s="2"/>
      <c r="E225" s="2"/>
      <c r="F225" s="2"/>
      <c r="G225" s="2"/>
      <c r="H225" s="2"/>
      <c r="I225" s="2"/>
      <c r="J225" s="2"/>
    </row>
    <row r="226" spans="1:10" x14ac:dyDescent="0.25">
      <c r="C226" s="2"/>
      <c r="D226" s="2"/>
      <c r="E226" s="2"/>
      <c r="F226" s="2"/>
      <c r="G226" s="2"/>
      <c r="H226" s="2"/>
      <c r="I226" s="2"/>
      <c r="J226" s="2"/>
    </row>
    <row r="227" spans="1:10" ht="13.8" x14ac:dyDescent="0.3">
      <c r="A227" s="305" t="s">
        <v>1044</v>
      </c>
      <c r="C227" s="2"/>
      <c r="D227" s="2"/>
      <c r="E227" s="2">
        <v>0</v>
      </c>
      <c r="F227" s="2">
        <v>12500</v>
      </c>
      <c r="G227" s="2">
        <v>12500</v>
      </c>
      <c r="H227" s="2">
        <v>12500</v>
      </c>
      <c r="I227" s="2">
        <v>12500</v>
      </c>
      <c r="J227" s="2">
        <v>12500</v>
      </c>
    </row>
    <row r="228" spans="1:10" x14ac:dyDescent="0.25">
      <c r="A228" s="303" t="s">
        <v>1205</v>
      </c>
      <c r="C228" s="2"/>
      <c r="D228" s="2">
        <v>12500</v>
      </c>
      <c r="E228" s="2"/>
      <c r="F228" s="2"/>
      <c r="G228" s="2"/>
      <c r="H228" s="2"/>
      <c r="I228" s="2"/>
      <c r="J228" s="2"/>
    </row>
    <row r="229" spans="1:10" x14ac:dyDescent="0.25">
      <c r="C229" s="2"/>
      <c r="E229" s="2"/>
      <c r="F229" s="2"/>
      <c r="G229" s="2"/>
      <c r="H229" s="2"/>
      <c r="I229" s="2"/>
      <c r="J229" s="2"/>
    </row>
    <row r="230" spans="1:10" ht="13.8" x14ac:dyDescent="0.3">
      <c r="A230" s="305" t="s">
        <v>166</v>
      </c>
      <c r="C230" s="2"/>
      <c r="D230" s="2"/>
      <c r="E230" s="2">
        <v>7078.76</v>
      </c>
      <c r="F230" s="2">
        <v>10000</v>
      </c>
      <c r="G230" s="2">
        <v>10000</v>
      </c>
      <c r="H230" s="2">
        <v>10000</v>
      </c>
      <c r="I230" s="2">
        <v>10000</v>
      </c>
      <c r="J230" s="2">
        <v>10000</v>
      </c>
    </row>
    <row r="231" spans="1:10" x14ac:dyDescent="0.25">
      <c r="A231" s="303" t="s">
        <v>34</v>
      </c>
      <c r="C231" s="2"/>
      <c r="D231" s="2"/>
      <c r="E231" s="2"/>
      <c r="F231" s="2"/>
    </row>
    <row r="232" spans="1:10" x14ac:dyDescent="0.25">
      <c r="A232" s="303" t="s">
        <v>1273</v>
      </c>
      <c r="C232" s="2"/>
      <c r="D232" s="2"/>
      <c r="E232" s="2"/>
      <c r="G232" s="2"/>
      <c r="H232" s="2"/>
      <c r="I232" s="2"/>
      <c r="J232" s="2"/>
    </row>
    <row r="233" spans="1:10" x14ac:dyDescent="0.25">
      <c r="A233" s="303" t="s">
        <v>1274</v>
      </c>
      <c r="C233" s="2"/>
      <c r="D233" s="2"/>
      <c r="E233" s="2"/>
      <c r="F233" s="2"/>
      <c r="G233" s="2"/>
      <c r="H233" s="2"/>
      <c r="I233" s="2"/>
      <c r="J233" s="2"/>
    </row>
    <row r="234" spans="1:10" x14ac:dyDescent="0.25">
      <c r="C234" s="2"/>
      <c r="D234" s="2"/>
      <c r="E234" s="2"/>
      <c r="F234" s="2"/>
      <c r="G234" s="2"/>
      <c r="H234" s="2"/>
      <c r="I234" s="2"/>
      <c r="J234" s="2"/>
    </row>
    <row r="235" spans="1:10" ht="13.8" x14ac:dyDescent="0.3">
      <c r="A235" s="305" t="s">
        <v>1475</v>
      </c>
      <c r="C235" s="2"/>
      <c r="D235" s="2"/>
      <c r="E235" s="2">
        <v>0</v>
      </c>
      <c r="F235" s="2">
        <v>1000</v>
      </c>
      <c r="G235" s="2">
        <v>1000</v>
      </c>
      <c r="H235" s="2">
        <v>1000</v>
      </c>
      <c r="I235" s="2">
        <v>1000</v>
      </c>
      <c r="J235" s="2">
        <v>1000</v>
      </c>
    </row>
    <row r="236" spans="1:10" x14ac:dyDescent="0.25">
      <c r="A236" s="303" t="s">
        <v>1721</v>
      </c>
      <c r="C236" s="2"/>
      <c r="D236" s="2">
        <v>1000</v>
      </c>
      <c r="E236" s="2"/>
      <c r="F236" s="2"/>
    </row>
    <row r="237" spans="1:10" x14ac:dyDescent="0.25">
      <c r="A237" s="303" t="s">
        <v>396</v>
      </c>
      <c r="C237" s="18"/>
      <c r="D237" s="2"/>
      <c r="E237" s="2"/>
      <c r="G237" s="2"/>
      <c r="H237" s="2"/>
      <c r="I237" s="2"/>
      <c r="J237" s="2"/>
    </row>
    <row r="238" spans="1:10" ht="13.8" x14ac:dyDescent="0.3">
      <c r="A238" s="305" t="s">
        <v>1476</v>
      </c>
      <c r="C238" s="2"/>
      <c r="D238" s="2"/>
      <c r="E238" s="2">
        <v>1775.99</v>
      </c>
      <c r="F238" s="2">
        <v>3250</v>
      </c>
      <c r="G238" s="2">
        <v>3000</v>
      </c>
      <c r="H238" s="2">
        <v>3000</v>
      </c>
      <c r="I238" s="2">
        <v>3000</v>
      </c>
      <c r="J238" s="2">
        <v>3000</v>
      </c>
    </row>
    <row r="239" spans="1:10" x14ac:dyDescent="0.25">
      <c r="A239" s="303" t="s">
        <v>1722</v>
      </c>
      <c r="C239" s="2"/>
      <c r="D239" s="2">
        <v>3250</v>
      </c>
      <c r="E239" s="2"/>
      <c r="F239" s="2"/>
      <c r="G239" s="2"/>
      <c r="H239" s="2"/>
      <c r="I239" s="2"/>
      <c r="J239" s="2"/>
    </row>
    <row r="240" spans="1:10" x14ac:dyDescent="0.25">
      <c r="A240" s="303" t="s">
        <v>396</v>
      </c>
      <c r="C240" s="2"/>
      <c r="D240" s="2" t="s">
        <v>396</v>
      </c>
      <c r="E240" s="2"/>
      <c r="F240" s="2"/>
      <c r="G240" s="2"/>
      <c r="H240" s="2"/>
      <c r="I240" s="2"/>
      <c r="J240" s="2"/>
    </row>
    <row r="241" spans="1:10" ht="13.8" x14ac:dyDescent="0.3">
      <c r="A241" s="305" t="s">
        <v>1477</v>
      </c>
      <c r="C241" s="2"/>
      <c r="D241" s="2" t="s">
        <v>396</v>
      </c>
      <c r="E241" s="2">
        <v>7578.53</v>
      </c>
      <c r="F241" s="2">
        <v>15000</v>
      </c>
      <c r="G241" s="2">
        <v>15000</v>
      </c>
      <c r="H241" s="2">
        <v>15000</v>
      </c>
      <c r="I241" s="2">
        <v>15000</v>
      </c>
      <c r="J241" s="2">
        <v>15000</v>
      </c>
    </row>
    <row r="242" spans="1:10" x14ac:dyDescent="0.25">
      <c r="A242" s="6" t="s">
        <v>54</v>
      </c>
      <c r="B242" s="6"/>
      <c r="C242" s="2"/>
      <c r="D242" s="2" t="s">
        <v>396</v>
      </c>
      <c r="E242" s="2"/>
      <c r="F242" s="2"/>
      <c r="G242" s="2"/>
      <c r="H242" s="2"/>
      <c r="I242" s="2"/>
      <c r="J242" s="2"/>
    </row>
    <row r="243" spans="1:10" x14ac:dyDescent="0.25">
      <c r="A243" s="303" t="s">
        <v>1723</v>
      </c>
      <c r="C243" s="2"/>
      <c r="D243" s="2">
        <v>8000</v>
      </c>
      <c r="E243" s="2"/>
      <c r="F243" s="2"/>
      <c r="G243" s="2"/>
      <c r="H243" s="2"/>
      <c r="I243" s="2"/>
      <c r="J243" s="2"/>
    </row>
    <row r="244" spans="1:10" ht="15" x14ac:dyDescent="0.4">
      <c r="A244" s="303" t="s">
        <v>1550</v>
      </c>
      <c r="C244" s="2"/>
      <c r="D244" s="9">
        <v>7000</v>
      </c>
      <c r="E244" s="2"/>
      <c r="F244" s="2"/>
      <c r="G244" s="2"/>
      <c r="H244" s="2"/>
      <c r="I244" s="2"/>
      <c r="J244" s="2"/>
    </row>
    <row r="245" spans="1:10" x14ac:dyDescent="0.25">
      <c r="A245" s="303" t="s">
        <v>1247</v>
      </c>
      <c r="C245" s="2"/>
      <c r="D245" s="2">
        <f>SUM(D243:D244)</f>
        <v>15000</v>
      </c>
      <c r="E245" s="2"/>
      <c r="F245" s="2"/>
      <c r="G245" s="2"/>
      <c r="H245" s="2"/>
      <c r="I245" s="2"/>
      <c r="J245" s="2"/>
    </row>
    <row r="246" spans="1:10" x14ac:dyDescent="0.25">
      <c r="C246" s="2"/>
      <c r="D246" s="2"/>
      <c r="E246" s="2"/>
      <c r="F246" s="2"/>
      <c r="G246" s="2"/>
      <c r="H246" s="2"/>
      <c r="I246" s="2"/>
      <c r="J246" s="2"/>
    </row>
    <row r="247" spans="1:10" ht="13.8" x14ac:dyDescent="0.3">
      <c r="A247" s="305" t="s">
        <v>1079</v>
      </c>
      <c r="C247" s="19"/>
      <c r="D247" s="19"/>
      <c r="E247" s="2">
        <v>78270.789999999994</v>
      </c>
      <c r="F247" s="2">
        <v>105070</v>
      </c>
      <c r="G247" s="2">
        <v>140070</v>
      </c>
      <c r="H247" s="2">
        <v>140070</v>
      </c>
      <c r="I247" s="2">
        <v>105070</v>
      </c>
      <c r="J247" s="2">
        <v>105070</v>
      </c>
    </row>
    <row r="248" spans="1:10" x14ac:dyDescent="0.25">
      <c r="A248" s="303" t="s">
        <v>458</v>
      </c>
      <c r="C248" s="2"/>
      <c r="D248" s="2">
        <v>30000</v>
      </c>
      <c r="E248" s="2"/>
      <c r="F248" s="2"/>
      <c r="G248" s="2"/>
      <c r="H248" s="2"/>
      <c r="I248" s="2"/>
      <c r="J248" s="2"/>
    </row>
    <row r="249" spans="1:10" x14ac:dyDescent="0.25">
      <c r="A249" s="303" t="s">
        <v>1724</v>
      </c>
      <c r="C249" s="2"/>
      <c r="D249" s="2">
        <v>1000</v>
      </c>
      <c r="E249" s="2"/>
      <c r="F249" s="2"/>
      <c r="G249" s="2"/>
      <c r="H249" s="2"/>
      <c r="I249" s="2"/>
      <c r="J249" s="2"/>
    </row>
    <row r="250" spans="1:10" x14ac:dyDescent="0.25">
      <c r="A250" s="303" t="s">
        <v>569</v>
      </c>
      <c r="C250" s="2"/>
      <c r="D250" s="2">
        <v>60000</v>
      </c>
      <c r="E250" s="2"/>
      <c r="F250" s="2"/>
      <c r="G250" s="2"/>
      <c r="H250" s="2"/>
      <c r="I250" s="2"/>
      <c r="J250" s="2"/>
    </row>
    <row r="251" spans="1:10" x14ac:dyDescent="0.25">
      <c r="A251" s="303" t="s">
        <v>1551</v>
      </c>
      <c r="C251" s="2"/>
      <c r="D251" s="2">
        <v>0</v>
      </c>
      <c r="E251" s="2"/>
      <c r="F251" s="2"/>
      <c r="G251" s="2"/>
      <c r="H251" s="2"/>
      <c r="I251" s="2"/>
      <c r="J251" s="2"/>
    </row>
    <row r="252" spans="1:10" x14ac:dyDescent="0.25">
      <c r="A252" s="303" t="s">
        <v>55</v>
      </c>
      <c r="C252" s="2"/>
      <c r="D252" s="2">
        <v>1750</v>
      </c>
      <c r="E252" s="2"/>
      <c r="F252" s="2"/>
      <c r="G252" s="2"/>
      <c r="H252" s="2"/>
      <c r="I252" s="2"/>
      <c r="J252" s="2"/>
    </row>
    <row r="253" spans="1:10" x14ac:dyDescent="0.25">
      <c r="A253" s="303" t="s">
        <v>56</v>
      </c>
      <c r="C253" s="2"/>
      <c r="D253" s="2">
        <v>1700</v>
      </c>
      <c r="E253" s="2"/>
      <c r="F253" s="2"/>
      <c r="G253" s="2"/>
      <c r="H253" s="2"/>
      <c r="I253" s="2"/>
      <c r="J253" s="2"/>
    </row>
    <row r="254" spans="1:10" x14ac:dyDescent="0.25">
      <c r="A254" s="303" t="s">
        <v>57</v>
      </c>
      <c r="C254" s="2"/>
      <c r="D254" s="2">
        <v>300</v>
      </c>
      <c r="E254" s="2"/>
      <c r="F254" s="2"/>
      <c r="G254" s="2"/>
      <c r="H254" s="2"/>
      <c r="I254" s="2"/>
      <c r="J254" s="2"/>
    </row>
    <row r="255" spans="1:10" x14ac:dyDescent="0.25">
      <c r="A255" s="303" t="s">
        <v>1725</v>
      </c>
      <c r="C255" s="18"/>
      <c r="D255" s="2">
        <v>2000</v>
      </c>
      <c r="E255" s="2"/>
      <c r="F255" s="2"/>
      <c r="G255" s="2"/>
      <c r="H255" s="2"/>
      <c r="I255" s="2"/>
      <c r="J255" s="2"/>
    </row>
    <row r="256" spans="1:10" x14ac:dyDescent="0.25">
      <c r="A256" s="25" t="s">
        <v>145</v>
      </c>
      <c r="B256" s="25"/>
      <c r="C256" s="26"/>
      <c r="D256" s="26">
        <v>4220</v>
      </c>
      <c r="E256" s="2"/>
      <c r="F256" s="2"/>
      <c r="G256" s="2"/>
      <c r="H256" s="2"/>
      <c r="I256" s="2"/>
      <c r="J256" s="2"/>
    </row>
    <row r="257" spans="1:10" x14ac:dyDescent="0.25">
      <c r="A257" s="25" t="s">
        <v>1892</v>
      </c>
      <c r="B257" s="25"/>
      <c r="C257" s="26"/>
      <c r="D257" s="26">
        <v>600</v>
      </c>
      <c r="E257" s="2"/>
      <c r="F257" s="2"/>
      <c r="G257" s="2"/>
      <c r="H257" s="2"/>
      <c r="I257" s="2"/>
      <c r="J257" s="2"/>
    </row>
    <row r="258" spans="1:10" x14ac:dyDescent="0.25">
      <c r="A258" s="25" t="s">
        <v>403</v>
      </c>
      <c r="B258" s="25"/>
      <c r="C258" s="26"/>
      <c r="D258" s="26">
        <v>2500</v>
      </c>
      <c r="E258" s="2"/>
      <c r="F258" s="2"/>
      <c r="G258" s="2"/>
      <c r="H258" s="2"/>
      <c r="I258" s="2"/>
      <c r="J258" s="2"/>
    </row>
    <row r="259" spans="1:10" ht="15" x14ac:dyDescent="0.4">
      <c r="A259" s="25" t="s">
        <v>568</v>
      </c>
      <c r="B259" s="25"/>
      <c r="C259" s="56"/>
      <c r="D259" s="56">
        <v>1000</v>
      </c>
      <c r="E259" s="2"/>
      <c r="F259" s="2"/>
      <c r="G259" s="2"/>
      <c r="H259" s="2"/>
      <c r="I259" s="2"/>
      <c r="J259" s="2"/>
    </row>
    <row r="260" spans="1:10" x14ac:dyDescent="0.25">
      <c r="A260" s="303" t="s">
        <v>1247</v>
      </c>
      <c r="C260" s="18"/>
      <c r="D260" s="2">
        <f>SUM(D248:D259)</f>
        <v>105070</v>
      </c>
      <c r="E260" s="2"/>
      <c r="F260" s="2"/>
    </row>
    <row r="261" spans="1:10" x14ac:dyDescent="0.25">
      <c r="C261" s="2"/>
      <c r="D261" s="2"/>
      <c r="E261" s="2"/>
    </row>
    <row r="262" spans="1:10" ht="13.8" x14ac:dyDescent="0.3">
      <c r="A262" s="305" t="s">
        <v>570</v>
      </c>
      <c r="C262" s="2"/>
      <c r="D262" s="2"/>
      <c r="E262" s="2">
        <v>36200.54</v>
      </c>
      <c r="F262" s="2">
        <v>55000</v>
      </c>
      <c r="G262" s="2">
        <v>55000</v>
      </c>
      <c r="H262" s="2">
        <v>55000</v>
      </c>
      <c r="I262" s="2">
        <v>55000</v>
      </c>
      <c r="J262" s="2">
        <v>55000</v>
      </c>
    </row>
    <row r="263" spans="1:10" x14ac:dyDescent="0.25">
      <c r="A263" s="303" t="s">
        <v>571</v>
      </c>
      <c r="C263" s="2"/>
      <c r="D263" s="2"/>
      <c r="E263" s="2"/>
      <c r="F263" s="2"/>
      <c r="G263" s="2"/>
      <c r="H263" s="2"/>
      <c r="I263" s="2"/>
      <c r="J263" s="2"/>
    </row>
    <row r="264" spans="1:10" x14ac:dyDescent="0.25">
      <c r="A264" s="303" t="s">
        <v>822</v>
      </c>
      <c r="B264" s="303" t="s">
        <v>396</v>
      </c>
      <c r="C264" s="2"/>
      <c r="D264" s="2">
        <v>55000</v>
      </c>
      <c r="E264" s="2"/>
      <c r="F264" s="2"/>
      <c r="G264" s="2"/>
      <c r="H264" s="2"/>
      <c r="I264" s="2"/>
      <c r="J264" s="2"/>
    </row>
    <row r="265" spans="1:10" x14ac:dyDescent="0.25">
      <c r="C265" s="2"/>
      <c r="D265" s="2"/>
      <c r="E265" s="2"/>
      <c r="F265" s="2"/>
      <c r="G265" s="2"/>
      <c r="H265" s="2"/>
      <c r="I265" s="2"/>
      <c r="J265" s="2"/>
    </row>
    <row r="266" spans="1:10" ht="13.8" x14ac:dyDescent="0.3">
      <c r="A266" s="305" t="s">
        <v>1382</v>
      </c>
      <c r="C266" s="2"/>
      <c r="D266" s="2"/>
      <c r="E266" s="2">
        <v>10759.93</v>
      </c>
      <c r="F266" s="2">
        <v>9000</v>
      </c>
      <c r="G266" s="2">
        <v>9000</v>
      </c>
      <c r="H266" s="2">
        <v>9000</v>
      </c>
      <c r="I266" s="2">
        <v>9000</v>
      </c>
      <c r="J266" s="2">
        <v>9000</v>
      </c>
    </row>
    <row r="267" spans="1:10" x14ac:dyDescent="0.25">
      <c r="A267" s="303" t="s">
        <v>1363</v>
      </c>
      <c r="B267" s="303" t="s">
        <v>396</v>
      </c>
      <c r="C267" s="2"/>
      <c r="D267" s="2">
        <v>5000</v>
      </c>
      <c r="E267" s="2"/>
      <c r="F267" s="2"/>
      <c r="G267" s="2"/>
      <c r="H267" s="2"/>
      <c r="I267" s="2"/>
      <c r="J267" s="2"/>
    </row>
    <row r="268" spans="1:10" ht="15" x14ac:dyDescent="0.4">
      <c r="A268" s="303" t="s">
        <v>1383</v>
      </c>
      <c r="C268" s="11"/>
      <c r="D268" s="11">
        <v>4000</v>
      </c>
      <c r="E268" s="2"/>
      <c r="F268" s="2"/>
      <c r="G268" s="2"/>
      <c r="H268" s="2"/>
      <c r="I268" s="2"/>
      <c r="J268" s="2"/>
    </row>
    <row r="269" spans="1:10" x14ac:dyDescent="0.25">
      <c r="A269" s="303" t="s">
        <v>1247</v>
      </c>
      <c r="C269" s="2"/>
      <c r="D269" s="2">
        <f>SUM(D267:D268)</f>
        <v>9000</v>
      </c>
      <c r="E269" s="2"/>
      <c r="F269" s="2"/>
      <c r="G269" s="2"/>
      <c r="H269" s="2"/>
      <c r="I269" s="2"/>
      <c r="J269" s="2"/>
    </row>
    <row r="270" spans="1:10" x14ac:dyDescent="0.25">
      <c r="C270" s="2" t="s">
        <v>396</v>
      </c>
      <c r="D270" s="2" t="s">
        <v>396</v>
      </c>
      <c r="E270" s="2"/>
      <c r="F270" s="2"/>
      <c r="G270" s="2"/>
      <c r="H270" s="2"/>
      <c r="I270" s="2"/>
      <c r="J270" s="2"/>
    </row>
    <row r="271" spans="1:10" ht="15.6" x14ac:dyDescent="0.3">
      <c r="A271" s="50" t="s">
        <v>1206</v>
      </c>
      <c r="B271" s="49"/>
      <c r="C271" s="59"/>
      <c r="D271" s="59"/>
      <c r="E271" s="26">
        <v>27003.86</v>
      </c>
      <c r="F271" s="26">
        <v>36500</v>
      </c>
      <c r="G271" s="26">
        <v>71500</v>
      </c>
      <c r="H271" s="26">
        <v>71500</v>
      </c>
      <c r="I271" s="26">
        <v>71500</v>
      </c>
      <c r="J271" s="26">
        <v>71500</v>
      </c>
    </row>
    <row r="272" spans="1:10" ht="15.6" x14ac:dyDescent="0.3">
      <c r="A272" s="25" t="s">
        <v>140</v>
      </c>
      <c r="B272" s="49"/>
      <c r="C272" s="26"/>
      <c r="D272" s="26">
        <v>500</v>
      </c>
      <c r="E272" s="26"/>
      <c r="F272" s="26"/>
      <c r="G272" s="26"/>
      <c r="H272" s="26"/>
      <c r="I272" s="26"/>
      <c r="J272" s="26"/>
    </row>
    <row r="273" spans="1:10" ht="15.6" x14ac:dyDescent="0.3">
      <c r="A273" s="25" t="s">
        <v>749</v>
      </c>
      <c r="B273" s="49"/>
      <c r="C273" s="26"/>
      <c r="D273" s="26">
        <v>7500</v>
      </c>
      <c r="E273" s="26"/>
      <c r="F273" s="26"/>
      <c r="G273" s="26"/>
      <c r="H273" s="26"/>
      <c r="I273" s="26"/>
      <c r="J273" s="26"/>
    </row>
    <row r="274" spans="1:10" ht="15.6" x14ac:dyDescent="0.3">
      <c r="A274" s="25" t="s">
        <v>1091</v>
      </c>
      <c r="B274" s="49"/>
      <c r="C274" s="26"/>
      <c r="D274" s="26" t="s">
        <v>396</v>
      </c>
      <c r="E274" s="26"/>
      <c r="F274" s="26"/>
      <c r="G274" s="26"/>
      <c r="H274" s="26"/>
      <c r="I274" s="26"/>
      <c r="J274" s="26"/>
    </row>
    <row r="275" spans="1:10" ht="15.6" x14ac:dyDescent="0.3">
      <c r="A275" s="25" t="s">
        <v>197</v>
      </c>
      <c r="B275" s="49"/>
      <c r="C275" s="26"/>
      <c r="D275" s="26">
        <v>1510</v>
      </c>
      <c r="E275" s="26"/>
      <c r="F275" s="26"/>
      <c r="G275" s="26"/>
      <c r="H275" s="26"/>
      <c r="I275" s="26"/>
      <c r="J275" s="26"/>
    </row>
    <row r="276" spans="1:10" ht="15.6" x14ac:dyDescent="0.3">
      <c r="A276" s="25" t="s">
        <v>141</v>
      </c>
      <c r="B276" s="49"/>
      <c r="C276" s="26"/>
      <c r="D276" s="26">
        <v>5000</v>
      </c>
      <c r="E276" s="26"/>
      <c r="F276" s="26"/>
      <c r="G276" s="26"/>
      <c r="H276" s="26"/>
      <c r="I276" s="26"/>
      <c r="J276" s="26"/>
    </row>
    <row r="277" spans="1:10" ht="15.6" x14ac:dyDescent="0.3">
      <c r="A277" s="25" t="s">
        <v>71</v>
      </c>
      <c r="B277" s="49"/>
      <c r="C277" s="26"/>
      <c r="D277" s="26">
        <v>6940</v>
      </c>
      <c r="E277" s="26"/>
      <c r="F277" s="26"/>
      <c r="G277" s="26"/>
      <c r="H277" s="26"/>
      <c r="I277" s="26"/>
      <c r="J277" s="26"/>
    </row>
    <row r="278" spans="1:10" ht="15.6" x14ac:dyDescent="0.3">
      <c r="A278" s="25" t="s">
        <v>146</v>
      </c>
      <c r="B278" s="49"/>
      <c r="C278" s="26"/>
      <c r="D278" s="26">
        <v>0</v>
      </c>
      <c r="E278" s="26"/>
      <c r="F278" s="26"/>
      <c r="G278" s="26"/>
      <c r="H278" s="26"/>
      <c r="I278" s="26"/>
      <c r="J278" s="26"/>
    </row>
    <row r="279" spans="1:10" ht="15.6" x14ac:dyDescent="0.3">
      <c r="A279" s="25" t="s">
        <v>198</v>
      </c>
      <c r="B279" s="49"/>
      <c r="C279" s="26"/>
      <c r="D279" s="26">
        <v>2000</v>
      </c>
      <c r="E279" s="26"/>
      <c r="F279" s="26"/>
      <c r="G279" s="26"/>
      <c r="H279" s="26"/>
      <c r="I279" s="26"/>
      <c r="J279" s="26"/>
    </row>
    <row r="280" spans="1:10" ht="15.6" x14ac:dyDescent="0.3">
      <c r="A280" s="25" t="s">
        <v>199</v>
      </c>
      <c r="B280" s="49"/>
      <c r="C280" s="26"/>
      <c r="D280" s="26">
        <v>7750</v>
      </c>
      <c r="E280" s="26"/>
      <c r="F280" s="26"/>
      <c r="G280" s="26"/>
      <c r="H280" s="26"/>
      <c r="I280" s="26"/>
      <c r="J280" s="26"/>
    </row>
    <row r="281" spans="1:10" ht="15.6" x14ac:dyDescent="0.3">
      <c r="A281" s="25" t="s">
        <v>200</v>
      </c>
      <c r="B281" s="49"/>
      <c r="C281" s="26"/>
      <c r="D281" s="26">
        <v>300</v>
      </c>
      <c r="E281" s="26"/>
      <c r="F281" s="26"/>
      <c r="G281" s="26"/>
      <c r="H281" s="26"/>
      <c r="I281" s="26"/>
      <c r="J281" s="26"/>
    </row>
    <row r="282" spans="1:10" ht="15.6" x14ac:dyDescent="0.3">
      <c r="A282" s="25" t="s">
        <v>1893</v>
      </c>
      <c r="B282" s="49"/>
      <c r="C282" s="26"/>
      <c r="D282" s="26">
        <v>1000</v>
      </c>
      <c r="E282" s="26"/>
      <c r="F282" s="26"/>
      <c r="G282" s="26"/>
      <c r="H282" s="26"/>
      <c r="I282" s="26"/>
      <c r="J282" s="26"/>
    </row>
    <row r="283" spans="1:10" ht="15.6" x14ac:dyDescent="0.3">
      <c r="A283" s="25" t="s">
        <v>2208</v>
      </c>
      <c r="B283" s="49"/>
      <c r="C283" s="26"/>
      <c r="D283" s="26">
        <v>25000</v>
      </c>
      <c r="E283" s="26"/>
      <c r="F283" s="26"/>
      <c r="G283" s="26"/>
      <c r="H283" s="26"/>
      <c r="I283" s="26"/>
      <c r="J283" s="26"/>
    </row>
    <row r="284" spans="1:10" ht="15.6" x14ac:dyDescent="0.3">
      <c r="A284" s="25" t="s">
        <v>2209</v>
      </c>
      <c r="B284" s="49"/>
      <c r="C284" s="26"/>
      <c r="D284" s="26">
        <v>10000</v>
      </c>
      <c r="E284" s="26"/>
      <c r="F284" s="26"/>
      <c r="G284" s="26"/>
      <c r="H284" s="26"/>
      <c r="I284" s="26"/>
      <c r="J284" s="26"/>
    </row>
    <row r="285" spans="1:10" ht="15.6" x14ac:dyDescent="0.3">
      <c r="A285" s="25" t="s">
        <v>2072</v>
      </c>
      <c r="B285" s="49"/>
      <c r="C285" s="26"/>
      <c r="D285" s="26">
        <v>500</v>
      </c>
      <c r="E285" s="26"/>
      <c r="F285" s="26"/>
      <c r="G285" s="26"/>
      <c r="H285" s="26"/>
      <c r="I285" s="26"/>
      <c r="J285" s="26"/>
    </row>
    <row r="286" spans="1:10" ht="16.8" x14ac:dyDescent="0.4">
      <c r="A286" s="25" t="s">
        <v>2073</v>
      </c>
      <c r="B286" s="49"/>
      <c r="C286" s="56"/>
      <c r="D286" s="56">
        <v>3500</v>
      </c>
      <c r="E286" s="26"/>
      <c r="G286" s="2"/>
      <c r="H286" s="2"/>
      <c r="I286" s="2"/>
      <c r="J286" s="2"/>
    </row>
    <row r="287" spans="1:10" ht="15.6" x14ac:dyDescent="0.3">
      <c r="A287" s="25" t="s">
        <v>1247</v>
      </c>
      <c r="B287" s="49"/>
      <c r="C287" s="26"/>
      <c r="D287" s="26">
        <f>SUM(D272:D286)</f>
        <v>71500</v>
      </c>
      <c r="E287" s="26"/>
    </row>
    <row r="288" spans="1:10" x14ac:dyDescent="0.25">
      <c r="C288" s="2"/>
      <c r="D288" s="2"/>
      <c r="E288" s="2"/>
      <c r="F288" s="2"/>
    </row>
    <row r="289" spans="1:10" ht="13.8" x14ac:dyDescent="0.3">
      <c r="A289" s="305" t="s">
        <v>803</v>
      </c>
      <c r="C289" s="8" t="s">
        <v>396</v>
      </c>
      <c r="D289" s="8" t="s">
        <v>396</v>
      </c>
      <c r="E289" s="2">
        <v>9580</v>
      </c>
      <c r="F289" s="2">
        <v>12000</v>
      </c>
      <c r="G289" s="2">
        <v>12000</v>
      </c>
      <c r="H289" s="2">
        <v>12000</v>
      </c>
      <c r="I289" s="2">
        <v>12000</v>
      </c>
      <c r="J289" s="2">
        <v>12000</v>
      </c>
    </row>
    <row r="290" spans="1:10" x14ac:dyDescent="0.25">
      <c r="A290" s="303" t="s">
        <v>1366</v>
      </c>
      <c r="C290" s="2"/>
      <c r="D290" s="2">
        <v>12000</v>
      </c>
      <c r="E290" s="2"/>
      <c r="F290" s="2"/>
      <c r="G290" s="2"/>
      <c r="H290" s="2"/>
      <c r="I290" s="2"/>
      <c r="J290" s="2"/>
    </row>
    <row r="291" spans="1:10" x14ac:dyDescent="0.25">
      <c r="C291" s="2"/>
      <c r="D291" s="2"/>
      <c r="E291" s="2"/>
      <c r="F291" s="2"/>
      <c r="G291" s="2"/>
      <c r="H291" s="2"/>
      <c r="I291" s="2"/>
      <c r="J291" s="2"/>
    </row>
    <row r="292" spans="1:10" ht="13.8" x14ac:dyDescent="0.3">
      <c r="A292" s="305" t="s">
        <v>435</v>
      </c>
      <c r="C292" s="2"/>
      <c r="D292" s="2"/>
      <c r="E292" s="2">
        <v>0</v>
      </c>
      <c r="F292" s="2">
        <v>4000</v>
      </c>
      <c r="G292" s="2">
        <v>4000</v>
      </c>
      <c r="H292" s="2">
        <v>4000</v>
      </c>
      <c r="I292" s="2">
        <v>4000</v>
      </c>
      <c r="J292" s="2">
        <v>4000</v>
      </c>
    </row>
    <row r="293" spans="1:10" x14ac:dyDescent="0.25">
      <c r="A293" s="23" t="s">
        <v>1207</v>
      </c>
      <c r="C293" s="2"/>
      <c r="D293" s="2"/>
      <c r="E293" s="2"/>
      <c r="F293" s="2"/>
      <c r="G293" s="2"/>
      <c r="H293" s="2"/>
      <c r="I293" s="2"/>
      <c r="J293" s="2"/>
    </row>
    <row r="294" spans="1:10" x14ac:dyDescent="0.25">
      <c r="A294" s="303" t="s">
        <v>1208</v>
      </c>
      <c r="C294" s="2"/>
      <c r="D294" s="2">
        <v>4000</v>
      </c>
      <c r="E294" s="2"/>
      <c r="G294" s="2"/>
      <c r="H294" s="2"/>
      <c r="I294" s="2"/>
      <c r="J294" s="2"/>
    </row>
    <row r="295" spans="1:10" x14ac:dyDescent="0.25">
      <c r="C295" s="18"/>
      <c r="D295" s="2"/>
      <c r="E295" s="2"/>
    </row>
    <row r="296" spans="1:10" ht="13.8" x14ac:dyDescent="0.3">
      <c r="A296" s="305" t="s">
        <v>256</v>
      </c>
      <c r="C296" s="2"/>
      <c r="D296" s="2"/>
      <c r="E296" s="2">
        <v>2002.77</v>
      </c>
      <c r="F296" s="2">
        <v>4900</v>
      </c>
      <c r="G296" s="2">
        <v>4000</v>
      </c>
      <c r="H296" s="2">
        <v>4000</v>
      </c>
      <c r="I296" s="2">
        <v>4000</v>
      </c>
      <c r="J296" s="2">
        <v>4000</v>
      </c>
    </row>
    <row r="297" spans="1:10" x14ac:dyDescent="0.25">
      <c r="A297" s="6" t="s">
        <v>1726</v>
      </c>
      <c r="B297" s="6"/>
      <c r="C297" s="2"/>
      <c r="D297" s="2">
        <v>4900</v>
      </c>
      <c r="E297" s="2"/>
      <c r="F297" s="2"/>
      <c r="G297" s="2"/>
      <c r="H297" s="2"/>
      <c r="I297" s="2"/>
      <c r="J297" s="2"/>
    </row>
    <row r="298" spans="1:10" x14ac:dyDescent="0.25">
      <c r="A298" s="6" t="s">
        <v>1811</v>
      </c>
      <c r="B298" s="6"/>
      <c r="C298" s="2"/>
      <c r="D298" s="2"/>
      <c r="E298" s="2"/>
      <c r="F298" s="2"/>
      <c r="G298" s="2"/>
      <c r="H298" s="2"/>
      <c r="I298" s="2"/>
      <c r="J298" s="2"/>
    </row>
    <row r="299" spans="1:10" x14ac:dyDescent="0.25">
      <c r="A299" s="6"/>
      <c r="B299" s="6"/>
      <c r="C299" s="2"/>
      <c r="D299" s="2"/>
      <c r="E299" s="2"/>
      <c r="F299" s="2"/>
      <c r="G299" s="2"/>
      <c r="H299" s="2"/>
      <c r="I299" s="2"/>
      <c r="J299" s="2"/>
    </row>
    <row r="300" spans="1:10" ht="13.8" x14ac:dyDescent="0.3">
      <c r="A300" s="305" t="s">
        <v>650</v>
      </c>
      <c r="C300" s="2"/>
      <c r="D300" s="8" t="s">
        <v>396</v>
      </c>
      <c r="E300" s="2"/>
      <c r="F300" s="2"/>
      <c r="G300" s="2">
        <v>0</v>
      </c>
      <c r="H300" s="2">
        <v>0</v>
      </c>
      <c r="I300" s="2">
        <v>0</v>
      </c>
      <c r="J300" s="2">
        <v>0</v>
      </c>
    </row>
    <row r="301" spans="1:10" x14ac:dyDescent="0.25">
      <c r="A301" s="6" t="s">
        <v>1727</v>
      </c>
      <c r="C301" s="2"/>
      <c r="D301" s="8">
        <v>0</v>
      </c>
      <c r="E301" s="2">
        <v>12006.6</v>
      </c>
      <c r="F301" s="2"/>
      <c r="G301" s="2"/>
      <c r="H301" s="2"/>
      <c r="I301" s="2"/>
      <c r="J301" s="2"/>
    </row>
    <row r="302" spans="1:10" x14ac:dyDescent="0.25">
      <c r="C302" s="8"/>
      <c r="D302" s="2"/>
      <c r="E302" s="2"/>
      <c r="F302" s="2"/>
      <c r="G302" s="2"/>
      <c r="H302" s="2"/>
      <c r="I302" s="2"/>
      <c r="J302" s="2"/>
    </row>
    <row r="303" spans="1:10" ht="13.8" x14ac:dyDescent="0.3">
      <c r="A303" s="305" t="s">
        <v>1751</v>
      </c>
      <c r="C303" s="8"/>
      <c r="D303" s="2"/>
      <c r="E303" s="2">
        <v>5000</v>
      </c>
      <c r="F303" s="2">
        <v>0</v>
      </c>
      <c r="G303" s="2">
        <v>0</v>
      </c>
      <c r="H303" s="2">
        <v>0</v>
      </c>
      <c r="I303" s="2">
        <v>0</v>
      </c>
      <c r="J303" s="2">
        <v>0</v>
      </c>
    </row>
    <row r="304" spans="1:10" x14ac:dyDescent="0.25">
      <c r="C304" s="8"/>
      <c r="D304" s="35">
        <v>0</v>
      </c>
      <c r="E304" s="2"/>
      <c r="F304" s="2"/>
      <c r="G304" s="2"/>
      <c r="H304" s="2"/>
      <c r="I304" s="2"/>
      <c r="J304" s="2"/>
    </row>
    <row r="305" spans="1:10" x14ac:dyDescent="0.25">
      <c r="C305" s="8"/>
      <c r="D305" s="2">
        <f>SUM(D304:D304)</f>
        <v>0</v>
      </c>
      <c r="E305" s="2"/>
      <c r="F305" s="2"/>
      <c r="G305" s="2"/>
      <c r="H305" s="2"/>
      <c r="I305" s="2"/>
      <c r="J305" s="2"/>
    </row>
    <row r="306" spans="1:10" x14ac:dyDescent="0.25">
      <c r="C306" s="8"/>
      <c r="D306" s="2"/>
      <c r="E306" s="2"/>
      <c r="F306" s="2"/>
      <c r="G306" s="2"/>
      <c r="H306" s="2"/>
      <c r="I306" s="2"/>
      <c r="J306" s="2"/>
    </row>
    <row r="307" spans="1:10" ht="13.8" x14ac:dyDescent="0.3">
      <c r="A307" s="305" t="s">
        <v>1738</v>
      </c>
      <c r="C307" s="2"/>
      <c r="D307" s="8" t="s">
        <v>396</v>
      </c>
      <c r="E307" s="2">
        <f>1288926.32+371685.77</f>
        <v>1660612.09</v>
      </c>
      <c r="F307" s="2">
        <v>800000</v>
      </c>
      <c r="G307" s="2">
        <v>850000</v>
      </c>
      <c r="H307" s="2">
        <v>800000</v>
      </c>
      <c r="I307" s="2">
        <v>1000000</v>
      </c>
      <c r="J307" s="2">
        <v>1000000</v>
      </c>
    </row>
    <row r="308" spans="1:10" x14ac:dyDescent="0.25">
      <c r="A308" s="303" t="s">
        <v>210</v>
      </c>
      <c r="B308" s="2"/>
      <c r="D308" s="2">
        <f>50000+675000+150000</f>
        <v>875000</v>
      </c>
      <c r="E308" s="2"/>
      <c r="F308" s="2"/>
      <c r="G308" s="2"/>
      <c r="H308" s="2"/>
      <c r="I308" s="2"/>
      <c r="J308" s="2"/>
    </row>
    <row r="309" spans="1:10" ht="15" x14ac:dyDescent="0.4">
      <c r="A309" s="303" t="s">
        <v>59</v>
      </c>
      <c r="B309" s="2"/>
      <c r="D309" s="11">
        <v>125000</v>
      </c>
      <c r="E309" s="2"/>
      <c r="F309" s="2"/>
      <c r="G309" s="2"/>
      <c r="H309" s="2"/>
      <c r="I309" s="2"/>
      <c r="J309" s="2"/>
    </row>
    <row r="310" spans="1:10" x14ac:dyDescent="0.25">
      <c r="A310" s="303" t="s">
        <v>1247</v>
      </c>
      <c r="B310" s="2"/>
      <c r="D310" s="2">
        <f>SUM(D308:D309)</f>
        <v>1000000</v>
      </c>
      <c r="E310" s="2"/>
      <c r="F310" s="2"/>
      <c r="G310" s="2"/>
      <c r="H310" s="2"/>
      <c r="I310" s="2"/>
      <c r="J310" s="2"/>
    </row>
    <row r="311" spans="1:10" x14ac:dyDescent="0.25">
      <c r="B311" s="2"/>
      <c r="D311" s="2"/>
      <c r="E311" s="2"/>
      <c r="F311" s="2"/>
      <c r="G311" s="2"/>
      <c r="H311" s="2"/>
      <c r="I311" s="2"/>
      <c r="J311" s="2"/>
    </row>
    <row r="312" spans="1:10" ht="13.8" x14ac:dyDescent="0.3">
      <c r="A312" s="305" t="s">
        <v>781</v>
      </c>
      <c r="C312" s="2"/>
      <c r="D312" s="2"/>
      <c r="E312" s="2">
        <v>1223.8800000000001</v>
      </c>
      <c r="F312" s="2">
        <v>53000</v>
      </c>
      <c r="G312" s="2">
        <v>27500</v>
      </c>
      <c r="H312" s="2">
        <v>27500</v>
      </c>
      <c r="I312" s="2">
        <v>27500</v>
      </c>
      <c r="J312" s="2">
        <v>27500</v>
      </c>
    </row>
    <row r="313" spans="1:10" ht="15" x14ac:dyDescent="0.4">
      <c r="A313" s="44" t="s">
        <v>1894</v>
      </c>
      <c r="B313" s="11"/>
      <c r="C313" s="11"/>
      <c r="D313" s="3">
        <v>3500</v>
      </c>
      <c r="E313" s="2"/>
      <c r="F313" s="2"/>
      <c r="G313" s="2"/>
      <c r="H313" s="2"/>
      <c r="I313" s="2"/>
      <c r="J313" s="2"/>
    </row>
    <row r="314" spans="1:10" ht="15" x14ac:dyDescent="0.4">
      <c r="A314" s="44" t="s">
        <v>2074</v>
      </c>
      <c r="B314" s="11"/>
      <c r="C314" s="11"/>
      <c r="D314" s="35">
        <v>24000</v>
      </c>
      <c r="E314" s="2"/>
      <c r="F314" s="2"/>
      <c r="G314" s="2"/>
      <c r="H314" s="2"/>
      <c r="I314" s="2"/>
      <c r="J314" s="2"/>
    </row>
    <row r="315" spans="1:10" x14ac:dyDescent="0.25">
      <c r="A315" s="44"/>
      <c r="B315" s="2"/>
      <c r="C315" s="2"/>
      <c r="D315" s="2">
        <f>SUM(D313:D314)</f>
        <v>27500</v>
      </c>
      <c r="E315" s="2"/>
      <c r="F315" s="2"/>
      <c r="G315" s="2"/>
      <c r="H315" s="2"/>
      <c r="I315" s="2"/>
      <c r="J315" s="2"/>
    </row>
    <row r="316" spans="1:10" x14ac:dyDescent="0.25">
      <c r="A316" s="23"/>
      <c r="C316" s="2"/>
      <c r="D316" s="2"/>
      <c r="E316" s="2"/>
      <c r="F316" s="2"/>
      <c r="G316" s="2"/>
      <c r="H316" s="2"/>
      <c r="I316" s="2"/>
      <c r="J316" s="2"/>
    </row>
    <row r="317" spans="1:10" ht="13.8" x14ac:dyDescent="0.3">
      <c r="A317" s="305" t="s">
        <v>782</v>
      </c>
      <c r="B317" s="150" t="s">
        <v>1794</v>
      </c>
      <c r="C317" s="150" t="s">
        <v>1970</v>
      </c>
      <c r="D317" s="150" t="s">
        <v>1970</v>
      </c>
      <c r="E317" s="2">
        <v>990000</v>
      </c>
      <c r="F317" s="2">
        <v>905000</v>
      </c>
      <c r="G317" s="2">
        <v>930000</v>
      </c>
      <c r="H317" s="2">
        <v>905000</v>
      </c>
      <c r="I317" s="2">
        <v>905000</v>
      </c>
      <c r="J317" s="2">
        <v>905000</v>
      </c>
    </row>
    <row r="318" spans="1:10" x14ac:dyDescent="0.25">
      <c r="A318" s="303" t="s">
        <v>1085</v>
      </c>
      <c r="B318" s="2">
        <v>325000</v>
      </c>
      <c r="C318" s="2">
        <v>400000</v>
      </c>
      <c r="D318" s="2">
        <v>400000</v>
      </c>
      <c r="F318" s="2"/>
      <c r="G318" s="2"/>
      <c r="H318" s="2"/>
      <c r="I318" s="2"/>
      <c r="J318" s="2"/>
    </row>
    <row r="319" spans="1:10" x14ac:dyDescent="0.25">
      <c r="A319" s="303" t="s">
        <v>1728</v>
      </c>
      <c r="B319" s="2">
        <v>15000</v>
      </c>
      <c r="C319" s="2">
        <v>5000</v>
      </c>
      <c r="D319" s="2">
        <v>5000</v>
      </c>
      <c r="F319" s="2"/>
      <c r="G319" s="2"/>
      <c r="H319" s="2"/>
      <c r="I319" s="2"/>
      <c r="J319" s="2"/>
    </row>
    <row r="320" spans="1:10" x14ac:dyDescent="0.25">
      <c r="A320" s="303" t="s">
        <v>802</v>
      </c>
      <c r="B320" s="2">
        <v>50000</v>
      </c>
      <c r="C320" s="2">
        <v>50000</v>
      </c>
      <c r="D320" s="2">
        <v>50000</v>
      </c>
      <c r="F320" s="2"/>
      <c r="G320" s="2"/>
      <c r="H320" s="2"/>
      <c r="I320" s="2"/>
      <c r="J320" s="2"/>
    </row>
    <row r="321" spans="1:10" x14ac:dyDescent="0.25">
      <c r="A321" s="303" t="s">
        <v>1739</v>
      </c>
      <c r="B321" s="18">
        <v>600000</v>
      </c>
      <c r="C321" s="18">
        <v>450000</v>
      </c>
      <c r="D321" s="18">
        <v>450000</v>
      </c>
      <c r="F321" s="2"/>
      <c r="G321" s="2"/>
      <c r="H321" s="2"/>
      <c r="I321" s="2"/>
      <c r="J321" s="2"/>
    </row>
    <row r="322" spans="1:10" x14ac:dyDescent="0.25">
      <c r="A322" s="303" t="s">
        <v>1247</v>
      </c>
      <c r="B322" s="2">
        <f>SUM(B318:B321)</f>
        <v>990000</v>
      </c>
      <c r="C322" s="2">
        <f>SUM(C318:C321)</f>
        <v>905000</v>
      </c>
      <c r="D322" s="2">
        <f>SUM(D318:D321)</f>
        <v>905000</v>
      </c>
      <c r="F322" s="2"/>
      <c r="G322" s="2"/>
      <c r="H322" s="2"/>
      <c r="I322" s="2"/>
      <c r="J322" s="2"/>
    </row>
    <row r="323" spans="1:10" x14ac:dyDescent="0.25">
      <c r="B323" s="2"/>
      <c r="C323" s="2"/>
      <c r="D323" s="2"/>
      <c r="F323" s="153"/>
      <c r="G323" s="2"/>
      <c r="H323" s="2"/>
      <c r="I323" s="2"/>
      <c r="J323" s="2"/>
    </row>
    <row r="324" spans="1:10" ht="13.8" x14ac:dyDescent="0.3">
      <c r="A324" s="305" t="s">
        <v>1321</v>
      </c>
      <c r="B324" s="150" t="s">
        <v>1794</v>
      </c>
      <c r="C324" s="150" t="s">
        <v>1970</v>
      </c>
      <c r="D324" s="150" t="s">
        <v>2129</v>
      </c>
      <c r="E324" s="2">
        <v>1047970.44</v>
      </c>
      <c r="F324" s="153">
        <v>759000</v>
      </c>
      <c r="G324" s="2">
        <v>1058000</v>
      </c>
      <c r="H324" s="2">
        <v>1058000</v>
      </c>
      <c r="I324" s="2">
        <v>930000</v>
      </c>
      <c r="J324" s="2">
        <v>930000</v>
      </c>
    </row>
    <row r="325" spans="1:10" ht="15" x14ac:dyDescent="0.4">
      <c r="A325" s="43" t="s">
        <v>101</v>
      </c>
      <c r="B325" s="2">
        <v>200000</v>
      </c>
      <c r="C325" s="2">
        <v>200000</v>
      </c>
      <c r="D325" s="2">
        <v>200000</v>
      </c>
      <c r="E325" s="11"/>
      <c r="F325" s="153"/>
      <c r="G325" s="2"/>
      <c r="H325" s="2"/>
      <c r="I325" s="2"/>
      <c r="J325" s="2"/>
    </row>
    <row r="326" spans="1:10" ht="15" x14ac:dyDescent="0.4">
      <c r="A326" s="43" t="s">
        <v>1915</v>
      </c>
      <c r="B326" s="2">
        <v>150000</v>
      </c>
      <c r="C326" s="2"/>
      <c r="D326" s="2">
        <v>0</v>
      </c>
      <c r="E326" s="11"/>
      <c r="F326" s="11"/>
      <c r="G326" s="2"/>
      <c r="H326" s="2"/>
      <c r="I326" s="2"/>
      <c r="J326" s="2"/>
    </row>
    <row r="327" spans="1:10" ht="15" x14ac:dyDescent="0.4">
      <c r="A327" s="44" t="s">
        <v>1960</v>
      </c>
      <c r="B327" s="2">
        <v>1129040</v>
      </c>
      <c r="C327" s="2"/>
      <c r="D327" s="2">
        <v>0</v>
      </c>
      <c r="E327" s="11"/>
      <c r="F327" s="11"/>
      <c r="G327" s="2"/>
      <c r="H327" s="2"/>
      <c r="I327" s="2"/>
      <c r="J327" s="2"/>
    </row>
    <row r="328" spans="1:10" ht="15" x14ac:dyDescent="0.4">
      <c r="A328" s="43" t="s">
        <v>1916</v>
      </c>
      <c r="B328" s="2">
        <v>300000</v>
      </c>
      <c r="C328" s="2"/>
      <c r="D328" s="2">
        <v>0</v>
      </c>
      <c r="E328" s="11"/>
      <c r="F328" s="11"/>
      <c r="G328" s="2"/>
      <c r="H328" s="2"/>
      <c r="I328" s="2"/>
      <c r="J328" s="2"/>
    </row>
    <row r="329" spans="1:10" ht="15" x14ac:dyDescent="0.4">
      <c r="A329" s="44" t="s">
        <v>1962</v>
      </c>
      <c r="B329" s="48">
        <v>67000</v>
      </c>
      <c r="C329" s="48"/>
      <c r="D329" s="48">
        <v>0</v>
      </c>
      <c r="E329" s="11"/>
      <c r="F329" s="2"/>
      <c r="G329" s="48"/>
      <c r="H329" s="48"/>
      <c r="I329" s="48"/>
      <c r="J329" s="48"/>
    </row>
    <row r="330" spans="1:10" ht="15" x14ac:dyDescent="0.4">
      <c r="A330" s="44" t="s">
        <v>2306</v>
      </c>
      <c r="B330" s="48"/>
      <c r="C330" s="48"/>
      <c r="D330" s="48">
        <v>15000</v>
      </c>
      <c r="E330" s="11"/>
      <c r="F330" s="2"/>
      <c r="G330" s="48"/>
      <c r="H330" s="48"/>
      <c r="I330" s="48"/>
      <c r="J330" s="48"/>
    </row>
    <row r="331" spans="1:10" ht="15" x14ac:dyDescent="0.4">
      <c r="A331" s="44" t="s">
        <v>2307</v>
      </c>
      <c r="B331" s="48">
        <v>105000</v>
      </c>
      <c r="C331" s="48"/>
      <c r="D331" s="48">
        <v>0</v>
      </c>
      <c r="E331" s="11"/>
      <c r="F331" s="2"/>
      <c r="G331" s="48"/>
      <c r="H331" s="48"/>
      <c r="I331" s="48"/>
      <c r="J331" s="48"/>
    </row>
    <row r="332" spans="1:10" ht="15" x14ac:dyDescent="0.4">
      <c r="A332" s="44" t="s">
        <v>2075</v>
      </c>
      <c r="B332" s="2"/>
      <c r="C332" s="2">
        <v>50000</v>
      </c>
      <c r="D332" s="2">
        <v>0</v>
      </c>
      <c r="E332" s="11"/>
      <c r="F332" s="2"/>
      <c r="G332" s="2"/>
      <c r="H332" s="2"/>
      <c r="I332" s="2"/>
      <c r="J332" s="2"/>
    </row>
    <row r="333" spans="1:10" ht="15" x14ac:dyDescent="0.4">
      <c r="A333" s="44" t="s">
        <v>2076</v>
      </c>
      <c r="B333" s="2"/>
      <c r="C333" s="2">
        <v>0</v>
      </c>
      <c r="D333" s="2">
        <v>0</v>
      </c>
      <c r="E333" s="11"/>
      <c r="F333" s="2"/>
      <c r="G333" s="2"/>
      <c r="H333" s="2"/>
      <c r="I333" s="2"/>
      <c r="J333" s="2"/>
    </row>
    <row r="334" spans="1:10" ht="15" x14ac:dyDescent="0.4">
      <c r="A334" s="44" t="s">
        <v>2077</v>
      </c>
      <c r="B334" s="2"/>
      <c r="C334" s="2">
        <v>50000</v>
      </c>
      <c r="D334" s="2">
        <v>0</v>
      </c>
      <c r="E334" s="11"/>
      <c r="F334" s="2"/>
      <c r="G334" s="2"/>
      <c r="H334" s="2"/>
      <c r="I334" s="2"/>
      <c r="J334" s="2"/>
    </row>
    <row r="335" spans="1:10" ht="15" x14ac:dyDescent="0.4">
      <c r="A335" s="44" t="s">
        <v>2210</v>
      </c>
      <c r="B335" s="2"/>
      <c r="C335" s="2"/>
      <c r="D335" s="2">
        <v>300000</v>
      </c>
      <c r="E335" s="11"/>
      <c r="F335" s="2"/>
      <c r="G335" s="2"/>
      <c r="H335" s="2"/>
      <c r="I335" s="2"/>
      <c r="J335" s="2"/>
    </row>
    <row r="336" spans="1:10" ht="15" x14ac:dyDescent="0.4">
      <c r="A336" s="44" t="s">
        <v>2078</v>
      </c>
      <c r="B336" s="2"/>
      <c r="C336" s="2">
        <v>29000</v>
      </c>
      <c r="D336" s="2">
        <v>0</v>
      </c>
      <c r="E336" s="11"/>
      <c r="F336" s="2"/>
      <c r="G336" s="2"/>
      <c r="H336" s="2"/>
      <c r="I336" s="2"/>
      <c r="J336" s="2"/>
    </row>
    <row r="337" spans="1:10" ht="15" x14ac:dyDescent="0.4">
      <c r="A337" s="44" t="s">
        <v>2079</v>
      </c>
      <c r="B337" s="2"/>
      <c r="C337" s="2">
        <v>35000</v>
      </c>
      <c r="D337" s="2">
        <v>0</v>
      </c>
      <c r="E337" s="11"/>
      <c r="F337" s="2"/>
      <c r="G337" s="2"/>
      <c r="H337" s="2"/>
      <c r="I337" s="2"/>
      <c r="J337" s="2"/>
    </row>
    <row r="338" spans="1:10" ht="15" x14ac:dyDescent="0.4">
      <c r="A338" s="44" t="s">
        <v>2211</v>
      </c>
      <c r="B338" s="2"/>
      <c r="C338" s="2"/>
      <c r="D338" s="2">
        <v>35000</v>
      </c>
      <c r="E338" s="11"/>
      <c r="F338" s="2"/>
      <c r="G338" s="2"/>
      <c r="H338" s="2"/>
      <c r="I338" s="2"/>
      <c r="J338" s="2"/>
    </row>
    <row r="339" spans="1:10" ht="15" x14ac:dyDescent="0.4">
      <c r="A339" s="44" t="s">
        <v>2080</v>
      </c>
      <c r="B339" s="2"/>
      <c r="C339" s="2">
        <v>180000</v>
      </c>
      <c r="D339" s="2">
        <v>0</v>
      </c>
      <c r="E339" s="11"/>
      <c r="F339" s="2"/>
      <c r="G339" s="2"/>
      <c r="H339" s="2"/>
      <c r="I339" s="2"/>
      <c r="J339" s="2"/>
    </row>
    <row r="340" spans="1:10" ht="15" x14ac:dyDescent="0.4">
      <c r="A340" s="44" t="s">
        <v>2081</v>
      </c>
      <c r="B340" s="2"/>
      <c r="C340" s="2">
        <v>180000</v>
      </c>
      <c r="D340" s="2">
        <v>0</v>
      </c>
      <c r="E340" s="11"/>
      <c r="F340" s="2"/>
      <c r="G340" s="2"/>
      <c r="H340" s="2"/>
      <c r="I340" s="2"/>
      <c r="J340" s="2"/>
    </row>
    <row r="341" spans="1:10" ht="15" x14ac:dyDescent="0.4">
      <c r="A341" s="44" t="s">
        <v>2212</v>
      </c>
      <c r="B341" s="2"/>
      <c r="C341" s="2"/>
      <c r="D341" s="2">
        <v>180000</v>
      </c>
      <c r="E341" s="11"/>
      <c r="F341" s="2"/>
      <c r="G341" s="2"/>
      <c r="H341" s="2"/>
      <c r="I341" s="2"/>
      <c r="J341" s="2"/>
    </row>
    <row r="342" spans="1:10" ht="15" x14ac:dyDescent="0.4">
      <c r="A342" s="44" t="s">
        <v>2213</v>
      </c>
      <c r="B342" s="2"/>
      <c r="C342" s="2"/>
      <c r="D342" s="2">
        <v>180000</v>
      </c>
      <c r="E342" s="11"/>
      <c r="F342" s="2"/>
      <c r="G342" s="2"/>
      <c r="H342" s="2"/>
      <c r="I342" s="2"/>
      <c r="J342" s="2"/>
    </row>
    <row r="343" spans="1:10" ht="15" x14ac:dyDescent="0.4">
      <c r="A343" s="44" t="s">
        <v>2214</v>
      </c>
      <c r="B343" s="2"/>
      <c r="C343" s="2"/>
      <c r="D343" s="2">
        <v>15000</v>
      </c>
      <c r="E343" s="11"/>
      <c r="F343" s="2"/>
      <c r="G343" s="2"/>
      <c r="H343" s="2"/>
      <c r="I343" s="2"/>
      <c r="J343" s="2"/>
    </row>
    <row r="344" spans="1:10" ht="15" x14ac:dyDescent="0.4">
      <c r="A344" s="44" t="s">
        <v>2091</v>
      </c>
      <c r="B344" s="2"/>
      <c r="C344" s="2">
        <v>35000</v>
      </c>
      <c r="D344" s="2">
        <v>0</v>
      </c>
      <c r="E344" s="11"/>
      <c r="F344" s="2"/>
      <c r="G344" s="2"/>
      <c r="H344" s="2"/>
      <c r="I344" s="2"/>
      <c r="J344" s="2"/>
    </row>
    <row r="345" spans="1:10" ht="15" x14ac:dyDescent="0.4">
      <c r="A345" s="44" t="s">
        <v>1895</v>
      </c>
      <c r="B345" s="2">
        <v>170000</v>
      </c>
      <c r="C345" s="2"/>
      <c r="D345" s="2"/>
      <c r="E345" s="11"/>
      <c r="F345" s="2"/>
      <c r="G345" s="11"/>
      <c r="H345" s="11"/>
      <c r="I345" s="11"/>
      <c r="J345" s="11"/>
    </row>
    <row r="346" spans="1:10" ht="15" x14ac:dyDescent="0.4">
      <c r="A346" s="44" t="s">
        <v>1896</v>
      </c>
      <c r="B346" s="2">
        <v>170000</v>
      </c>
      <c r="C346" s="2"/>
      <c r="D346" s="2"/>
      <c r="E346" s="11"/>
      <c r="F346" s="2"/>
      <c r="G346" s="11"/>
      <c r="H346" s="11"/>
      <c r="I346" s="11"/>
      <c r="J346" s="11"/>
    </row>
    <row r="347" spans="1:10" x14ac:dyDescent="0.25">
      <c r="A347" s="44" t="s">
        <v>1897</v>
      </c>
      <c r="B347" s="2">
        <v>15000</v>
      </c>
      <c r="C347" s="2"/>
      <c r="D347" s="2"/>
      <c r="E347" s="2"/>
      <c r="F347" s="2"/>
      <c r="G347" s="2"/>
      <c r="H347" s="2"/>
      <c r="I347" s="2"/>
      <c r="J347" s="2"/>
    </row>
    <row r="348" spans="1:10" x14ac:dyDescent="0.25">
      <c r="A348" s="44" t="s">
        <v>1898</v>
      </c>
      <c r="B348" s="2">
        <v>28000</v>
      </c>
      <c r="C348" s="2"/>
      <c r="D348" s="2"/>
      <c r="E348" s="2"/>
      <c r="F348" s="2"/>
      <c r="G348" s="2"/>
      <c r="H348" s="2"/>
      <c r="I348" s="2"/>
      <c r="J348" s="2"/>
    </row>
    <row r="349" spans="1:10" ht="15" x14ac:dyDescent="0.4">
      <c r="A349" s="303" t="s">
        <v>1909</v>
      </c>
      <c r="B349" s="11">
        <v>0</v>
      </c>
      <c r="C349" s="11">
        <v>0</v>
      </c>
      <c r="D349" s="11">
        <v>5000</v>
      </c>
      <c r="E349" s="11">
        <v>0</v>
      </c>
      <c r="F349" s="11">
        <v>0</v>
      </c>
      <c r="G349" s="11">
        <v>0</v>
      </c>
      <c r="H349" s="11">
        <v>0</v>
      </c>
      <c r="I349" s="11">
        <v>0</v>
      </c>
      <c r="J349" s="11">
        <v>0</v>
      </c>
    </row>
    <row r="350" spans="1:10" ht="15" x14ac:dyDescent="0.4">
      <c r="A350" s="44"/>
      <c r="B350" s="11"/>
      <c r="C350" s="11"/>
      <c r="D350" s="11"/>
      <c r="E350" s="2"/>
      <c r="F350" s="2"/>
      <c r="G350" s="2"/>
      <c r="H350" s="2"/>
      <c r="I350" s="2"/>
      <c r="J350" s="2"/>
    </row>
    <row r="351" spans="1:10" x14ac:dyDescent="0.25">
      <c r="A351" s="303" t="s">
        <v>1247</v>
      </c>
      <c r="B351" s="48">
        <f>SUM(B325:B349)</f>
        <v>2334040</v>
      </c>
      <c r="C351" s="48">
        <f>SUM(C325:C349)</f>
        <v>759000</v>
      </c>
      <c r="D351" s="48">
        <f>SUM(D325:D349)</f>
        <v>930000</v>
      </c>
      <c r="E351" s="48"/>
      <c r="F351" s="48"/>
      <c r="G351" s="48"/>
      <c r="H351" s="48"/>
      <c r="I351" s="48"/>
      <c r="J351" s="48"/>
    </row>
    <row r="352" spans="1:10" ht="15" x14ac:dyDescent="0.4">
      <c r="C352" s="11"/>
      <c r="D352" s="2"/>
    </row>
    <row r="353" spans="1:10" x14ac:dyDescent="0.25">
      <c r="A353" s="20" t="s">
        <v>1332</v>
      </c>
      <c r="C353" s="2"/>
      <c r="D353" s="70"/>
      <c r="E353" s="2">
        <f t="shared" ref="E353:J353" si="3">SUM(E6:E346)</f>
        <v>6254628.9100000001</v>
      </c>
      <c r="F353" s="2">
        <f t="shared" si="3"/>
        <v>5139287</v>
      </c>
      <c r="G353" s="2">
        <f t="shared" si="3"/>
        <v>5577255</v>
      </c>
      <c r="H353" s="2">
        <f t="shared" si="3"/>
        <v>5511902</v>
      </c>
      <c r="I353" s="2">
        <f t="shared" si="3"/>
        <v>5553728</v>
      </c>
      <c r="J353" s="2">
        <f t="shared" si="3"/>
        <v>5578094</v>
      </c>
    </row>
    <row r="354" spans="1:10" x14ac:dyDescent="0.25">
      <c r="A354" s="20"/>
      <c r="C354" s="2"/>
      <c r="D354" s="70"/>
      <c r="E354" s="2"/>
      <c r="F354" s="2"/>
      <c r="G354" s="2"/>
      <c r="H354" s="2"/>
      <c r="I354" s="2"/>
      <c r="J354" s="2"/>
    </row>
    <row r="355" spans="1:10" x14ac:dyDescent="0.25">
      <c r="A355" s="303" t="s">
        <v>594</v>
      </c>
      <c r="C355" s="70"/>
      <c r="D355" s="70"/>
      <c r="E355" s="2">
        <f t="shared" ref="E355:J355" si="4">SUM(E6:E108)</f>
        <v>1671587.66</v>
      </c>
      <c r="F355" s="2">
        <f t="shared" si="4"/>
        <v>1855426</v>
      </c>
      <c r="G355" s="2">
        <f t="shared" si="4"/>
        <v>1850323</v>
      </c>
      <c r="H355" s="2">
        <f t="shared" si="4"/>
        <v>1859970</v>
      </c>
      <c r="I355" s="2">
        <f t="shared" si="4"/>
        <v>1864796</v>
      </c>
      <c r="J355" s="2">
        <f t="shared" si="4"/>
        <v>1889022</v>
      </c>
    </row>
    <row r="356" spans="1:10" x14ac:dyDescent="0.25">
      <c r="A356" s="303" t="s">
        <v>957</v>
      </c>
      <c r="C356" s="70"/>
      <c r="D356" s="70"/>
      <c r="E356" s="2">
        <f t="shared" ref="E356:J356" si="5">SUM(E110:E296)</f>
        <v>866228.24000000011</v>
      </c>
      <c r="F356" s="2">
        <f t="shared" si="5"/>
        <v>766861</v>
      </c>
      <c r="G356" s="2">
        <f t="shared" si="5"/>
        <v>861432</v>
      </c>
      <c r="H356" s="2">
        <f t="shared" si="5"/>
        <v>861432</v>
      </c>
      <c r="I356" s="2">
        <f t="shared" si="5"/>
        <v>826432</v>
      </c>
      <c r="J356" s="2">
        <f t="shared" si="5"/>
        <v>826572</v>
      </c>
    </row>
    <row r="357" spans="1:10" ht="15" x14ac:dyDescent="0.4">
      <c r="A357" s="303" t="s">
        <v>958</v>
      </c>
      <c r="E357" s="11">
        <f t="shared" ref="E357:J357" si="6">SUM(E297:E326)</f>
        <v>3716813.0100000002</v>
      </c>
      <c r="F357" s="11">
        <f t="shared" si="6"/>
        <v>2517000</v>
      </c>
      <c r="G357" s="11">
        <f t="shared" si="6"/>
        <v>2865500</v>
      </c>
      <c r="H357" s="11">
        <f t="shared" si="6"/>
        <v>2790500</v>
      </c>
      <c r="I357" s="11">
        <f t="shared" si="6"/>
        <v>2862500</v>
      </c>
      <c r="J357" s="11">
        <f t="shared" si="6"/>
        <v>2862500</v>
      </c>
    </row>
    <row r="358" spans="1:10" x14ac:dyDescent="0.25">
      <c r="A358" s="303" t="s">
        <v>1247</v>
      </c>
      <c r="E358" s="2">
        <f t="shared" ref="E358:J358" si="7">SUM(E355:E357)</f>
        <v>6254628.9100000001</v>
      </c>
      <c r="F358" s="2">
        <f t="shared" si="7"/>
        <v>5139287</v>
      </c>
      <c r="G358" s="2">
        <f t="shared" si="7"/>
        <v>5577255</v>
      </c>
      <c r="H358" s="2">
        <f t="shared" si="7"/>
        <v>5511902</v>
      </c>
      <c r="I358" s="2">
        <f t="shared" si="7"/>
        <v>5553728</v>
      </c>
      <c r="J358" s="2">
        <f t="shared" si="7"/>
        <v>5578094</v>
      </c>
    </row>
    <row r="360" spans="1:10" x14ac:dyDescent="0.25">
      <c r="E360" s="2">
        <f t="shared" ref="E360:J360" si="8">+E353-E358</f>
        <v>0</v>
      </c>
      <c r="F360" s="2">
        <f t="shared" si="8"/>
        <v>0</v>
      </c>
      <c r="G360" s="2">
        <f t="shared" si="8"/>
        <v>0</v>
      </c>
      <c r="H360" s="2">
        <f t="shared" si="8"/>
        <v>0</v>
      </c>
      <c r="I360" s="2">
        <f t="shared" si="8"/>
        <v>0</v>
      </c>
      <c r="J360" s="2">
        <f t="shared" si="8"/>
        <v>0</v>
      </c>
    </row>
    <row r="362" spans="1:10" x14ac:dyDescent="0.25">
      <c r="I362" s="2">
        <f>+I358-H358</f>
        <v>41826</v>
      </c>
      <c r="J362" s="2">
        <f>+J358-I358</f>
        <v>24366</v>
      </c>
    </row>
    <row r="363" spans="1:10" x14ac:dyDescent="0.25">
      <c r="I363" s="2">
        <f>5548902-I358</f>
        <v>-4826</v>
      </c>
      <c r="J363" s="2">
        <f>5548902-J358</f>
        <v>-29192</v>
      </c>
    </row>
    <row r="364" spans="1:10" x14ac:dyDescent="0.25">
      <c r="I364" s="2">
        <f>+I363+2888</f>
        <v>-1938</v>
      </c>
      <c r="J364" s="2">
        <f>+J363+2888</f>
        <v>-26304</v>
      </c>
    </row>
  </sheetData>
  <sortState ref="A18:D35">
    <sortCondition ref="A18:A35"/>
  </sortState>
  <mergeCells count="1">
    <mergeCell ref="A1:J1"/>
  </mergeCells>
  <phoneticPr fontId="0" type="noConversion"/>
  <printOptions gridLines="1"/>
  <pageMargins left="0.75" right="0.16" top="0.51" bottom="0.22" header="0.5" footer="0"/>
  <pageSetup scale="85" fitToHeight="25" orientation="landscape" r:id="rId1"/>
  <headerFooter alignWithMargins="0"/>
  <rowBreaks count="6" manualBreakCount="6">
    <brk id="49" max="9" man="1"/>
    <brk id="122" max="9" man="1"/>
    <brk id="210" max="9" man="1"/>
    <brk id="246" max="9" man="1"/>
    <brk id="288" max="9" man="1"/>
    <brk id="323" max="9"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J256"/>
  <sheetViews>
    <sheetView view="pageBreakPreview" zoomScaleNormal="100" zoomScaleSheetLayoutView="100" workbookViewId="0">
      <selection activeCell="K1" sqref="K1:K1048576"/>
    </sheetView>
  </sheetViews>
  <sheetFormatPr defaultColWidth="8.88671875" defaultRowHeight="13.2" x14ac:dyDescent="0.25"/>
  <cols>
    <col min="1" max="1" width="50" style="214" bestFit="1" customWidth="1"/>
    <col min="2" max="2" width="8.88671875" style="214" customWidth="1"/>
    <col min="3" max="3" width="9" style="214" bestFit="1" customWidth="1"/>
    <col min="4" max="4" width="11.44140625" style="2" bestFit="1" customWidth="1"/>
    <col min="5" max="5" width="10.44140625" style="214" bestFit="1" customWidth="1"/>
    <col min="6" max="6" width="10.33203125" style="214" bestFit="1" customWidth="1"/>
    <col min="7" max="7" width="10.88671875" style="214" bestFit="1" customWidth="1"/>
    <col min="8" max="8" width="14" style="214" bestFit="1" customWidth="1"/>
    <col min="9" max="9" width="10.33203125" style="214" bestFit="1" customWidth="1"/>
    <col min="10" max="10" width="10.88671875" style="214" customWidth="1"/>
    <col min="11" max="16384" width="8.88671875" style="214"/>
  </cols>
  <sheetData>
    <row r="1" spans="1:10" x14ac:dyDescent="0.25">
      <c r="A1" s="307" t="str">
        <f>'SUMMARY BY FUND'!A1:J1</f>
        <v>2019-20 BUDGET</v>
      </c>
      <c r="B1" s="308"/>
      <c r="C1" s="308"/>
      <c r="D1" s="308"/>
      <c r="E1" s="308"/>
      <c r="F1" s="308"/>
      <c r="G1" s="308"/>
      <c r="H1" s="308"/>
      <c r="I1" s="308"/>
      <c r="J1" s="308"/>
    </row>
    <row r="2" spans="1:10" ht="17.399999999999999" x14ac:dyDescent="0.3">
      <c r="A2" s="180" t="s">
        <v>1941</v>
      </c>
      <c r="B2" s="180"/>
      <c r="C2" s="180"/>
      <c r="D2" s="180"/>
      <c r="E2" s="180"/>
      <c r="F2" s="180"/>
    </row>
    <row r="3" spans="1:10" x14ac:dyDescent="0.25">
      <c r="B3" s="2"/>
      <c r="C3" s="2"/>
      <c r="E3" s="2"/>
      <c r="F3" s="2"/>
    </row>
    <row r="4" spans="1:10" x14ac:dyDescent="0.25">
      <c r="B4" s="2"/>
      <c r="C4" s="2"/>
      <c r="E4" s="195" t="s">
        <v>233</v>
      </c>
      <c r="F4" s="195" t="s">
        <v>234</v>
      </c>
      <c r="G4" s="195" t="s">
        <v>70</v>
      </c>
      <c r="H4" s="195" t="s">
        <v>409</v>
      </c>
      <c r="I4" s="16" t="s">
        <v>314</v>
      </c>
      <c r="J4" s="16" t="s">
        <v>345</v>
      </c>
    </row>
    <row r="5" spans="1:10" ht="15" x14ac:dyDescent="0.4">
      <c r="B5" s="2"/>
      <c r="C5" s="2"/>
      <c r="E5" s="225" t="s">
        <v>1794</v>
      </c>
      <c r="F5" s="225" t="s">
        <v>1970</v>
      </c>
      <c r="G5" s="225" t="s">
        <v>2129</v>
      </c>
      <c r="H5" s="225" t="s">
        <v>2129</v>
      </c>
      <c r="I5" s="225" t="s">
        <v>2129</v>
      </c>
      <c r="J5" s="225" t="s">
        <v>2129</v>
      </c>
    </row>
    <row r="6" spans="1:10" ht="13.8" x14ac:dyDescent="0.3">
      <c r="A6" s="215" t="s">
        <v>520</v>
      </c>
      <c r="B6" s="2"/>
      <c r="C6" s="2"/>
      <c r="E6" s="2">
        <v>105162.17</v>
      </c>
      <c r="F6" s="2">
        <v>110381</v>
      </c>
      <c r="G6" s="2">
        <v>110381</v>
      </c>
      <c r="H6" s="2">
        <v>110381</v>
      </c>
      <c r="I6" s="2">
        <v>110381</v>
      </c>
      <c r="J6" s="2">
        <v>112570</v>
      </c>
    </row>
    <row r="7" spans="1:10" x14ac:dyDescent="0.25">
      <c r="A7" s="214" t="s">
        <v>1023</v>
      </c>
      <c r="B7" s="2">
        <v>52</v>
      </c>
      <c r="C7" s="2">
        <v>1269</v>
      </c>
      <c r="D7" s="2">
        <f>ROUND(B7*C7,0)</f>
        <v>65988</v>
      </c>
      <c r="E7" s="2"/>
      <c r="F7" s="2"/>
      <c r="G7" s="2"/>
      <c r="H7" s="2"/>
      <c r="I7" s="2"/>
      <c r="J7" s="2"/>
    </row>
    <row r="8" spans="1:10" x14ac:dyDescent="0.25">
      <c r="A8" s="214" t="s">
        <v>1024</v>
      </c>
      <c r="B8" s="2">
        <v>52</v>
      </c>
      <c r="C8" s="2">
        <v>825</v>
      </c>
      <c r="D8" s="2">
        <f>ROUND(B8*C8,0)</f>
        <v>42900</v>
      </c>
      <c r="E8" s="2"/>
      <c r="F8" s="2"/>
      <c r="G8" s="2"/>
      <c r="H8" s="2"/>
      <c r="I8" s="2"/>
      <c r="J8" s="2"/>
    </row>
    <row r="9" spans="1:10" x14ac:dyDescent="0.25">
      <c r="A9" s="214" t="s">
        <v>960</v>
      </c>
      <c r="B9" s="2">
        <v>56</v>
      </c>
      <c r="C9" s="12">
        <f>+C7/40</f>
        <v>31.725000000000001</v>
      </c>
      <c r="D9" s="2">
        <f>ROUND(B9*C9,0)</f>
        <v>1777</v>
      </c>
      <c r="E9" s="2"/>
      <c r="F9" s="2"/>
      <c r="G9" s="2"/>
      <c r="H9" s="2"/>
      <c r="I9" s="2"/>
      <c r="J9" s="2"/>
    </row>
    <row r="10" spans="1:10" x14ac:dyDescent="0.25">
      <c r="A10" s="214" t="s">
        <v>961</v>
      </c>
      <c r="B10" s="2">
        <v>56</v>
      </c>
      <c r="C10" s="12">
        <f>+C8/40</f>
        <v>20.625</v>
      </c>
      <c r="D10" s="2">
        <f>ROUND(B10*C10,0)</f>
        <v>1155</v>
      </c>
      <c r="E10" s="2"/>
      <c r="F10" s="2"/>
      <c r="G10" s="2"/>
      <c r="H10" s="2"/>
      <c r="I10" s="2"/>
      <c r="J10" s="2"/>
    </row>
    <row r="11" spans="1:10" ht="15" x14ac:dyDescent="0.4">
      <c r="A11" s="214" t="s">
        <v>973</v>
      </c>
      <c r="B11" s="2"/>
      <c r="C11" s="2"/>
      <c r="D11" s="11">
        <v>750</v>
      </c>
      <c r="E11" s="2"/>
      <c r="F11" s="2"/>
      <c r="G11" s="2"/>
      <c r="H11" s="2"/>
      <c r="I11" s="2"/>
      <c r="J11" s="2"/>
    </row>
    <row r="12" spans="1:10" x14ac:dyDescent="0.25">
      <c r="A12" s="214" t="s">
        <v>1247</v>
      </c>
      <c r="B12" s="2"/>
      <c r="C12" s="2"/>
      <c r="D12" s="2">
        <f>SUM(D7:D11)</f>
        <v>112570</v>
      </c>
      <c r="E12" s="2"/>
      <c r="F12" s="2"/>
      <c r="G12" s="2"/>
      <c r="H12" s="2"/>
      <c r="I12" s="2"/>
      <c r="J12" s="2"/>
    </row>
    <row r="13" spans="1:10" x14ac:dyDescent="0.25">
      <c r="B13" s="2"/>
      <c r="C13" s="2"/>
      <c r="E13" s="2"/>
      <c r="F13" s="2"/>
      <c r="G13" s="2"/>
      <c r="H13" s="2"/>
      <c r="I13" s="2"/>
      <c r="J13" s="2"/>
    </row>
    <row r="14" spans="1:10" ht="13.8" x14ac:dyDescent="0.3">
      <c r="A14" s="215" t="s">
        <v>521</v>
      </c>
      <c r="B14" s="2"/>
      <c r="C14" s="2"/>
      <c r="D14" s="2">
        <f t="shared" ref="D14:D20" si="0">ROUND(B14*C14,0)</f>
        <v>0</v>
      </c>
      <c r="E14" s="2">
        <v>164774.24</v>
      </c>
      <c r="F14" s="2">
        <v>187921</v>
      </c>
      <c r="G14" s="2">
        <v>187974</v>
      </c>
      <c r="H14" s="2">
        <v>187974</v>
      </c>
      <c r="I14" s="2">
        <v>187974</v>
      </c>
      <c r="J14" s="2">
        <v>192235</v>
      </c>
    </row>
    <row r="15" spans="1:10" x14ac:dyDescent="0.25">
      <c r="A15" s="200" t="s">
        <v>2151</v>
      </c>
      <c r="B15" s="210">
        <v>52</v>
      </c>
      <c r="C15" s="211">
        <v>969</v>
      </c>
      <c r="D15" s="2">
        <f t="shared" si="0"/>
        <v>50388</v>
      </c>
      <c r="E15" s="2"/>
      <c r="F15" s="2"/>
      <c r="G15" s="2"/>
      <c r="H15" s="2"/>
      <c r="I15" s="2"/>
      <c r="J15" s="2"/>
    </row>
    <row r="16" spans="1:10" x14ac:dyDescent="0.25">
      <c r="A16" s="200" t="s">
        <v>2151</v>
      </c>
      <c r="B16" s="210">
        <v>52</v>
      </c>
      <c r="C16" s="211">
        <v>931</v>
      </c>
      <c r="D16" s="2">
        <f t="shared" si="0"/>
        <v>48412</v>
      </c>
      <c r="E16" s="2"/>
      <c r="F16" s="2"/>
      <c r="G16" s="2"/>
      <c r="H16" s="2"/>
      <c r="I16" s="2"/>
      <c r="J16" s="2"/>
    </row>
    <row r="17" spans="1:10" x14ac:dyDescent="0.25">
      <c r="A17" s="200" t="s">
        <v>2152</v>
      </c>
      <c r="B17" s="210">
        <v>52</v>
      </c>
      <c r="C17" s="211">
        <v>825</v>
      </c>
      <c r="D17" s="2">
        <f t="shared" si="0"/>
        <v>42900</v>
      </c>
      <c r="E17" s="2"/>
      <c r="F17" s="2"/>
      <c r="G17" s="2"/>
      <c r="H17" s="2"/>
      <c r="I17" s="2"/>
      <c r="J17" s="2"/>
    </row>
    <row r="18" spans="1:10" x14ac:dyDescent="0.25">
      <c r="A18" s="200" t="s">
        <v>2152</v>
      </c>
      <c r="B18" s="210">
        <v>52</v>
      </c>
      <c r="C18" s="211">
        <v>825</v>
      </c>
      <c r="D18" s="2">
        <f t="shared" si="0"/>
        <v>42900</v>
      </c>
      <c r="E18" s="2"/>
      <c r="F18" s="2"/>
      <c r="G18" s="2"/>
      <c r="H18" s="2"/>
      <c r="I18" s="2"/>
      <c r="J18" s="2"/>
    </row>
    <row r="19" spans="1:10" x14ac:dyDescent="0.25">
      <c r="A19" s="214" t="s">
        <v>692</v>
      </c>
      <c r="B19" s="2">
        <v>1664</v>
      </c>
      <c r="C19" s="12">
        <v>1</v>
      </c>
      <c r="D19" s="2">
        <f t="shared" si="0"/>
        <v>1664</v>
      </c>
      <c r="E19" s="2"/>
      <c r="F19" s="2"/>
      <c r="G19" s="2"/>
      <c r="H19" s="2"/>
      <c r="I19" s="2"/>
      <c r="J19" s="2"/>
    </row>
    <row r="20" spans="1:10" x14ac:dyDescent="0.25">
      <c r="A20" s="214" t="s">
        <v>693</v>
      </c>
      <c r="B20" s="2">
        <v>224</v>
      </c>
      <c r="C20" s="12">
        <f>SUM(C15:C19)/40/4</f>
        <v>22.193750000000001</v>
      </c>
      <c r="D20" s="2">
        <f t="shared" si="0"/>
        <v>4971</v>
      </c>
      <c r="E20" s="2"/>
      <c r="F20" s="2"/>
      <c r="G20" s="2"/>
      <c r="H20" s="2"/>
      <c r="I20" s="2"/>
      <c r="J20" s="2"/>
    </row>
    <row r="21" spans="1:10" ht="15" x14ac:dyDescent="0.4">
      <c r="A21" s="214" t="s">
        <v>973</v>
      </c>
      <c r="B21" s="2" t="s">
        <v>396</v>
      </c>
      <c r="C21" s="47" t="s">
        <v>396</v>
      </c>
      <c r="D21" s="11">
        <v>1000</v>
      </c>
      <c r="E21" s="2"/>
      <c r="F21" s="2"/>
      <c r="G21" s="2"/>
      <c r="H21" s="2"/>
      <c r="I21" s="2"/>
      <c r="J21" s="2"/>
    </row>
    <row r="22" spans="1:10" x14ac:dyDescent="0.25">
      <c r="A22" s="214" t="s">
        <v>1247</v>
      </c>
      <c r="B22" s="2"/>
      <c r="C22" s="2"/>
      <c r="D22" s="2">
        <f>SUM(D15:D21)</f>
        <v>192235</v>
      </c>
      <c r="E22" s="2"/>
      <c r="F22" s="2"/>
      <c r="G22" s="2"/>
      <c r="H22" s="2"/>
      <c r="I22" s="2"/>
      <c r="J22" s="2"/>
    </row>
    <row r="23" spans="1:10" x14ac:dyDescent="0.25">
      <c r="E23" s="2"/>
      <c r="F23" s="2"/>
      <c r="G23" s="2"/>
      <c r="H23" s="2"/>
      <c r="I23" s="2"/>
      <c r="J23" s="2"/>
    </row>
    <row r="24" spans="1:10" ht="13.8" x14ac:dyDescent="0.3">
      <c r="A24" s="215" t="s">
        <v>522</v>
      </c>
      <c r="E24" s="2">
        <v>14621.15</v>
      </c>
      <c r="F24" s="2">
        <v>7476</v>
      </c>
      <c r="G24" s="2">
        <v>7476</v>
      </c>
      <c r="H24" s="2">
        <v>7476</v>
      </c>
      <c r="I24" s="2">
        <v>7476</v>
      </c>
      <c r="J24" s="2">
        <v>7626</v>
      </c>
    </row>
    <row r="25" spans="1:10" x14ac:dyDescent="0.25">
      <c r="A25" s="214" t="s">
        <v>1552</v>
      </c>
      <c r="B25" s="2">
        <v>194.22</v>
      </c>
      <c r="C25" s="12">
        <f>+(C7+C8)/40/2*1.5</f>
        <v>39.262500000000003</v>
      </c>
      <c r="D25" s="2">
        <f>ROUND(B25*C25,0)</f>
        <v>7626</v>
      </c>
      <c r="E25" s="2"/>
      <c r="F25" s="2"/>
      <c r="G25" s="2"/>
      <c r="H25" s="2"/>
      <c r="I25" s="2"/>
      <c r="J25" s="2"/>
    </row>
    <row r="26" spans="1:10" x14ac:dyDescent="0.25">
      <c r="A26" s="214" t="s">
        <v>396</v>
      </c>
      <c r="B26" s="2"/>
      <c r="C26" s="12"/>
      <c r="E26" s="2"/>
      <c r="F26" s="2"/>
      <c r="G26" s="2"/>
      <c r="H26" s="2"/>
      <c r="I26" s="2"/>
      <c r="J26" s="2"/>
    </row>
    <row r="27" spans="1:10" ht="13.8" x14ac:dyDescent="0.3">
      <c r="A27" s="215" t="s">
        <v>1803</v>
      </c>
      <c r="E27" s="2">
        <v>14758.85</v>
      </c>
      <c r="F27" s="2">
        <v>12281</v>
      </c>
      <c r="G27" s="2">
        <v>12281</v>
      </c>
      <c r="H27" s="2">
        <v>12281</v>
      </c>
      <c r="I27" s="2">
        <v>12770</v>
      </c>
      <c r="J27" s="2">
        <v>12770</v>
      </c>
    </row>
    <row r="28" spans="1:10" x14ac:dyDescent="0.25">
      <c r="A28" s="23" t="s">
        <v>1689</v>
      </c>
      <c r="B28" s="214">
        <v>1020</v>
      </c>
      <c r="C28" s="136">
        <v>12.52</v>
      </c>
      <c r="D28" s="2">
        <f>+C28*B28</f>
        <v>12770.4</v>
      </c>
      <c r="E28" s="2"/>
      <c r="H28" s="247"/>
      <c r="I28" s="295"/>
      <c r="J28" s="298"/>
    </row>
    <row r="29" spans="1:10" x14ac:dyDescent="0.25">
      <c r="B29" s="2"/>
      <c r="C29" s="12"/>
      <c r="E29" s="2"/>
      <c r="F29" s="2"/>
      <c r="G29" s="2"/>
      <c r="H29" s="2"/>
      <c r="I29" s="2"/>
      <c r="J29" s="2"/>
    </row>
    <row r="30" spans="1:10" ht="13.8" x14ac:dyDescent="0.3">
      <c r="A30" s="215" t="s">
        <v>558</v>
      </c>
      <c r="E30" s="2">
        <v>50238.8</v>
      </c>
      <c r="F30" s="2">
        <v>32604</v>
      </c>
      <c r="G30" s="2">
        <v>32613</v>
      </c>
      <c r="H30" s="2">
        <v>32613</v>
      </c>
      <c r="I30" s="2">
        <v>32613</v>
      </c>
      <c r="J30" s="2">
        <v>33291</v>
      </c>
    </row>
    <row r="31" spans="1:10" x14ac:dyDescent="0.25">
      <c r="A31" s="214" t="s">
        <v>1553</v>
      </c>
      <c r="B31" s="2" t="s">
        <v>396</v>
      </c>
      <c r="C31" s="12" t="s">
        <v>396</v>
      </c>
      <c r="D31" s="2" t="s">
        <v>396</v>
      </c>
      <c r="E31" s="2"/>
      <c r="F31" s="2"/>
      <c r="G31" s="2"/>
      <c r="H31" s="2"/>
      <c r="I31" s="2"/>
      <c r="J31" s="2"/>
    </row>
    <row r="32" spans="1:10" x14ac:dyDescent="0.25">
      <c r="A32" s="214" t="s">
        <v>727</v>
      </c>
      <c r="B32" s="2">
        <v>1000</v>
      </c>
      <c r="C32" s="12">
        <f>+C20*1.5</f>
        <v>33.290625000000006</v>
      </c>
      <c r="D32" s="2">
        <f>ROUND(B32*C32,0)</f>
        <v>33291</v>
      </c>
      <c r="E32" s="2"/>
      <c r="F32" s="2"/>
      <c r="G32" s="2"/>
      <c r="H32" s="2"/>
      <c r="I32" s="2"/>
      <c r="J32" s="2"/>
    </row>
    <row r="33" spans="1:10" ht="13.5" customHeight="1" x14ac:dyDescent="0.25">
      <c r="B33" s="2"/>
      <c r="C33" s="12"/>
      <c r="E33" s="2"/>
      <c r="F33" s="2"/>
      <c r="G33" s="2"/>
      <c r="H33" s="2"/>
      <c r="I33" s="2"/>
      <c r="J33" s="2"/>
    </row>
    <row r="34" spans="1:10" ht="13.8" x14ac:dyDescent="0.3">
      <c r="A34" s="215" t="s">
        <v>559</v>
      </c>
      <c r="E34" s="2">
        <v>26887.54</v>
      </c>
      <c r="F34" s="2">
        <v>26825</v>
      </c>
      <c r="G34" s="2">
        <v>26830</v>
      </c>
      <c r="H34" s="2">
        <v>26830</v>
      </c>
      <c r="I34" s="2">
        <v>26868</v>
      </c>
      <c r="J34" s="2">
        <v>27425</v>
      </c>
    </row>
    <row r="35" spans="1:10" x14ac:dyDescent="0.25">
      <c r="A35" s="13" t="s">
        <v>1468</v>
      </c>
      <c r="B35" s="2">
        <f>+D12</f>
        <v>112570</v>
      </c>
      <c r="C35" s="14">
        <v>7.6499999999999999E-2</v>
      </c>
      <c r="D35" s="2">
        <f>ROUND(B35*C35,0)</f>
        <v>8612</v>
      </c>
      <c r="E35" s="2"/>
      <c r="F35" s="2"/>
      <c r="G35" s="2"/>
      <c r="H35" s="2"/>
      <c r="I35" s="2"/>
      <c r="J35" s="2"/>
    </row>
    <row r="36" spans="1:10" x14ac:dyDescent="0.25">
      <c r="A36" s="13" t="s">
        <v>807</v>
      </c>
      <c r="B36" s="2">
        <f>+D22</f>
        <v>192235</v>
      </c>
      <c r="C36" s="14">
        <v>7.6499999999999999E-2</v>
      </c>
      <c r="D36" s="2">
        <f>ROUND(B36*C36,0)</f>
        <v>14706</v>
      </c>
      <c r="E36" s="2"/>
      <c r="F36" s="2"/>
      <c r="G36" s="2"/>
      <c r="H36" s="2"/>
      <c r="I36" s="2"/>
      <c r="J36" s="2"/>
    </row>
    <row r="37" spans="1:10" x14ac:dyDescent="0.25">
      <c r="A37" s="13" t="s">
        <v>897</v>
      </c>
      <c r="B37" s="2">
        <f>+D25</f>
        <v>7626</v>
      </c>
      <c r="C37" s="14">
        <v>7.6499999999999999E-2</v>
      </c>
      <c r="D37" s="2">
        <f>ROUND(B37*C37,0)</f>
        <v>583</v>
      </c>
      <c r="E37" s="2"/>
      <c r="F37" s="2"/>
      <c r="G37" s="2"/>
      <c r="H37" s="2"/>
      <c r="I37" s="2"/>
      <c r="J37" s="2"/>
    </row>
    <row r="38" spans="1:10" x14ac:dyDescent="0.25">
      <c r="A38" s="13" t="s">
        <v>184</v>
      </c>
      <c r="B38" s="2">
        <f>+D28</f>
        <v>12770.4</v>
      </c>
      <c r="C38" s="14">
        <v>7.6499999999999999E-2</v>
      </c>
      <c r="D38" s="2">
        <f>ROUND(B38*C38,0)</f>
        <v>977</v>
      </c>
      <c r="E38" s="2"/>
      <c r="F38" s="2"/>
      <c r="G38" s="2"/>
      <c r="H38" s="2"/>
      <c r="I38" s="2"/>
      <c r="J38" s="2"/>
    </row>
    <row r="39" spans="1:10" ht="15" x14ac:dyDescent="0.4">
      <c r="A39" s="13" t="s">
        <v>185</v>
      </c>
      <c r="B39" s="2">
        <f>+D32</f>
        <v>33291</v>
      </c>
      <c r="C39" s="14">
        <v>7.6499999999999999E-2</v>
      </c>
      <c r="D39" s="11">
        <f>ROUND(B39*C39,0)</f>
        <v>2547</v>
      </c>
      <c r="E39" s="2"/>
      <c r="F39" s="2"/>
      <c r="G39" s="2"/>
      <c r="H39" s="2"/>
      <c r="I39" s="2"/>
      <c r="J39" s="2"/>
    </row>
    <row r="40" spans="1:10" x14ac:dyDescent="0.25">
      <c r="A40" s="214" t="s">
        <v>118</v>
      </c>
      <c r="D40" s="2">
        <f>SUM(D35:D39)</f>
        <v>27425</v>
      </c>
      <c r="E40" s="2"/>
      <c r="F40" s="2"/>
      <c r="G40" s="2"/>
      <c r="H40" s="2"/>
      <c r="I40" s="2"/>
      <c r="J40" s="2"/>
    </row>
    <row r="41" spans="1:10" x14ac:dyDescent="0.25">
      <c r="B41" s="2"/>
      <c r="E41" s="2"/>
      <c r="F41" s="2"/>
      <c r="G41" s="2"/>
      <c r="H41" s="2"/>
      <c r="I41" s="2"/>
      <c r="J41" s="2"/>
    </row>
    <row r="42" spans="1:10" ht="13.8" x14ac:dyDescent="0.3">
      <c r="A42" s="215" t="s">
        <v>560</v>
      </c>
      <c r="E42" s="2">
        <v>37970.54</v>
      </c>
      <c r="F42" s="2">
        <v>38507</v>
      </c>
      <c r="G42" s="2">
        <v>37805</v>
      </c>
      <c r="H42" s="2">
        <v>37805</v>
      </c>
      <c r="I42" s="2">
        <v>37805</v>
      </c>
      <c r="J42" s="2">
        <v>38618</v>
      </c>
    </row>
    <row r="43" spans="1:10" x14ac:dyDescent="0.25">
      <c r="A43" s="214" t="s">
        <v>728</v>
      </c>
      <c r="B43" s="2">
        <f>+D7+D9+D11</f>
        <v>68515</v>
      </c>
      <c r="C43" s="14">
        <v>0.11169999999999999</v>
      </c>
      <c r="D43" s="2">
        <f>ROUND(B43*C43,0)</f>
        <v>7653</v>
      </c>
      <c r="E43" s="2"/>
      <c r="F43" s="2"/>
      <c r="G43" s="2"/>
      <c r="H43" s="2"/>
      <c r="I43" s="2"/>
      <c r="J43" s="2"/>
    </row>
    <row r="44" spans="1:10" x14ac:dyDescent="0.25">
      <c r="A44" s="214" t="s">
        <v>500</v>
      </c>
      <c r="B44" s="2">
        <f>+D8+D10</f>
        <v>44055</v>
      </c>
      <c r="C44" s="14">
        <v>0.11169999999999999</v>
      </c>
      <c r="D44" s="2">
        <f>ROUND(B44*C44,0)</f>
        <v>4921</v>
      </c>
      <c r="E44" s="2"/>
      <c r="F44" s="2"/>
      <c r="G44" s="2"/>
      <c r="H44" s="2"/>
      <c r="I44" s="2"/>
      <c r="J44" s="2"/>
    </row>
    <row r="45" spans="1:10" x14ac:dyDescent="0.25">
      <c r="A45" s="13" t="s">
        <v>807</v>
      </c>
      <c r="B45" s="2">
        <f>+D22</f>
        <v>192235</v>
      </c>
      <c r="C45" s="14">
        <v>0.11169999999999999</v>
      </c>
      <c r="D45" s="2">
        <f>ROUND(B45*C45,0)</f>
        <v>21473</v>
      </c>
      <c r="E45" s="2"/>
      <c r="F45" s="2"/>
      <c r="G45" s="2"/>
      <c r="H45" s="2"/>
      <c r="I45" s="2"/>
      <c r="J45" s="2"/>
    </row>
    <row r="46" spans="1:10" x14ac:dyDescent="0.25">
      <c r="A46" s="13" t="s">
        <v>897</v>
      </c>
      <c r="B46" s="2">
        <f>+D25</f>
        <v>7626</v>
      </c>
      <c r="C46" s="14">
        <v>0.11169999999999999</v>
      </c>
      <c r="D46" s="2">
        <f>ROUND(B46*C46,0)</f>
        <v>852</v>
      </c>
      <c r="E46" s="2"/>
      <c r="F46" s="2"/>
      <c r="G46" s="2"/>
      <c r="H46" s="2"/>
      <c r="I46" s="2"/>
      <c r="J46" s="2"/>
    </row>
    <row r="47" spans="1:10" ht="15" x14ac:dyDescent="0.4">
      <c r="A47" s="13" t="s">
        <v>185</v>
      </c>
      <c r="B47" s="2">
        <f>+D32</f>
        <v>33291</v>
      </c>
      <c r="C47" s="14">
        <v>0.11169999999999999</v>
      </c>
      <c r="D47" s="11">
        <f>ROUND(B47*C47,0)</f>
        <v>3719</v>
      </c>
      <c r="E47" s="2"/>
      <c r="F47" s="2"/>
      <c r="G47" s="2"/>
      <c r="H47" s="2"/>
      <c r="I47" s="2"/>
      <c r="J47" s="2"/>
    </row>
    <row r="48" spans="1:10" x14ac:dyDescent="0.25">
      <c r="A48" s="214" t="s">
        <v>1247</v>
      </c>
      <c r="D48" s="2">
        <f>SUM(D43:D47)</f>
        <v>38618</v>
      </c>
      <c r="E48" s="2"/>
      <c r="F48" s="2"/>
      <c r="G48" s="2"/>
      <c r="H48" s="2"/>
      <c r="I48" s="2"/>
      <c r="J48" s="2"/>
    </row>
    <row r="49" spans="1:10" x14ac:dyDescent="0.25">
      <c r="E49" s="2"/>
      <c r="F49" s="2"/>
      <c r="G49" s="2"/>
      <c r="H49" s="2"/>
      <c r="I49" s="2"/>
      <c r="J49" s="2"/>
    </row>
    <row r="50" spans="1:10" ht="13.8" x14ac:dyDescent="0.3">
      <c r="A50" s="215" t="s">
        <v>561</v>
      </c>
      <c r="E50" s="2">
        <v>93266.27</v>
      </c>
      <c r="F50" s="2">
        <v>109800</v>
      </c>
      <c r="G50" s="2">
        <v>111600</v>
      </c>
      <c r="H50" s="2">
        <v>114150</v>
      </c>
      <c r="I50" s="2">
        <v>114150</v>
      </c>
      <c r="J50" s="2">
        <v>114150</v>
      </c>
    </row>
    <row r="51" spans="1:10" x14ac:dyDescent="0.25">
      <c r="A51" s="214" t="s">
        <v>1744</v>
      </c>
      <c r="B51" s="2">
        <v>4</v>
      </c>
      <c r="C51" s="2">
        <v>19025</v>
      </c>
      <c r="D51" s="2">
        <f>ROUND(B51*C51,0)</f>
        <v>76100</v>
      </c>
      <c r="E51" s="2"/>
      <c r="F51" s="2"/>
      <c r="G51" s="2"/>
      <c r="H51" s="2"/>
      <c r="I51" s="2"/>
      <c r="J51" s="2"/>
    </row>
    <row r="52" spans="1:10" ht="15" x14ac:dyDescent="0.4">
      <c r="B52" s="2">
        <v>2</v>
      </c>
      <c r="C52" s="2">
        <v>19025</v>
      </c>
      <c r="D52" s="11">
        <f>ROUND(B52*C52,0)</f>
        <v>38050</v>
      </c>
      <c r="E52" s="2"/>
      <c r="F52" s="2"/>
      <c r="G52" s="2"/>
      <c r="H52" s="2"/>
      <c r="I52" s="2"/>
      <c r="J52" s="2"/>
    </row>
    <row r="53" spans="1:10" x14ac:dyDescent="0.25">
      <c r="A53" s="214" t="s">
        <v>801</v>
      </c>
      <c r="B53" s="2"/>
      <c r="C53" s="2"/>
      <c r="D53" s="2">
        <f>SUM(D51:D52)</f>
        <v>114150</v>
      </c>
      <c r="E53" s="2"/>
      <c r="F53" s="2"/>
      <c r="G53" s="2"/>
      <c r="H53" s="2"/>
      <c r="I53" s="2"/>
      <c r="J53" s="2"/>
    </row>
    <row r="54" spans="1:10" x14ac:dyDescent="0.25">
      <c r="B54" s="2"/>
      <c r="E54" s="2"/>
      <c r="F54" s="2"/>
      <c r="G54" s="2"/>
      <c r="H54" s="2"/>
      <c r="I54" s="2"/>
      <c r="J54" s="2"/>
    </row>
    <row r="55" spans="1:10" ht="13.8" x14ac:dyDescent="0.3">
      <c r="A55" s="215" t="s">
        <v>562</v>
      </c>
      <c r="B55" s="2"/>
      <c r="E55" s="2">
        <v>6848.41</v>
      </c>
      <c r="F55" s="2">
        <v>7020</v>
      </c>
      <c r="G55" s="2">
        <v>7209</v>
      </c>
      <c r="H55" s="2">
        <v>7290</v>
      </c>
      <c r="I55" s="2">
        <v>7290</v>
      </c>
      <c r="J55" s="2">
        <v>7290</v>
      </c>
    </row>
    <row r="56" spans="1:10" x14ac:dyDescent="0.25">
      <c r="A56" s="214" t="s">
        <v>416</v>
      </c>
      <c r="B56" s="2">
        <v>6</v>
      </c>
      <c r="C56" s="2">
        <v>1350</v>
      </c>
      <c r="D56" s="2">
        <f>ROUND(B56*C56,0)</f>
        <v>8100</v>
      </c>
      <c r="E56" s="2"/>
      <c r="F56" s="2"/>
      <c r="G56" s="2"/>
      <c r="H56" s="2"/>
      <c r="I56" s="2"/>
      <c r="J56" s="2"/>
    </row>
    <row r="57" spans="1:10" ht="15" x14ac:dyDescent="0.4">
      <c r="A57" s="214" t="s">
        <v>1745</v>
      </c>
      <c r="B57" s="2"/>
      <c r="C57" s="2"/>
      <c r="D57" s="11">
        <f>+D56*-0.1</f>
        <v>-810</v>
      </c>
      <c r="E57" s="2"/>
      <c r="F57" s="2"/>
      <c r="G57" s="2"/>
      <c r="H57" s="2"/>
      <c r="I57" s="2"/>
      <c r="J57" s="2"/>
    </row>
    <row r="58" spans="1:10" x14ac:dyDescent="0.25">
      <c r="B58" s="2"/>
      <c r="C58" s="2"/>
      <c r="D58" s="2">
        <f>SUM(D56:D57)</f>
        <v>7290</v>
      </c>
      <c r="E58" s="2"/>
      <c r="F58" s="2"/>
      <c r="G58" s="2"/>
      <c r="H58" s="2"/>
      <c r="I58" s="2"/>
      <c r="J58" s="2"/>
    </row>
    <row r="59" spans="1:10" x14ac:dyDescent="0.25">
      <c r="E59" s="2"/>
      <c r="F59" s="2"/>
      <c r="G59" s="2"/>
      <c r="H59" s="2"/>
      <c r="I59" s="2"/>
      <c r="J59" s="2"/>
    </row>
    <row r="60" spans="1:10" ht="13.8" x14ac:dyDescent="0.3">
      <c r="A60" s="215" t="s">
        <v>563</v>
      </c>
      <c r="E60" s="2">
        <v>328.46</v>
      </c>
      <c r="F60" s="2">
        <v>410</v>
      </c>
      <c r="G60" s="2">
        <v>410</v>
      </c>
      <c r="H60" s="2">
        <v>410</v>
      </c>
      <c r="I60" s="2">
        <v>410</v>
      </c>
      <c r="J60" s="2">
        <v>410</v>
      </c>
    </row>
    <row r="61" spans="1:10" hidden="1" x14ac:dyDescent="0.25">
      <c r="A61" s="214" t="s">
        <v>346</v>
      </c>
      <c r="B61" s="2">
        <v>2</v>
      </c>
      <c r="C61" s="2">
        <v>135</v>
      </c>
      <c r="D61" s="2">
        <f>ROUND(B61*C61,0)</f>
        <v>270</v>
      </c>
      <c r="E61" s="2"/>
      <c r="F61" s="2"/>
      <c r="G61" s="2"/>
      <c r="H61" s="2"/>
      <c r="I61" s="2"/>
      <c r="J61" s="2"/>
    </row>
    <row r="62" spans="1:10" ht="15" hidden="1" x14ac:dyDescent="0.4">
      <c r="A62" s="214" t="s">
        <v>1059</v>
      </c>
      <c r="B62" s="2">
        <v>4</v>
      </c>
      <c r="C62" s="2">
        <v>35</v>
      </c>
      <c r="D62" s="11">
        <f>ROUND(B62*C62,0)</f>
        <v>140</v>
      </c>
      <c r="E62" s="2"/>
      <c r="F62" s="2"/>
      <c r="G62" s="2"/>
      <c r="H62" s="2"/>
      <c r="I62" s="2"/>
      <c r="J62" s="2"/>
    </row>
    <row r="63" spans="1:10" hidden="1" x14ac:dyDescent="0.25">
      <c r="A63" s="214" t="s">
        <v>1247</v>
      </c>
      <c r="D63" s="2">
        <f>SUM(D61:D62)</f>
        <v>410</v>
      </c>
      <c r="E63" s="2"/>
      <c r="F63" s="2"/>
      <c r="G63" s="2"/>
      <c r="H63" s="2"/>
      <c r="I63" s="2"/>
      <c r="J63" s="2"/>
    </row>
    <row r="64" spans="1:10" x14ac:dyDescent="0.25">
      <c r="E64" s="2"/>
      <c r="F64" s="2"/>
      <c r="G64" s="2"/>
      <c r="H64" s="2"/>
      <c r="I64" s="2"/>
      <c r="J64" s="2"/>
    </row>
    <row r="65" spans="1:10" ht="13.8" x14ac:dyDescent="0.3">
      <c r="A65" s="215" t="s">
        <v>564</v>
      </c>
      <c r="E65" s="2">
        <v>2513.2399999999998</v>
      </c>
      <c r="F65" s="2">
        <v>3780</v>
      </c>
      <c r="G65" s="2">
        <v>3600</v>
      </c>
      <c r="H65" s="2">
        <v>3600</v>
      </c>
      <c r="I65" s="2">
        <v>3600</v>
      </c>
      <c r="J65" s="2">
        <v>3600</v>
      </c>
    </row>
    <row r="66" spans="1:10" hidden="1" x14ac:dyDescent="0.25">
      <c r="A66" s="214" t="s">
        <v>827</v>
      </c>
      <c r="B66" s="2">
        <v>6</v>
      </c>
      <c r="C66" s="2">
        <v>600</v>
      </c>
      <c r="D66" s="2">
        <f>ROUND(B66*C66,0)</f>
        <v>3600</v>
      </c>
      <c r="E66" s="2"/>
      <c r="F66" s="2"/>
      <c r="G66" s="2"/>
      <c r="H66" s="2"/>
      <c r="I66" s="2"/>
      <c r="J66" s="2"/>
    </row>
    <row r="67" spans="1:10" x14ac:dyDescent="0.25">
      <c r="E67" s="2"/>
      <c r="F67" s="2"/>
      <c r="G67" s="2"/>
      <c r="H67" s="2"/>
      <c r="I67" s="2"/>
      <c r="J67" s="2"/>
    </row>
    <row r="68" spans="1:10" ht="13.8" x14ac:dyDescent="0.3">
      <c r="A68" s="215" t="s">
        <v>565</v>
      </c>
      <c r="E68" s="2">
        <v>8421.52</v>
      </c>
      <c r="F68" s="2">
        <v>10099</v>
      </c>
      <c r="G68" s="2">
        <v>7997</v>
      </c>
      <c r="H68" s="2">
        <v>7997</v>
      </c>
      <c r="I68" s="2">
        <v>8008</v>
      </c>
      <c r="J68" s="2">
        <v>8174</v>
      </c>
    </row>
    <row r="69" spans="1:10" x14ac:dyDescent="0.25">
      <c r="A69" s="13" t="s">
        <v>1468</v>
      </c>
      <c r="B69" s="2">
        <f>+D12</f>
        <v>112570</v>
      </c>
      <c r="C69" s="14">
        <v>2.2800000000000001E-2</v>
      </c>
      <c r="D69" s="2">
        <f>ROUND(B69*C69,0)</f>
        <v>2567</v>
      </c>
      <c r="E69" s="2"/>
      <c r="F69" s="2"/>
      <c r="G69" s="2"/>
      <c r="H69" s="2"/>
      <c r="I69" s="2"/>
      <c r="J69" s="2"/>
    </row>
    <row r="70" spans="1:10" x14ac:dyDescent="0.25">
      <c r="A70" s="13" t="s">
        <v>807</v>
      </c>
      <c r="B70" s="2">
        <f>+B45</f>
        <v>192235</v>
      </c>
      <c r="C70" s="14">
        <v>2.2800000000000001E-2</v>
      </c>
      <c r="D70" s="2">
        <f>ROUND(B70*C70,0)</f>
        <v>4383</v>
      </c>
      <c r="E70" s="2"/>
      <c r="F70" s="2"/>
      <c r="G70" s="2"/>
      <c r="H70" s="2"/>
      <c r="I70" s="2"/>
      <c r="J70" s="2"/>
    </row>
    <row r="71" spans="1:10" x14ac:dyDescent="0.25">
      <c r="A71" s="13" t="s">
        <v>1982</v>
      </c>
      <c r="B71" s="2">
        <f>ROUND(+D25,0)</f>
        <v>7626</v>
      </c>
      <c r="C71" s="14">
        <v>2.2800000000000001E-2</v>
      </c>
      <c r="D71" s="2">
        <f>ROUND(B71*C71,0)</f>
        <v>174</v>
      </c>
      <c r="E71" s="2"/>
      <c r="F71" s="2"/>
      <c r="G71" s="2"/>
      <c r="H71" s="2"/>
      <c r="I71" s="2"/>
      <c r="J71" s="2"/>
    </row>
    <row r="72" spans="1:10" x14ac:dyDescent="0.25">
      <c r="A72" s="34">
        <v>8107</v>
      </c>
      <c r="B72" s="2">
        <f>+D28</f>
        <v>12770.4</v>
      </c>
      <c r="C72" s="14">
        <v>2.2800000000000001E-2</v>
      </c>
      <c r="D72" s="2">
        <f>ROUND(B72*C72,0)</f>
        <v>291</v>
      </c>
      <c r="E72" s="2"/>
      <c r="F72" s="2"/>
      <c r="G72" s="2"/>
      <c r="H72" s="2"/>
      <c r="I72" s="2"/>
      <c r="J72" s="2"/>
    </row>
    <row r="73" spans="1:10" ht="15" x14ac:dyDescent="0.4">
      <c r="A73" s="13" t="s">
        <v>1983</v>
      </c>
      <c r="B73" s="2">
        <f>ROUND(+D32,0)</f>
        <v>33291</v>
      </c>
      <c r="C73" s="14">
        <v>2.2800000000000001E-2</v>
      </c>
      <c r="D73" s="11">
        <f>ROUND(B73*C73,0)</f>
        <v>759</v>
      </c>
      <c r="E73" s="2"/>
      <c r="F73" s="2"/>
      <c r="G73" s="2"/>
      <c r="H73" s="2"/>
      <c r="I73" s="2"/>
      <c r="J73" s="2"/>
    </row>
    <row r="74" spans="1:10" x14ac:dyDescent="0.25">
      <c r="A74" s="214" t="s">
        <v>1247</v>
      </c>
      <c r="D74" s="2">
        <f>SUM(D69:D73)</f>
        <v>8174</v>
      </c>
      <c r="E74" s="2"/>
      <c r="F74" s="2"/>
      <c r="G74" s="2"/>
      <c r="H74" s="2"/>
      <c r="I74" s="2"/>
      <c r="J74" s="2"/>
    </row>
    <row r="75" spans="1:10" x14ac:dyDescent="0.25">
      <c r="E75" s="2"/>
      <c r="F75" s="2"/>
      <c r="G75" s="2"/>
      <c r="H75" s="2"/>
      <c r="I75" s="2"/>
      <c r="J75" s="2"/>
    </row>
    <row r="76" spans="1:10" ht="13.8" x14ac:dyDescent="0.3">
      <c r="A76" s="215" t="s">
        <v>566</v>
      </c>
      <c r="E76" s="2">
        <v>164.6</v>
      </c>
      <c r="F76" s="2">
        <v>178</v>
      </c>
      <c r="G76" s="2">
        <v>178</v>
      </c>
      <c r="H76" s="2">
        <v>178</v>
      </c>
      <c r="I76" s="2">
        <v>178</v>
      </c>
      <c r="J76" s="2">
        <v>178</v>
      </c>
    </row>
    <row r="77" spans="1:10" hidden="1" x14ac:dyDescent="0.25">
      <c r="A77" s="13" t="s">
        <v>1468</v>
      </c>
      <c r="B77" s="2">
        <v>2</v>
      </c>
      <c r="C77" s="2">
        <v>26</v>
      </c>
      <c r="D77" s="2">
        <f>ROUND(B77*C77,0)</f>
        <v>52</v>
      </c>
      <c r="E77" s="2"/>
      <c r="F77" s="2"/>
      <c r="G77" s="2"/>
      <c r="H77" s="2"/>
      <c r="I77" s="2"/>
      <c r="J77" s="2"/>
    </row>
    <row r="78" spans="1:10" hidden="1" x14ac:dyDescent="0.25">
      <c r="A78" s="13" t="s">
        <v>807</v>
      </c>
      <c r="B78" s="2">
        <v>4</v>
      </c>
      <c r="C78" s="2">
        <v>26</v>
      </c>
      <c r="D78" s="2">
        <f>ROUND(B78*C78,0)</f>
        <v>104</v>
      </c>
      <c r="E78" s="2"/>
      <c r="F78" s="2"/>
      <c r="G78" s="2"/>
      <c r="H78" s="2"/>
      <c r="I78" s="2"/>
      <c r="J78" s="2"/>
    </row>
    <row r="79" spans="1:10" ht="15" hidden="1" x14ac:dyDescent="0.4">
      <c r="A79" s="13" t="s">
        <v>184</v>
      </c>
      <c r="B79" s="2">
        <f>+D28</f>
        <v>12770.4</v>
      </c>
      <c r="C79" s="14">
        <v>1.8E-3</v>
      </c>
      <c r="D79" s="11">
        <f>ROUND(B79*C79,0)</f>
        <v>23</v>
      </c>
      <c r="E79" s="2"/>
      <c r="F79" s="2"/>
      <c r="G79" s="2"/>
      <c r="H79" s="2"/>
      <c r="I79" s="2"/>
      <c r="J79" s="2"/>
    </row>
    <row r="80" spans="1:10" hidden="1" x14ac:dyDescent="0.25">
      <c r="A80" s="214" t="s">
        <v>1247</v>
      </c>
      <c r="D80" s="2">
        <f>SUM(D77:D79)</f>
        <v>179</v>
      </c>
      <c r="E80" s="2"/>
      <c r="F80" s="2"/>
      <c r="G80" s="2"/>
      <c r="H80" s="2"/>
      <c r="I80" s="2"/>
      <c r="J80" s="2"/>
    </row>
    <row r="81" spans="1:10" x14ac:dyDescent="0.25">
      <c r="E81" s="2"/>
      <c r="F81" s="2"/>
      <c r="G81" s="2"/>
      <c r="H81" s="2"/>
      <c r="I81" s="2"/>
      <c r="J81" s="2"/>
    </row>
    <row r="82" spans="1:10" x14ac:dyDescent="0.25">
      <c r="E82" s="2"/>
      <c r="F82" s="2"/>
      <c r="G82" s="2"/>
      <c r="H82" s="2"/>
      <c r="I82" s="2"/>
      <c r="J82" s="2"/>
    </row>
    <row r="83" spans="1:10" ht="13.8" x14ac:dyDescent="0.3">
      <c r="A83" s="238" t="s">
        <v>1193</v>
      </c>
      <c r="B83" s="237"/>
      <c r="C83" s="237"/>
      <c r="E83" s="2">
        <v>1240.21</v>
      </c>
      <c r="F83" s="2">
        <v>650</v>
      </c>
      <c r="G83" s="2">
        <v>1000</v>
      </c>
      <c r="H83" s="2">
        <v>1000</v>
      </c>
      <c r="I83" s="2">
        <v>1000</v>
      </c>
      <c r="J83" s="2">
        <v>1000</v>
      </c>
    </row>
    <row r="84" spans="1:10" x14ac:dyDescent="0.25">
      <c r="A84" s="237" t="s">
        <v>1554</v>
      </c>
      <c r="B84" s="237"/>
      <c r="C84" s="237"/>
      <c r="D84" s="2" t="s">
        <v>396</v>
      </c>
      <c r="E84" s="2"/>
      <c r="F84" s="2"/>
      <c r="G84" s="2"/>
      <c r="H84" s="2"/>
      <c r="I84" s="2"/>
      <c r="J84" s="2"/>
    </row>
    <row r="85" spans="1:10" x14ac:dyDescent="0.25">
      <c r="A85" s="237" t="s">
        <v>1680</v>
      </c>
      <c r="B85" s="237"/>
      <c r="C85" s="2"/>
      <c r="D85" s="2">
        <v>650</v>
      </c>
      <c r="E85" s="2"/>
      <c r="F85" s="2"/>
      <c r="G85" s="2"/>
      <c r="H85" s="2"/>
      <c r="I85" s="2"/>
      <c r="J85" s="2"/>
    </row>
    <row r="86" spans="1:10" x14ac:dyDescent="0.25">
      <c r="A86" s="237"/>
      <c r="B86" s="2"/>
      <c r="C86" s="2"/>
      <c r="E86" s="2"/>
      <c r="F86" s="2"/>
      <c r="G86" s="2"/>
      <c r="H86" s="2"/>
      <c r="I86" s="2"/>
      <c r="J86" s="2"/>
    </row>
    <row r="87" spans="1:10" ht="13.8" x14ac:dyDescent="0.3">
      <c r="A87" s="238" t="s">
        <v>1194</v>
      </c>
      <c r="B87" s="237"/>
      <c r="C87" s="2"/>
      <c r="E87" s="2">
        <v>203.58</v>
      </c>
      <c r="F87" s="2">
        <v>650</v>
      </c>
      <c r="G87" s="2">
        <v>650</v>
      </c>
      <c r="H87" s="2">
        <v>650</v>
      </c>
      <c r="I87" s="2">
        <v>650</v>
      </c>
      <c r="J87" s="2">
        <v>650</v>
      </c>
    </row>
    <row r="88" spans="1:10" x14ac:dyDescent="0.25">
      <c r="A88" s="237" t="s">
        <v>1025</v>
      </c>
      <c r="B88" s="237"/>
      <c r="C88" s="2"/>
      <c r="D88" s="2">
        <v>650</v>
      </c>
      <c r="E88" s="2"/>
      <c r="F88" s="2"/>
      <c r="G88" s="2"/>
      <c r="H88" s="2"/>
      <c r="I88" s="2"/>
      <c r="J88" s="2"/>
    </row>
    <row r="89" spans="1:10" x14ac:dyDescent="0.25">
      <c r="A89" s="237"/>
      <c r="B89" s="237"/>
      <c r="C89" s="2"/>
      <c r="E89" s="2"/>
      <c r="F89" s="2"/>
      <c r="G89" s="2"/>
      <c r="H89" s="2"/>
      <c r="I89" s="2"/>
      <c r="J89" s="2"/>
    </row>
    <row r="90" spans="1:10" ht="13.8" x14ac:dyDescent="0.3">
      <c r="A90" s="238" t="s">
        <v>1195</v>
      </c>
      <c r="B90" s="237"/>
      <c r="C90" s="2"/>
      <c r="E90" s="2">
        <v>7602.75</v>
      </c>
      <c r="F90" s="2">
        <v>5500</v>
      </c>
      <c r="G90" s="2">
        <v>6500</v>
      </c>
      <c r="H90" s="2">
        <v>6500</v>
      </c>
      <c r="I90" s="2">
        <v>6500</v>
      </c>
      <c r="J90" s="2">
        <v>6500</v>
      </c>
    </row>
    <row r="91" spans="1:10" x14ac:dyDescent="0.25">
      <c r="A91" s="6" t="s">
        <v>969</v>
      </c>
      <c r="B91" s="6"/>
      <c r="C91" s="2"/>
      <c r="E91" s="2"/>
      <c r="F91" s="2"/>
      <c r="G91" s="2"/>
      <c r="H91" s="2"/>
      <c r="I91" s="2"/>
      <c r="J91" s="2"/>
    </row>
    <row r="92" spans="1:10" x14ac:dyDescent="0.25">
      <c r="A92" s="6" t="s">
        <v>1555</v>
      </c>
      <c r="B92" s="6"/>
      <c r="C92" s="2"/>
      <c r="D92" s="2">
        <v>5500</v>
      </c>
      <c r="E92" s="2"/>
      <c r="F92" s="2"/>
      <c r="G92" s="2"/>
      <c r="H92" s="2"/>
      <c r="I92" s="2"/>
      <c r="J92" s="2"/>
    </row>
    <row r="93" spans="1:10" x14ac:dyDescent="0.25">
      <c r="A93" s="237" t="s">
        <v>396</v>
      </c>
      <c r="B93" s="237"/>
      <c r="C93" s="2"/>
      <c r="E93" s="2"/>
      <c r="F93" s="2"/>
      <c r="G93" s="2"/>
      <c r="H93" s="2"/>
      <c r="I93" s="2"/>
      <c r="J93" s="2"/>
    </row>
    <row r="94" spans="1:10" ht="13.8" x14ac:dyDescent="0.3">
      <c r="A94" s="238" t="s">
        <v>627</v>
      </c>
      <c r="B94" s="237"/>
      <c r="C94" s="237"/>
      <c r="D94" s="2" t="s">
        <v>396</v>
      </c>
      <c r="E94" s="2">
        <v>3431.55</v>
      </c>
      <c r="F94" s="2">
        <v>2832</v>
      </c>
      <c r="G94" s="2">
        <v>3000</v>
      </c>
      <c r="H94" s="2">
        <v>3000</v>
      </c>
      <c r="I94" s="2">
        <v>3000</v>
      </c>
      <c r="J94" s="2">
        <v>3272</v>
      </c>
    </row>
    <row r="95" spans="1:10" x14ac:dyDescent="0.25">
      <c r="A95" s="237" t="s">
        <v>1460</v>
      </c>
      <c r="B95" s="237">
        <v>2</v>
      </c>
      <c r="C95" s="237">
        <v>200</v>
      </c>
      <c r="D95" s="2">
        <f>+C95*B95</f>
        <v>400</v>
      </c>
      <c r="E95" s="2"/>
      <c r="F95" s="2"/>
      <c r="G95" s="2"/>
      <c r="H95" s="2"/>
      <c r="I95" s="2"/>
      <c r="J95" s="2"/>
    </row>
    <row r="96" spans="1:10" x14ac:dyDescent="0.25">
      <c r="A96" s="237" t="s">
        <v>1461</v>
      </c>
      <c r="B96" s="2">
        <v>2</v>
      </c>
      <c r="C96" s="2">
        <v>230</v>
      </c>
      <c r="D96" s="2">
        <f>+C96*B96</f>
        <v>460</v>
      </c>
      <c r="E96" s="2"/>
      <c r="F96" s="2"/>
      <c r="G96" s="2"/>
      <c r="H96" s="2"/>
      <c r="I96" s="2"/>
      <c r="J96" s="2"/>
    </row>
    <row r="97" spans="1:10" x14ac:dyDescent="0.25">
      <c r="A97" s="237" t="s">
        <v>1462</v>
      </c>
      <c r="B97" s="2">
        <v>4</v>
      </c>
      <c r="C97" s="2">
        <v>275</v>
      </c>
      <c r="D97" s="2">
        <f>+C97*B97</f>
        <v>1100</v>
      </c>
      <c r="E97" s="2"/>
      <c r="F97" s="2"/>
      <c r="G97" s="2"/>
      <c r="H97" s="2"/>
      <c r="I97" s="2"/>
      <c r="J97" s="2"/>
    </row>
    <row r="98" spans="1:10" x14ac:dyDescent="0.25">
      <c r="A98" s="237" t="s">
        <v>136</v>
      </c>
      <c r="B98" s="2">
        <v>4</v>
      </c>
      <c r="C98" s="2">
        <v>203</v>
      </c>
      <c r="D98" s="2">
        <f>+C98*B98</f>
        <v>812</v>
      </c>
      <c r="E98" s="2"/>
      <c r="F98" s="2"/>
      <c r="G98" s="2"/>
      <c r="H98" s="2"/>
      <c r="I98" s="2"/>
      <c r="J98" s="2"/>
    </row>
    <row r="99" spans="1:10" ht="15" x14ac:dyDescent="0.4">
      <c r="A99" s="237" t="s">
        <v>382</v>
      </c>
      <c r="B99" s="2"/>
      <c r="C99" s="2"/>
      <c r="D99" s="11">
        <v>500</v>
      </c>
      <c r="E99" s="2"/>
      <c r="F99" s="2"/>
      <c r="G99" s="2"/>
      <c r="H99" s="2"/>
      <c r="I99" s="2"/>
      <c r="J99" s="2"/>
    </row>
    <row r="100" spans="1:10" x14ac:dyDescent="0.25">
      <c r="A100" s="237" t="s">
        <v>1247</v>
      </c>
      <c r="B100" s="2" t="s">
        <v>396</v>
      </c>
      <c r="C100" s="2" t="s">
        <v>396</v>
      </c>
      <c r="D100" s="2">
        <f>SUM(D95:D99)</f>
        <v>3272</v>
      </c>
      <c r="E100" s="2"/>
      <c r="F100" s="2"/>
      <c r="G100" s="2"/>
      <c r="H100" s="2"/>
      <c r="I100" s="2"/>
      <c r="J100" s="2"/>
    </row>
    <row r="101" spans="1:10" x14ac:dyDescent="0.25">
      <c r="A101" s="237"/>
      <c r="B101" s="237"/>
      <c r="C101" s="237"/>
      <c r="E101" s="2"/>
      <c r="F101" s="2"/>
      <c r="G101" s="2"/>
      <c r="H101" s="2"/>
      <c r="I101" s="2"/>
      <c r="J101" s="2"/>
    </row>
    <row r="102" spans="1:10" ht="13.8" x14ac:dyDescent="0.3">
      <c r="A102" s="238" t="s">
        <v>205</v>
      </c>
      <c r="B102" s="237"/>
      <c r="C102" s="237"/>
      <c r="E102" s="2">
        <v>7136.5</v>
      </c>
      <c r="F102" s="2">
        <v>1500</v>
      </c>
      <c r="G102" s="2">
        <v>2200</v>
      </c>
      <c r="H102" s="2">
        <v>2200</v>
      </c>
      <c r="I102" s="2">
        <v>2200</v>
      </c>
      <c r="J102" s="2">
        <v>2200</v>
      </c>
    </row>
    <row r="103" spans="1:10" x14ac:dyDescent="0.25">
      <c r="A103" s="237" t="s">
        <v>1084</v>
      </c>
      <c r="B103" s="237"/>
      <c r="C103" s="237"/>
      <c r="D103" s="2">
        <v>800</v>
      </c>
      <c r="E103" s="2"/>
      <c r="F103" s="2"/>
      <c r="G103" s="2"/>
      <c r="H103" s="2"/>
      <c r="I103" s="2"/>
      <c r="J103" s="2"/>
    </row>
    <row r="104" spans="1:10" ht="15" x14ac:dyDescent="0.4">
      <c r="A104" s="237" t="s">
        <v>1681</v>
      </c>
      <c r="B104" s="237"/>
      <c r="C104" s="2"/>
      <c r="D104" s="11">
        <v>1400</v>
      </c>
      <c r="E104" s="2"/>
      <c r="F104" s="2"/>
      <c r="G104" s="2"/>
      <c r="H104" s="2"/>
      <c r="I104" s="2"/>
      <c r="J104" s="2"/>
    </row>
    <row r="105" spans="1:10" ht="15" x14ac:dyDescent="0.4">
      <c r="A105" s="237" t="s">
        <v>1247</v>
      </c>
      <c r="B105" s="237"/>
      <c r="C105" s="11"/>
      <c r="D105" s="2">
        <f>SUM(D103:D104)</f>
        <v>2200</v>
      </c>
      <c r="E105" s="2"/>
      <c r="F105" s="2"/>
      <c r="G105" s="2"/>
      <c r="H105" s="2"/>
      <c r="I105" s="2"/>
      <c r="J105" s="2"/>
    </row>
    <row r="106" spans="1:10" x14ac:dyDescent="0.25">
      <c r="A106" s="237"/>
      <c r="B106" s="2"/>
      <c r="C106" s="2"/>
      <c r="E106" s="2"/>
      <c r="F106" s="2"/>
      <c r="G106" s="2"/>
      <c r="H106" s="2"/>
      <c r="I106" s="2"/>
      <c r="J106" s="2"/>
    </row>
    <row r="107" spans="1:10" ht="13.8" x14ac:dyDescent="0.3">
      <c r="A107" s="238" t="s">
        <v>206</v>
      </c>
      <c r="B107" s="237"/>
      <c r="C107" s="2"/>
      <c r="E107" s="2">
        <v>2250</v>
      </c>
      <c r="F107" s="2">
        <v>3000</v>
      </c>
      <c r="G107" s="2">
        <v>2500</v>
      </c>
      <c r="H107" s="2">
        <v>2500</v>
      </c>
      <c r="I107" s="2">
        <v>2500</v>
      </c>
      <c r="J107" s="2">
        <v>2500</v>
      </c>
    </row>
    <row r="108" spans="1:10" x14ac:dyDescent="0.25">
      <c r="A108" s="237" t="s">
        <v>1086</v>
      </c>
      <c r="B108" s="237"/>
      <c r="C108" s="2"/>
      <c r="D108" s="2">
        <v>3000</v>
      </c>
      <c r="E108" s="2"/>
      <c r="F108" s="2"/>
      <c r="G108" s="2"/>
      <c r="H108" s="2"/>
      <c r="I108" s="2"/>
      <c r="J108" s="2"/>
    </row>
    <row r="109" spans="1:10" x14ac:dyDescent="0.25">
      <c r="A109" s="237"/>
      <c r="B109" s="237"/>
      <c r="C109" s="2"/>
      <c r="E109" s="2"/>
      <c r="F109" s="2"/>
      <c r="G109" s="2"/>
      <c r="H109" s="2"/>
      <c r="I109" s="2"/>
      <c r="J109" s="2"/>
    </row>
    <row r="110" spans="1:10" ht="13.8" x14ac:dyDescent="0.3">
      <c r="A110" s="238" t="s">
        <v>128</v>
      </c>
      <c r="B110" s="237"/>
      <c r="C110" s="2"/>
      <c r="D110" s="2">
        <v>20</v>
      </c>
      <c r="E110" s="2">
        <v>0.94</v>
      </c>
      <c r="F110" s="2">
        <v>20</v>
      </c>
      <c r="G110" s="2">
        <v>20</v>
      </c>
      <c r="H110" s="2">
        <v>20</v>
      </c>
      <c r="I110" s="2">
        <v>20</v>
      </c>
      <c r="J110" s="2">
        <v>20</v>
      </c>
    </row>
    <row r="111" spans="1:10" x14ac:dyDescent="0.25">
      <c r="A111" s="237"/>
      <c r="B111" s="2"/>
      <c r="C111" s="18"/>
      <c r="D111" s="18"/>
      <c r="E111" s="2"/>
      <c r="F111" s="2"/>
      <c r="G111" s="2"/>
      <c r="H111" s="2"/>
      <c r="I111" s="2"/>
      <c r="J111" s="2"/>
    </row>
    <row r="112" spans="1:10" ht="13.8" x14ac:dyDescent="0.3">
      <c r="A112" s="238" t="s">
        <v>207</v>
      </c>
      <c r="B112" s="237"/>
      <c r="C112" s="2"/>
      <c r="E112" s="2">
        <v>14399.54</v>
      </c>
      <c r="F112" s="2">
        <v>17500</v>
      </c>
      <c r="G112" s="2">
        <v>14500</v>
      </c>
      <c r="H112" s="2">
        <v>14500</v>
      </c>
      <c r="I112" s="2">
        <v>14500</v>
      </c>
      <c r="J112" s="2">
        <v>14500</v>
      </c>
    </row>
    <row r="113" spans="1:10" x14ac:dyDescent="0.25">
      <c r="A113" s="237" t="s">
        <v>1682</v>
      </c>
      <c r="B113" s="237"/>
      <c r="C113" s="2"/>
      <c r="D113" s="2">
        <v>9300</v>
      </c>
      <c r="E113" s="2"/>
      <c r="F113" s="2"/>
      <c r="G113" s="2"/>
      <c r="H113" s="2"/>
      <c r="I113" s="2"/>
      <c r="J113" s="2"/>
    </row>
    <row r="114" spans="1:10" ht="15" x14ac:dyDescent="0.4">
      <c r="A114" s="237" t="s">
        <v>1087</v>
      </c>
      <c r="B114" s="237"/>
      <c r="C114" s="2"/>
      <c r="D114" s="11">
        <v>5200</v>
      </c>
      <c r="E114" s="2"/>
      <c r="F114" s="2"/>
      <c r="G114" s="2"/>
      <c r="H114" s="2"/>
      <c r="I114" s="2"/>
      <c r="J114" s="2"/>
    </row>
    <row r="115" spans="1:10" ht="15" x14ac:dyDescent="0.4">
      <c r="A115" s="237" t="s">
        <v>1247</v>
      </c>
      <c r="B115" s="237"/>
      <c r="C115" s="11"/>
      <c r="D115" s="2">
        <f>SUM(D113:D114)</f>
        <v>14500</v>
      </c>
      <c r="E115" s="2"/>
      <c r="F115" s="2"/>
      <c r="G115" s="2"/>
      <c r="H115" s="2"/>
      <c r="I115" s="2"/>
      <c r="J115" s="2"/>
    </row>
    <row r="116" spans="1:10" ht="15" x14ac:dyDescent="0.4">
      <c r="A116" s="237"/>
      <c r="B116" s="237"/>
      <c r="C116" s="11"/>
      <c r="E116" s="2"/>
      <c r="F116" s="2"/>
      <c r="G116" s="2"/>
      <c r="H116" s="2"/>
      <c r="I116" s="2"/>
      <c r="J116" s="2"/>
    </row>
    <row r="117" spans="1:10" ht="13.8" x14ac:dyDescent="0.3">
      <c r="A117" s="238" t="s">
        <v>208</v>
      </c>
      <c r="B117" s="237"/>
      <c r="C117" s="237"/>
      <c r="E117" s="2">
        <v>50147.25</v>
      </c>
      <c r="F117" s="2">
        <v>49645</v>
      </c>
      <c r="G117" s="2">
        <v>51521</v>
      </c>
      <c r="H117" s="2">
        <v>51521</v>
      </c>
      <c r="I117" s="2">
        <v>51521</v>
      </c>
      <c r="J117" s="2">
        <v>51521</v>
      </c>
    </row>
    <row r="118" spans="1:10" x14ac:dyDescent="0.25">
      <c r="A118" s="237" t="s">
        <v>1683</v>
      </c>
      <c r="B118" s="48">
        <v>16150</v>
      </c>
      <c r="C118" s="12">
        <v>2.88</v>
      </c>
      <c r="D118" s="2">
        <f>ROUND(B118*C118,0)</f>
        <v>46512</v>
      </c>
      <c r="E118" s="2"/>
      <c r="F118" s="2"/>
      <c r="G118" s="2"/>
      <c r="H118" s="2"/>
      <c r="I118" s="2"/>
      <c r="J118" s="2"/>
    </row>
    <row r="119" spans="1:10" x14ac:dyDescent="0.25">
      <c r="A119" s="237" t="s">
        <v>1684</v>
      </c>
      <c r="B119" s="2">
        <v>1200</v>
      </c>
      <c r="C119" s="12">
        <v>2.58</v>
      </c>
      <c r="D119" s="2">
        <f>ROUND(B119*C119,0)</f>
        <v>3096</v>
      </c>
      <c r="E119" s="2"/>
      <c r="F119" s="2"/>
      <c r="G119" s="2"/>
      <c r="H119" s="2"/>
      <c r="I119" s="2"/>
      <c r="J119" s="2"/>
    </row>
    <row r="120" spans="1:10" ht="15" x14ac:dyDescent="0.4">
      <c r="A120" s="237" t="s">
        <v>676</v>
      </c>
      <c r="B120" s="2">
        <v>510</v>
      </c>
      <c r="C120" s="12">
        <v>3.75</v>
      </c>
      <c r="D120" s="11">
        <f>ROUND(B120*C120,0)</f>
        <v>1913</v>
      </c>
      <c r="E120" s="2"/>
      <c r="F120" s="2"/>
      <c r="G120" s="2"/>
      <c r="H120" s="2"/>
      <c r="I120" s="2"/>
      <c r="J120" s="2"/>
    </row>
    <row r="121" spans="1:10" x14ac:dyDescent="0.25">
      <c r="A121" s="237" t="s">
        <v>1247</v>
      </c>
      <c r="B121" s="2"/>
      <c r="C121" s="14"/>
      <c r="D121" s="2">
        <f>SUM(D118:D120)</f>
        <v>51521</v>
      </c>
      <c r="E121" s="2"/>
      <c r="F121" s="2"/>
      <c r="G121" s="2"/>
      <c r="H121" s="2"/>
      <c r="I121" s="2"/>
      <c r="J121" s="2"/>
    </row>
    <row r="122" spans="1:10" x14ac:dyDescent="0.25">
      <c r="A122" s="237"/>
      <c r="B122" s="237"/>
      <c r="C122" s="237"/>
      <c r="E122" s="2"/>
      <c r="F122" s="2"/>
      <c r="G122" s="2"/>
      <c r="H122" s="2"/>
      <c r="I122" s="2"/>
      <c r="J122" s="2"/>
    </row>
    <row r="123" spans="1:10" ht="13.8" x14ac:dyDescent="0.3">
      <c r="A123" s="238" t="s">
        <v>418</v>
      </c>
      <c r="B123" s="237"/>
      <c r="C123" s="237"/>
      <c r="E123" s="2">
        <v>4443.66</v>
      </c>
      <c r="F123" s="2">
        <v>5135</v>
      </c>
      <c r="G123" s="2">
        <v>4910</v>
      </c>
      <c r="H123" s="2">
        <v>4910</v>
      </c>
      <c r="I123" s="2">
        <v>4910</v>
      </c>
      <c r="J123" s="2">
        <v>4910</v>
      </c>
    </row>
    <row r="124" spans="1:10" x14ac:dyDescent="0.25">
      <c r="A124" s="237" t="s">
        <v>959</v>
      </c>
      <c r="B124" s="237"/>
      <c r="C124" s="237"/>
      <c r="D124" s="2">
        <v>1850</v>
      </c>
      <c r="E124" s="2"/>
      <c r="F124" s="2"/>
      <c r="G124" s="2"/>
      <c r="H124" s="2"/>
      <c r="I124" s="2"/>
      <c r="J124" s="2"/>
    </row>
    <row r="125" spans="1:10" x14ac:dyDescent="0.25">
      <c r="A125" s="237" t="s">
        <v>1209</v>
      </c>
      <c r="B125" s="237"/>
      <c r="C125" s="2"/>
      <c r="D125" s="2">
        <v>1440</v>
      </c>
      <c r="E125" s="2"/>
      <c r="F125" s="2"/>
      <c r="G125" s="2"/>
      <c r="H125" s="2"/>
      <c r="I125" s="2"/>
      <c r="J125" s="2"/>
    </row>
    <row r="126" spans="1:10" x14ac:dyDescent="0.25">
      <c r="A126" s="237" t="s">
        <v>1886</v>
      </c>
      <c r="B126" s="237"/>
      <c r="C126" s="2"/>
      <c r="D126" s="2">
        <v>1080</v>
      </c>
      <c r="E126" s="2"/>
      <c r="F126" s="2"/>
      <c r="G126" s="2"/>
      <c r="H126" s="2"/>
      <c r="I126" s="2"/>
      <c r="J126" s="2"/>
    </row>
    <row r="127" spans="1:10" ht="15" x14ac:dyDescent="0.4">
      <c r="A127" s="237" t="s">
        <v>677</v>
      </c>
      <c r="B127" s="237"/>
      <c r="C127" s="2"/>
      <c r="D127" s="11">
        <v>540</v>
      </c>
      <c r="E127" s="2"/>
      <c r="F127" s="2"/>
      <c r="G127" s="2"/>
      <c r="H127" s="2"/>
      <c r="I127" s="2"/>
      <c r="J127" s="2"/>
    </row>
    <row r="128" spans="1:10" ht="15" x14ac:dyDescent="0.4">
      <c r="A128" s="237" t="s">
        <v>1247</v>
      </c>
      <c r="B128" s="2" t="s">
        <v>396</v>
      </c>
      <c r="C128" s="11"/>
      <c r="D128" s="2">
        <f>SUM(D124:D127)</f>
        <v>4910</v>
      </c>
      <c r="E128" s="2"/>
      <c r="F128" s="2"/>
      <c r="G128" s="2"/>
      <c r="H128" s="2"/>
      <c r="I128" s="2"/>
      <c r="J128" s="2"/>
    </row>
    <row r="129" spans="1:10" x14ac:dyDescent="0.25">
      <c r="A129" s="237"/>
      <c r="B129" s="2"/>
      <c r="C129" s="2"/>
      <c r="E129" s="2"/>
      <c r="F129" s="2"/>
      <c r="G129" s="2"/>
      <c r="H129" s="2"/>
      <c r="I129" s="2"/>
      <c r="J129" s="2"/>
    </row>
    <row r="130" spans="1:10" ht="13.8" x14ac:dyDescent="0.3">
      <c r="A130" s="238" t="s">
        <v>419</v>
      </c>
      <c r="B130" s="237"/>
      <c r="C130" s="237"/>
      <c r="E130" s="2">
        <v>16816.16</v>
      </c>
      <c r="F130" s="2">
        <v>15771</v>
      </c>
      <c r="G130" s="2">
        <v>17725</v>
      </c>
      <c r="H130" s="2">
        <v>17725</v>
      </c>
      <c r="I130" s="2">
        <v>17725</v>
      </c>
      <c r="J130" s="2">
        <v>17725</v>
      </c>
    </row>
    <row r="131" spans="1:10" x14ac:dyDescent="0.25">
      <c r="A131" s="237" t="s">
        <v>489</v>
      </c>
      <c r="B131" s="237"/>
      <c r="C131" s="237"/>
      <c r="D131" s="2">
        <v>14700</v>
      </c>
      <c r="E131" s="2"/>
      <c r="F131" s="2"/>
      <c r="G131" s="2"/>
      <c r="H131" s="2"/>
      <c r="I131" s="2"/>
      <c r="J131" s="2"/>
    </row>
    <row r="132" spans="1:10" x14ac:dyDescent="0.25">
      <c r="A132" s="237" t="s">
        <v>135</v>
      </c>
      <c r="B132" s="2" t="s">
        <v>396</v>
      </c>
      <c r="C132" s="2"/>
      <c r="D132" s="2">
        <v>165</v>
      </c>
      <c r="E132" s="2"/>
      <c r="F132" s="2"/>
      <c r="G132" s="2"/>
      <c r="H132" s="2"/>
      <c r="I132" s="2"/>
      <c r="J132" s="2"/>
    </row>
    <row r="133" spans="1:10" x14ac:dyDescent="0.25">
      <c r="A133" s="237" t="s">
        <v>2082</v>
      </c>
      <c r="B133" s="2"/>
      <c r="C133" s="2"/>
      <c r="D133" s="2">
        <v>1800</v>
      </c>
      <c r="E133" s="2"/>
      <c r="F133" s="2"/>
      <c r="G133" s="2"/>
      <c r="H133" s="2"/>
      <c r="I133" s="2"/>
      <c r="J133" s="2"/>
    </row>
    <row r="134" spans="1:10" x14ac:dyDescent="0.25">
      <c r="A134" s="237" t="s">
        <v>602</v>
      </c>
      <c r="B134" s="2"/>
      <c r="C134" s="2"/>
      <c r="D134" s="2">
        <v>180</v>
      </c>
      <c r="E134" s="2"/>
      <c r="F134" s="2"/>
      <c r="G134" s="2"/>
      <c r="H134" s="2"/>
      <c r="I134" s="2"/>
      <c r="J134" s="2"/>
    </row>
    <row r="135" spans="1:10" x14ac:dyDescent="0.25">
      <c r="A135" s="237" t="s">
        <v>1298</v>
      </c>
      <c r="B135" s="2">
        <v>5</v>
      </c>
      <c r="C135" s="2">
        <v>96</v>
      </c>
      <c r="D135" s="2">
        <f>C135*B135</f>
        <v>480</v>
      </c>
      <c r="E135" s="2"/>
      <c r="F135" s="2"/>
      <c r="G135" s="2"/>
      <c r="H135" s="2"/>
      <c r="I135" s="2"/>
      <c r="J135" s="2"/>
    </row>
    <row r="136" spans="1:10" ht="15" x14ac:dyDescent="0.4">
      <c r="A136" s="237" t="s">
        <v>1442</v>
      </c>
      <c r="B136" s="2">
        <v>8</v>
      </c>
      <c r="C136" s="2">
        <v>50</v>
      </c>
      <c r="D136" s="11">
        <f>C136*B136</f>
        <v>400</v>
      </c>
      <c r="E136" s="2"/>
      <c r="F136" s="2"/>
      <c r="G136" s="2"/>
      <c r="H136" s="2"/>
      <c r="I136" s="2"/>
      <c r="J136" s="2"/>
    </row>
    <row r="137" spans="1:10" x14ac:dyDescent="0.25">
      <c r="A137" s="237" t="s">
        <v>1247</v>
      </c>
      <c r="B137" s="2"/>
      <c r="C137" s="2"/>
      <c r="D137" s="2">
        <f>SUM(D131:D136)</f>
        <v>17725</v>
      </c>
      <c r="E137" s="2"/>
      <c r="F137" s="2"/>
      <c r="G137" s="2"/>
      <c r="H137" s="2"/>
      <c r="I137" s="2"/>
      <c r="J137" s="2"/>
    </row>
    <row r="138" spans="1:10" x14ac:dyDescent="0.25">
      <c r="A138" s="237" t="s">
        <v>396</v>
      </c>
      <c r="B138" s="2"/>
      <c r="C138" s="12"/>
      <c r="E138" s="2"/>
      <c r="F138" s="2"/>
      <c r="G138" s="2"/>
      <c r="H138" s="2"/>
      <c r="I138" s="2"/>
      <c r="J138" s="2"/>
    </row>
    <row r="139" spans="1:10" ht="13.8" x14ac:dyDescent="0.3">
      <c r="A139" s="17" t="s">
        <v>420</v>
      </c>
      <c r="B139" s="237"/>
      <c r="C139" s="237"/>
      <c r="D139" s="2" t="s">
        <v>396</v>
      </c>
      <c r="E139" s="2">
        <v>8279.8799999999992</v>
      </c>
      <c r="F139" s="2">
        <v>8861</v>
      </c>
      <c r="G139" s="2">
        <v>8450</v>
      </c>
      <c r="H139" s="2">
        <v>8450</v>
      </c>
      <c r="I139" s="2">
        <v>8450</v>
      </c>
      <c r="J139" s="2">
        <v>8450</v>
      </c>
    </row>
    <row r="140" spans="1:10" x14ac:dyDescent="0.25">
      <c r="A140" s="237" t="s">
        <v>1061</v>
      </c>
      <c r="B140" s="237"/>
      <c r="C140" s="237"/>
      <c r="D140" s="2">
        <v>8450</v>
      </c>
      <c r="E140" s="2"/>
      <c r="F140" s="2"/>
      <c r="G140" s="2"/>
      <c r="H140" s="2"/>
      <c r="I140" s="2"/>
      <c r="J140" s="2"/>
    </row>
    <row r="141" spans="1:10" x14ac:dyDescent="0.25">
      <c r="A141" s="237"/>
      <c r="B141" s="237"/>
      <c r="C141" s="2"/>
      <c r="E141" s="2"/>
      <c r="F141" s="2"/>
      <c r="G141" s="2"/>
      <c r="H141" s="2"/>
      <c r="I141" s="2"/>
      <c r="J141" s="2"/>
    </row>
    <row r="142" spans="1:10" ht="13.8" x14ac:dyDescent="0.3">
      <c r="A142" s="238" t="s">
        <v>421</v>
      </c>
      <c r="B142" s="237"/>
      <c r="C142" s="2"/>
      <c r="E142" s="2">
        <v>354.29</v>
      </c>
      <c r="F142" s="2">
        <v>250</v>
      </c>
      <c r="G142" s="2">
        <v>350</v>
      </c>
      <c r="H142" s="2">
        <v>350</v>
      </c>
      <c r="I142" s="2">
        <v>350</v>
      </c>
      <c r="J142" s="2">
        <v>350</v>
      </c>
    </row>
    <row r="143" spans="1:10" x14ac:dyDescent="0.25">
      <c r="A143" s="237" t="s">
        <v>492</v>
      </c>
      <c r="B143" s="237"/>
      <c r="C143" s="2"/>
      <c r="D143" s="2">
        <v>250</v>
      </c>
      <c r="E143" s="2"/>
      <c r="F143" s="2"/>
      <c r="G143" s="2"/>
      <c r="H143" s="2"/>
      <c r="I143" s="2"/>
      <c r="J143" s="2"/>
    </row>
    <row r="144" spans="1:10" x14ac:dyDescent="0.25">
      <c r="A144" s="237"/>
      <c r="B144" s="237"/>
      <c r="C144" s="2"/>
      <c r="E144" s="2"/>
      <c r="F144" s="2"/>
      <c r="G144" s="2"/>
      <c r="H144" s="2"/>
      <c r="I144" s="2"/>
      <c r="J144" s="2"/>
    </row>
    <row r="145" spans="1:10" ht="13.8" x14ac:dyDescent="0.3">
      <c r="A145" s="238" t="s">
        <v>286</v>
      </c>
      <c r="B145" s="237"/>
      <c r="C145" s="2"/>
      <c r="E145" s="2">
        <v>8681.1</v>
      </c>
      <c r="F145" s="2">
        <v>3500</v>
      </c>
      <c r="G145" s="2">
        <v>5500</v>
      </c>
      <c r="H145" s="2">
        <v>5500</v>
      </c>
      <c r="I145" s="2">
        <v>5500</v>
      </c>
      <c r="J145" s="2">
        <v>5500</v>
      </c>
    </row>
    <row r="146" spans="1:10" x14ac:dyDescent="0.25">
      <c r="A146" s="237" t="s">
        <v>1685</v>
      </c>
      <c r="B146" s="237"/>
      <c r="C146" s="2"/>
      <c r="D146" s="2">
        <v>3500</v>
      </c>
      <c r="E146" s="2"/>
      <c r="F146" s="2"/>
      <c r="G146" s="2"/>
      <c r="H146" s="2"/>
      <c r="I146" s="2"/>
      <c r="J146" s="2"/>
    </row>
    <row r="147" spans="1:10" x14ac:dyDescent="0.25">
      <c r="A147" s="237"/>
      <c r="B147" s="237"/>
      <c r="C147" s="2"/>
      <c r="E147" s="2"/>
      <c r="F147" s="2"/>
      <c r="G147" s="2"/>
      <c r="H147" s="2"/>
      <c r="I147" s="2"/>
      <c r="J147" s="2"/>
    </row>
    <row r="148" spans="1:10" ht="13.8" x14ac:dyDescent="0.3">
      <c r="A148" s="238" t="s">
        <v>1138</v>
      </c>
      <c r="B148" s="237"/>
      <c r="C148" s="2"/>
      <c r="E148" s="2">
        <v>0</v>
      </c>
      <c r="F148" s="2">
        <v>1000</v>
      </c>
      <c r="G148" s="2">
        <v>500</v>
      </c>
      <c r="H148" s="2">
        <v>500</v>
      </c>
      <c r="I148" s="2">
        <v>500</v>
      </c>
      <c r="J148" s="2">
        <v>500</v>
      </c>
    </row>
    <row r="149" spans="1:10" x14ac:dyDescent="0.25">
      <c r="A149" s="237" t="s">
        <v>1686</v>
      </c>
      <c r="B149" s="237"/>
      <c r="C149" s="2"/>
      <c r="D149" s="2">
        <v>500</v>
      </c>
      <c r="E149" s="2"/>
      <c r="F149" s="2"/>
      <c r="G149" s="2"/>
      <c r="H149" s="2"/>
      <c r="I149" s="2"/>
      <c r="J149" s="2"/>
    </row>
    <row r="150" spans="1:10" ht="15" x14ac:dyDescent="0.4">
      <c r="A150" s="237" t="s">
        <v>1088</v>
      </c>
      <c r="B150" s="237"/>
      <c r="C150" s="2"/>
      <c r="D150" s="11">
        <v>500</v>
      </c>
      <c r="E150" s="2"/>
      <c r="F150" s="2"/>
      <c r="G150" s="2"/>
      <c r="H150" s="2"/>
      <c r="I150" s="2"/>
      <c r="J150" s="2"/>
    </row>
    <row r="151" spans="1:10" ht="15" x14ac:dyDescent="0.4">
      <c r="A151" s="237" t="s">
        <v>1247</v>
      </c>
      <c r="B151" s="237"/>
      <c r="C151" s="11"/>
      <c r="D151" s="2">
        <f>SUM(D149:D150)</f>
        <v>1000</v>
      </c>
      <c r="E151" s="2"/>
      <c r="F151" s="2"/>
      <c r="G151" s="2"/>
      <c r="H151" s="2"/>
      <c r="I151" s="2"/>
      <c r="J151" s="2"/>
    </row>
    <row r="152" spans="1:10" x14ac:dyDescent="0.25">
      <c r="A152" s="237"/>
      <c r="B152" s="237"/>
      <c r="C152" s="2"/>
      <c r="E152" s="2"/>
      <c r="F152" s="2"/>
      <c r="G152" s="2"/>
      <c r="H152" s="2"/>
      <c r="I152" s="2"/>
      <c r="J152" s="2"/>
    </row>
    <row r="153" spans="1:10" ht="13.8" x14ac:dyDescent="0.3">
      <c r="A153" s="238" t="s">
        <v>1139</v>
      </c>
      <c r="B153" s="237"/>
      <c r="C153" s="2"/>
      <c r="E153" s="2">
        <v>82174.710000000006</v>
      </c>
      <c r="F153" s="2">
        <v>62500</v>
      </c>
      <c r="G153" s="2">
        <v>62500</v>
      </c>
      <c r="H153" s="2">
        <v>62500</v>
      </c>
      <c r="I153" s="2">
        <v>62500</v>
      </c>
      <c r="J153" s="2">
        <v>62500</v>
      </c>
    </row>
    <row r="154" spans="1:10" x14ac:dyDescent="0.25">
      <c r="A154" s="237" t="s">
        <v>953</v>
      </c>
      <c r="B154" s="237"/>
      <c r="C154" s="2"/>
      <c r="D154" s="2">
        <f>51000+11500</f>
        <v>62500</v>
      </c>
      <c r="E154" s="2"/>
      <c r="F154" s="2"/>
      <c r="G154" s="2"/>
      <c r="H154" s="2"/>
      <c r="I154" s="2"/>
      <c r="J154" s="2"/>
    </row>
    <row r="155" spans="1:10" x14ac:dyDescent="0.25">
      <c r="A155" s="237"/>
      <c r="B155" s="2"/>
      <c r="C155" s="2"/>
      <c r="E155" s="2"/>
      <c r="F155" s="2"/>
      <c r="G155" s="2"/>
      <c r="H155" s="2"/>
      <c r="I155" s="2"/>
      <c r="J155" s="2"/>
    </row>
    <row r="156" spans="1:10" ht="13.8" x14ac:dyDescent="0.3">
      <c r="A156" s="238" t="s">
        <v>422</v>
      </c>
      <c r="B156" s="237"/>
      <c r="C156" s="2"/>
      <c r="E156" s="2">
        <v>5634.34</v>
      </c>
      <c r="F156" s="2">
        <v>5000</v>
      </c>
      <c r="G156" s="2">
        <v>5000</v>
      </c>
      <c r="H156" s="2">
        <v>5000</v>
      </c>
      <c r="I156" s="2">
        <v>5000</v>
      </c>
      <c r="J156" s="2">
        <v>5000</v>
      </c>
    </row>
    <row r="157" spans="1:10" x14ac:dyDescent="0.25">
      <c r="A157" s="237" t="s">
        <v>1687</v>
      </c>
      <c r="B157" s="237"/>
      <c r="C157" s="2"/>
      <c r="D157" s="2">
        <v>2500</v>
      </c>
      <c r="E157" s="2"/>
      <c r="F157" s="2"/>
      <c r="G157" s="2"/>
      <c r="H157" s="2"/>
      <c r="I157" s="2"/>
      <c r="J157" s="2"/>
    </row>
    <row r="158" spans="1:10" x14ac:dyDescent="0.25">
      <c r="A158" s="237" t="s">
        <v>2083</v>
      </c>
      <c r="B158" s="237"/>
      <c r="C158" s="2"/>
      <c r="D158" s="35">
        <v>2500</v>
      </c>
      <c r="E158" s="2"/>
      <c r="F158" s="2"/>
      <c r="G158" s="2"/>
      <c r="H158" s="2"/>
      <c r="I158" s="2"/>
      <c r="J158" s="2"/>
    </row>
    <row r="159" spans="1:10" x14ac:dyDescent="0.25">
      <c r="A159" s="237"/>
      <c r="B159" s="237"/>
      <c r="C159" s="2"/>
      <c r="D159" s="2">
        <f>SUM(D157:D158)</f>
        <v>5000</v>
      </c>
      <c r="E159" s="2"/>
      <c r="F159" s="2"/>
      <c r="G159" s="2"/>
      <c r="H159" s="2"/>
      <c r="I159" s="2"/>
      <c r="J159" s="2"/>
    </row>
    <row r="160" spans="1:10" x14ac:dyDescent="0.25">
      <c r="A160" s="237"/>
      <c r="B160" s="237"/>
      <c r="C160" s="2"/>
      <c r="E160" s="2"/>
      <c r="F160" s="2"/>
      <c r="G160" s="2"/>
      <c r="H160" s="2"/>
      <c r="I160" s="2"/>
      <c r="J160" s="2"/>
    </row>
    <row r="161" spans="1:10" ht="13.8" x14ac:dyDescent="0.3">
      <c r="A161" s="238" t="s">
        <v>537</v>
      </c>
      <c r="B161" s="237"/>
      <c r="C161" s="2"/>
      <c r="E161" s="2">
        <v>0</v>
      </c>
      <c r="F161" s="2">
        <v>300</v>
      </c>
      <c r="G161" s="2">
        <v>300</v>
      </c>
      <c r="H161" s="2">
        <v>300</v>
      </c>
      <c r="I161" s="2">
        <v>300</v>
      </c>
      <c r="J161" s="2">
        <v>300</v>
      </c>
    </row>
    <row r="162" spans="1:10" x14ac:dyDescent="0.25">
      <c r="A162" s="237" t="s">
        <v>2084</v>
      </c>
      <c r="B162" s="237"/>
      <c r="C162" s="2"/>
      <c r="D162" s="2">
        <v>300</v>
      </c>
      <c r="E162" s="2"/>
      <c r="F162" s="237"/>
      <c r="G162" s="237"/>
      <c r="H162" s="247"/>
      <c r="I162" s="295"/>
      <c r="J162" s="298"/>
    </row>
    <row r="163" spans="1:10" x14ac:dyDescent="0.25">
      <c r="A163" s="237"/>
      <c r="B163" s="237"/>
      <c r="C163" s="2"/>
      <c r="E163" s="2"/>
      <c r="F163" s="2"/>
      <c r="G163" s="2"/>
      <c r="H163" s="2"/>
      <c r="I163" s="2"/>
      <c r="J163" s="2"/>
    </row>
    <row r="164" spans="1:10" ht="13.8" x14ac:dyDescent="0.3">
      <c r="A164" s="238" t="s">
        <v>1519</v>
      </c>
      <c r="B164" s="237"/>
      <c r="C164" s="2"/>
      <c r="E164" s="2">
        <v>135</v>
      </c>
      <c r="F164" s="2">
        <v>150</v>
      </c>
      <c r="G164" s="2">
        <v>150</v>
      </c>
      <c r="H164" s="2">
        <v>150</v>
      </c>
      <c r="I164" s="2">
        <v>150</v>
      </c>
      <c r="J164" s="2">
        <v>150</v>
      </c>
    </row>
    <row r="165" spans="1:10" x14ac:dyDescent="0.25">
      <c r="A165" s="237" t="s">
        <v>137</v>
      </c>
      <c r="B165" s="237"/>
      <c r="C165" s="2"/>
      <c r="D165" s="2">
        <v>150</v>
      </c>
      <c r="E165" s="2"/>
      <c r="F165" s="237"/>
      <c r="G165" s="237"/>
      <c r="H165" s="247"/>
      <c r="I165" s="295"/>
      <c r="J165" s="298"/>
    </row>
    <row r="166" spans="1:10" x14ac:dyDescent="0.25">
      <c r="A166" s="237"/>
      <c r="B166" s="237"/>
      <c r="C166" s="2"/>
      <c r="E166" s="2"/>
      <c r="F166" s="2"/>
      <c r="G166" s="2"/>
      <c r="H166" s="2"/>
      <c r="I166" s="2"/>
      <c r="J166" s="2"/>
    </row>
    <row r="167" spans="1:10" ht="13.8" x14ac:dyDescent="0.3">
      <c r="A167" s="238" t="s">
        <v>1373</v>
      </c>
      <c r="B167" s="2"/>
      <c r="C167" s="237"/>
      <c r="E167" s="2">
        <v>497927</v>
      </c>
      <c r="F167" s="2">
        <v>660025</v>
      </c>
      <c r="G167" s="2">
        <v>661350</v>
      </c>
      <c r="H167" s="2">
        <v>661350</v>
      </c>
      <c r="I167" s="2">
        <v>661350</v>
      </c>
      <c r="J167" s="2">
        <v>661350</v>
      </c>
    </row>
    <row r="168" spans="1:10" ht="26.4" x14ac:dyDescent="0.25">
      <c r="A168" s="33" t="s">
        <v>2319</v>
      </c>
      <c r="B168" s="2">
        <v>8100</v>
      </c>
      <c r="C168" s="12">
        <v>71</v>
      </c>
      <c r="D168" s="2">
        <f>B168*C168</f>
        <v>575100</v>
      </c>
      <c r="E168" s="2"/>
      <c r="F168" s="237"/>
      <c r="G168" s="237"/>
      <c r="H168" s="247"/>
      <c r="I168" s="295"/>
      <c r="J168" s="298"/>
    </row>
    <row r="169" spans="1:10" ht="15" x14ac:dyDescent="0.4">
      <c r="A169" s="237" t="s">
        <v>2320</v>
      </c>
      <c r="B169" s="2">
        <v>1500</v>
      </c>
      <c r="C169" s="12">
        <v>57.5</v>
      </c>
      <c r="D169" s="11">
        <f>B169*C169</f>
        <v>86250</v>
      </c>
      <c r="E169" s="2"/>
      <c r="F169" s="237"/>
      <c r="G169" s="237"/>
      <c r="H169" s="247"/>
      <c r="I169" s="295"/>
      <c r="J169" s="298"/>
    </row>
    <row r="170" spans="1:10" x14ac:dyDescent="0.25">
      <c r="A170" s="237" t="s">
        <v>1247</v>
      </c>
      <c r="B170" s="2"/>
      <c r="C170" s="12"/>
      <c r="D170" s="2">
        <f>SUM(D168:D169)</f>
        <v>661350</v>
      </c>
      <c r="E170" s="2"/>
      <c r="F170" s="237"/>
      <c r="G170" s="237"/>
      <c r="H170" s="247"/>
      <c r="I170" s="295"/>
      <c r="J170" s="298"/>
    </row>
    <row r="171" spans="1:10" x14ac:dyDescent="0.25">
      <c r="A171" s="237"/>
      <c r="B171" s="2"/>
      <c r="C171" s="12"/>
      <c r="E171" s="2"/>
      <c r="F171" s="237"/>
      <c r="G171" s="237"/>
      <c r="H171" s="247"/>
      <c r="I171" s="295"/>
      <c r="J171" s="298"/>
    </row>
    <row r="172" spans="1:10" ht="13.8" x14ac:dyDescent="0.3">
      <c r="A172" s="124" t="s">
        <v>1750</v>
      </c>
      <c r="B172" s="2"/>
      <c r="C172" s="12"/>
      <c r="E172" s="2">
        <v>99177.600000000006</v>
      </c>
      <c r="F172" s="237">
        <v>0</v>
      </c>
      <c r="G172" s="237">
        <v>0</v>
      </c>
      <c r="H172" s="247">
        <v>0</v>
      </c>
      <c r="I172" s="295">
        <v>0</v>
      </c>
      <c r="J172" s="298">
        <v>0</v>
      </c>
    </row>
    <row r="173" spans="1:10" x14ac:dyDescent="0.25">
      <c r="A173" s="237"/>
      <c r="B173" s="2"/>
      <c r="C173" s="12"/>
      <c r="E173" s="2"/>
      <c r="F173" s="237"/>
      <c r="G173" s="237"/>
      <c r="H173" s="247"/>
      <c r="I173" s="295"/>
      <c r="J173" s="298"/>
    </row>
    <row r="174" spans="1:10" ht="13.8" x14ac:dyDescent="0.3">
      <c r="A174" s="238" t="s">
        <v>1520</v>
      </c>
      <c r="B174" s="237"/>
      <c r="C174" s="237"/>
      <c r="E174" s="2">
        <v>2678.26</v>
      </c>
      <c r="F174" s="2">
        <v>6340</v>
      </c>
      <c r="G174" s="2">
        <v>5340</v>
      </c>
      <c r="H174" s="2">
        <v>5340</v>
      </c>
      <c r="I174" s="2">
        <v>5340</v>
      </c>
      <c r="J174" s="2">
        <v>5340</v>
      </c>
    </row>
    <row r="175" spans="1:10" x14ac:dyDescent="0.25">
      <c r="A175" s="237" t="s">
        <v>1469</v>
      </c>
      <c r="B175" s="237"/>
      <c r="C175" s="237"/>
      <c r="D175" s="8">
        <v>500</v>
      </c>
      <c r="E175" s="237"/>
      <c r="F175" s="237"/>
      <c r="G175" s="237"/>
      <c r="H175" s="247"/>
      <c r="I175" s="295"/>
      <c r="J175" s="298"/>
    </row>
    <row r="176" spans="1:10" x14ac:dyDescent="0.25">
      <c r="A176" s="237" t="s">
        <v>1470</v>
      </c>
      <c r="B176" s="237"/>
      <c r="C176" s="2"/>
      <c r="D176" s="2">
        <v>300</v>
      </c>
      <c r="E176" s="2"/>
      <c r="F176" s="2"/>
      <c r="G176" s="2"/>
      <c r="H176" s="2"/>
      <c r="I176" s="2"/>
      <c r="J176" s="2"/>
    </row>
    <row r="177" spans="1:10" x14ac:dyDescent="0.25">
      <c r="A177" s="237" t="s">
        <v>1471</v>
      </c>
      <c r="B177" s="237"/>
      <c r="C177" s="2"/>
      <c r="D177" s="2">
        <v>200</v>
      </c>
      <c r="E177" s="2"/>
      <c r="F177" s="2"/>
      <c r="G177" s="2"/>
      <c r="H177" s="2"/>
      <c r="I177" s="2"/>
      <c r="J177" s="2"/>
    </row>
    <row r="178" spans="1:10" x14ac:dyDescent="0.25">
      <c r="A178" s="237" t="s">
        <v>974</v>
      </c>
      <c r="B178" s="237"/>
      <c r="C178" s="2"/>
      <c r="D178" s="2">
        <v>840</v>
      </c>
      <c r="E178" s="2"/>
      <c r="F178" s="2"/>
      <c r="G178" s="2"/>
      <c r="H178" s="2"/>
      <c r="I178" s="2"/>
      <c r="J178" s="2"/>
    </row>
    <row r="179" spans="1:10" x14ac:dyDescent="0.25">
      <c r="A179" s="237" t="s">
        <v>592</v>
      </c>
      <c r="B179" s="237"/>
      <c r="C179" s="2"/>
      <c r="D179" s="2">
        <v>500</v>
      </c>
      <c r="E179" s="2"/>
      <c r="F179" s="237"/>
      <c r="G179" s="237"/>
      <c r="H179" s="247"/>
      <c r="I179" s="295"/>
      <c r="J179" s="298"/>
    </row>
    <row r="180" spans="1:10" ht="15" x14ac:dyDescent="0.4">
      <c r="A180" s="237" t="s">
        <v>1201</v>
      </c>
      <c r="B180" s="237"/>
      <c r="C180" s="2"/>
      <c r="D180" s="11">
        <v>3000</v>
      </c>
      <c r="E180" s="2"/>
      <c r="F180" s="2"/>
      <c r="G180" s="2"/>
      <c r="H180" s="2"/>
      <c r="I180" s="2"/>
      <c r="J180" s="2"/>
    </row>
    <row r="181" spans="1:10" ht="15" x14ac:dyDescent="0.4">
      <c r="A181" s="237" t="s">
        <v>1247</v>
      </c>
      <c r="B181" s="237"/>
      <c r="C181" s="11"/>
      <c r="D181" s="2">
        <f>SUM(D175:D180)</f>
        <v>5340</v>
      </c>
      <c r="E181" s="2"/>
      <c r="F181" s="237"/>
      <c r="G181" s="237"/>
      <c r="H181" s="247"/>
      <c r="I181" s="295"/>
      <c r="J181" s="298"/>
    </row>
    <row r="182" spans="1:10" x14ac:dyDescent="0.25">
      <c r="A182" s="237"/>
      <c r="B182" s="237"/>
      <c r="C182" s="2"/>
      <c r="E182" s="2"/>
      <c r="F182" s="237"/>
      <c r="G182" s="237"/>
      <c r="H182" s="247"/>
      <c r="I182" s="295"/>
      <c r="J182" s="298"/>
    </row>
    <row r="183" spans="1:10" ht="13.8" x14ac:dyDescent="0.3">
      <c r="A183" s="238" t="s">
        <v>699</v>
      </c>
      <c r="B183" s="237"/>
      <c r="C183" s="2"/>
      <c r="E183" s="2">
        <v>28753.05</v>
      </c>
      <c r="F183" s="2">
        <v>16500</v>
      </c>
      <c r="G183" s="2">
        <v>23000</v>
      </c>
      <c r="H183" s="2">
        <v>23000</v>
      </c>
      <c r="I183" s="2">
        <v>23000</v>
      </c>
      <c r="J183" s="2">
        <v>23000</v>
      </c>
    </row>
    <row r="184" spans="1:10" x14ac:dyDescent="0.25">
      <c r="A184" s="237" t="s">
        <v>1556</v>
      </c>
      <c r="B184" s="237"/>
      <c r="C184" s="2"/>
      <c r="D184" s="2">
        <v>7500</v>
      </c>
      <c r="E184" s="2"/>
      <c r="F184" s="2"/>
      <c r="G184" s="2"/>
      <c r="H184" s="2"/>
      <c r="I184" s="2"/>
      <c r="J184" s="2"/>
    </row>
    <row r="185" spans="1:10" x14ac:dyDescent="0.25">
      <c r="A185" s="237" t="s">
        <v>1557</v>
      </c>
      <c r="B185" s="237"/>
      <c r="C185" s="2"/>
      <c r="D185" s="2">
        <v>12000</v>
      </c>
      <c r="E185" s="2"/>
      <c r="F185" s="2"/>
      <c r="G185" s="2"/>
      <c r="H185" s="2"/>
      <c r="I185" s="2"/>
      <c r="J185" s="2"/>
    </row>
    <row r="186" spans="1:10" ht="15" x14ac:dyDescent="0.4">
      <c r="A186" s="237" t="s">
        <v>1558</v>
      </c>
      <c r="B186" s="237"/>
      <c r="C186" s="2"/>
      <c r="D186" s="11">
        <v>3500</v>
      </c>
      <c r="E186" s="2"/>
      <c r="F186" s="2"/>
      <c r="G186" s="2"/>
      <c r="H186" s="2"/>
      <c r="I186" s="2"/>
      <c r="J186" s="2"/>
    </row>
    <row r="187" spans="1:10" x14ac:dyDescent="0.25">
      <c r="A187" s="237"/>
      <c r="B187" s="237"/>
      <c r="C187" s="2"/>
      <c r="D187" s="2">
        <f>SUM(D184:D186)</f>
        <v>23000</v>
      </c>
      <c r="E187" s="2"/>
      <c r="F187" s="2"/>
      <c r="G187" s="2"/>
      <c r="H187" s="2"/>
      <c r="I187" s="2"/>
      <c r="J187" s="2"/>
    </row>
    <row r="188" spans="1:10" ht="13.8" x14ac:dyDescent="0.3">
      <c r="A188" s="238"/>
      <c r="B188" s="2"/>
      <c r="C188" s="12"/>
      <c r="E188" s="2"/>
      <c r="F188" s="237"/>
      <c r="G188" s="237"/>
      <c r="H188" s="247"/>
      <c r="I188" s="295"/>
      <c r="J188" s="298"/>
    </row>
    <row r="189" spans="1:10" ht="13.8" x14ac:dyDescent="0.3">
      <c r="A189" s="238" t="s">
        <v>1521</v>
      </c>
      <c r="B189" s="237"/>
      <c r="C189" s="2"/>
      <c r="E189" s="2">
        <v>84020</v>
      </c>
      <c r="F189" s="2">
        <v>62700</v>
      </c>
      <c r="G189" s="2">
        <v>65000</v>
      </c>
      <c r="H189" s="2">
        <v>65000</v>
      </c>
      <c r="I189" s="2">
        <v>65000</v>
      </c>
      <c r="J189" s="2">
        <v>65000</v>
      </c>
    </row>
    <row r="190" spans="1:10" x14ac:dyDescent="0.25">
      <c r="A190" s="237" t="s">
        <v>35</v>
      </c>
      <c r="B190" s="237"/>
      <c r="C190" s="2"/>
      <c r="D190" s="2">
        <v>15000</v>
      </c>
      <c r="E190" s="2"/>
      <c r="F190" s="2"/>
      <c r="G190" s="2"/>
      <c r="H190" s="2"/>
      <c r="I190" s="2"/>
      <c r="J190" s="2"/>
    </row>
    <row r="191" spans="1:10" x14ac:dyDescent="0.25">
      <c r="A191" s="237" t="s">
        <v>975</v>
      </c>
      <c r="B191" s="237"/>
      <c r="C191" s="2"/>
      <c r="D191" s="2">
        <v>6000</v>
      </c>
      <c r="E191" s="2"/>
      <c r="F191" s="2"/>
      <c r="G191" s="2"/>
      <c r="H191" s="2"/>
      <c r="I191" s="2"/>
      <c r="J191" s="2"/>
    </row>
    <row r="192" spans="1:10" x14ac:dyDescent="0.25">
      <c r="A192" s="237" t="s">
        <v>451</v>
      </c>
      <c r="B192" s="237"/>
      <c r="C192" s="2"/>
      <c r="D192" s="2">
        <v>30000</v>
      </c>
      <c r="E192" s="2"/>
      <c r="F192" s="2"/>
      <c r="G192" s="2"/>
      <c r="H192" s="2"/>
      <c r="I192" s="2"/>
      <c r="J192" s="2"/>
    </row>
    <row r="193" spans="1:10" x14ac:dyDescent="0.25">
      <c r="A193" s="237" t="s">
        <v>109</v>
      </c>
      <c r="B193" s="237"/>
      <c r="C193" s="2"/>
      <c r="D193" s="2">
        <v>10000</v>
      </c>
      <c r="E193" s="2"/>
      <c r="F193" s="2"/>
      <c r="G193" s="2"/>
      <c r="H193" s="2"/>
      <c r="I193" s="2"/>
      <c r="J193" s="2"/>
    </row>
    <row r="194" spans="1:10" ht="15" x14ac:dyDescent="0.4">
      <c r="A194" s="237" t="s">
        <v>1688</v>
      </c>
      <c r="B194" s="237"/>
      <c r="C194" s="2"/>
      <c r="D194" s="11">
        <v>4000</v>
      </c>
      <c r="E194" s="2"/>
      <c r="F194" s="2"/>
      <c r="G194" s="2"/>
      <c r="H194" s="2"/>
      <c r="I194" s="2"/>
      <c r="J194" s="2"/>
    </row>
    <row r="195" spans="1:10" ht="15" x14ac:dyDescent="0.4">
      <c r="A195" s="237" t="s">
        <v>1247</v>
      </c>
      <c r="B195" s="237"/>
      <c r="C195" s="11"/>
      <c r="D195" s="2">
        <f>SUM(D190:D194)</f>
        <v>65000</v>
      </c>
      <c r="E195" s="2"/>
      <c r="F195" s="2"/>
      <c r="G195" s="2"/>
      <c r="H195" s="2"/>
      <c r="I195" s="2"/>
      <c r="J195" s="2"/>
    </row>
    <row r="196" spans="1:10" ht="15" x14ac:dyDescent="0.4">
      <c r="A196" s="237"/>
      <c r="B196" s="237"/>
      <c r="C196" s="11"/>
      <c r="E196" s="2"/>
      <c r="F196" s="2"/>
      <c r="G196" s="2"/>
      <c r="H196" s="2"/>
      <c r="I196" s="2"/>
      <c r="J196" s="2"/>
    </row>
    <row r="197" spans="1:10" ht="15" x14ac:dyDescent="0.4">
      <c r="A197" s="238" t="s">
        <v>2131</v>
      </c>
      <c r="B197" s="237"/>
      <c r="C197" s="11"/>
      <c r="E197" s="2">
        <v>0</v>
      </c>
      <c r="F197" s="2">
        <v>0</v>
      </c>
      <c r="G197" s="2">
        <v>0</v>
      </c>
      <c r="H197" s="2">
        <v>0</v>
      </c>
      <c r="I197" s="2">
        <v>0</v>
      </c>
      <c r="J197" s="2">
        <v>0</v>
      </c>
    </row>
    <row r="198" spans="1:10" x14ac:dyDescent="0.25">
      <c r="A198" s="237"/>
      <c r="B198" s="237"/>
      <c r="C198" s="2"/>
      <c r="E198" s="2"/>
      <c r="F198" s="237"/>
      <c r="G198" s="237"/>
      <c r="H198" s="247"/>
      <c r="I198" s="295"/>
      <c r="J198" s="298"/>
    </row>
    <row r="199" spans="1:10" ht="13.8" x14ac:dyDescent="0.3">
      <c r="A199" s="63" t="s">
        <v>1887</v>
      </c>
      <c r="B199" s="237"/>
      <c r="C199" s="2"/>
      <c r="E199" s="2">
        <v>5600</v>
      </c>
      <c r="F199" s="2">
        <v>2000</v>
      </c>
      <c r="G199" s="2">
        <v>2000</v>
      </c>
      <c r="H199" s="2">
        <v>2000</v>
      </c>
      <c r="I199" s="2">
        <v>2000</v>
      </c>
      <c r="J199" s="2">
        <v>2000</v>
      </c>
    </row>
    <row r="200" spans="1:10" x14ac:dyDescent="0.25">
      <c r="A200" s="237" t="s">
        <v>2085</v>
      </c>
      <c r="B200" s="237"/>
      <c r="C200" s="2"/>
      <c r="D200" s="2">
        <v>2000</v>
      </c>
      <c r="E200" s="2"/>
      <c r="F200" s="237"/>
      <c r="G200" s="2"/>
      <c r="H200" s="2"/>
      <c r="I200" s="2"/>
      <c r="J200" s="2"/>
    </row>
    <row r="201" spans="1:10" ht="15" x14ac:dyDescent="0.4">
      <c r="A201" s="237"/>
      <c r="B201" s="237"/>
      <c r="C201" s="11"/>
      <c r="E201" s="2"/>
      <c r="F201" s="237"/>
      <c r="G201" s="2"/>
      <c r="H201" s="2"/>
      <c r="I201" s="2"/>
      <c r="J201" s="2"/>
    </row>
    <row r="202" spans="1:10" ht="13.8" x14ac:dyDescent="0.3">
      <c r="A202" s="63" t="s">
        <v>1818</v>
      </c>
      <c r="B202" s="237"/>
      <c r="C202" s="2"/>
      <c r="E202" s="2"/>
      <c r="F202" s="2"/>
      <c r="G202" s="2"/>
      <c r="H202" s="2"/>
      <c r="I202" s="2"/>
      <c r="J202" s="2"/>
    </row>
    <row r="203" spans="1:10" ht="13.8" x14ac:dyDescent="0.3">
      <c r="A203" s="63"/>
      <c r="B203" s="237"/>
      <c r="C203" s="2"/>
      <c r="E203" s="2"/>
      <c r="F203" s="2"/>
      <c r="G203" s="237"/>
      <c r="H203" s="247"/>
      <c r="I203" s="295"/>
      <c r="J203" s="298"/>
    </row>
    <row r="204" spans="1:10" ht="13.8" x14ac:dyDescent="0.3">
      <c r="A204" s="238" t="s">
        <v>1749</v>
      </c>
      <c r="B204" s="237"/>
      <c r="C204" s="2"/>
      <c r="E204" s="2"/>
      <c r="F204" s="2"/>
      <c r="G204" s="2"/>
      <c r="H204" s="2"/>
      <c r="I204" s="2"/>
      <c r="J204" s="2"/>
    </row>
    <row r="205" spans="1:10" x14ac:dyDescent="0.25">
      <c r="A205" s="237"/>
      <c r="B205" s="237"/>
      <c r="C205" s="2"/>
      <c r="E205" s="2"/>
      <c r="F205" s="2"/>
      <c r="G205" s="237"/>
      <c r="H205" s="247"/>
      <c r="I205" s="295"/>
      <c r="J205" s="298"/>
    </row>
    <row r="206" spans="1:10" ht="13.8" x14ac:dyDescent="0.3">
      <c r="A206" s="238" t="s">
        <v>781</v>
      </c>
      <c r="B206" s="237"/>
      <c r="C206" s="2"/>
      <c r="E206" s="2">
        <v>0</v>
      </c>
      <c r="F206" s="2">
        <v>0</v>
      </c>
      <c r="G206" s="237">
        <v>0</v>
      </c>
      <c r="H206" s="247">
        <v>0</v>
      </c>
      <c r="I206" s="295">
        <v>0</v>
      </c>
      <c r="J206" s="298">
        <v>0</v>
      </c>
    </row>
    <row r="207" spans="1:10" x14ac:dyDescent="0.25">
      <c r="A207" s="237"/>
      <c r="B207" s="237"/>
      <c r="C207" s="237"/>
      <c r="E207" s="2"/>
      <c r="F207" s="2"/>
      <c r="G207" s="237"/>
      <c r="H207" s="247"/>
      <c r="I207" s="295"/>
      <c r="J207" s="298"/>
    </row>
    <row r="208" spans="1:10" ht="13.8" x14ac:dyDescent="0.3">
      <c r="A208" s="238" t="s">
        <v>851</v>
      </c>
      <c r="B208" s="237"/>
      <c r="C208" s="2"/>
      <c r="E208" s="2">
        <v>100000</v>
      </c>
      <c r="F208" s="2">
        <v>125000</v>
      </c>
      <c r="G208" s="2">
        <v>125000</v>
      </c>
      <c r="H208" s="2">
        <v>125000</v>
      </c>
      <c r="I208" s="2">
        <v>125000</v>
      </c>
      <c r="J208" s="2">
        <v>125000</v>
      </c>
    </row>
    <row r="209" spans="1:10" x14ac:dyDescent="0.25">
      <c r="A209" s="237" t="s">
        <v>1135</v>
      </c>
      <c r="B209" s="237"/>
      <c r="C209" s="2"/>
      <c r="D209" s="2">
        <v>125000</v>
      </c>
      <c r="E209" s="237"/>
      <c r="F209" s="237"/>
      <c r="G209" s="2"/>
      <c r="H209" s="2"/>
      <c r="I209" s="2"/>
      <c r="J209" s="2"/>
    </row>
    <row r="210" spans="1:10" x14ac:dyDescent="0.25">
      <c r="A210" s="237"/>
      <c r="B210" s="237"/>
      <c r="C210" s="2"/>
      <c r="E210" s="237"/>
      <c r="F210" s="2"/>
      <c r="G210" s="2"/>
      <c r="H210" s="2"/>
      <c r="I210" s="2"/>
      <c r="J210" s="2"/>
    </row>
    <row r="211" spans="1:10" ht="15" x14ac:dyDescent="0.4">
      <c r="A211" s="237"/>
      <c r="B211" s="237"/>
      <c r="C211" s="2"/>
      <c r="E211" s="237"/>
      <c r="F211" s="11"/>
      <c r="G211" s="2"/>
      <c r="H211" s="2"/>
      <c r="I211" s="2"/>
      <c r="J211" s="2"/>
    </row>
    <row r="212" spans="1:10" ht="15" x14ac:dyDescent="0.4">
      <c r="A212" s="238" t="s">
        <v>1131</v>
      </c>
      <c r="B212" s="237"/>
      <c r="C212" s="2"/>
      <c r="E212" s="11">
        <v>51184</v>
      </c>
      <c r="F212" s="11">
        <v>190000</v>
      </c>
      <c r="G212" s="31">
        <v>250000</v>
      </c>
      <c r="H212" s="31">
        <v>250000</v>
      </c>
      <c r="I212" s="31">
        <v>250000</v>
      </c>
      <c r="J212" s="31">
        <v>250000</v>
      </c>
    </row>
    <row r="213" spans="1:10" ht="15" x14ac:dyDescent="0.4">
      <c r="A213" s="237" t="s">
        <v>2203</v>
      </c>
      <c r="B213" s="237"/>
      <c r="C213" s="2"/>
      <c r="D213" s="11">
        <v>250000</v>
      </c>
      <c r="E213" s="237"/>
      <c r="F213" s="2"/>
      <c r="G213" s="2"/>
      <c r="H213" s="2"/>
      <c r="I213" s="2"/>
      <c r="J213" s="2"/>
    </row>
    <row r="214" spans="1:10" ht="15" x14ac:dyDescent="0.4">
      <c r="A214" s="23"/>
      <c r="B214" s="237"/>
      <c r="C214" s="2"/>
      <c r="D214" s="2">
        <f>SUM(D213:D213)</f>
        <v>250000</v>
      </c>
      <c r="E214" s="11"/>
      <c r="F214" s="11"/>
      <c r="G214" s="11"/>
      <c r="H214" s="11"/>
      <c r="I214" s="11"/>
      <c r="J214" s="11"/>
    </row>
    <row r="215" spans="1:10" ht="15" x14ac:dyDescent="0.4">
      <c r="C215" s="2"/>
      <c r="E215" s="11"/>
      <c r="F215" s="11"/>
      <c r="G215" s="11"/>
      <c r="H215" s="11"/>
      <c r="I215" s="11"/>
      <c r="J215" s="11"/>
    </row>
    <row r="216" spans="1:10" x14ac:dyDescent="0.25">
      <c r="A216" s="214" t="s">
        <v>484</v>
      </c>
      <c r="E216" s="2">
        <f t="shared" ref="E216:J216" si="1">SUM(E6:E214)</f>
        <v>1608227.1600000001</v>
      </c>
      <c r="F216" s="2">
        <f t="shared" si="1"/>
        <v>1793611</v>
      </c>
      <c r="G216" s="2">
        <f t="shared" si="1"/>
        <v>1865320</v>
      </c>
      <c r="H216" s="2">
        <f t="shared" si="1"/>
        <v>1867951</v>
      </c>
      <c r="I216" s="2">
        <f t="shared" si="1"/>
        <v>1868489</v>
      </c>
      <c r="J216" s="2">
        <f t="shared" si="1"/>
        <v>1877575</v>
      </c>
    </row>
    <row r="217" spans="1:10" x14ac:dyDescent="0.25">
      <c r="H217" s="247"/>
      <c r="I217" s="295"/>
      <c r="J217" s="298"/>
    </row>
    <row r="218" spans="1:10" x14ac:dyDescent="0.25">
      <c r="H218" s="247"/>
      <c r="I218" s="295"/>
      <c r="J218" s="298"/>
    </row>
    <row r="219" spans="1:10" x14ac:dyDescent="0.25">
      <c r="A219" s="214" t="s">
        <v>594</v>
      </c>
      <c r="E219" s="2">
        <f t="shared" ref="E219:J219" si="2">SUM(E6:E80)</f>
        <v>525955.78999999992</v>
      </c>
      <c r="F219" s="2">
        <f t="shared" si="2"/>
        <v>547282</v>
      </c>
      <c r="G219" s="2">
        <f t="shared" si="2"/>
        <v>546354</v>
      </c>
      <c r="H219" s="2">
        <f t="shared" si="2"/>
        <v>548985</v>
      </c>
      <c r="I219" s="2">
        <f t="shared" si="2"/>
        <v>549523</v>
      </c>
      <c r="J219" s="2">
        <f t="shared" si="2"/>
        <v>558337</v>
      </c>
    </row>
    <row r="220" spans="1:10" x14ac:dyDescent="0.25">
      <c r="A220" s="214" t="s">
        <v>957</v>
      </c>
      <c r="E220" s="2">
        <f>SUM(E83:E197)</f>
        <v>925487.37</v>
      </c>
      <c r="F220" s="2">
        <f>SUM(F83:F194)</f>
        <v>929329</v>
      </c>
      <c r="G220" s="2">
        <f>SUM(G83:G194)</f>
        <v>941966</v>
      </c>
      <c r="H220" s="2">
        <f>SUM(H83:H194)</f>
        <v>941966</v>
      </c>
      <c r="I220" s="2">
        <f>SUM(I83:I194)</f>
        <v>941966</v>
      </c>
      <c r="J220" s="2">
        <f>SUM(J83:J194)</f>
        <v>942238</v>
      </c>
    </row>
    <row r="221" spans="1:10" ht="15" x14ac:dyDescent="0.4">
      <c r="A221" s="214" t="s">
        <v>958</v>
      </c>
      <c r="E221" s="11">
        <f t="shared" ref="E221:J221" si="3">SUM(E198:E214)</f>
        <v>156784</v>
      </c>
      <c r="F221" s="11">
        <f t="shared" si="3"/>
        <v>317000</v>
      </c>
      <c r="G221" s="11">
        <f t="shared" si="3"/>
        <v>377000</v>
      </c>
      <c r="H221" s="11">
        <f t="shared" si="3"/>
        <v>377000</v>
      </c>
      <c r="I221" s="11">
        <f t="shared" si="3"/>
        <v>377000</v>
      </c>
      <c r="J221" s="11">
        <f t="shared" si="3"/>
        <v>377000</v>
      </c>
    </row>
    <row r="222" spans="1:10" x14ac:dyDescent="0.25">
      <c r="A222" s="214" t="s">
        <v>1247</v>
      </c>
      <c r="E222" s="2">
        <f t="shared" ref="E222:J222" si="4">SUM(E219:E221)</f>
        <v>1608227.16</v>
      </c>
      <c r="F222" s="2">
        <f t="shared" si="4"/>
        <v>1793611</v>
      </c>
      <c r="G222" s="2">
        <f t="shared" si="4"/>
        <v>1865320</v>
      </c>
      <c r="H222" s="2">
        <f t="shared" si="4"/>
        <v>1867951</v>
      </c>
      <c r="I222" s="2">
        <f t="shared" si="4"/>
        <v>1868489</v>
      </c>
      <c r="J222" s="2">
        <f t="shared" si="4"/>
        <v>1877575</v>
      </c>
    </row>
    <row r="223" spans="1:10" x14ac:dyDescent="0.25">
      <c r="H223" s="247"/>
      <c r="I223" s="295"/>
      <c r="J223" s="298"/>
    </row>
    <row r="224" spans="1:10" x14ac:dyDescent="0.25">
      <c r="H224" s="247"/>
      <c r="I224" s="295"/>
      <c r="J224" s="298"/>
    </row>
    <row r="225" spans="8:10" x14ac:dyDescent="0.25">
      <c r="H225" s="247"/>
      <c r="I225" s="2">
        <f>+I222-H222</f>
        <v>538</v>
      </c>
      <c r="J225" s="2">
        <f>+J222-I222</f>
        <v>9086</v>
      </c>
    </row>
    <row r="226" spans="8:10" x14ac:dyDescent="0.25">
      <c r="H226" s="247"/>
      <c r="I226" s="295"/>
      <c r="J226" s="298"/>
    </row>
    <row r="227" spans="8:10" x14ac:dyDescent="0.25">
      <c r="H227" s="247"/>
      <c r="I227" s="295"/>
      <c r="J227" s="298"/>
    </row>
    <row r="228" spans="8:10" x14ac:dyDescent="0.25">
      <c r="H228" s="247"/>
      <c r="I228" s="295"/>
      <c r="J228" s="298"/>
    </row>
    <row r="229" spans="8:10" x14ac:dyDescent="0.25">
      <c r="H229" s="247"/>
      <c r="I229" s="295"/>
      <c r="J229" s="298"/>
    </row>
    <row r="230" spans="8:10" x14ac:dyDescent="0.25">
      <c r="H230" s="247"/>
      <c r="I230" s="295"/>
      <c r="J230" s="298"/>
    </row>
    <row r="231" spans="8:10" x14ac:dyDescent="0.25">
      <c r="H231" s="247"/>
      <c r="I231" s="295"/>
      <c r="J231" s="298"/>
    </row>
    <row r="232" spans="8:10" x14ac:dyDescent="0.25">
      <c r="H232" s="247"/>
      <c r="I232" s="295"/>
      <c r="J232" s="298"/>
    </row>
    <row r="233" spans="8:10" x14ac:dyDescent="0.25">
      <c r="H233" s="247"/>
      <c r="I233" s="295"/>
      <c r="J233" s="298"/>
    </row>
    <row r="234" spans="8:10" x14ac:dyDescent="0.25">
      <c r="H234" s="247"/>
      <c r="I234" s="295"/>
      <c r="J234" s="298"/>
    </row>
    <row r="235" spans="8:10" x14ac:dyDescent="0.25">
      <c r="H235" s="247"/>
      <c r="I235" s="295"/>
      <c r="J235" s="298"/>
    </row>
    <row r="236" spans="8:10" x14ac:dyDescent="0.25">
      <c r="H236" s="247"/>
      <c r="I236" s="295"/>
      <c r="J236" s="298"/>
    </row>
    <row r="237" spans="8:10" x14ac:dyDescent="0.25">
      <c r="H237" s="247"/>
      <c r="I237" s="295"/>
      <c r="J237" s="298"/>
    </row>
    <row r="238" spans="8:10" x14ac:dyDescent="0.25">
      <c r="H238" s="247"/>
      <c r="I238" s="295"/>
      <c r="J238" s="298"/>
    </row>
    <row r="239" spans="8:10" x14ac:dyDescent="0.25">
      <c r="H239" s="247"/>
      <c r="I239" s="295"/>
      <c r="J239" s="298"/>
    </row>
    <row r="240" spans="8:10" x14ac:dyDescent="0.25">
      <c r="I240" s="295"/>
      <c r="J240" s="298"/>
    </row>
    <row r="241" spans="9:10" x14ac:dyDescent="0.25">
      <c r="I241" s="295"/>
      <c r="J241" s="298"/>
    </row>
    <row r="242" spans="9:10" x14ac:dyDescent="0.25">
      <c r="I242" s="295"/>
      <c r="J242" s="298"/>
    </row>
    <row r="243" spans="9:10" x14ac:dyDescent="0.25">
      <c r="J243" s="298"/>
    </row>
    <row r="244" spans="9:10" x14ac:dyDescent="0.25">
      <c r="J244" s="298"/>
    </row>
    <row r="245" spans="9:10" x14ac:dyDescent="0.25">
      <c r="J245" s="298"/>
    </row>
    <row r="246" spans="9:10" x14ac:dyDescent="0.25">
      <c r="J246" s="298"/>
    </row>
    <row r="247" spans="9:10" x14ac:dyDescent="0.25">
      <c r="J247" s="298"/>
    </row>
    <row r="248" spans="9:10" x14ac:dyDescent="0.25">
      <c r="J248" s="298"/>
    </row>
    <row r="249" spans="9:10" x14ac:dyDescent="0.25">
      <c r="J249" s="298"/>
    </row>
    <row r="250" spans="9:10" x14ac:dyDescent="0.25">
      <c r="J250" s="298"/>
    </row>
    <row r="251" spans="9:10" x14ac:dyDescent="0.25">
      <c r="J251" s="298"/>
    </row>
    <row r="252" spans="9:10" x14ac:dyDescent="0.25">
      <c r="J252" s="298"/>
    </row>
    <row r="253" spans="9:10" x14ac:dyDescent="0.25">
      <c r="J253" s="298"/>
    </row>
    <row r="254" spans="9:10" x14ac:dyDescent="0.25">
      <c r="J254" s="298"/>
    </row>
    <row r="255" spans="9:10" x14ac:dyDescent="0.25">
      <c r="J255" s="298"/>
    </row>
    <row r="256" spans="9:10" x14ac:dyDescent="0.25">
      <c r="J256" s="298"/>
    </row>
  </sheetData>
  <mergeCells count="1">
    <mergeCell ref="A1:J1"/>
  </mergeCells>
  <phoneticPr fontId="0" type="noConversion"/>
  <printOptions gridLines="1"/>
  <pageMargins left="0.75" right="0.16" top="0.51" bottom="0.22" header="0.5" footer="0.5"/>
  <pageSetup scale="85" fitToHeight="14" orientation="landscape" r:id="rId1"/>
  <headerFooter alignWithMargins="0"/>
  <rowBreaks count="2" manualBreakCount="2">
    <brk id="122" max="9" man="1"/>
    <brk id="166" max="9"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K294"/>
  <sheetViews>
    <sheetView view="pageBreakPreview" zoomScaleNormal="100" zoomScaleSheetLayoutView="100" workbookViewId="0">
      <selection sqref="A1:J1"/>
    </sheetView>
  </sheetViews>
  <sheetFormatPr defaultColWidth="8.88671875" defaultRowHeight="13.2" x14ac:dyDescent="0.25"/>
  <cols>
    <col min="1" max="1" width="65.88671875" style="273" bestFit="1" customWidth="1"/>
    <col min="2" max="3" width="9.44140625" style="273" bestFit="1" customWidth="1"/>
    <col min="4" max="4" width="9.44140625" style="2" bestFit="1" customWidth="1"/>
    <col min="5" max="6" width="9" style="273" bestFit="1" customWidth="1"/>
    <col min="7" max="7" width="11.6640625" style="273" bestFit="1" customWidth="1"/>
    <col min="8" max="8" width="13.5546875" style="273" bestFit="1" customWidth="1"/>
    <col min="9" max="9" width="9.44140625" style="273" bestFit="1" customWidth="1"/>
    <col min="10" max="10" width="9" style="273" bestFit="1" customWidth="1"/>
    <col min="11" max="16384" width="8.88671875" style="273"/>
  </cols>
  <sheetData>
    <row r="1" spans="1:11" x14ac:dyDescent="0.25">
      <c r="A1" s="307" t="str">
        <f>'SUMMARY BY FUND'!A1:J1</f>
        <v>2019-20 BUDGET</v>
      </c>
      <c r="B1" s="308"/>
      <c r="C1" s="308"/>
      <c r="D1" s="308"/>
      <c r="E1" s="308"/>
      <c r="F1" s="308"/>
      <c r="G1" s="308"/>
      <c r="H1" s="308"/>
      <c r="I1" s="308"/>
      <c r="J1" s="308"/>
    </row>
    <row r="2" spans="1:11" ht="17.399999999999999" x14ac:dyDescent="0.3">
      <c r="A2" s="180" t="s">
        <v>1942</v>
      </c>
      <c r="B2" s="180"/>
      <c r="C2" s="180"/>
      <c r="D2" s="180"/>
      <c r="E2" s="180"/>
      <c r="F2" s="180"/>
    </row>
    <row r="3" spans="1:11" x14ac:dyDescent="0.25">
      <c r="B3" s="2"/>
      <c r="C3" s="2"/>
      <c r="E3" s="2"/>
      <c r="F3" s="2"/>
    </row>
    <row r="4" spans="1:11" x14ac:dyDescent="0.25">
      <c r="B4" s="2"/>
      <c r="C4" s="2"/>
      <c r="E4" s="16" t="s">
        <v>233</v>
      </c>
      <c r="F4" s="16" t="s">
        <v>234</v>
      </c>
      <c r="G4" s="16" t="s">
        <v>70</v>
      </c>
      <c r="H4" s="16" t="s">
        <v>409</v>
      </c>
      <c r="I4" s="16" t="s">
        <v>314</v>
      </c>
      <c r="J4" s="16" t="s">
        <v>345</v>
      </c>
    </row>
    <row r="5" spans="1:11" ht="15" x14ac:dyDescent="0.4">
      <c r="B5" s="2"/>
      <c r="C5" s="2"/>
      <c r="E5" s="274" t="s">
        <v>1794</v>
      </c>
      <c r="F5" s="274" t="s">
        <v>1970</v>
      </c>
      <c r="G5" s="274" t="s">
        <v>2129</v>
      </c>
      <c r="H5" s="274" t="s">
        <v>2129</v>
      </c>
      <c r="I5" s="274" t="s">
        <v>2129</v>
      </c>
      <c r="J5" s="274" t="s">
        <v>2129</v>
      </c>
    </row>
    <row r="6" spans="1:11" ht="13.8" x14ac:dyDescent="0.3">
      <c r="A6" s="276" t="s">
        <v>1479</v>
      </c>
      <c r="B6" s="2"/>
      <c r="C6" s="2"/>
      <c r="E6" s="2">
        <v>70354.570000000007</v>
      </c>
      <c r="F6" s="2">
        <v>70356</v>
      </c>
      <c r="G6" s="2">
        <v>70356</v>
      </c>
      <c r="H6" s="2">
        <v>70356</v>
      </c>
      <c r="I6" s="2">
        <v>73882</v>
      </c>
      <c r="J6" s="2">
        <v>73882</v>
      </c>
      <c r="K6" s="2"/>
    </row>
    <row r="7" spans="1:11" x14ac:dyDescent="0.25">
      <c r="A7" s="23" t="s">
        <v>438</v>
      </c>
      <c r="B7" s="2">
        <v>52</v>
      </c>
      <c r="C7" s="2">
        <v>1394</v>
      </c>
      <c r="D7" s="2">
        <f>+C7*B7</f>
        <v>72488</v>
      </c>
      <c r="E7" s="2"/>
      <c r="F7" s="2"/>
      <c r="G7" s="2"/>
      <c r="H7" s="2"/>
      <c r="I7" s="2"/>
      <c r="J7" s="2"/>
    </row>
    <row r="8" spans="1:11" ht="15" x14ac:dyDescent="0.4">
      <c r="A8" s="273" t="s">
        <v>973</v>
      </c>
      <c r="B8" s="2"/>
      <c r="C8" s="2"/>
      <c r="D8" s="11">
        <v>1394</v>
      </c>
      <c r="E8" s="2"/>
      <c r="F8" s="11"/>
      <c r="G8" s="11"/>
      <c r="H8" s="11"/>
      <c r="I8" s="11"/>
      <c r="J8" s="11"/>
    </row>
    <row r="9" spans="1:11" x14ac:dyDescent="0.25">
      <c r="A9" s="273" t="s">
        <v>1247</v>
      </c>
      <c r="B9" s="2"/>
      <c r="C9" s="2"/>
      <c r="D9" s="2">
        <f>SUM(D7:D8)</f>
        <v>73882</v>
      </c>
      <c r="E9" s="2"/>
      <c r="F9" s="2"/>
      <c r="G9" s="2"/>
      <c r="H9" s="2"/>
      <c r="I9" s="2"/>
      <c r="J9" s="2"/>
    </row>
    <row r="10" spans="1:11" x14ac:dyDescent="0.25">
      <c r="B10" s="2"/>
      <c r="C10" s="2"/>
      <c r="E10" s="2"/>
      <c r="F10" s="2"/>
      <c r="G10" s="2"/>
      <c r="H10" s="2"/>
      <c r="I10" s="2"/>
      <c r="J10" s="2"/>
    </row>
    <row r="11" spans="1:11" x14ac:dyDescent="0.25">
      <c r="B11" s="2"/>
      <c r="C11" s="2"/>
      <c r="E11" s="2"/>
      <c r="F11" s="2"/>
      <c r="G11" s="2"/>
      <c r="H11" s="2"/>
      <c r="I11" s="2"/>
      <c r="J11" s="2"/>
    </row>
    <row r="12" spans="1:11" ht="13.8" x14ac:dyDescent="0.3">
      <c r="A12" s="276" t="s">
        <v>1955</v>
      </c>
      <c r="B12" s="2"/>
      <c r="C12" s="2"/>
      <c r="E12" s="2">
        <v>39715.769999999997</v>
      </c>
      <c r="F12" s="2">
        <v>41236</v>
      </c>
      <c r="G12" s="2">
        <v>42588</v>
      </c>
      <c r="H12" s="2">
        <v>42588</v>
      </c>
      <c r="I12" s="2">
        <v>43836</v>
      </c>
      <c r="J12" s="2">
        <v>43836</v>
      </c>
      <c r="K12" s="2"/>
    </row>
    <row r="13" spans="1:11" x14ac:dyDescent="0.25">
      <c r="A13" s="273" t="s">
        <v>1913</v>
      </c>
      <c r="B13" s="2">
        <v>52</v>
      </c>
      <c r="C13" s="2">
        <v>843</v>
      </c>
      <c r="D13" s="2">
        <f>+C13*B13</f>
        <v>43836</v>
      </c>
      <c r="E13" s="2"/>
      <c r="F13" s="2"/>
      <c r="G13" s="2"/>
      <c r="H13" s="2"/>
      <c r="I13" s="2"/>
      <c r="J13" s="2"/>
    </row>
    <row r="14" spans="1:11" ht="15" x14ac:dyDescent="0.4">
      <c r="A14" s="273" t="s">
        <v>973</v>
      </c>
      <c r="B14" s="2"/>
      <c r="C14" s="2"/>
      <c r="D14" s="11">
        <v>0</v>
      </c>
      <c r="I14" s="295"/>
      <c r="J14" s="298"/>
    </row>
    <row r="15" spans="1:11" x14ac:dyDescent="0.25">
      <c r="A15" s="273" t="s">
        <v>1247</v>
      </c>
      <c r="B15" s="2"/>
      <c r="C15" s="2"/>
      <c r="D15" s="2">
        <f>SUM(D13:D14)</f>
        <v>43836</v>
      </c>
      <c r="E15" s="2"/>
      <c r="F15" s="2"/>
      <c r="G15" s="2"/>
      <c r="H15" s="2"/>
      <c r="I15" s="2"/>
      <c r="J15" s="2"/>
    </row>
    <row r="16" spans="1:11" x14ac:dyDescent="0.25">
      <c r="B16" s="2"/>
      <c r="C16" s="2"/>
      <c r="E16" s="2"/>
      <c r="F16" s="2"/>
      <c r="G16" s="2"/>
      <c r="H16" s="2"/>
      <c r="I16" s="2"/>
      <c r="J16" s="2"/>
    </row>
    <row r="17" spans="1:10" x14ac:dyDescent="0.25">
      <c r="B17" s="2"/>
      <c r="C17" s="2"/>
      <c r="E17" s="2"/>
      <c r="F17" s="2"/>
      <c r="G17" s="2"/>
      <c r="H17" s="2"/>
      <c r="I17" s="2"/>
      <c r="J17" s="2"/>
    </row>
    <row r="18" spans="1:10" ht="13.8" x14ac:dyDescent="0.3">
      <c r="A18" s="276" t="s">
        <v>1110</v>
      </c>
      <c r="B18" s="2"/>
      <c r="C18" s="2"/>
      <c r="E18" s="2">
        <v>23611.16</v>
      </c>
      <c r="F18" s="2">
        <v>32173</v>
      </c>
      <c r="G18" s="2">
        <f>SUM(D27)</f>
        <v>26583</v>
      </c>
      <c r="H18" s="2">
        <v>26583</v>
      </c>
      <c r="I18" s="2">
        <v>26583</v>
      </c>
      <c r="J18" s="2">
        <v>26583</v>
      </c>
    </row>
    <row r="19" spans="1:10" x14ac:dyDescent="0.25">
      <c r="A19" s="273" t="s">
        <v>2120</v>
      </c>
      <c r="B19" s="2">
        <v>0</v>
      </c>
      <c r="C19" s="12">
        <v>18.27</v>
      </c>
      <c r="D19" s="2">
        <f t="shared" ref="D19:D24" si="0">ROUND(B19*C19,0)</f>
        <v>0</v>
      </c>
      <c r="E19" s="2"/>
      <c r="F19" s="2"/>
      <c r="G19" s="2"/>
      <c r="H19" s="2"/>
      <c r="I19" s="2"/>
      <c r="J19" s="2"/>
    </row>
    <row r="20" spans="1:10" x14ac:dyDescent="0.25">
      <c r="A20" s="273" t="s">
        <v>1927</v>
      </c>
      <c r="B20" s="2">
        <v>0</v>
      </c>
      <c r="C20" s="12">
        <v>9.25</v>
      </c>
      <c r="D20" s="2">
        <f t="shared" si="0"/>
        <v>0</v>
      </c>
      <c r="E20" s="2"/>
      <c r="F20" s="2"/>
      <c r="G20" s="2"/>
      <c r="H20" s="2"/>
      <c r="I20" s="2"/>
      <c r="J20" s="2"/>
    </row>
    <row r="21" spans="1:10" x14ac:dyDescent="0.25">
      <c r="A21" s="273" t="s">
        <v>1847</v>
      </c>
      <c r="B21" s="2">
        <v>160</v>
      </c>
      <c r="C21" s="12">
        <v>10.5</v>
      </c>
      <c r="D21" s="2">
        <f t="shared" si="0"/>
        <v>1680</v>
      </c>
      <c r="E21" s="2"/>
      <c r="F21" s="2"/>
      <c r="G21" s="2"/>
      <c r="H21" s="2"/>
      <c r="I21" s="2"/>
      <c r="J21" s="2"/>
    </row>
    <row r="22" spans="1:10" x14ac:dyDescent="0.25">
      <c r="A22" s="273" t="s">
        <v>2225</v>
      </c>
      <c r="B22" s="2">
        <v>720</v>
      </c>
      <c r="C22" s="12">
        <v>10.5</v>
      </c>
      <c r="D22" s="2">
        <f t="shared" si="0"/>
        <v>7560</v>
      </c>
      <c r="E22" s="2"/>
      <c r="F22" s="2"/>
      <c r="G22" s="2"/>
      <c r="H22" s="2"/>
      <c r="I22" s="2"/>
      <c r="J22" s="2"/>
    </row>
    <row r="23" spans="1:10" x14ac:dyDescent="0.25">
      <c r="A23" s="273" t="s">
        <v>1848</v>
      </c>
      <c r="B23" s="2">
        <v>180</v>
      </c>
      <c r="C23" s="12">
        <v>15</v>
      </c>
      <c r="D23" s="2">
        <f t="shared" si="0"/>
        <v>2700</v>
      </c>
      <c r="E23" s="2"/>
      <c r="F23" s="2"/>
      <c r="G23" s="2"/>
      <c r="H23" s="2"/>
      <c r="I23" s="2"/>
      <c r="J23" s="2"/>
    </row>
    <row r="24" spans="1:10" x14ac:dyDescent="0.25">
      <c r="A24" s="273" t="s">
        <v>1926</v>
      </c>
      <c r="B24" s="2">
        <v>0</v>
      </c>
      <c r="C24" s="12">
        <v>10</v>
      </c>
      <c r="D24" s="2">
        <f t="shared" si="0"/>
        <v>0</v>
      </c>
      <c r="E24" s="2"/>
      <c r="F24" s="2"/>
      <c r="G24" s="2"/>
      <c r="H24" s="2"/>
      <c r="I24" s="2"/>
      <c r="J24" s="2"/>
    </row>
    <row r="25" spans="1:10" x14ac:dyDescent="0.25">
      <c r="A25" s="273" t="s">
        <v>1755</v>
      </c>
      <c r="B25" s="2">
        <v>0</v>
      </c>
      <c r="C25" s="12">
        <v>0</v>
      </c>
      <c r="D25" s="2">
        <f>ROUND(B25*C25,0)</f>
        <v>0</v>
      </c>
      <c r="E25" s="2"/>
      <c r="F25" s="18"/>
      <c r="G25" s="18"/>
      <c r="H25" s="18"/>
      <c r="I25" s="18"/>
      <c r="J25" s="18"/>
    </row>
    <row r="26" spans="1:10" ht="15" x14ac:dyDescent="0.4">
      <c r="A26" s="273" t="s">
        <v>1825</v>
      </c>
      <c r="B26" s="2">
        <v>1040</v>
      </c>
      <c r="C26" s="12">
        <v>14.08</v>
      </c>
      <c r="D26" s="11">
        <f>ROUND(B26*C26,0)</f>
        <v>14643</v>
      </c>
      <c r="E26" s="2"/>
      <c r="F26" s="2"/>
      <c r="G26" s="2"/>
      <c r="H26" s="2"/>
      <c r="I26" s="2"/>
      <c r="J26" s="2"/>
    </row>
    <row r="27" spans="1:10" x14ac:dyDescent="0.25">
      <c r="A27" s="273" t="s">
        <v>1247</v>
      </c>
      <c r="B27" s="2"/>
      <c r="C27" s="2"/>
      <c r="D27" s="2">
        <f>SUM(D19:D26)</f>
        <v>26583</v>
      </c>
      <c r="E27" s="2"/>
      <c r="F27" s="2"/>
      <c r="G27" s="2"/>
      <c r="H27" s="2"/>
      <c r="I27" s="2"/>
      <c r="J27" s="2"/>
    </row>
    <row r="28" spans="1:10" x14ac:dyDescent="0.25">
      <c r="I28" s="295"/>
      <c r="J28" s="298"/>
    </row>
    <row r="29" spans="1:10" ht="13.8" x14ac:dyDescent="0.3">
      <c r="A29" s="276" t="s">
        <v>4</v>
      </c>
      <c r="E29" s="2">
        <v>231.41</v>
      </c>
      <c r="F29" s="2">
        <v>500</v>
      </c>
      <c r="G29" s="2">
        <v>599</v>
      </c>
      <c r="H29" s="2">
        <v>599</v>
      </c>
      <c r="I29" s="2">
        <v>599</v>
      </c>
      <c r="J29" s="2">
        <v>599</v>
      </c>
    </row>
    <row r="30" spans="1:10" x14ac:dyDescent="0.25">
      <c r="A30" s="273" t="s">
        <v>1661</v>
      </c>
      <c r="B30" s="2">
        <v>38</v>
      </c>
      <c r="C30" s="12">
        <v>15.75</v>
      </c>
      <c r="D30" s="2">
        <f>+ROUND(C30*B30,0)</f>
        <v>599</v>
      </c>
      <c r="E30" s="2"/>
      <c r="F30" s="2"/>
      <c r="G30" s="2"/>
      <c r="H30" s="2"/>
      <c r="I30" s="2"/>
      <c r="J30" s="2"/>
    </row>
    <row r="31" spans="1:10" ht="12.6" customHeight="1" x14ac:dyDescent="0.3">
      <c r="A31" s="276" t="s">
        <v>5</v>
      </c>
      <c r="E31" s="2">
        <v>10237.17</v>
      </c>
      <c r="F31" s="2">
        <v>11043</v>
      </c>
      <c r="G31" s="2">
        <v>11146</v>
      </c>
      <c r="H31" s="2">
        <v>11146</v>
      </c>
      <c r="I31" s="2">
        <v>11092</v>
      </c>
      <c r="J31" s="2">
        <v>11092</v>
      </c>
    </row>
    <row r="32" spans="1:10" ht="12.6" customHeight="1" x14ac:dyDescent="0.25">
      <c r="A32" s="13" t="s">
        <v>1468</v>
      </c>
      <c r="B32" s="2">
        <f>+D9</f>
        <v>73882</v>
      </c>
      <c r="C32" s="14">
        <v>7.6499999999999999E-2</v>
      </c>
      <c r="D32" s="2">
        <f>ROUND(B32*C32,0)+6</f>
        <v>5658</v>
      </c>
      <c r="E32" s="2"/>
      <c r="F32" s="2"/>
      <c r="G32" s="2"/>
      <c r="H32" s="2"/>
      <c r="I32" s="2"/>
      <c r="J32" s="2"/>
    </row>
    <row r="33" spans="1:10" ht="12.6" customHeight="1" x14ac:dyDescent="0.25">
      <c r="A33" s="13" t="s">
        <v>807</v>
      </c>
      <c r="B33" s="2">
        <f>+D15</f>
        <v>43836</v>
      </c>
      <c r="C33" s="14">
        <v>7.6499999999999999E-2</v>
      </c>
      <c r="D33" s="2">
        <f>ROUND(B33*C33,0)</f>
        <v>3353</v>
      </c>
      <c r="E33" s="2"/>
      <c r="F33" s="2"/>
      <c r="G33" s="2"/>
      <c r="H33" s="2"/>
      <c r="I33" s="2"/>
      <c r="J33" s="2"/>
    </row>
    <row r="34" spans="1:10" ht="12.6" customHeight="1" x14ac:dyDescent="0.25">
      <c r="A34" s="13" t="s">
        <v>184</v>
      </c>
      <c r="B34" s="2">
        <f>+D27</f>
        <v>26583</v>
      </c>
      <c r="C34" s="14">
        <v>7.6499999999999999E-2</v>
      </c>
      <c r="D34" s="2">
        <f>ROUND(B34*C34,0)+1</f>
        <v>2035</v>
      </c>
      <c r="E34" s="2"/>
      <c r="F34" s="2"/>
      <c r="G34" s="2"/>
      <c r="H34" s="2"/>
      <c r="I34" s="2"/>
      <c r="J34" s="2"/>
    </row>
    <row r="35" spans="1:10" ht="12.6" customHeight="1" x14ac:dyDescent="0.4">
      <c r="A35" s="13" t="s">
        <v>185</v>
      </c>
      <c r="B35" s="2">
        <f>+D30</f>
        <v>599</v>
      </c>
      <c r="C35" s="14">
        <v>7.6499999999999999E-2</v>
      </c>
      <c r="D35" s="11">
        <f>ROUND(B35*C35,0)</f>
        <v>46</v>
      </c>
      <c r="E35" s="2"/>
      <c r="F35" s="2"/>
      <c r="G35" s="2"/>
      <c r="H35" s="2"/>
      <c r="I35" s="2"/>
      <c r="J35" s="2"/>
    </row>
    <row r="36" spans="1:10" ht="12.6" customHeight="1" x14ac:dyDescent="0.25">
      <c r="A36" s="273" t="s">
        <v>1247</v>
      </c>
      <c r="D36" s="2">
        <f>SUM(D32:D35)</f>
        <v>11092</v>
      </c>
      <c r="E36" s="2"/>
      <c r="F36" s="2"/>
      <c r="G36" s="2"/>
      <c r="H36" s="2"/>
      <c r="I36" s="2"/>
      <c r="J36" s="2"/>
    </row>
    <row r="37" spans="1:10" ht="12.6" customHeight="1" x14ac:dyDescent="0.25">
      <c r="E37" s="2"/>
      <c r="F37" s="2"/>
      <c r="G37" s="2"/>
      <c r="H37" s="2"/>
      <c r="I37" s="2"/>
      <c r="J37" s="2"/>
    </row>
    <row r="38" spans="1:10" ht="12.6" customHeight="1" x14ac:dyDescent="0.3">
      <c r="A38" s="276" t="s">
        <v>43</v>
      </c>
      <c r="E38" s="2">
        <v>12474.91</v>
      </c>
      <c r="F38" s="2">
        <v>12700</v>
      </c>
      <c r="G38" s="2">
        <v>12616</v>
      </c>
      <c r="H38" s="2">
        <v>12616</v>
      </c>
      <c r="I38" s="2">
        <v>13149</v>
      </c>
      <c r="J38" s="2">
        <v>13149</v>
      </c>
    </row>
    <row r="39" spans="1:10" ht="12.6" customHeight="1" x14ac:dyDescent="0.25">
      <c r="A39" s="13" t="s">
        <v>1468</v>
      </c>
      <c r="B39" s="2">
        <f>+D9</f>
        <v>73882</v>
      </c>
      <c r="C39" s="14">
        <v>0.11169999999999999</v>
      </c>
      <c r="D39" s="2">
        <f>ROUND(B39*C39,0)</f>
        <v>8253</v>
      </c>
      <c r="E39" s="2"/>
      <c r="F39" s="2"/>
      <c r="G39" s="2"/>
      <c r="H39" s="2"/>
      <c r="I39" s="2"/>
      <c r="J39" s="2"/>
    </row>
    <row r="40" spans="1:10" ht="12.6" customHeight="1" x14ac:dyDescent="0.4">
      <c r="A40" s="13" t="s">
        <v>807</v>
      </c>
      <c r="B40" s="2">
        <f>+D15</f>
        <v>43836</v>
      </c>
      <c r="C40" s="14">
        <v>0.11169999999999999</v>
      </c>
      <c r="D40" s="11">
        <f>ROUND(B40*C40,0)</f>
        <v>4896</v>
      </c>
      <c r="E40" s="2"/>
      <c r="F40" s="2"/>
      <c r="G40" s="2"/>
      <c r="H40" s="2"/>
      <c r="I40" s="2"/>
      <c r="J40" s="2"/>
    </row>
    <row r="41" spans="1:10" ht="12.6" customHeight="1" x14ac:dyDescent="0.25">
      <c r="A41" s="273" t="s">
        <v>1247</v>
      </c>
      <c r="B41" s="2"/>
      <c r="C41" s="14"/>
      <c r="D41" s="2">
        <f>SUM(D39:D40)</f>
        <v>13149</v>
      </c>
      <c r="E41" s="2"/>
      <c r="F41" s="2"/>
      <c r="G41" s="2"/>
      <c r="H41" s="2"/>
      <c r="I41" s="2"/>
      <c r="J41" s="2"/>
    </row>
    <row r="42" spans="1:10" ht="12.6" customHeight="1" x14ac:dyDescent="0.25">
      <c r="E42" s="2"/>
      <c r="F42" s="2"/>
      <c r="G42" s="2"/>
      <c r="H42" s="2"/>
      <c r="I42" s="2"/>
      <c r="J42" s="2"/>
    </row>
    <row r="43" spans="1:10" ht="13.8" x14ac:dyDescent="0.3">
      <c r="A43" s="276" t="s">
        <v>44</v>
      </c>
      <c r="E43" s="2">
        <v>31524.85</v>
      </c>
      <c r="F43" s="2">
        <v>36600</v>
      </c>
      <c r="G43" s="2">
        <v>37200</v>
      </c>
      <c r="H43" s="2">
        <v>38050</v>
      </c>
      <c r="I43" s="2">
        <v>38050</v>
      </c>
      <c r="J43" s="2">
        <v>38050</v>
      </c>
    </row>
    <row r="44" spans="1:10" x14ac:dyDescent="0.25">
      <c r="A44" s="273" t="s">
        <v>416</v>
      </c>
      <c r="B44" s="157">
        <v>2</v>
      </c>
      <c r="C44" s="2">
        <v>19025</v>
      </c>
      <c r="D44" s="2">
        <f>ROUND(B44*C44,0)</f>
        <v>38050</v>
      </c>
      <c r="E44" s="2"/>
      <c r="F44" s="2"/>
      <c r="G44" s="2"/>
      <c r="H44" s="2"/>
      <c r="I44" s="2"/>
      <c r="J44" s="2"/>
    </row>
    <row r="45" spans="1:10" x14ac:dyDescent="0.25">
      <c r="B45" s="157"/>
      <c r="E45" s="2"/>
      <c r="F45" s="2"/>
      <c r="G45" s="2"/>
      <c r="H45" s="2"/>
      <c r="I45" s="2"/>
      <c r="J45" s="2"/>
    </row>
    <row r="46" spans="1:10" ht="13.8" x14ac:dyDescent="0.3">
      <c r="A46" s="276" t="s">
        <v>1093</v>
      </c>
      <c r="B46" s="157"/>
      <c r="E46" s="2">
        <v>1174.1500000000001</v>
      </c>
      <c r="F46" s="2">
        <v>2340</v>
      </c>
      <c r="G46" s="2">
        <v>2403</v>
      </c>
      <c r="H46" s="2">
        <v>2430</v>
      </c>
      <c r="I46" s="2">
        <v>2430</v>
      </c>
      <c r="J46" s="2">
        <v>2430</v>
      </c>
    </row>
    <row r="47" spans="1:10" x14ac:dyDescent="0.25">
      <c r="A47" s="273" t="s">
        <v>416</v>
      </c>
      <c r="B47" s="157">
        <v>2</v>
      </c>
      <c r="C47" s="2">
        <v>1350</v>
      </c>
      <c r="D47" s="2">
        <f>ROUND(B47*C47,0)</f>
        <v>2700</v>
      </c>
      <c r="E47" s="2"/>
      <c r="F47" s="2"/>
      <c r="G47" s="2"/>
      <c r="H47" s="2"/>
      <c r="I47" s="2"/>
      <c r="J47" s="2"/>
    </row>
    <row r="48" spans="1:10" ht="15" x14ac:dyDescent="0.4">
      <c r="A48" s="273" t="s">
        <v>227</v>
      </c>
      <c r="B48" s="157"/>
      <c r="C48" s="2"/>
      <c r="D48" s="11">
        <f>+C47*-0.1*B47</f>
        <v>-270</v>
      </c>
      <c r="E48" s="2"/>
      <c r="F48" s="2"/>
      <c r="G48" s="2"/>
      <c r="H48" s="2"/>
      <c r="I48" s="2"/>
      <c r="J48" s="2"/>
    </row>
    <row r="49" spans="1:10" x14ac:dyDescent="0.25">
      <c r="A49" s="273" t="s">
        <v>801</v>
      </c>
      <c r="B49" s="157"/>
      <c r="C49" s="2"/>
      <c r="D49" s="2">
        <f>SUM(D47:D48)</f>
        <v>2430</v>
      </c>
      <c r="E49" s="2"/>
      <c r="F49" s="2"/>
      <c r="G49" s="2"/>
      <c r="H49" s="2"/>
      <c r="I49" s="2"/>
      <c r="J49" s="2"/>
    </row>
    <row r="50" spans="1:10" x14ac:dyDescent="0.25">
      <c r="B50" s="157"/>
      <c r="E50" s="2"/>
      <c r="F50" s="2"/>
      <c r="G50" s="2"/>
      <c r="H50" s="2"/>
      <c r="I50" s="2"/>
      <c r="J50" s="2"/>
    </row>
    <row r="51" spans="1:10" ht="13.8" x14ac:dyDescent="0.3">
      <c r="A51" s="276" t="s">
        <v>150</v>
      </c>
      <c r="B51" s="157"/>
      <c r="E51" s="2">
        <v>233.58</v>
      </c>
      <c r="F51" s="2">
        <v>270</v>
      </c>
      <c r="G51" s="2">
        <v>270</v>
      </c>
      <c r="H51" s="2">
        <v>270</v>
      </c>
      <c r="I51" s="2">
        <v>270</v>
      </c>
      <c r="J51" s="2">
        <v>270</v>
      </c>
    </row>
    <row r="52" spans="1:10" hidden="1" x14ac:dyDescent="0.25">
      <c r="A52" s="273" t="s">
        <v>416</v>
      </c>
      <c r="B52" s="157">
        <v>2</v>
      </c>
      <c r="C52" s="2">
        <v>135</v>
      </c>
      <c r="D52" s="2">
        <f>ROUND(B52*C52,0)</f>
        <v>270</v>
      </c>
      <c r="E52" s="2"/>
      <c r="F52" s="2"/>
      <c r="G52" s="2"/>
      <c r="H52" s="2"/>
      <c r="I52" s="2"/>
      <c r="J52" s="2"/>
    </row>
    <row r="53" spans="1:10" x14ac:dyDescent="0.25">
      <c r="B53" s="157"/>
      <c r="E53" s="2"/>
      <c r="F53" s="2"/>
      <c r="G53" s="2"/>
      <c r="H53" s="2"/>
      <c r="I53" s="2"/>
      <c r="J53" s="2"/>
    </row>
    <row r="54" spans="1:10" ht="13.8" x14ac:dyDescent="0.3">
      <c r="A54" s="276" t="s">
        <v>151</v>
      </c>
      <c r="B54" s="157"/>
      <c r="E54" s="2">
        <v>1183.02</v>
      </c>
      <c r="F54" s="2">
        <v>1260</v>
      </c>
      <c r="G54" s="2">
        <v>1200</v>
      </c>
      <c r="H54" s="2">
        <v>1200</v>
      </c>
      <c r="I54" s="2">
        <v>1200</v>
      </c>
      <c r="J54" s="2">
        <v>1200</v>
      </c>
    </row>
    <row r="55" spans="1:10" hidden="1" x14ac:dyDescent="0.25">
      <c r="A55" s="273" t="s">
        <v>416</v>
      </c>
      <c r="B55" s="157">
        <v>2</v>
      </c>
      <c r="C55" s="2">
        <v>600</v>
      </c>
      <c r="D55" s="2">
        <f>ROUND(B55*C55,0)</f>
        <v>1200</v>
      </c>
      <c r="E55" s="2"/>
      <c r="F55" s="2"/>
      <c r="G55" s="2"/>
      <c r="H55" s="2"/>
      <c r="I55" s="2"/>
      <c r="J55" s="2"/>
    </row>
    <row r="56" spans="1:10" x14ac:dyDescent="0.25">
      <c r="E56" s="2"/>
      <c r="F56" s="2"/>
      <c r="G56" s="2"/>
      <c r="H56" s="2"/>
      <c r="I56" s="2"/>
      <c r="J56" s="2"/>
    </row>
    <row r="57" spans="1:10" ht="13.8" x14ac:dyDescent="0.3">
      <c r="A57" s="276" t="s">
        <v>152</v>
      </c>
      <c r="E57" s="2">
        <v>2210.65</v>
      </c>
      <c r="F57" s="2">
        <v>2872</v>
      </c>
      <c r="G57" s="2">
        <v>2948</v>
      </c>
      <c r="H57" s="2">
        <v>2948</v>
      </c>
      <c r="I57" s="2">
        <v>2876</v>
      </c>
      <c r="J57" s="2">
        <v>2876</v>
      </c>
    </row>
    <row r="58" spans="1:10" x14ac:dyDescent="0.25">
      <c r="A58" s="13" t="s">
        <v>1170</v>
      </c>
      <c r="B58" s="2">
        <f>+D7+D8</f>
        <v>73882</v>
      </c>
      <c r="C58" s="14">
        <v>1.9300000000000001E-2</v>
      </c>
      <c r="D58" s="2">
        <f t="shared" ref="D58:D63" si="1">ROUND(B58*C58,0)</f>
        <v>1426</v>
      </c>
      <c r="E58" s="2"/>
      <c r="F58" s="2"/>
      <c r="G58" s="2"/>
      <c r="H58" s="2"/>
      <c r="I58" s="2"/>
      <c r="J58" s="2"/>
    </row>
    <row r="59" spans="1:10" x14ac:dyDescent="0.25">
      <c r="A59" s="13" t="s">
        <v>1914</v>
      </c>
      <c r="B59" s="2">
        <f>+B33</f>
        <v>43836</v>
      </c>
      <c r="C59" s="14">
        <v>1.9300000000000001E-2</v>
      </c>
      <c r="D59" s="2">
        <f t="shared" si="1"/>
        <v>846</v>
      </c>
      <c r="E59" s="2"/>
      <c r="F59" s="2"/>
      <c r="G59" s="2"/>
      <c r="H59" s="2"/>
      <c r="I59" s="2"/>
      <c r="J59" s="2"/>
    </row>
    <row r="60" spans="1:10" x14ac:dyDescent="0.25">
      <c r="A60" s="13" t="s">
        <v>1115</v>
      </c>
      <c r="B60" s="2">
        <f>+D19</f>
        <v>0</v>
      </c>
      <c r="C60" s="14">
        <v>1.5E-3</v>
      </c>
      <c r="D60" s="2">
        <f t="shared" si="1"/>
        <v>0</v>
      </c>
      <c r="E60" s="2"/>
      <c r="F60" s="2"/>
      <c r="G60" s="2"/>
      <c r="H60" s="2"/>
      <c r="I60" s="2"/>
      <c r="J60" s="2"/>
    </row>
    <row r="61" spans="1:10" x14ac:dyDescent="0.25">
      <c r="A61" s="13" t="s">
        <v>553</v>
      </c>
      <c r="B61" s="2">
        <f>+D26</f>
        <v>14643</v>
      </c>
      <c r="C61" s="14">
        <v>2.7799999999999998E-2</v>
      </c>
      <c r="D61" s="2">
        <f t="shared" si="1"/>
        <v>407</v>
      </c>
      <c r="E61" s="2"/>
      <c r="F61" s="2"/>
      <c r="G61" s="2"/>
      <c r="H61" s="2"/>
      <c r="I61" s="2"/>
      <c r="J61" s="2"/>
    </row>
    <row r="62" spans="1:10" x14ac:dyDescent="0.25">
      <c r="A62" s="13" t="s">
        <v>1507</v>
      </c>
      <c r="B62" s="2">
        <f>+D25+D23+D22+D21</f>
        <v>11940</v>
      </c>
      <c r="C62" s="14">
        <v>1.9300000000000001E-2</v>
      </c>
      <c r="D62" s="2">
        <f t="shared" si="1"/>
        <v>230</v>
      </c>
      <c r="E62" s="2"/>
      <c r="F62" s="2"/>
      <c r="G62" s="2"/>
      <c r="H62" s="2"/>
      <c r="I62" s="2"/>
      <c r="J62" s="2"/>
    </row>
    <row r="63" spans="1:10" ht="15" x14ac:dyDescent="0.4">
      <c r="A63" s="13" t="s">
        <v>1983</v>
      </c>
      <c r="B63" s="2">
        <f>+D30</f>
        <v>599</v>
      </c>
      <c r="C63" s="14">
        <v>1.9300000000000001E-2</v>
      </c>
      <c r="D63" s="11">
        <f t="shared" si="1"/>
        <v>12</v>
      </c>
      <c r="E63" s="2"/>
      <c r="F63" s="2"/>
      <c r="G63" s="2"/>
      <c r="H63" s="2"/>
      <c r="I63" s="2"/>
      <c r="J63" s="2"/>
    </row>
    <row r="64" spans="1:10" x14ac:dyDescent="0.25">
      <c r="A64" s="273" t="s">
        <v>1247</v>
      </c>
      <c r="D64" s="2">
        <f>SUM(D58:D63)</f>
        <v>2921</v>
      </c>
      <c r="E64" s="2"/>
      <c r="F64" s="2"/>
      <c r="G64" s="2"/>
      <c r="H64" s="2"/>
      <c r="I64" s="2"/>
      <c r="J64" s="2"/>
    </row>
    <row r="65" spans="1:10" x14ac:dyDescent="0.25">
      <c r="E65" s="2"/>
      <c r="F65" s="2"/>
      <c r="G65" s="2"/>
      <c r="H65" s="2"/>
      <c r="I65" s="2"/>
      <c r="J65" s="2"/>
    </row>
    <row r="66" spans="1:10" ht="13.8" x14ac:dyDescent="0.3">
      <c r="A66" s="276" t="s">
        <v>337</v>
      </c>
      <c r="E66" s="2">
        <v>-347.87</v>
      </c>
      <c r="F66" s="2">
        <v>159</v>
      </c>
      <c r="G66" s="2">
        <v>159</v>
      </c>
      <c r="H66" s="2">
        <v>159</v>
      </c>
      <c r="I66" s="2">
        <v>151</v>
      </c>
      <c r="J66" s="2">
        <v>151</v>
      </c>
    </row>
    <row r="67" spans="1:10" x14ac:dyDescent="0.25">
      <c r="A67" s="273" t="s">
        <v>439</v>
      </c>
      <c r="B67" s="2">
        <v>1</v>
      </c>
      <c r="C67" s="2">
        <v>26</v>
      </c>
      <c r="D67" s="2">
        <f>ROUND(B67*C67,0)</f>
        <v>26</v>
      </c>
      <c r="E67" s="2"/>
      <c r="F67" s="2"/>
      <c r="G67" s="2"/>
      <c r="H67" s="2"/>
      <c r="I67" s="2"/>
      <c r="J67" s="2"/>
    </row>
    <row r="68" spans="1:10" x14ac:dyDescent="0.25">
      <c r="A68" s="13" t="s">
        <v>1914</v>
      </c>
      <c r="B68" s="2">
        <v>1</v>
      </c>
      <c r="C68" s="2">
        <v>26</v>
      </c>
      <c r="D68" s="2">
        <f>ROUND(B68*C68,0)</f>
        <v>26</v>
      </c>
      <c r="E68" s="2"/>
      <c r="F68" s="2"/>
      <c r="G68" s="2"/>
      <c r="H68" s="2"/>
      <c r="I68" s="2"/>
      <c r="J68" s="2"/>
    </row>
    <row r="69" spans="1:10" x14ac:dyDescent="0.25">
      <c r="A69" s="13" t="s">
        <v>1820</v>
      </c>
      <c r="B69" s="157">
        <v>0.5</v>
      </c>
      <c r="C69" s="2">
        <v>26</v>
      </c>
      <c r="D69" s="2">
        <f>ROUND(B69*C69,0)</f>
        <v>13</v>
      </c>
      <c r="E69" s="2"/>
      <c r="F69" s="2"/>
      <c r="G69" s="2"/>
      <c r="H69" s="2"/>
      <c r="I69" s="2"/>
      <c r="J69" s="2"/>
    </row>
    <row r="70" spans="1:10" x14ac:dyDescent="0.25">
      <c r="A70" s="13" t="s">
        <v>184</v>
      </c>
      <c r="B70" s="2">
        <f>+D21+D22+D23+D25</f>
        <v>11940</v>
      </c>
      <c r="C70" s="14">
        <v>1.8E-3</v>
      </c>
      <c r="D70" s="2">
        <f>ROUND(B70*C70,0)+13</f>
        <v>34</v>
      </c>
      <c r="E70" s="2"/>
      <c r="F70" s="2"/>
      <c r="G70" s="2"/>
      <c r="H70" s="2"/>
      <c r="I70" s="2"/>
      <c r="J70" s="2"/>
    </row>
    <row r="71" spans="1:10" ht="15" x14ac:dyDescent="0.4">
      <c r="A71" s="13" t="s">
        <v>1849</v>
      </c>
      <c r="B71" s="2">
        <v>2</v>
      </c>
      <c r="C71" s="2">
        <v>26</v>
      </c>
      <c r="D71" s="11">
        <f>ROUND(B71*C71,0)</f>
        <v>52</v>
      </c>
      <c r="E71" s="2"/>
      <c r="F71" s="2"/>
      <c r="G71" s="2"/>
      <c r="H71" s="2"/>
      <c r="I71" s="2"/>
      <c r="J71" s="2"/>
    </row>
    <row r="72" spans="1:10" x14ac:dyDescent="0.25">
      <c r="A72" s="273" t="s">
        <v>1247</v>
      </c>
      <c r="D72" s="2">
        <f>SUM(D67:D71)</f>
        <v>151</v>
      </c>
      <c r="E72" s="2"/>
      <c r="F72" s="2"/>
      <c r="G72" s="2"/>
      <c r="H72" s="2"/>
      <c r="I72" s="2"/>
      <c r="J72" s="2"/>
    </row>
    <row r="73" spans="1:10" x14ac:dyDescent="0.25">
      <c r="E73" s="2"/>
      <c r="F73" s="2"/>
      <c r="G73" s="2"/>
      <c r="H73" s="2"/>
      <c r="I73" s="2"/>
      <c r="J73" s="2"/>
    </row>
    <row r="74" spans="1:10" ht="13.8" x14ac:dyDescent="0.3">
      <c r="A74" s="276" t="s">
        <v>338</v>
      </c>
      <c r="E74" s="2">
        <v>3608.28</v>
      </c>
      <c r="F74" s="2">
        <v>1000</v>
      </c>
      <c r="G74" s="2">
        <v>1000</v>
      </c>
      <c r="H74" s="2">
        <v>1000</v>
      </c>
      <c r="I74" s="2">
        <v>1000</v>
      </c>
      <c r="J74" s="2">
        <v>1000</v>
      </c>
    </row>
    <row r="75" spans="1:10" x14ac:dyDescent="0.25">
      <c r="A75" s="273" t="s">
        <v>414</v>
      </c>
      <c r="D75" s="2" t="s">
        <v>396</v>
      </c>
      <c r="E75" s="2"/>
      <c r="F75" s="2"/>
      <c r="G75" s="2"/>
      <c r="H75" s="2"/>
      <c r="I75" s="2"/>
      <c r="J75" s="2"/>
    </row>
    <row r="76" spans="1:10" x14ac:dyDescent="0.25">
      <c r="A76" s="273" t="s">
        <v>588</v>
      </c>
      <c r="C76" s="2"/>
      <c r="D76" s="2">
        <v>1000</v>
      </c>
      <c r="E76" s="2"/>
      <c r="F76" s="2"/>
      <c r="G76" s="2"/>
      <c r="H76" s="2"/>
      <c r="I76" s="2"/>
      <c r="J76" s="2"/>
    </row>
    <row r="77" spans="1:10" x14ac:dyDescent="0.25">
      <c r="A77" s="273" t="s">
        <v>396</v>
      </c>
      <c r="C77" s="2" t="s">
        <v>396</v>
      </c>
      <c r="D77" s="2" t="s">
        <v>396</v>
      </c>
      <c r="E77" s="2"/>
      <c r="F77" s="2"/>
      <c r="G77" s="2"/>
      <c r="H77" s="2"/>
      <c r="I77" s="2"/>
      <c r="J77" s="2"/>
    </row>
    <row r="78" spans="1:10" ht="13.8" x14ac:dyDescent="0.3">
      <c r="A78" s="276" t="s">
        <v>1369</v>
      </c>
      <c r="C78" s="2"/>
      <c r="E78" s="2">
        <v>3729.78</v>
      </c>
      <c r="F78" s="2">
        <v>3500</v>
      </c>
      <c r="G78" s="2">
        <v>3500</v>
      </c>
      <c r="H78" s="2">
        <v>3500</v>
      </c>
      <c r="I78" s="2">
        <v>3500</v>
      </c>
      <c r="J78" s="2">
        <v>3500</v>
      </c>
    </row>
    <row r="79" spans="1:10" x14ac:dyDescent="0.25">
      <c r="A79" s="273" t="s">
        <v>504</v>
      </c>
      <c r="B79" s="6"/>
      <c r="C79" s="2"/>
      <c r="D79" s="2">
        <v>3500</v>
      </c>
      <c r="E79" s="2"/>
      <c r="F79" s="2"/>
      <c r="G79" s="2"/>
      <c r="H79" s="2"/>
      <c r="I79" s="2"/>
      <c r="J79" s="2"/>
    </row>
    <row r="80" spans="1:10" x14ac:dyDescent="0.25">
      <c r="A80" s="6"/>
      <c r="B80" s="6"/>
      <c r="C80" s="2"/>
      <c r="E80" s="2"/>
      <c r="F80" s="2"/>
      <c r="G80" s="2"/>
      <c r="H80" s="2"/>
      <c r="I80" s="2"/>
      <c r="J80" s="2"/>
    </row>
    <row r="81" spans="1:10" ht="13.8" x14ac:dyDescent="0.3">
      <c r="A81" s="276" t="s">
        <v>572</v>
      </c>
      <c r="D81" s="2" t="s">
        <v>396</v>
      </c>
      <c r="E81" s="2">
        <v>500</v>
      </c>
      <c r="F81" s="2">
        <v>500</v>
      </c>
      <c r="G81" s="2">
        <v>500</v>
      </c>
      <c r="H81" s="2">
        <v>500</v>
      </c>
      <c r="I81" s="2">
        <v>500</v>
      </c>
      <c r="J81" s="2">
        <v>500</v>
      </c>
    </row>
    <row r="82" spans="1:10" x14ac:dyDescent="0.25">
      <c r="A82" s="273" t="s">
        <v>1656</v>
      </c>
      <c r="B82" s="2" t="s">
        <v>396</v>
      </c>
      <c r="C82" s="2" t="s">
        <v>396</v>
      </c>
      <c r="D82" s="2">
        <v>500</v>
      </c>
      <c r="E82" s="2"/>
      <c r="F82" s="2"/>
      <c r="G82" s="2"/>
      <c r="H82" s="2"/>
      <c r="I82" s="2"/>
      <c r="J82" s="2"/>
    </row>
    <row r="83" spans="1:10" x14ac:dyDescent="0.25">
      <c r="E83" s="2"/>
      <c r="F83" s="2"/>
      <c r="G83" s="2"/>
      <c r="H83" s="2"/>
      <c r="I83" s="2"/>
      <c r="J83" s="2"/>
    </row>
    <row r="84" spans="1:10" ht="13.8" x14ac:dyDescent="0.3">
      <c r="A84" s="276" t="s">
        <v>1056</v>
      </c>
      <c r="E84" s="2">
        <v>480.55</v>
      </c>
      <c r="F84" s="2">
        <v>300</v>
      </c>
      <c r="G84" s="2">
        <v>300</v>
      </c>
      <c r="H84" s="2">
        <v>300</v>
      </c>
      <c r="I84" s="2">
        <v>300</v>
      </c>
      <c r="J84" s="2">
        <v>300</v>
      </c>
    </row>
    <row r="85" spans="1:10" x14ac:dyDescent="0.25">
      <c r="A85" s="273" t="s">
        <v>426</v>
      </c>
      <c r="C85" s="2"/>
      <c r="D85" s="2">
        <v>300</v>
      </c>
      <c r="I85" s="295"/>
      <c r="J85" s="298"/>
    </row>
    <row r="86" spans="1:10" x14ac:dyDescent="0.25">
      <c r="A86" s="273" t="s">
        <v>396</v>
      </c>
      <c r="C86" s="2" t="s">
        <v>396</v>
      </c>
      <c r="D86" s="2" t="s">
        <v>396</v>
      </c>
      <c r="E86" s="2"/>
      <c r="F86" s="2"/>
      <c r="G86" s="2"/>
      <c r="H86" s="2"/>
      <c r="I86" s="2"/>
      <c r="J86" s="2"/>
    </row>
    <row r="87" spans="1:10" ht="13.8" x14ac:dyDescent="0.3">
      <c r="A87" s="276" t="s">
        <v>1136</v>
      </c>
      <c r="C87" s="2"/>
      <c r="E87" s="2">
        <v>920.73</v>
      </c>
      <c r="F87" s="2">
        <v>530</v>
      </c>
      <c r="G87" s="2">
        <v>950</v>
      </c>
      <c r="H87" s="2">
        <v>950</v>
      </c>
      <c r="I87" s="2">
        <v>950</v>
      </c>
      <c r="J87" s="2">
        <v>950</v>
      </c>
    </row>
    <row r="88" spans="1:10" x14ac:dyDescent="0.25">
      <c r="A88" s="273" t="s">
        <v>785</v>
      </c>
      <c r="C88" s="2"/>
      <c r="D88" s="2">
        <v>600</v>
      </c>
      <c r="E88" s="2"/>
      <c r="F88" s="2"/>
      <c r="G88" s="2"/>
      <c r="H88" s="2"/>
      <c r="I88" s="2"/>
      <c r="J88" s="2"/>
    </row>
    <row r="89" spans="1:10" ht="15" x14ac:dyDescent="0.4">
      <c r="A89" s="273" t="s">
        <v>1198</v>
      </c>
      <c r="C89" s="2"/>
      <c r="D89" s="11">
        <v>350</v>
      </c>
      <c r="E89" s="2"/>
      <c r="F89" s="2"/>
      <c r="G89" s="2"/>
      <c r="H89" s="2"/>
      <c r="I89" s="2"/>
      <c r="J89" s="2"/>
    </row>
    <row r="90" spans="1:10" x14ac:dyDescent="0.25">
      <c r="C90" s="2"/>
      <c r="D90" s="2">
        <f>SUM(D88:D89)</f>
        <v>950</v>
      </c>
      <c r="E90" s="2"/>
      <c r="F90" s="2"/>
      <c r="G90" s="2"/>
      <c r="H90" s="2"/>
      <c r="I90" s="2"/>
      <c r="J90" s="2"/>
    </row>
    <row r="91" spans="1:10" ht="13.8" x14ac:dyDescent="0.3">
      <c r="A91" s="276" t="s">
        <v>629</v>
      </c>
      <c r="C91" s="2"/>
      <c r="E91" s="2">
        <v>29028.74</v>
      </c>
      <c r="F91" s="2">
        <v>30492</v>
      </c>
      <c r="G91" s="2">
        <v>30000</v>
      </c>
      <c r="H91" s="2">
        <v>30000</v>
      </c>
      <c r="I91" s="2">
        <v>30000</v>
      </c>
      <c r="J91" s="2">
        <v>30000</v>
      </c>
    </row>
    <row r="92" spans="1:10" x14ac:dyDescent="0.25">
      <c r="A92" s="273" t="s">
        <v>488</v>
      </c>
      <c r="C92" s="2"/>
      <c r="D92" s="2">
        <v>9450</v>
      </c>
      <c r="E92" s="2"/>
      <c r="F92" s="2"/>
      <c r="G92" s="2"/>
      <c r="H92" s="2"/>
      <c r="I92" s="2"/>
      <c r="J92" s="2"/>
    </row>
    <row r="93" spans="1:10" x14ac:dyDescent="0.25">
      <c r="A93" s="273" t="s">
        <v>52</v>
      </c>
      <c r="C93" s="2"/>
      <c r="D93" s="2">
        <v>180</v>
      </c>
      <c r="E93" s="2"/>
      <c r="F93" s="2"/>
      <c r="G93" s="2"/>
      <c r="H93" s="2"/>
      <c r="I93" s="2"/>
      <c r="J93" s="2"/>
    </row>
    <row r="94" spans="1:10" x14ac:dyDescent="0.25">
      <c r="A94" s="273" t="s">
        <v>293</v>
      </c>
      <c r="C94" s="2"/>
      <c r="D94" s="2">
        <v>4575</v>
      </c>
      <c r="E94" s="2"/>
      <c r="F94" s="2"/>
      <c r="G94" s="2"/>
      <c r="H94" s="2"/>
      <c r="I94" s="2"/>
      <c r="J94" s="2"/>
    </row>
    <row r="95" spans="1:10" x14ac:dyDescent="0.25">
      <c r="A95" s="273" t="s">
        <v>294</v>
      </c>
      <c r="C95" s="2"/>
      <c r="D95" s="2">
        <v>915</v>
      </c>
      <c r="E95" s="2"/>
      <c r="F95" s="2"/>
      <c r="G95" s="2"/>
      <c r="H95" s="2"/>
      <c r="I95" s="2"/>
      <c r="J95" s="2"/>
    </row>
    <row r="96" spans="1:10" x14ac:dyDescent="0.25">
      <c r="A96" s="273" t="s">
        <v>295</v>
      </c>
      <c r="C96" s="2"/>
      <c r="D96" s="2">
        <v>1400</v>
      </c>
      <c r="E96" s="2"/>
      <c r="F96" s="2"/>
      <c r="G96" s="2"/>
      <c r="H96" s="2"/>
      <c r="I96" s="2"/>
      <c r="J96" s="2"/>
    </row>
    <row r="97" spans="1:10" x14ac:dyDescent="0.25">
      <c r="A97" s="273" t="s">
        <v>318</v>
      </c>
      <c r="C97" s="2"/>
      <c r="D97" s="2">
        <v>1600</v>
      </c>
      <c r="E97" s="2"/>
      <c r="F97" s="2"/>
      <c r="G97" s="2"/>
      <c r="H97" s="2"/>
      <c r="I97" s="2"/>
      <c r="J97" s="2"/>
    </row>
    <row r="98" spans="1:10" x14ac:dyDescent="0.25">
      <c r="A98" s="273" t="s">
        <v>1657</v>
      </c>
      <c r="C98" s="2"/>
      <c r="D98" s="2">
        <v>200</v>
      </c>
      <c r="E98" s="2"/>
      <c r="F98" s="2"/>
      <c r="G98" s="2"/>
      <c r="H98" s="2"/>
      <c r="I98" s="2"/>
      <c r="J98" s="2"/>
    </row>
    <row r="99" spans="1:10" ht="15" x14ac:dyDescent="0.4">
      <c r="A99" s="273" t="s">
        <v>1821</v>
      </c>
      <c r="C99" s="11"/>
      <c r="D99" s="2">
        <v>11500</v>
      </c>
      <c r="E99" s="2"/>
      <c r="F99" s="2"/>
      <c r="G99" s="2"/>
      <c r="H99" s="2"/>
      <c r="I99" s="2"/>
      <c r="J99" s="2"/>
    </row>
    <row r="100" spans="1:10" ht="15" x14ac:dyDescent="0.4">
      <c r="A100" s="273" t="s">
        <v>1615</v>
      </c>
      <c r="C100" s="11"/>
      <c r="D100" s="18">
        <v>180</v>
      </c>
      <c r="E100" s="2"/>
      <c r="F100" s="2"/>
      <c r="G100" s="2"/>
      <c r="H100" s="2"/>
      <c r="I100" s="2"/>
      <c r="J100" s="2"/>
    </row>
    <row r="101" spans="1:10" x14ac:dyDescent="0.25">
      <c r="A101" s="273" t="s">
        <v>1247</v>
      </c>
      <c r="C101" s="2"/>
      <c r="D101" s="2">
        <f>SUM(D92:D100)</f>
        <v>30000</v>
      </c>
      <c r="E101" s="2"/>
      <c r="F101" s="2"/>
      <c r="G101" s="2"/>
      <c r="H101" s="2"/>
      <c r="I101" s="2"/>
      <c r="J101" s="2"/>
    </row>
    <row r="102" spans="1:10" x14ac:dyDescent="0.25">
      <c r="C102" s="2"/>
      <c r="E102" s="2"/>
      <c r="F102" s="2"/>
      <c r="G102" s="2"/>
      <c r="H102" s="2"/>
      <c r="I102" s="2"/>
      <c r="J102" s="2"/>
    </row>
    <row r="103" spans="1:10" ht="13.8" x14ac:dyDescent="0.3">
      <c r="A103" s="276" t="s">
        <v>384</v>
      </c>
      <c r="C103" s="2"/>
      <c r="E103" s="2">
        <v>5996.23</v>
      </c>
      <c r="F103" s="2">
        <v>6250</v>
      </c>
      <c r="G103" s="2">
        <v>6000</v>
      </c>
      <c r="H103" s="2">
        <v>6000</v>
      </c>
      <c r="I103" s="2">
        <v>6000</v>
      </c>
      <c r="J103" s="2">
        <v>6000</v>
      </c>
    </row>
    <row r="104" spans="1:10" x14ac:dyDescent="0.25">
      <c r="A104" s="273" t="s">
        <v>262</v>
      </c>
      <c r="B104" s="2"/>
      <c r="C104" s="12"/>
      <c r="D104" s="2">
        <v>1200</v>
      </c>
      <c r="E104" s="2"/>
      <c r="F104" s="2"/>
      <c r="G104" s="2"/>
      <c r="H104" s="2"/>
      <c r="I104" s="2"/>
      <c r="J104" s="2"/>
    </row>
    <row r="105" spans="1:10" ht="15" x14ac:dyDescent="0.4">
      <c r="A105" s="273" t="s">
        <v>1959</v>
      </c>
      <c r="B105" s="2"/>
      <c r="C105" s="12"/>
      <c r="D105" s="11">
        <v>4800</v>
      </c>
      <c r="E105" s="2"/>
      <c r="F105" s="2"/>
      <c r="G105" s="2"/>
      <c r="H105" s="2"/>
      <c r="I105" s="2"/>
      <c r="J105" s="2"/>
    </row>
    <row r="106" spans="1:10" x14ac:dyDescent="0.25">
      <c r="B106" s="2"/>
      <c r="C106" s="12"/>
      <c r="D106" s="2">
        <f>SUM(D104:D105)</f>
        <v>6000</v>
      </c>
      <c r="E106" s="2"/>
      <c r="F106" s="2"/>
      <c r="G106" s="2"/>
      <c r="H106" s="2"/>
      <c r="I106" s="2"/>
      <c r="J106" s="2"/>
    </row>
    <row r="107" spans="1:10" x14ac:dyDescent="0.25">
      <c r="B107" s="2"/>
      <c r="C107" s="12"/>
      <c r="E107" s="2"/>
      <c r="F107" s="2"/>
      <c r="G107" s="2"/>
      <c r="H107" s="2"/>
      <c r="I107" s="2"/>
      <c r="J107" s="2"/>
    </row>
    <row r="108" spans="1:10" ht="13.8" x14ac:dyDescent="0.3">
      <c r="A108" s="276" t="s">
        <v>263</v>
      </c>
      <c r="E108" s="2">
        <v>8619.65</v>
      </c>
      <c r="F108" s="2">
        <v>15133</v>
      </c>
      <c r="G108" s="2">
        <v>9400</v>
      </c>
      <c r="H108" s="2">
        <v>9400</v>
      </c>
      <c r="I108" s="2">
        <v>9400</v>
      </c>
      <c r="J108" s="2">
        <v>9400</v>
      </c>
    </row>
    <row r="109" spans="1:10" x14ac:dyDescent="0.25">
      <c r="A109" s="273" t="s">
        <v>2123</v>
      </c>
      <c r="D109" s="2">
        <v>2500</v>
      </c>
      <c r="E109" s="2"/>
      <c r="F109" s="2"/>
      <c r="G109" s="2"/>
      <c r="H109" s="2"/>
      <c r="I109" s="2"/>
      <c r="J109" s="2"/>
    </row>
    <row r="110" spans="1:10" x14ac:dyDescent="0.25">
      <c r="A110" s="273" t="s">
        <v>1302</v>
      </c>
      <c r="D110" s="2">
        <v>750</v>
      </c>
      <c r="E110" s="2"/>
      <c r="F110" s="2"/>
      <c r="G110" s="2"/>
      <c r="H110" s="2"/>
      <c r="I110" s="2"/>
      <c r="J110" s="2"/>
    </row>
    <row r="111" spans="1:10" x14ac:dyDescent="0.25">
      <c r="A111" s="273" t="s">
        <v>1985</v>
      </c>
      <c r="D111" s="2">
        <v>2000</v>
      </c>
      <c r="E111" s="2"/>
      <c r="F111" s="2"/>
      <c r="G111" s="2"/>
      <c r="H111" s="2"/>
      <c r="I111" s="2"/>
      <c r="J111" s="2"/>
    </row>
    <row r="112" spans="1:10" x14ac:dyDescent="0.25">
      <c r="A112" s="273" t="s">
        <v>2122</v>
      </c>
      <c r="D112" s="2">
        <v>1250</v>
      </c>
      <c r="E112" s="2"/>
      <c r="F112" s="2"/>
      <c r="G112" s="2"/>
      <c r="H112" s="2"/>
      <c r="I112" s="2"/>
      <c r="J112" s="2"/>
    </row>
    <row r="113" spans="1:10" x14ac:dyDescent="0.25">
      <c r="A113" s="273" t="s">
        <v>1303</v>
      </c>
      <c r="D113" s="2">
        <v>1200</v>
      </c>
      <c r="E113" s="2"/>
      <c r="F113" s="18"/>
      <c r="G113" s="18"/>
      <c r="H113" s="18"/>
      <c r="I113" s="18"/>
      <c r="J113" s="18"/>
    </row>
    <row r="114" spans="1:10" x14ac:dyDescent="0.25">
      <c r="A114" s="273" t="s">
        <v>1304</v>
      </c>
      <c r="B114" s="28"/>
      <c r="D114" s="18">
        <v>1700</v>
      </c>
      <c r="E114" s="2"/>
      <c r="F114" s="2"/>
      <c r="G114" s="2"/>
      <c r="H114" s="2"/>
      <c r="I114" s="2"/>
      <c r="J114" s="2"/>
    </row>
    <row r="115" spans="1:10" x14ac:dyDescent="0.25">
      <c r="D115" s="2">
        <f>SUM(D109:D114)</f>
        <v>9400</v>
      </c>
      <c r="E115" s="2"/>
      <c r="F115" s="2"/>
      <c r="G115" s="2"/>
      <c r="H115" s="2"/>
      <c r="I115" s="2"/>
      <c r="J115" s="2"/>
    </row>
    <row r="116" spans="1:10" x14ac:dyDescent="0.25">
      <c r="A116" s="273" t="s">
        <v>396</v>
      </c>
      <c r="D116" s="2" t="s">
        <v>396</v>
      </c>
      <c r="E116" s="2"/>
      <c r="F116" s="2"/>
      <c r="G116" s="2"/>
      <c r="H116" s="2"/>
      <c r="I116" s="2"/>
      <c r="J116" s="2"/>
    </row>
    <row r="117" spans="1:10" ht="13.8" x14ac:dyDescent="0.3">
      <c r="A117" s="276" t="s">
        <v>13</v>
      </c>
      <c r="E117" s="2">
        <v>540.5</v>
      </c>
      <c r="F117" s="2">
        <v>484</v>
      </c>
      <c r="G117" s="2">
        <v>590</v>
      </c>
      <c r="H117" s="2">
        <v>590</v>
      </c>
      <c r="I117" s="2">
        <v>590</v>
      </c>
      <c r="J117" s="2">
        <v>590</v>
      </c>
    </row>
    <row r="118" spans="1:10" x14ac:dyDescent="0.25">
      <c r="A118" s="273" t="s">
        <v>628</v>
      </c>
      <c r="D118" s="2">
        <v>590</v>
      </c>
      <c r="E118" s="2"/>
      <c r="F118" s="2"/>
      <c r="G118" s="2"/>
      <c r="H118" s="2"/>
      <c r="I118" s="2"/>
      <c r="J118" s="2"/>
    </row>
    <row r="119" spans="1:10" x14ac:dyDescent="0.25">
      <c r="E119" s="2"/>
      <c r="F119" s="2"/>
      <c r="G119" s="2"/>
      <c r="H119" s="2"/>
      <c r="I119" s="2"/>
      <c r="J119" s="2"/>
    </row>
    <row r="120" spans="1:10" ht="13.8" x14ac:dyDescent="0.3">
      <c r="A120" s="276" t="s">
        <v>14</v>
      </c>
      <c r="E120" s="2">
        <v>393.98</v>
      </c>
      <c r="F120" s="2">
        <v>513</v>
      </c>
      <c r="G120" s="2">
        <v>593</v>
      </c>
      <c r="H120" s="2">
        <v>593</v>
      </c>
      <c r="I120" s="2">
        <v>593</v>
      </c>
      <c r="J120" s="2">
        <v>593</v>
      </c>
    </row>
    <row r="121" spans="1:10" x14ac:dyDescent="0.25">
      <c r="A121" s="273" t="s">
        <v>502</v>
      </c>
      <c r="B121" s="2">
        <v>230</v>
      </c>
      <c r="C121" s="12">
        <v>2.58</v>
      </c>
      <c r="D121" s="2">
        <f>ROUND(B121*C121,0)</f>
        <v>593</v>
      </c>
      <c r="F121" s="2"/>
      <c r="G121" s="2"/>
      <c r="H121" s="2"/>
      <c r="I121" s="2"/>
      <c r="J121" s="2"/>
    </row>
    <row r="122" spans="1:10" x14ac:dyDescent="0.25">
      <c r="E122" s="2"/>
      <c r="F122" s="2"/>
      <c r="G122" s="2"/>
      <c r="H122" s="2"/>
      <c r="I122" s="2"/>
      <c r="J122" s="2"/>
    </row>
    <row r="123" spans="1:10" ht="13.8" x14ac:dyDescent="0.3">
      <c r="A123" s="276" t="s">
        <v>948</v>
      </c>
      <c r="D123" s="8" t="s">
        <v>396</v>
      </c>
      <c r="E123" s="2">
        <v>6418.03</v>
      </c>
      <c r="F123" s="2">
        <v>5509</v>
      </c>
      <c r="G123" s="2">
        <v>5720</v>
      </c>
      <c r="H123" s="2">
        <v>5720</v>
      </c>
      <c r="I123" s="2">
        <v>5720</v>
      </c>
      <c r="J123" s="2">
        <v>5720</v>
      </c>
    </row>
    <row r="124" spans="1:10" x14ac:dyDescent="0.25">
      <c r="A124" s="273" t="s">
        <v>959</v>
      </c>
      <c r="C124" s="2"/>
      <c r="D124" s="2">
        <v>2800</v>
      </c>
      <c r="E124" s="2"/>
      <c r="F124" s="18"/>
      <c r="G124" s="18"/>
      <c r="H124" s="18"/>
      <c r="I124" s="18"/>
      <c r="J124" s="18"/>
    </row>
    <row r="125" spans="1:10" x14ac:dyDescent="0.25">
      <c r="A125" s="273" t="s">
        <v>1984</v>
      </c>
      <c r="C125" s="2"/>
      <c r="D125" s="2">
        <v>1900</v>
      </c>
      <c r="E125" s="2"/>
      <c r="F125" s="18"/>
      <c r="G125" s="18"/>
      <c r="H125" s="18"/>
      <c r="I125" s="18"/>
      <c r="J125" s="18"/>
    </row>
    <row r="126" spans="1:10" ht="15" x14ac:dyDescent="0.4">
      <c r="A126" s="273" t="s">
        <v>296</v>
      </c>
      <c r="C126" s="11"/>
      <c r="D126" s="18">
        <v>1019.76</v>
      </c>
      <c r="E126" s="2"/>
      <c r="F126" s="2"/>
      <c r="G126" s="2"/>
      <c r="H126" s="2"/>
      <c r="I126" s="2"/>
      <c r="J126" s="2"/>
    </row>
    <row r="127" spans="1:10" x14ac:dyDescent="0.25">
      <c r="A127" s="273" t="s">
        <v>1247</v>
      </c>
      <c r="C127" s="2"/>
      <c r="D127" s="2">
        <f>SUM(D124:D126)</f>
        <v>5719.76</v>
      </c>
      <c r="E127" s="2"/>
      <c r="F127" s="2"/>
      <c r="G127" s="2"/>
      <c r="H127" s="2"/>
      <c r="I127" s="2"/>
      <c r="J127" s="2"/>
    </row>
    <row r="128" spans="1:10" x14ac:dyDescent="0.25">
      <c r="C128" s="2"/>
      <c r="E128" s="2"/>
      <c r="F128" s="2"/>
      <c r="G128" s="2"/>
      <c r="H128" s="2"/>
      <c r="I128" s="2"/>
      <c r="J128" s="2"/>
    </row>
    <row r="129" spans="1:10" ht="13.8" x14ac:dyDescent="0.3">
      <c r="A129" s="276" t="s">
        <v>1189</v>
      </c>
      <c r="C129" s="2"/>
      <c r="E129" s="2">
        <v>400</v>
      </c>
      <c r="F129" s="2">
        <v>400</v>
      </c>
      <c r="G129" s="2">
        <v>405</v>
      </c>
      <c r="H129" s="2">
        <v>405</v>
      </c>
      <c r="I129" s="2">
        <v>405</v>
      </c>
      <c r="J129" s="2">
        <v>405</v>
      </c>
    </row>
    <row r="130" spans="1:10" x14ac:dyDescent="0.25">
      <c r="A130" s="273" t="s">
        <v>1658</v>
      </c>
      <c r="B130" s="2" t="s">
        <v>396</v>
      </c>
      <c r="C130" s="2"/>
      <c r="D130" s="2">
        <v>130</v>
      </c>
      <c r="E130" s="2"/>
      <c r="F130" s="2"/>
      <c r="G130" s="2"/>
      <c r="H130" s="2"/>
      <c r="I130" s="2"/>
      <c r="J130" s="2"/>
    </row>
    <row r="131" spans="1:10" x14ac:dyDescent="0.25">
      <c r="A131" s="273" t="s">
        <v>42</v>
      </c>
      <c r="B131" s="2"/>
      <c r="C131" s="2"/>
      <c r="D131" s="2">
        <v>100</v>
      </c>
      <c r="E131" s="2"/>
      <c r="F131" s="2"/>
      <c r="G131" s="2"/>
      <c r="H131" s="2"/>
      <c r="I131" s="2"/>
      <c r="J131" s="2"/>
    </row>
    <row r="132" spans="1:10" ht="15" x14ac:dyDescent="0.4">
      <c r="A132" s="273" t="s">
        <v>2035</v>
      </c>
      <c r="B132" s="2"/>
      <c r="C132" s="11"/>
      <c r="D132" s="11">
        <v>175</v>
      </c>
      <c r="E132" s="2"/>
      <c r="F132" s="2"/>
      <c r="G132" s="2"/>
      <c r="H132" s="2"/>
      <c r="I132" s="2"/>
      <c r="J132" s="2"/>
    </row>
    <row r="133" spans="1:10" x14ac:dyDescent="0.25">
      <c r="A133" s="273" t="s">
        <v>1247</v>
      </c>
      <c r="B133" s="2"/>
      <c r="C133" s="2"/>
      <c r="D133" s="2">
        <f>SUM(D130:D132)</f>
        <v>405</v>
      </c>
      <c r="E133" s="2"/>
      <c r="F133" s="2"/>
      <c r="G133" s="2"/>
      <c r="H133" s="2"/>
      <c r="I133" s="2"/>
      <c r="J133" s="2"/>
    </row>
    <row r="134" spans="1:10" x14ac:dyDescent="0.25">
      <c r="A134" s="273" t="s">
        <v>396</v>
      </c>
      <c r="C134" s="2"/>
      <c r="D134" s="2" t="s">
        <v>396</v>
      </c>
      <c r="E134" s="2"/>
      <c r="F134" s="2"/>
      <c r="G134" s="2"/>
      <c r="H134" s="2"/>
      <c r="I134" s="2"/>
      <c r="J134" s="2"/>
    </row>
    <row r="135" spans="1:10" ht="13.8" x14ac:dyDescent="0.3">
      <c r="A135" s="17" t="s">
        <v>1375</v>
      </c>
      <c r="C135" s="2"/>
      <c r="E135" s="2">
        <v>3202.43</v>
      </c>
      <c r="F135" s="2">
        <v>5267</v>
      </c>
      <c r="G135" s="2">
        <v>5023</v>
      </c>
      <c r="H135" s="2">
        <v>5023</v>
      </c>
      <c r="I135" s="2">
        <v>5023</v>
      </c>
      <c r="J135" s="2">
        <v>5023</v>
      </c>
    </row>
    <row r="136" spans="1:10" x14ac:dyDescent="0.25">
      <c r="A136" s="273" t="s">
        <v>1061</v>
      </c>
      <c r="C136" s="2"/>
      <c r="D136" s="2">
        <v>5023</v>
      </c>
      <c r="E136" s="2"/>
      <c r="F136" s="2"/>
      <c r="G136" s="2"/>
      <c r="H136" s="2"/>
      <c r="I136" s="2"/>
      <c r="J136" s="2"/>
    </row>
    <row r="137" spans="1:10" x14ac:dyDescent="0.25">
      <c r="C137" s="2"/>
      <c r="E137" s="2"/>
      <c r="F137" s="2"/>
      <c r="G137" s="2"/>
      <c r="H137" s="2"/>
      <c r="I137" s="2"/>
      <c r="J137" s="2"/>
    </row>
    <row r="138" spans="1:10" ht="13.8" x14ac:dyDescent="0.3">
      <c r="A138" s="276" t="s">
        <v>153</v>
      </c>
      <c r="C138" s="2"/>
      <c r="E138" s="2">
        <v>560.77</v>
      </c>
      <c r="F138" s="2">
        <v>550</v>
      </c>
      <c r="G138" s="2">
        <v>550</v>
      </c>
      <c r="H138" s="2">
        <v>550</v>
      </c>
      <c r="I138" s="2">
        <v>550</v>
      </c>
      <c r="J138" s="2">
        <v>550</v>
      </c>
    </row>
    <row r="139" spans="1:10" x14ac:dyDescent="0.25">
      <c r="A139" s="273" t="s">
        <v>616</v>
      </c>
      <c r="C139" s="2"/>
      <c r="D139" s="2">
        <v>550</v>
      </c>
      <c r="E139" s="2"/>
      <c r="F139" s="2"/>
      <c r="G139" s="2"/>
      <c r="H139" s="2"/>
      <c r="I139" s="2"/>
      <c r="J139" s="2"/>
    </row>
    <row r="140" spans="1:10" x14ac:dyDescent="0.25">
      <c r="A140" s="273" t="s">
        <v>396</v>
      </c>
      <c r="C140" s="2"/>
      <c r="D140" s="2" t="s">
        <v>396</v>
      </c>
      <c r="E140" s="2"/>
      <c r="F140" s="2"/>
      <c r="G140" s="2"/>
      <c r="H140" s="2"/>
      <c r="I140" s="2"/>
      <c r="J140" s="2"/>
    </row>
    <row r="141" spans="1:10" ht="13.8" x14ac:dyDescent="0.3">
      <c r="A141" s="276" t="s">
        <v>1077</v>
      </c>
      <c r="C141" s="8"/>
      <c r="D141" s="8" t="s">
        <v>396</v>
      </c>
      <c r="E141" s="2">
        <v>34273</v>
      </c>
      <c r="F141" s="2">
        <v>21230</v>
      </c>
      <c r="G141" s="2">
        <v>21230</v>
      </c>
      <c r="H141" s="2">
        <v>21230</v>
      </c>
      <c r="I141" s="2">
        <v>21230</v>
      </c>
      <c r="J141" s="2">
        <v>21230</v>
      </c>
    </row>
    <row r="142" spans="1:10" x14ac:dyDescent="0.25">
      <c r="A142" s="67" t="s">
        <v>611</v>
      </c>
      <c r="B142" s="6"/>
      <c r="C142" s="2"/>
      <c r="D142" s="2">
        <v>10490</v>
      </c>
      <c r="E142" s="2"/>
      <c r="F142" s="2"/>
      <c r="G142" s="2"/>
      <c r="H142" s="2"/>
      <c r="I142" s="2"/>
      <c r="J142" s="2"/>
    </row>
    <row r="143" spans="1:10" x14ac:dyDescent="0.25">
      <c r="A143" s="67" t="s">
        <v>99</v>
      </c>
      <c r="B143" s="6"/>
      <c r="C143" s="2"/>
      <c r="D143" s="2">
        <v>2240</v>
      </c>
      <c r="E143" s="2"/>
      <c r="F143" s="2"/>
      <c r="G143" s="2"/>
      <c r="H143" s="2"/>
      <c r="I143" s="2"/>
      <c r="J143" s="2"/>
    </row>
    <row r="144" spans="1:10" x14ac:dyDescent="0.25">
      <c r="A144" s="6" t="s">
        <v>495</v>
      </c>
      <c r="B144" s="6"/>
      <c r="C144" s="2"/>
      <c r="D144" s="2">
        <v>3000</v>
      </c>
      <c r="E144" s="2"/>
      <c r="F144" s="2"/>
      <c r="G144" s="2"/>
      <c r="H144" s="2"/>
      <c r="I144" s="2"/>
      <c r="J144" s="2"/>
    </row>
    <row r="145" spans="1:10" x14ac:dyDescent="0.25">
      <c r="A145" s="273" t="s">
        <v>2226</v>
      </c>
      <c r="C145" s="2" t="s">
        <v>396</v>
      </c>
      <c r="D145" s="2">
        <v>3500</v>
      </c>
      <c r="E145" s="2"/>
      <c r="F145" s="2"/>
      <c r="G145" s="2"/>
      <c r="H145" s="2"/>
      <c r="I145" s="2"/>
      <c r="J145" s="2"/>
    </row>
    <row r="146" spans="1:10" ht="17.399999999999999" x14ac:dyDescent="0.45">
      <c r="A146" s="273" t="s">
        <v>668</v>
      </c>
      <c r="C146" s="27"/>
      <c r="D146" s="11">
        <v>2000</v>
      </c>
      <c r="E146" s="2"/>
      <c r="F146" s="2"/>
      <c r="G146" s="2"/>
      <c r="H146" s="2"/>
      <c r="I146" s="2"/>
      <c r="J146" s="2"/>
    </row>
    <row r="147" spans="1:10" x14ac:dyDescent="0.25">
      <c r="A147" s="273" t="s">
        <v>1247</v>
      </c>
      <c r="C147" s="2"/>
      <c r="D147" s="2">
        <f>SUM(D142:D146)</f>
        <v>21230</v>
      </c>
      <c r="E147" s="2"/>
      <c r="F147" s="2"/>
      <c r="G147" s="2"/>
      <c r="H147" s="2"/>
      <c r="I147" s="2"/>
      <c r="J147" s="2"/>
    </row>
    <row r="148" spans="1:10" x14ac:dyDescent="0.25">
      <c r="C148" s="2"/>
      <c r="E148" s="2"/>
      <c r="F148" s="2"/>
      <c r="G148" s="2"/>
      <c r="H148" s="2"/>
      <c r="I148" s="2"/>
      <c r="J148" s="2"/>
    </row>
    <row r="149" spans="1:10" ht="13.8" x14ac:dyDescent="0.3">
      <c r="A149" s="276" t="s">
        <v>926</v>
      </c>
      <c r="C149" s="2"/>
      <c r="E149" s="2">
        <v>443.12</v>
      </c>
      <c r="F149" s="2">
        <v>2000</v>
      </c>
      <c r="G149" s="2">
        <v>2000</v>
      </c>
      <c r="H149" s="2">
        <v>2000</v>
      </c>
      <c r="I149" s="2">
        <v>2000</v>
      </c>
      <c r="J149" s="2">
        <v>2000</v>
      </c>
    </row>
    <row r="150" spans="1:10" x14ac:dyDescent="0.25">
      <c r="A150" s="273" t="s">
        <v>73</v>
      </c>
      <c r="C150" s="2"/>
      <c r="D150" s="2">
        <v>2000</v>
      </c>
      <c r="E150" s="2"/>
      <c r="I150" s="295"/>
      <c r="J150" s="298"/>
    </row>
    <row r="151" spans="1:10" x14ac:dyDescent="0.25">
      <c r="C151" s="2"/>
      <c r="E151" s="2"/>
      <c r="F151" s="2"/>
      <c r="G151" s="2"/>
      <c r="H151" s="2"/>
      <c r="I151" s="2"/>
      <c r="J151" s="2"/>
    </row>
    <row r="152" spans="1:10" x14ac:dyDescent="0.25">
      <c r="C152" s="2"/>
      <c r="E152" s="2"/>
      <c r="F152" s="2"/>
      <c r="G152" s="2"/>
      <c r="H152" s="2"/>
      <c r="I152" s="2"/>
      <c r="J152" s="2"/>
    </row>
    <row r="153" spans="1:10" ht="13.8" x14ac:dyDescent="0.3">
      <c r="A153" s="276" t="s">
        <v>1467</v>
      </c>
      <c r="C153" s="2"/>
      <c r="E153" s="2">
        <v>534.78</v>
      </c>
      <c r="F153" s="2">
        <v>950</v>
      </c>
      <c r="G153" s="2">
        <v>750</v>
      </c>
      <c r="H153" s="2">
        <v>750</v>
      </c>
      <c r="I153" s="2">
        <v>750</v>
      </c>
      <c r="J153" s="2">
        <v>750</v>
      </c>
    </row>
    <row r="154" spans="1:10" x14ac:dyDescent="0.25">
      <c r="A154" s="273" t="s">
        <v>613</v>
      </c>
      <c r="C154" s="2"/>
      <c r="D154" s="2">
        <v>510</v>
      </c>
      <c r="E154" s="2"/>
      <c r="F154" s="2"/>
      <c r="G154" s="2"/>
      <c r="H154" s="2"/>
      <c r="I154" s="2"/>
      <c r="J154" s="2"/>
    </row>
    <row r="155" spans="1:10" ht="15" x14ac:dyDescent="0.4">
      <c r="A155" s="273" t="s">
        <v>74</v>
      </c>
      <c r="C155" s="11"/>
      <c r="D155" s="11">
        <v>240</v>
      </c>
      <c r="E155" s="2"/>
      <c r="F155" s="2"/>
      <c r="G155" s="2"/>
      <c r="H155" s="2"/>
      <c r="I155" s="2"/>
      <c r="J155" s="2"/>
    </row>
    <row r="156" spans="1:10" x14ac:dyDescent="0.25">
      <c r="A156" s="273" t="s">
        <v>1247</v>
      </c>
      <c r="C156" s="2"/>
      <c r="D156" s="2">
        <f>SUM(D154:D155)</f>
        <v>750</v>
      </c>
      <c r="E156" s="2"/>
      <c r="I156" s="295"/>
      <c r="J156" s="298"/>
    </row>
    <row r="157" spans="1:10" x14ac:dyDescent="0.25">
      <c r="C157" s="2"/>
      <c r="E157" s="2"/>
      <c r="F157" s="2"/>
      <c r="G157" s="2"/>
      <c r="H157" s="2"/>
      <c r="I157" s="2"/>
      <c r="J157" s="2"/>
    </row>
    <row r="158" spans="1:10" ht="13.8" x14ac:dyDescent="0.3">
      <c r="A158" s="276" t="s">
        <v>1293</v>
      </c>
      <c r="C158" s="2"/>
      <c r="E158" s="2">
        <v>311.08999999999997</v>
      </c>
      <c r="F158" s="2">
        <v>400</v>
      </c>
      <c r="G158" s="2">
        <v>400</v>
      </c>
      <c r="H158" s="2">
        <v>400</v>
      </c>
      <c r="I158" s="2">
        <v>400</v>
      </c>
      <c r="J158" s="2">
        <v>400</v>
      </c>
    </row>
    <row r="159" spans="1:10" x14ac:dyDescent="0.25">
      <c r="A159" s="273" t="s">
        <v>1143</v>
      </c>
      <c r="C159" s="2"/>
      <c r="D159" s="2">
        <v>400</v>
      </c>
      <c r="E159" s="2"/>
      <c r="F159" s="2"/>
      <c r="G159" s="2"/>
      <c r="H159" s="2"/>
      <c r="I159" s="2"/>
      <c r="J159" s="2"/>
    </row>
    <row r="160" spans="1:10" x14ac:dyDescent="0.25">
      <c r="C160" s="2"/>
      <c r="E160" s="2"/>
      <c r="F160" s="2"/>
      <c r="G160" s="2"/>
      <c r="H160" s="2"/>
      <c r="I160" s="2"/>
      <c r="J160" s="2"/>
    </row>
    <row r="161" spans="1:10" ht="13.8" x14ac:dyDescent="0.3">
      <c r="A161" s="276" t="s">
        <v>1144</v>
      </c>
      <c r="C161" s="2"/>
      <c r="E161" s="2">
        <v>500</v>
      </c>
      <c r="F161" s="2">
        <v>500</v>
      </c>
      <c r="G161" s="2">
        <v>500</v>
      </c>
      <c r="H161" s="2">
        <v>500</v>
      </c>
      <c r="I161" s="2">
        <v>500</v>
      </c>
      <c r="J161" s="2">
        <v>500</v>
      </c>
    </row>
    <row r="162" spans="1:10" x14ac:dyDescent="0.25">
      <c r="A162" s="273" t="s">
        <v>1364</v>
      </c>
      <c r="C162" s="2"/>
      <c r="D162" s="2">
        <v>500</v>
      </c>
      <c r="E162" s="2"/>
      <c r="F162" s="2"/>
      <c r="G162" s="2"/>
      <c r="H162" s="2"/>
      <c r="I162" s="2"/>
      <c r="J162" s="2"/>
    </row>
    <row r="163" spans="1:10" x14ac:dyDescent="0.25">
      <c r="A163" s="273" t="s">
        <v>396</v>
      </c>
      <c r="C163" s="2"/>
      <c r="D163" s="2" t="s">
        <v>396</v>
      </c>
      <c r="E163" s="2"/>
      <c r="F163" s="2"/>
      <c r="G163" s="2"/>
      <c r="H163" s="2"/>
      <c r="I163" s="2"/>
      <c r="J163" s="2"/>
    </row>
    <row r="164" spans="1:10" ht="13.8" x14ac:dyDescent="0.3">
      <c r="A164" s="276" t="s">
        <v>1365</v>
      </c>
      <c r="C164" s="2"/>
      <c r="E164" s="2">
        <v>0</v>
      </c>
      <c r="F164" s="2">
        <v>200</v>
      </c>
      <c r="G164" s="2">
        <v>200</v>
      </c>
      <c r="H164" s="2">
        <v>200</v>
      </c>
      <c r="I164" s="2">
        <v>200</v>
      </c>
      <c r="J164" s="2">
        <v>200</v>
      </c>
    </row>
    <row r="165" spans="1:10" x14ac:dyDescent="0.25">
      <c r="A165" s="273" t="s">
        <v>612</v>
      </c>
      <c r="C165" s="2"/>
      <c r="D165" s="2">
        <v>200</v>
      </c>
      <c r="E165" s="2"/>
      <c r="F165" s="2"/>
      <c r="G165" s="2"/>
      <c r="H165" s="2"/>
      <c r="I165" s="2"/>
      <c r="J165" s="2"/>
    </row>
    <row r="166" spans="1:10" x14ac:dyDescent="0.25">
      <c r="D166" s="8" t="s">
        <v>396</v>
      </c>
      <c r="E166" s="2"/>
      <c r="F166" s="2"/>
      <c r="G166" s="2"/>
      <c r="H166" s="2"/>
      <c r="I166" s="2"/>
      <c r="J166" s="2"/>
    </row>
    <row r="167" spans="1:10" ht="13.8" x14ac:dyDescent="0.3">
      <c r="A167" s="276" t="s">
        <v>765</v>
      </c>
      <c r="D167" s="273"/>
      <c r="E167" s="2">
        <v>64052</v>
      </c>
      <c r="F167" s="16">
        <v>64366</v>
      </c>
      <c r="G167" s="16">
        <v>72096</v>
      </c>
      <c r="H167" s="16">
        <v>72096</v>
      </c>
      <c r="I167" s="16">
        <v>72096</v>
      </c>
      <c r="J167" s="16">
        <v>72096</v>
      </c>
    </row>
    <row r="168" spans="1:10" ht="13.8" x14ac:dyDescent="0.3">
      <c r="A168" s="276"/>
      <c r="B168" s="19" t="s">
        <v>1794</v>
      </c>
      <c r="C168" s="19" t="s">
        <v>1970</v>
      </c>
      <c r="D168" s="19" t="s">
        <v>2129</v>
      </c>
      <c r="E168" s="2"/>
      <c r="F168" s="16"/>
      <c r="G168" s="16"/>
      <c r="H168" s="16"/>
      <c r="I168" s="16"/>
      <c r="J168" s="16"/>
    </row>
    <row r="169" spans="1:10" x14ac:dyDescent="0.25">
      <c r="A169" s="20" t="s">
        <v>1441</v>
      </c>
      <c r="B169" s="2">
        <v>25617.18</v>
      </c>
      <c r="C169" s="2">
        <v>25817</v>
      </c>
      <c r="D169" s="2">
        <v>26055</v>
      </c>
      <c r="E169" s="2"/>
      <c r="I169" s="295"/>
      <c r="J169" s="298"/>
    </row>
    <row r="170" spans="1:10" x14ac:dyDescent="0.25">
      <c r="A170" s="273" t="s">
        <v>766</v>
      </c>
      <c r="B170" s="2">
        <v>161814</v>
      </c>
      <c r="C170" s="2">
        <v>124750</v>
      </c>
      <c r="D170" s="2">
        <v>135275</v>
      </c>
      <c r="E170" s="2"/>
      <c r="I170" s="295"/>
      <c r="J170" s="298"/>
    </row>
    <row r="171" spans="1:10" x14ac:dyDescent="0.25">
      <c r="A171" s="273" t="s">
        <v>769</v>
      </c>
      <c r="B171" s="2">
        <v>89000</v>
      </c>
      <c r="C171" s="2">
        <v>96000</v>
      </c>
      <c r="D171" s="2">
        <v>84080</v>
      </c>
      <c r="E171" s="2"/>
      <c r="I171" s="295"/>
      <c r="J171" s="298"/>
    </row>
    <row r="172" spans="1:10" x14ac:dyDescent="0.25">
      <c r="A172" s="273" t="s">
        <v>770</v>
      </c>
      <c r="B172" s="16">
        <v>50176</v>
      </c>
      <c r="C172" s="16">
        <v>51607</v>
      </c>
      <c r="D172" s="16">
        <v>53885</v>
      </c>
      <c r="E172" s="2"/>
      <c r="F172" s="16"/>
      <c r="G172" s="16"/>
      <c r="H172" s="16"/>
      <c r="I172" s="16"/>
      <c r="J172" s="16"/>
    </row>
    <row r="173" spans="1:10" x14ac:dyDescent="0.25">
      <c r="A173" s="273" t="s">
        <v>1047</v>
      </c>
      <c r="B173" s="16">
        <v>86111</v>
      </c>
      <c r="C173" s="16">
        <v>100550</v>
      </c>
      <c r="D173" s="16">
        <v>100550</v>
      </c>
      <c r="E173" s="2"/>
      <c r="F173" s="16"/>
      <c r="G173" s="16"/>
      <c r="H173" s="16"/>
      <c r="I173" s="16"/>
      <c r="J173" s="16"/>
    </row>
    <row r="174" spans="1:10" x14ac:dyDescent="0.25">
      <c r="A174" s="273" t="s">
        <v>771</v>
      </c>
      <c r="B174" s="16">
        <v>32700</v>
      </c>
      <c r="C174" s="16">
        <v>38075</v>
      </c>
      <c r="D174" s="16">
        <v>46510</v>
      </c>
      <c r="E174" s="2"/>
      <c r="F174" s="16"/>
      <c r="G174" s="16"/>
      <c r="H174" s="16"/>
      <c r="I174" s="16"/>
      <c r="J174" s="16"/>
    </row>
    <row r="175" spans="1:10" x14ac:dyDescent="0.25">
      <c r="A175" s="273" t="s">
        <v>1185</v>
      </c>
      <c r="B175" s="16">
        <v>24696</v>
      </c>
      <c r="C175" s="16">
        <v>29100</v>
      </c>
      <c r="D175" s="16">
        <v>29100</v>
      </c>
      <c r="E175" s="2"/>
      <c r="F175" s="16"/>
      <c r="G175" s="16"/>
      <c r="H175" s="16"/>
      <c r="I175" s="16"/>
      <c r="J175" s="16"/>
    </row>
    <row r="176" spans="1:10" ht="15" x14ac:dyDescent="0.4">
      <c r="A176" s="273" t="s">
        <v>907</v>
      </c>
      <c r="B176" s="274">
        <v>15141</v>
      </c>
      <c r="C176" s="274">
        <v>54649</v>
      </c>
      <c r="D176" s="274">
        <v>32236</v>
      </c>
      <c r="E176" s="2"/>
      <c r="F176" s="274"/>
      <c r="G176" s="274"/>
      <c r="H176" s="274"/>
      <c r="I176" s="296"/>
      <c r="J176" s="299"/>
    </row>
    <row r="177" spans="1:10" x14ac:dyDescent="0.25">
      <c r="A177" s="273" t="s">
        <v>772</v>
      </c>
      <c r="B177" s="16">
        <f>SUM(B169:B176)</f>
        <v>485255.18</v>
      </c>
      <c r="C177" s="16">
        <f>SUM(C169:C176)</f>
        <v>520548</v>
      </c>
      <c r="D177" s="16">
        <f>SUM(D169:D176)</f>
        <v>507691</v>
      </c>
      <c r="E177" s="2"/>
      <c r="F177" s="16"/>
      <c r="G177" s="16"/>
      <c r="H177" s="16"/>
      <c r="I177" s="16"/>
      <c r="J177" s="16"/>
    </row>
    <row r="178" spans="1:10" ht="15" x14ac:dyDescent="0.4">
      <c r="A178" s="273" t="s">
        <v>773</v>
      </c>
      <c r="B178" s="274">
        <v>-421203</v>
      </c>
      <c r="C178" s="274">
        <v>-456182</v>
      </c>
      <c r="D178" s="274">
        <v>-435595</v>
      </c>
      <c r="E178" s="2"/>
      <c r="F178" s="274"/>
      <c r="G178" s="274"/>
      <c r="H178" s="274"/>
      <c r="I178" s="296"/>
      <c r="J178" s="299"/>
    </row>
    <row r="179" spans="1:10" x14ac:dyDescent="0.25">
      <c r="A179" s="273" t="s">
        <v>774</v>
      </c>
      <c r="B179" s="16">
        <f>B177+B178</f>
        <v>64052.179999999993</v>
      </c>
      <c r="C179" s="16">
        <f>C177+C178</f>
        <v>64366</v>
      </c>
      <c r="D179" s="16">
        <f>D177+D178</f>
        <v>72096</v>
      </c>
      <c r="E179" s="2"/>
      <c r="F179" s="16"/>
      <c r="G179" s="16"/>
      <c r="H179" s="16"/>
      <c r="I179" s="16"/>
      <c r="J179" s="16"/>
    </row>
    <row r="180" spans="1:10" ht="15" x14ac:dyDescent="0.4">
      <c r="A180" s="273" t="s">
        <v>1308</v>
      </c>
      <c r="B180" s="274">
        <v>0</v>
      </c>
      <c r="C180" s="274">
        <v>0</v>
      </c>
      <c r="D180" s="274">
        <v>0</v>
      </c>
      <c r="E180" s="2"/>
      <c r="F180" s="274"/>
      <c r="G180" s="274"/>
      <c r="H180" s="274"/>
      <c r="I180" s="296"/>
      <c r="J180" s="299"/>
    </row>
    <row r="181" spans="1:10" x14ac:dyDescent="0.25">
      <c r="A181" s="273" t="s">
        <v>1309</v>
      </c>
      <c r="B181" s="16">
        <f>+B179+B180</f>
        <v>64052.179999999993</v>
      </c>
      <c r="C181" s="16">
        <f>+C179+C180</f>
        <v>64366</v>
      </c>
      <c r="D181" s="16">
        <f>+D179+D180</f>
        <v>72096</v>
      </c>
      <c r="E181" s="2"/>
      <c r="F181" s="16"/>
      <c r="G181" s="16"/>
      <c r="H181" s="16"/>
      <c r="I181" s="16"/>
      <c r="J181" s="16"/>
    </row>
    <row r="182" spans="1:10" x14ac:dyDescent="0.25">
      <c r="A182" s="273" t="s">
        <v>694</v>
      </c>
      <c r="B182" s="16"/>
      <c r="C182" s="16"/>
      <c r="D182" s="16"/>
      <c r="E182" s="2"/>
      <c r="F182" s="16"/>
      <c r="G182" s="16"/>
      <c r="H182" s="16"/>
      <c r="I182" s="16"/>
      <c r="J182" s="16"/>
    </row>
    <row r="183" spans="1:10" x14ac:dyDescent="0.25">
      <c r="A183" s="273" t="s">
        <v>1456</v>
      </c>
      <c r="B183" s="29">
        <v>0</v>
      </c>
      <c r="C183" s="29">
        <v>0</v>
      </c>
      <c r="D183" s="29">
        <v>0</v>
      </c>
      <c r="E183" s="2"/>
      <c r="F183" s="29"/>
      <c r="G183" s="29"/>
      <c r="H183" s="29"/>
      <c r="I183" s="29"/>
      <c r="J183" s="29"/>
    </row>
    <row r="184" spans="1:10" x14ac:dyDescent="0.25">
      <c r="B184" s="16">
        <f>SUM(B181:B183)</f>
        <v>64052.179999999993</v>
      </c>
      <c r="C184" s="16">
        <f>SUM(C181:C183)</f>
        <v>64366</v>
      </c>
      <c r="D184" s="16">
        <f>SUM(D181:D183)</f>
        <v>72096</v>
      </c>
      <c r="E184" s="2"/>
      <c r="F184" s="16"/>
      <c r="G184" s="16"/>
      <c r="H184" s="16"/>
      <c r="I184" s="16"/>
      <c r="J184" s="16"/>
    </row>
    <row r="185" spans="1:10" x14ac:dyDescent="0.25">
      <c r="B185" s="2"/>
      <c r="C185" s="2"/>
      <c r="D185" s="29"/>
      <c r="E185" s="2"/>
      <c r="F185" s="16"/>
      <c r="G185" s="16"/>
      <c r="H185" s="16"/>
      <c r="I185" s="16"/>
      <c r="J185" s="16"/>
    </row>
    <row r="186" spans="1:10" ht="13.8" x14ac:dyDescent="0.3">
      <c r="A186" s="276" t="s">
        <v>798</v>
      </c>
      <c r="B186" s="30" t="s">
        <v>396</v>
      </c>
      <c r="C186" s="30" t="s">
        <v>396</v>
      </c>
      <c r="D186" s="16"/>
      <c r="E186" s="2">
        <v>39525.81</v>
      </c>
      <c r="F186" s="2">
        <v>40000</v>
      </c>
      <c r="G186" s="2">
        <v>40000</v>
      </c>
      <c r="H186" s="2">
        <v>40000</v>
      </c>
      <c r="I186" s="2">
        <v>50000</v>
      </c>
      <c r="J186" s="2">
        <v>50000</v>
      </c>
    </row>
    <row r="187" spans="1:10" x14ac:dyDescent="0.25">
      <c r="A187" s="273" t="s">
        <v>1659</v>
      </c>
      <c r="B187" s="2" t="s">
        <v>396</v>
      </c>
      <c r="C187" s="2" t="s">
        <v>396</v>
      </c>
      <c r="D187" s="2">
        <v>50000</v>
      </c>
      <c r="E187" s="2"/>
      <c r="F187" s="2"/>
      <c r="G187" s="2"/>
      <c r="H187" s="2"/>
      <c r="I187" s="2"/>
      <c r="J187" s="2"/>
    </row>
    <row r="188" spans="1:10" x14ac:dyDescent="0.25">
      <c r="E188" s="2"/>
      <c r="F188" s="2"/>
      <c r="G188" s="2"/>
      <c r="H188" s="2"/>
      <c r="I188" s="2"/>
      <c r="J188" s="2"/>
    </row>
    <row r="189" spans="1:10" ht="13.8" x14ac:dyDescent="0.3">
      <c r="A189" s="276" t="s">
        <v>404</v>
      </c>
      <c r="E189" s="2">
        <v>2000</v>
      </c>
      <c r="F189" s="2">
        <v>1000</v>
      </c>
      <c r="G189" s="2">
        <v>1000</v>
      </c>
      <c r="H189" s="2">
        <v>1000</v>
      </c>
      <c r="I189" s="2">
        <v>1000</v>
      </c>
      <c r="J189" s="2">
        <v>1000</v>
      </c>
    </row>
    <row r="190" spans="1:10" x14ac:dyDescent="0.25">
      <c r="A190" s="273" t="s">
        <v>405</v>
      </c>
      <c r="D190" s="2">
        <v>1000</v>
      </c>
      <c r="E190" s="2"/>
      <c r="F190" s="2"/>
      <c r="G190" s="2"/>
      <c r="H190" s="2"/>
      <c r="I190" s="2"/>
      <c r="J190" s="2"/>
    </row>
    <row r="191" spans="1:10" x14ac:dyDescent="0.25">
      <c r="E191" s="2"/>
      <c r="F191" s="2"/>
      <c r="G191" s="2"/>
      <c r="H191" s="2"/>
      <c r="I191" s="2"/>
      <c r="J191" s="2"/>
    </row>
    <row r="192" spans="1:10" ht="13.8" x14ac:dyDescent="0.3">
      <c r="A192" s="276" t="s">
        <v>654</v>
      </c>
      <c r="D192" s="8" t="s">
        <v>396</v>
      </c>
      <c r="E192" s="2">
        <v>14277.97</v>
      </c>
      <c r="F192" s="2">
        <v>13200</v>
      </c>
      <c r="G192" s="2">
        <v>13200</v>
      </c>
      <c r="H192" s="2">
        <v>13200</v>
      </c>
      <c r="I192" s="2">
        <v>13200</v>
      </c>
      <c r="J192" s="2">
        <v>13200</v>
      </c>
    </row>
    <row r="193" spans="1:10" x14ac:dyDescent="0.25">
      <c r="A193" s="273" t="s">
        <v>655</v>
      </c>
      <c r="C193" s="2"/>
      <c r="D193" s="2">
        <v>1500</v>
      </c>
      <c r="E193" s="2"/>
      <c r="I193" s="295"/>
      <c r="J193" s="298"/>
    </row>
    <row r="194" spans="1:10" x14ac:dyDescent="0.25">
      <c r="A194" s="273" t="s">
        <v>75</v>
      </c>
      <c r="C194" s="2"/>
      <c r="D194" s="2">
        <v>0</v>
      </c>
      <c r="E194" s="2"/>
      <c r="I194" s="295"/>
      <c r="J194" s="298"/>
    </row>
    <row r="195" spans="1:10" x14ac:dyDescent="0.25">
      <c r="A195" s="273" t="s">
        <v>76</v>
      </c>
      <c r="C195" s="2"/>
      <c r="D195" s="2">
        <v>2000</v>
      </c>
      <c r="E195" s="2"/>
      <c r="I195" s="295"/>
      <c r="J195" s="298"/>
    </row>
    <row r="196" spans="1:10" x14ac:dyDescent="0.25">
      <c r="A196" s="273" t="s">
        <v>77</v>
      </c>
      <c r="C196" s="2"/>
      <c r="D196" s="2">
        <v>1300</v>
      </c>
      <c r="E196" s="2"/>
      <c r="F196" s="2"/>
      <c r="G196" s="2"/>
      <c r="H196" s="2"/>
      <c r="I196" s="2"/>
      <c r="J196" s="2"/>
    </row>
    <row r="197" spans="1:10" x14ac:dyDescent="0.25">
      <c r="A197" s="273" t="s">
        <v>78</v>
      </c>
      <c r="C197" s="2"/>
      <c r="D197" s="2">
        <v>1000</v>
      </c>
      <c r="E197" s="2"/>
      <c r="F197" s="2"/>
      <c r="G197" s="2"/>
      <c r="H197" s="2"/>
      <c r="I197" s="2"/>
      <c r="J197" s="2"/>
    </row>
    <row r="198" spans="1:10" x14ac:dyDescent="0.25">
      <c r="A198" s="273" t="s">
        <v>1660</v>
      </c>
      <c r="C198" s="2"/>
      <c r="D198" s="2">
        <v>1200</v>
      </c>
      <c r="E198" s="2"/>
      <c r="F198" s="2"/>
      <c r="G198" s="2"/>
      <c r="H198" s="2"/>
      <c r="I198" s="2"/>
      <c r="J198" s="2"/>
    </row>
    <row r="199" spans="1:10" x14ac:dyDescent="0.25">
      <c r="A199" s="273" t="s">
        <v>79</v>
      </c>
      <c r="C199" s="2"/>
      <c r="D199" s="2">
        <v>0</v>
      </c>
      <c r="E199" s="2"/>
      <c r="F199" s="2"/>
      <c r="G199" s="2"/>
      <c r="H199" s="2"/>
      <c r="I199" s="2"/>
      <c r="J199" s="2"/>
    </row>
    <row r="200" spans="1:10" x14ac:dyDescent="0.25">
      <c r="A200" s="273" t="s">
        <v>2036</v>
      </c>
      <c r="C200" s="2"/>
      <c r="D200" s="2">
        <v>1200</v>
      </c>
      <c r="E200" s="2"/>
      <c r="F200" s="2"/>
      <c r="G200" s="2"/>
      <c r="H200" s="2"/>
      <c r="I200" s="2"/>
      <c r="J200" s="2"/>
    </row>
    <row r="201" spans="1:10" ht="15" x14ac:dyDescent="0.4">
      <c r="A201" s="273" t="s">
        <v>1120</v>
      </c>
      <c r="C201" s="2"/>
      <c r="D201" s="11">
        <v>5000</v>
      </c>
      <c r="E201" s="2"/>
      <c r="F201" s="2"/>
      <c r="G201" s="2"/>
      <c r="H201" s="2"/>
      <c r="I201" s="2"/>
      <c r="J201" s="2"/>
    </row>
    <row r="202" spans="1:10" x14ac:dyDescent="0.25">
      <c r="A202" s="6" t="s">
        <v>1347</v>
      </c>
      <c r="C202" s="2"/>
      <c r="D202" s="2">
        <f>SUM(D193:D201)</f>
        <v>13200</v>
      </c>
      <c r="E202" s="2"/>
      <c r="F202" s="2"/>
      <c r="G202" s="2"/>
      <c r="H202" s="2"/>
      <c r="I202" s="2"/>
      <c r="J202" s="2"/>
    </row>
    <row r="203" spans="1:10" x14ac:dyDescent="0.25">
      <c r="A203" s="6"/>
      <c r="C203" s="2"/>
      <c r="E203" s="2"/>
      <c r="F203" s="2"/>
      <c r="G203" s="2"/>
      <c r="H203" s="2"/>
      <c r="I203" s="2"/>
      <c r="J203" s="2"/>
    </row>
    <row r="204" spans="1:10" ht="13.8" x14ac:dyDescent="0.3">
      <c r="A204" s="276" t="s">
        <v>470</v>
      </c>
      <c r="E204" s="2">
        <v>7065.4</v>
      </c>
      <c r="F204" s="2">
        <v>7500</v>
      </c>
      <c r="G204" s="2">
        <v>7500</v>
      </c>
      <c r="H204" s="2">
        <v>7500</v>
      </c>
      <c r="I204" s="2">
        <v>7500</v>
      </c>
      <c r="J204" s="2">
        <v>7500</v>
      </c>
    </row>
    <row r="205" spans="1:10" x14ac:dyDescent="0.25">
      <c r="A205" s="273" t="s">
        <v>471</v>
      </c>
      <c r="B205" s="273" t="s">
        <v>396</v>
      </c>
      <c r="C205" s="2"/>
      <c r="D205" s="2">
        <v>7500</v>
      </c>
      <c r="E205" s="2"/>
      <c r="F205" s="2"/>
      <c r="G205" s="2"/>
      <c r="H205" s="2"/>
      <c r="I205" s="2"/>
      <c r="J205" s="2"/>
    </row>
    <row r="206" spans="1:10" x14ac:dyDescent="0.25">
      <c r="D206" s="8" t="s">
        <v>396</v>
      </c>
      <c r="E206" s="2"/>
      <c r="F206" s="2"/>
      <c r="G206" s="2"/>
      <c r="H206" s="2"/>
      <c r="I206" s="2"/>
      <c r="J206" s="2"/>
    </row>
    <row r="207" spans="1:10" ht="13.8" x14ac:dyDescent="0.3">
      <c r="A207" s="276" t="s">
        <v>472</v>
      </c>
      <c r="D207" s="273"/>
      <c r="E207" s="2">
        <v>22074</v>
      </c>
      <c r="F207" s="2">
        <v>22576</v>
      </c>
      <c r="G207" s="2">
        <v>22576</v>
      </c>
      <c r="H207" s="2">
        <v>22576</v>
      </c>
      <c r="I207" s="2">
        <v>22576</v>
      </c>
      <c r="J207" s="2">
        <v>22576</v>
      </c>
    </row>
    <row r="208" spans="1:10" ht="15" x14ac:dyDescent="0.4">
      <c r="A208" s="276"/>
      <c r="B208" s="9" t="s">
        <v>1794</v>
      </c>
      <c r="C208" s="9" t="s">
        <v>1970</v>
      </c>
      <c r="D208" s="9" t="s">
        <v>2129</v>
      </c>
      <c r="E208" s="2"/>
      <c r="F208" s="2"/>
      <c r="G208" s="2"/>
      <c r="H208" s="2"/>
      <c r="I208" s="2"/>
      <c r="J208" s="2"/>
    </row>
    <row r="209" spans="1:10" x14ac:dyDescent="0.25">
      <c r="A209" s="273" t="s">
        <v>1054</v>
      </c>
      <c r="B209" s="146">
        <v>168</v>
      </c>
      <c r="C209" s="146">
        <v>36</v>
      </c>
      <c r="D209" s="146">
        <v>40</v>
      </c>
      <c r="E209" s="2"/>
      <c r="I209" s="295"/>
      <c r="J209" s="298"/>
    </row>
    <row r="210" spans="1:10" x14ac:dyDescent="0.25">
      <c r="A210" s="273" t="s">
        <v>1391</v>
      </c>
      <c r="B210" s="146">
        <v>100</v>
      </c>
      <c r="C210" s="146">
        <v>100</v>
      </c>
      <c r="D210" s="146">
        <v>100</v>
      </c>
      <c r="E210" s="2"/>
      <c r="I210" s="295"/>
      <c r="J210" s="298"/>
    </row>
    <row r="211" spans="1:10" x14ac:dyDescent="0.25">
      <c r="A211" s="273" t="s">
        <v>1182</v>
      </c>
      <c r="B211" s="146">
        <v>400</v>
      </c>
      <c r="C211" s="146">
        <v>400</v>
      </c>
      <c r="D211" s="146">
        <v>400</v>
      </c>
      <c r="E211" s="2"/>
      <c r="I211" s="295"/>
      <c r="J211" s="298"/>
    </row>
    <row r="212" spans="1:10" x14ac:dyDescent="0.25">
      <c r="A212" s="273" t="s">
        <v>274</v>
      </c>
      <c r="B212" s="146">
        <v>650</v>
      </c>
      <c r="C212" s="146">
        <v>500</v>
      </c>
      <c r="D212" s="146">
        <v>500</v>
      </c>
      <c r="E212" s="2"/>
      <c r="F212" s="2"/>
      <c r="G212" s="2"/>
      <c r="H212" s="2"/>
      <c r="I212" s="2"/>
      <c r="J212" s="2"/>
    </row>
    <row r="213" spans="1:10" x14ac:dyDescent="0.25">
      <c r="A213" s="273" t="s">
        <v>1015</v>
      </c>
      <c r="B213" s="146">
        <v>6916</v>
      </c>
      <c r="C213" s="146">
        <v>6700</v>
      </c>
      <c r="D213" s="146">
        <v>6850</v>
      </c>
      <c r="E213" s="2"/>
      <c r="F213" s="2"/>
      <c r="G213" s="2"/>
      <c r="H213" s="2"/>
      <c r="I213" s="2"/>
      <c r="J213" s="2"/>
    </row>
    <row r="214" spans="1:10" x14ac:dyDescent="0.25">
      <c r="A214" s="273" t="s">
        <v>1363</v>
      </c>
      <c r="B214" s="146">
        <v>7500</v>
      </c>
      <c r="C214" s="146">
        <v>7200</v>
      </c>
      <c r="D214" s="146">
        <v>7200</v>
      </c>
      <c r="E214" s="2"/>
      <c r="F214" s="2"/>
      <c r="G214" s="2"/>
      <c r="H214" s="2"/>
      <c r="I214" s="2"/>
      <c r="J214" s="2"/>
    </row>
    <row r="215" spans="1:10" x14ac:dyDescent="0.25">
      <c r="A215" s="273" t="s">
        <v>1016</v>
      </c>
      <c r="B215" s="146">
        <v>500</v>
      </c>
      <c r="C215" s="146">
        <v>500</v>
      </c>
      <c r="D215" s="146">
        <v>500</v>
      </c>
      <c r="E215" s="2"/>
      <c r="F215" s="2"/>
      <c r="G215" s="2"/>
      <c r="H215" s="2"/>
      <c r="I215" s="2"/>
      <c r="J215" s="2"/>
    </row>
    <row r="216" spans="1:10" x14ac:dyDescent="0.25">
      <c r="A216" s="273" t="s">
        <v>1598</v>
      </c>
      <c r="B216" s="146">
        <v>2500</v>
      </c>
      <c r="C216" s="146">
        <v>2000</v>
      </c>
      <c r="D216" s="146">
        <v>2000</v>
      </c>
      <c r="E216" s="2"/>
      <c r="F216" s="2"/>
      <c r="G216" s="2"/>
      <c r="H216" s="2"/>
      <c r="I216" s="2"/>
      <c r="J216" s="2"/>
    </row>
    <row r="217" spans="1:10" x14ac:dyDescent="0.25">
      <c r="A217" s="273" t="s">
        <v>1116</v>
      </c>
      <c r="B217" s="146">
        <v>2500</v>
      </c>
      <c r="C217" s="146">
        <v>1500</v>
      </c>
      <c r="D217" s="146">
        <v>1200</v>
      </c>
      <c r="E217" s="2"/>
      <c r="F217" s="2"/>
      <c r="G217" s="2"/>
      <c r="H217" s="2"/>
      <c r="I217" s="2"/>
      <c r="J217" s="2"/>
    </row>
    <row r="218" spans="1:10" x14ac:dyDescent="0.25">
      <c r="A218" s="273" t="s">
        <v>1025</v>
      </c>
      <c r="B218" s="146">
        <v>700</v>
      </c>
      <c r="C218" s="146">
        <v>700</v>
      </c>
      <c r="D218" s="146">
        <v>600</v>
      </c>
      <c r="E218" s="2"/>
      <c r="F218" s="2"/>
      <c r="G218" s="2"/>
      <c r="H218" s="2"/>
      <c r="I218" s="2"/>
      <c r="J218" s="2"/>
    </row>
    <row r="219" spans="1:10" x14ac:dyDescent="0.25">
      <c r="A219" s="273" t="s">
        <v>1057</v>
      </c>
      <c r="B219" s="146">
        <v>500</v>
      </c>
      <c r="C219" s="146">
        <v>500</v>
      </c>
      <c r="D219" s="146">
        <v>500</v>
      </c>
      <c r="E219" s="2"/>
      <c r="F219" s="2"/>
      <c r="G219" s="2"/>
      <c r="H219" s="2"/>
      <c r="I219" s="2"/>
      <c r="J219" s="2"/>
    </row>
    <row r="220" spans="1:10" x14ac:dyDescent="0.25">
      <c r="A220" s="273" t="s">
        <v>854</v>
      </c>
      <c r="B220" s="146">
        <v>800</v>
      </c>
      <c r="C220" s="146">
        <v>1000</v>
      </c>
      <c r="D220" s="146">
        <v>900</v>
      </c>
      <c r="E220" s="2"/>
      <c r="F220" s="2"/>
      <c r="G220" s="2"/>
      <c r="H220" s="2"/>
      <c r="I220" s="2"/>
      <c r="J220" s="2"/>
    </row>
    <row r="221" spans="1:10" x14ac:dyDescent="0.25">
      <c r="A221" s="273" t="s">
        <v>1599</v>
      </c>
      <c r="B221" s="146"/>
      <c r="C221" s="146">
        <v>0</v>
      </c>
      <c r="D221" s="146">
        <v>0</v>
      </c>
      <c r="E221" s="2"/>
      <c r="F221" s="2"/>
      <c r="G221" s="2"/>
      <c r="H221" s="2"/>
      <c r="I221" s="2"/>
      <c r="J221" s="2"/>
    </row>
    <row r="222" spans="1:10" ht="14.4" x14ac:dyDescent="0.3">
      <c r="A222" s="273" t="s">
        <v>320</v>
      </c>
      <c r="B222" s="155">
        <v>150</v>
      </c>
      <c r="C222" s="155">
        <v>150</v>
      </c>
      <c r="D222" s="272">
        <v>155</v>
      </c>
      <c r="E222" s="2"/>
      <c r="F222" s="2"/>
      <c r="G222" s="2"/>
      <c r="H222" s="2"/>
      <c r="I222" s="2"/>
      <c r="J222" s="2"/>
    </row>
    <row r="223" spans="1:10" ht="14.4" x14ac:dyDescent="0.3">
      <c r="A223" s="273" t="s">
        <v>1600</v>
      </c>
      <c r="B223" s="155">
        <v>140</v>
      </c>
      <c r="C223" s="155">
        <v>140</v>
      </c>
      <c r="D223" s="272">
        <v>140</v>
      </c>
      <c r="E223" s="2"/>
      <c r="F223" s="2"/>
      <c r="G223" s="2"/>
      <c r="H223" s="2"/>
      <c r="I223" s="2"/>
      <c r="J223" s="2"/>
    </row>
    <row r="224" spans="1:10" ht="14.4" x14ac:dyDescent="0.3">
      <c r="A224" s="273" t="s">
        <v>1017</v>
      </c>
      <c r="B224" s="155">
        <v>3500</v>
      </c>
      <c r="C224" s="155">
        <v>3500</v>
      </c>
      <c r="D224" s="272">
        <v>3500</v>
      </c>
      <c r="E224" s="2"/>
      <c r="F224" s="2"/>
      <c r="G224" s="2"/>
      <c r="H224" s="2"/>
      <c r="I224" s="2"/>
      <c r="J224" s="2"/>
    </row>
    <row r="225" spans="1:10" x14ac:dyDescent="0.25">
      <c r="A225" s="273" t="s">
        <v>1018</v>
      </c>
      <c r="B225" s="146">
        <v>250</v>
      </c>
      <c r="C225" s="146">
        <v>250</v>
      </c>
      <c r="D225" s="146">
        <v>250</v>
      </c>
      <c r="E225" s="2"/>
      <c r="F225" s="2"/>
      <c r="G225" s="2"/>
      <c r="H225" s="2"/>
      <c r="I225" s="2"/>
      <c r="J225" s="2"/>
    </row>
    <row r="226" spans="1:10" x14ac:dyDescent="0.25">
      <c r="A226" s="273" t="s">
        <v>1183</v>
      </c>
      <c r="B226" s="146">
        <v>300</v>
      </c>
      <c r="C226" s="146">
        <v>300</v>
      </c>
      <c r="D226" s="146">
        <v>300</v>
      </c>
      <c r="E226" s="2"/>
      <c r="F226" s="2"/>
      <c r="G226" s="2"/>
      <c r="H226" s="2"/>
      <c r="I226" s="2"/>
      <c r="J226" s="2"/>
    </row>
    <row r="227" spans="1:10" x14ac:dyDescent="0.25">
      <c r="A227" s="273" t="s">
        <v>1601</v>
      </c>
      <c r="B227" s="146">
        <v>1700</v>
      </c>
      <c r="C227" s="146">
        <v>1800</v>
      </c>
      <c r="D227" s="146">
        <v>1800</v>
      </c>
      <c r="E227" s="2"/>
      <c r="F227" s="2"/>
      <c r="G227" s="2"/>
      <c r="H227" s="2"/>
      <c r="I227" s="2"/>
      <c r="J227" s="2"/>
    </row>
    <row r="228" spans="1:10" x14ac:dyDescent="0.25">
      <c r="A228" s="273" t="s">
        <v>1602</v>
      </c>
      <c r="B228" s="146">
        <v>800</v>
      </c>
      <c r="C228" s="146">
        <v>800</v>
      </c>
      <c r="D228" s="146">
        <v>900</v>
      </c>
      <c r="E228" s="2"/>
      <c r="F228" s="2"/>
      <c r="G228" s="2"/>
      <c r="H228" s="2"/>
      <c r="I228" s="2"/>
      <c r="J228" s="2"/>
    </row>
    <row r="229" spans="1:10" x14ac:dyDescent="0.25">
      <c r="A229" s="273" t="s">
        <v>1196</v>
      </c>
      <c r="B229" s="146">
        <v>7500</v>
      </c>
      <c r="C229" s="146">
        <v>5000</v>
      </c>
      <c r="D229" s="146">
        <v>5241</v>
      </c>
      <c r="E229" s="2"/>
      <c r="F229" s="2"/>
      <c r="G229" s="2"/>
      <c r="H229" s="2"/>
      <c r="I229" s="2"/>
      <c r="J229" s="2"/>
    </row>
    <row r="230" spans="1:10" ht="15" x14ac:dyDescent="0.25">
      <c r="A230" s="273" t="s">
        <v>952</v>
      </c>
      <c r="B230" s="148">
        <v>12000</v>
      </c>
      <c r="C230" s="148">
        <v>12000</v>
      </c>
      <c r="D230" s="148">
        <v>12000</v>
      </c>
      <c r="E230" s="2"/>
      <c r="F230" s="2"/>
      <c r="G230" s="2"/>
      <c r="H230" s="2"/>
      <c r="I230" s="2"/>
      <c r="J230" s="2"/>
    </row>
    <row r="231" spans="1:10" x14ac:dyDescent="0.25">
      <c r="A231" s="273" t="s">
        <v>772</v>
      </c>
      <c r="B231" s="146">
        <f>SUM(B209:B230)</f>
        <v>49574</v>
      </c>
      <c r="C231" s="146">
        <f>SUM(C209:C230)</f>
        <v>45076</v>
      </c>
      <c r="D231" s="146">
        <f>SUM(D209:D230)</f>
        <v>45076</v>
      </c>
      <c r="E231" s="2"/>
      <c r="F231" s="2"/>
      <c r="G231" s="2"/>
      <c r="H231" s="2"/>
      <c r="I231" s="2"/>
      <c r="J231" s="2"/>
    </row>
    <row r="232" spans="1:10" x14ac:dyDescent="0.25">
      <c r="A232" s="273" t="s">
        <v>695</v>
      </c>
      <c r="B232" s="145">
        <v>-27500</v>
      </c>
      <c r="C232" s="145">
        <v>-22500</v>
      </c>
      <c r="D232" s="145">
        <v>-22500</v>
      </c>
      <c r="E232" s="2"/>
      <c r="F232" s="2"/>
      <c r="G232" s="2"/>
      <c r="H232" s="2"/>
      <c r="I232" s="2"/>
      <c r="J232" s="2"/>
    </row>
    <row r="233" spans="1:10" ht="15" x14ac:dyDescent="0.4">
      <c r="A233" s="273" t="s">
        <v>1456</v>
      </c>
      <c r="B233" s="147">
        <v>0</v>
      </c>
      <c r="C233" s="147">
        <v>0</v>
      </c>
      <c r="D233" s="147">
        <v>0</v>
      </c>
      <c r="E233" s="2"/>
      <c r="F233" s="2"/>
      <c r="G233" s="2"/>
      <c r="H233" s="2"/>
      <c r="I233" s="2"/>
      <c r="J233" s="2"/>
    </row>
    <row r="234" spans="1:10" x14ac:dyDescent="0.25">
      <c r="A234" s="273" t="s">
        <v>753</v>
      </c>
      <c r="B234" s="145">
        <f>SUM(B231:B233)</f>
        <v>22074</v>
      </c>
      <c r="C234" s="145">
        <f>SUM(C231:C233)</f>
        <v>22576</v>
      </c>
      <c r="D234" s="145">
        <f>SUM(D231:D233)</f>
        <v>22576</v>
      </c>
      <c r="E234" s="2"/>
      <c r="F234" s="2"/>
      <c r="G234" s="2"/>
      <c r="H234" s="2"/>
      <c r="I234" s="2"/>
      <c r="J234" s="2"/>
    </row>
    <row r="235" spans="1:10" x14ac:dyDescent="0.25">
      <c r="B235" s="2"/>
      <c r="C235" s="2"/>
      <c r="D235" s="145"/>
      <c r="E235" s="2"/>
      <c r="F235" s="2"/>
      <c r="G235" s="2"/>
      <c r="H235" s="2"/>
      <c r="I235" s="2"/>
      <c r="J235" s="2"/>
    </row>
    <row r="236" spans="1:10" ht="13.8" x14ac:dyDescent="0.3">
      <c r="A236" s="276" t="s">
        <v>407</v>
      </c>
      <c r="B236" s="2"/>
      <c r="C236" s="2"/>
      <c r="E236" s="2">
        <v>3480</v>
      </c>
      <c r="F236" s="2">
        <v>3480</v>
      </c>
      <c r="G236" s="2">
        <v>0</v>
      </c>
      <c r="H236" s="2">
        <v>0</v>
      </c>
      <c r="I236" s="2">
        <v>0</v>
      </c>
      <c r="J236" s="2">
        <v>0</v>
      </c>
    </row>
    <row r="237" spans="1:10" x14ac:dyDescent="0.25">
      <c r="A237" s="273" t="s">
        <v>1756</v>
      </c>
      <c r="B237" s="2"/>
      <c r="C237" s="2">
        <v>3480</v>
      </c>
      <c r="D237" s="2">
        <v>3480</v>
      </c>
      <c r="E237" s="2"/>
      <c r="F237" s="2"/>
      <c r="G237" s="2"/>
      <c r="H237" s="2"/>
      <c r="I237" s="2"/>
      <c r="J237" s="2"/>
    </row>
    <row r="238" spans="1:10" x14ac:dyDescent="0.25">
      <c r="B238" s="2"/>
      <c r="C238" s="2"/>
      <c r="E238" s="2"/>
      <c r="F238" s="2"/>
      <c r="G238" s="2"/>
      <c r="H238" s="2"/>
      <c r="I238" s="2"/>
      <c r="J238" s="2"/>
    </row>
    <row r="239" spans="1:10" x14ac:dyDescent="0.25">
      <c r="A239" s="275" t="s">
        <v>915</v>
      </c>
      <c r="B239" s="2" t="s">
        <v>1794</v>
      </c>
      <c r="C239" s="2" t="s">
        <v>1970</v>
      </c>
      <c r="D239" s="2" t="s">
        <v>2129</v>
      </c>
      <c r="E239" s="2">
        <v>1645</v>
      </c>
      <c r="F239" s="2">
        <v>0</v>
      </c>
      <c r="G239" s="2">
        <v>93250</v>
      </c>
      <c r="H239" s="2">
        <v>103000</v>
      </c>
      <c r="I239" s="2">
        <v>103000</v>
      </c>
      <c r="J239" s="2">
        <v>103000</v>
      </c>
    </row>
    <row r="240" spans="1:10" x14ac:dyDescent="0.25">
      <c r="A240" s="23" t="s">
        <v>2227</v>
      </c>
      <c r="B240" s="2">
        <v>0</v>
      </c>
      <c r="C240" s="2">
        <v>0</v>
      </c>
      <c r="D240" s="2">
        <v>95000</v>
      </c>
      <c r="E240" s="2"/>
      <c r="F240" s="2"/>
      <c r="G240" s="2"/>
      <c r="H240" s="2"/>
      <c r="I240" s="2"/>
      <c r="J240" s="2"/>
    </row>
    <row r="241" spans="1:10" x14ac:dyDescent="0.25">
      <c r="A241" s="23" t="s">
        <v>2121</v>
      </c>
      <c r="B241" s="2">
        <v>0</v>
      </c>
      <c r="C241" s="2">
        <v>0</v>
      </c>
      <c r="D241" s="2">
        <v>0</v>
      </c>
      <c r="E241" s="2"/>
      <c r="F241" s="2"/>
      <c r="G241" s="2"/>
      <c r="H241" s="2"/>
      <c r="I241" s="2"/>
      <c r="J241" s="2"/>
    </row>
    <row r="242" spans="1:10" x14ac:dyDescent="0.25">
      <c r="A242" s="23" t="s">
        <v>1829</v>
      </c>
      <c r="B242" s="2">
        <v>2400</v>
      </c>
      <c r="C242" s="2">
        <v>0</v>
      </c>
      <c r="D242" s="2">
        <v>0</v>
      </c>
      <c r="E242" s="2"/>
      <c r="F242" s="2"/>
      <c r="G242" s="2"/>
      <c r="H242" s="2"/>
      <c r="I242" s="2"/>
      <c r="J242" s="2"/>
    </row>
    <row r="243" spans="1:10" x14ac:dyDescent="0.25">
      <c r="A243" s="23" t="s">
        <v>1830</v>
      </c>
      <c r="B243" s="2">
        <v>8000</v>
      </c>
      <c r="C243" s="2">
        <v>0</v>
      </c>
      <c r="D243" s="2">
        <v>8000</v>
      </c>
      <c r="E243" s="2"/>
      <c r="F243" s="2"/>
      <c r="G243" s="2"/>
      <c r="H243" s="2"/>
      <c r="I243" s="2"/>
      <c r="J243" s="2"/>
    </row>
    <row r="244" spans="1:10" ht="15" x14ac:dyDescent="0.4">
      <c r="A244" s="23" t="s">
        <v>2092</v>
      </c>
      <c r="B244" s="11">
        <v>0</v>
      </c>
      <c r="C244" s="11">
        <v>0</v>
      </c>
      <c r="D244" s="11">
        <v>0</v>
      </c>
      <c r="E244" s="11"/>
      <c r="F244" s="2"/>
      <c r="G244" s="2"/>
      <c r="H244" s="2"/>
      <c r="I244" s="2"/>
      <c r="J244" s="2"/>
    </row>
    <row r="245" spans="1:10" x14ac:dyDescent="0.25">
      <c r="A245" s="85"/>
      <c r="B245" s="2">
        <f>SUM(B240:B244)</f>
        <v>10400</v>
      </c>
      <c r="C245" s="2">
        <f>SUM(C240:C244)</f>
        <v>0</v>
      </c>
      <c r="D245" s="2">
        <f>SUM(D240:D244)</f>
        <v>103000</v>
      </c>
      <c r="E245" s="2"/>
      <c r="F245" s="2"/>
      <c r="G245" s="2"/>
      <c r="H245" s="2"/>
      <c r="I245" s="2"/>
      <c r="J245" s="2"/>
    </row>
    <row r="246" spans="1:10" x14ac:dyDescent="0.25">
      <c r="A246" s="85"/>
      <c r="B246" s="2"/>
      <c r="C246" s="2"/>
      <c r="E246" s="2"/>
      <c r="F246" s="2"/>
      <c r="G246" s="2"/>
      <c r="H246" s="2"/>
      <c r="I246" s="2"/>
      <c r="J246" s="2"/>
    </row>
    <row r="247" spans="1:10" ht="13.8" x14ac:dyDescent="0.3">
      <c r="A247" s="276" t="s">
        <v>407</v>
      </c>
      <c r="B247" s="2"/>
      <c r="C247" s="2"/>
      <c r="E247" s="2"/>
      <c r="F247" s="2"/>
      <c r="G247" s="2"/>
      <c r="H247" s="2"/>
      <c r="I247" s="2"/>
      <c r="J247" s="2"/>
    </row>
    <row r="248" spans="1:10" x14ac:dyDescent="0.25">
      <c r="B248" s="2"/>
      <c r="C248" s="2"/>
      <c r="E248" s="2"/>
      <c r="F248" s="2"/>
      <c r="G248" s="2"/>
      <c r="H248" s="2"/>
      <c r="I248" s="2"/>
      <c r="J248" s="2"/>
    </row>
    <row r="249" spans="1:10" ht="15" x14ac:dyDescent="0.4">
      <c r="A249" s="276" t="s">
        <v>1424</v>
      </c>
      <c r="B249" s="2" t="s">
        <v>1794</v>
      </c>
      <c r="C249" s="2" t="s">
        <v>1970</v>
      </c>
      <c r="D249" s="2" t="s">
        <v>2129</v>
      </c>
      <c r="E249" s="11"/>
      <c r="F249" s="11"/>
      <c r="G249" s="11"/>
      <c r="H249" s="11"/>
      <c r="I249" s="11"/>
      <c r="J249" s="11"/>
    </row>
    <row r="250" spans="1:10" x14ac:dyDescent="0.25">
      <c r="A250" s="273" t="s">
        <v>410</v>
      </c>
      <c r="B250" s="2">
        <v>0</v>
      </c>
      <c r="C250" s="2">
        <v>0</v>
      </c>
      <c r="D250" s="2">
        <v>0</v>
      </c>
      <c r="E250" s="2"/>
      <c r="F250" s="2"/>
      <c r="G250" s="2"/>
      <c r="H250" s="2"/>
      <c r="I250" s="2"/>
      <c r="J250" s="2"/>
    </row>
    <row r="251" spans="1:10" ht="15" x14ac:dyDescent="0.4">
      <c r="A251" s="273" t="s">
        <v>880</v>
      </c>
      <c r="B251" s="11">
        <v>0</v>
      </c>
      <c r="C251" s="11">
        <v>0</v>
      </c>
      <c r="D251" s="11">
        <v>0</v>
      </c>
      <c r="E251" s="2"/>
      <c r="F251" s="2"/>
      <c r="G251" s="2"/>
      <c r="H251" s="2"/>
      <c r="I251" s="2"/>
      <c r="J251" s="2"/>
    </row>
    <row r="252" spans="1:10" x14ac:dyDescent="0.25">
      <c r="A252" s="273" t="s">
        <v>1247</v>
      </c>
      <c r="B252" s="2">
        <f>SUM(B250:B251)</f>
        <v>0</v>
      </c>
      <c r="C252" s="2">
        <f>SUM(C250:C251)</f>
        <v>0</v>
      </c>
      <c r="D252" s="2">
        <f>SUM(D250:D251)</f>
        <v>0</v>
      </c>
      <c r="E252" s="2"/>
      <c r="F252" s="2"/>
      <c r="G252" s="2"/>
      <c r="H252" s="2"/>
      <c r="I252" s="2"/>
      <c r="J252" s="2"/>
    </row>
    <row r="253" spans="1:10" x14ac:dyDescent="0.25">
      <c r="B253" s="2"/>
      <c r="C253" s="2"/>
      <c r="E253" s="2"/>
      <c r="F253" s="2"/>
      <c r="G253" s="2"/>
      <c r="H253" s="2"/>
      <c r="I253" s="2"/>
      <c r="J253" s="2"/>
    </row>
    <row r="254" spans="1:10" x14ac:dyDescent="0.25">
      <c r="B254" s="2"/>
      <c r="C254" s="2"/>
      <c r="E254" s="2"/>
      <c r="F254" s="2"/>
      <c r="G254" s="2"/>
      <c r="H254" s="2"/>
      <c r="I254" s="2"/>
      <c r="J254" s="2"/>
    </row>
    <row r="255" spans="1:10" ht="15" x14ac:dyDescent="0.4">
      <c r="A255" s="276" t="s">
        <v>1928</v>
      </c>
      <c r="B255" s="2" t="s">
        <v>1794</v>
      </c>
      <c r="C255" s="2" t="s">
        <v>1970</v>
      </c>
      <c r="D255" s="2" t="s">
        <v>2129</v>
      </c>
      <c r="E255" s="11">
        <v>0</v>
      </c>
      <c r="F255" s="11">
        <v>0</v>
      </c>
      <c r="G255" s="11">
        <v>0</v>
      </c>
      <c r="H255" s="11">
        <v>0</v>
      </c>
      <c r="I255" s="11">
        <v>0</v>
      </c>
      <c r="J255" s="11">
        <v>0</v>
      </c>
    </row>
    <row r="256" spans="1:10" x14ac:dyDescent="0.25">
      <c r="A256" s="273" t="s">
        <v>1925</v>
      </c>
      <c r="B256" s="2">
        <v>50000</v>
      </c>
      <c r="D256" s="2">
        <v>0</v>
      </c>
      <c r="E256" s="2"/>
      <c r="F256" s="2"/>
      <c r="G256" s="2"/>
      <c r="H256" s="2"/>
      <c r="I256" s="2"/>
      <c r="J256" s="2"/>
    </row>
    <row r="257" spans="1:10" x14ac:dyDescent="0.25">
      <c r="B257" s="2"/>
      <c r="C257" s="2"/>
      <c r="E257" s="2"/>
      <c r="F257" s="2"/>
      <c r="G257" s="2"/>
      <c r="H257" s="2"/>
      <c r="I257" s="2"/>
      <c r="J257" s="2"/>
    </row>
    <row r="258" spans="1:10" x14ac:dyDescent="0.25">
      <c r="A258" s="273" t="s">
        <v>1332</v>
      </c>
      <c r="C258" s="2"/>
      <c r="E258" s="2">
        <f t="shared" ref="E258:J258" si="2">SUM(E6:E255)</f>
        <v>447185.21</v>
      </c>
      <c r="F258" s="2">
        <f t="shared" si="2"/>
        <v>459339</v>
      </c>
      <c r="G258" s="2">
        <f t="shared" si="2"/>
        <v>547301</v>
      </c>
      <c r="H258" s="2">
        <f t="shared" si="2"/>
        <v>557928</v>
      </c>
      <c r="I258" s="2">
        <f t="shared" si="2"/>
        <v>573101</v>
      </c>
      <c r="J258" s="2">
        <f t="shared" si="2"/>
        <v>573101</v>
      </c>
    </row>
    <row r="259" spans="1:10" x14ac:dyDescent="0.25">
      <c r="C259" s="2"/>
      <c r="E259" s="2"/>
      <c r="F259" s="2"/>
      <c r="G259" s="2"/>
      <c r="H259" s="2"/>
      <c r="I259" s="2"/>
      <c r="J259" s="2"/>
    </row>
    <row r="260" spans="1:10" x14ac:dyDescent="0.25">
      <c r="A260" s="273" t="s">
        <v>981</v>
      </c>
      <c r="E260" s="2">
        <f t="shared" ref="E260:J260" si="3">SUM(E6:E72)</f>
        <v>192603.37</v>
      </c>
      <c r="F260" s="2">
        <f t="shared" si="3"/>
        <v>211509</v>
      </c>
      <c r="G260" s="2">
        <f t="shared" si="3"/>
        <v>208068</v>
      </c>
      <c r="H260" s="2">
        <f t="shared" si="3"/>
        <v>208945</v>
      </c>
      <c r="I260" s="2">
        <f t="shared" si="3"/>
        <v>214118</v>
      </c>
      <c r="J260" s="2">
        <f t="shared" si="3"/>
        <v>214118</v>
      </c>
    </row>
    <row r="261" spans="1:10" x14ac:dyDescent="0.25">
      <c r="A261" s="273" t="s">
        <v>957</v>
      </c>
      <c r="E261" s="2">
        <f t="shared" ref="E261:J261" si="4">SUM(E74:E234)</f>
        <v>249456.83999999997</v>
      </c>
      <c r="F261" s="2">
        <f t="shared" si="4"/>
        <v>244350</v>
      </c>
      <c r="G261" s="2">
        <f t="shared" si="4"/>
        <v>245983</v>
      </c>
      <c r="H261" s="2">
        <f t="shared" si="4"/>
        <v>245983</v>
      </c>
      <c r="I261" s="2">
        <f t="shared" si="4"/>
        <v>255983</v>
      </c>
      <c r="J261" s="2">
        <f t="shared" si="4"/>
        <v>255983</v>
      </c>
    </row>
    <row r="262" spans="1:10" ht="15" x14ac:dyDescent="0.4">
      <c r="A262" s="273" t="s">
        <v>958</v>
      </c>
      <c r="E262" s="11">
        <f t="shared" ref="E262:J262" si="5">SUM(E236:E255)</f>
        <v>5125</v>
      </c>
      <c r="F262" s="11">
        <f t="shared" si="5"/>
        <v>3480</v>
      </c>
      <c r="G262" s="11">
        <f t="shared" si="5"/>
        <v>93250</v>
      </c>
      <c r="H262" s="11">
        <f t="shared" si="5"/>
        <v>103000</v>
      </c>
      <c r="I262" s="11">
        <f t="shared" si="5"/>
        <v>103000</v>
      </c>
      <c r="J262" s="11">
        <f t="shared" si="5"/>
        <v>103000</v>
      </c>
    </row>
    <row r="263" spans="1:10" x14ac:dyDescent="0.25">
      <c r="A263" s="273" t="s">
        <v>1247</v>
      </c>
      <c r="E263" s="2">
        <f t="shared" ref="E263:J263" si="6">SUM(E260:E262)</f>
        <v>447185.20999999996</v>
      </c>
      <c r="F263" s="2">
        <f t="shared" si="6"/>
        <v>459339</v>
      </c>
      <c r="G263" s="2">
        <f t="shared" si="6"/>
        <v>547301</v>
      </c>
      <c r="H263" s="2">
        <f t="shared" si="6"/>
        <v>557928</v>
      </c>
      <c r="I263" s="2">
        <f t="shared" si="6"/>
        <v>573101</v>
      </c>
      <c r="J263" s="2">
        <f t="shared" si="6"/>
        <v>573101</v>
      </c>
    </row>
    <row r="264" spans="1:10" x14ac:dyDescent="0.25">
      <c r="I264" s="295"/>
      <c r="J264" s="298"/>
    </row>
    <row r="265" spans="1:10" x14ac:dyDescent="0.25">
      <c r="F265" s="2"/>
      <c r="I265" s="2">
        <f>+I263-H263</f>
        <v>15173</v>
      </c>
      <c r="J265" s="2">
        <f>+J263-I263</f>
        <v>0</v>
      </c>
    </row>
    <row r="266" spans="1:10" x14ac:dyDescent="0.25">
      <c r="I266" s="2">
        <f>+I263-567928</f>
        <v>5173</v>
      </c>
      <c r="J266" s="2">
        <f>+J263-567928</f>
        <v>5173</v>
      </c>
    </row>
    <row r="267" spans="1:10" x14ac:dyDescent="0.25">
      <c r="I267" s="2">
        <f>+I266-4430</f>
        <v>743</v>
      </c>
      <c r="J267" s="2">
        <f>+J266-4430</f>
        <v>743</v>
      </c>
    </row>
    <row r="268" spans="1:10" x14ac:dyDescent="0.25">
      <c r="J268" s="298"/>
    </row>
    <row r="269" spans="1:10" x14ac:dyDescent="0.25">
      <c r="J269" s="298"/>
    </row>
    <row r="270" spans="1:10" x14ac:dyDescent="0.25">
      <c r="J270" s="298"/>
    </row>
    <row r="271" spans="1:10" x14ac:dyDescent="0.25">
      <c r="J271" s="298"/>
    </row>
    <row r="272" spans="1:10" x14ac:dyDescent="0.25">
      <c r="J272" s="298"/>
    </row>
    <row r="273" spans="10:10" x14ac:dyDescent="0.25">
      <c r="J273" s="298"/>
    </row>
    <row r="274" spans="10:10" x14ac:dyDescent="0.25">
      <c r="J274" s="298"/>
    </row>
    <row r="275" spans="10:10" x14ac:dyDescent="0.25">
      <c r="J275" s="298"/>
    </row>
    <row r="276" spans="10:10" x14ac:dyDescent="0.25">
      <c r="J276" s="298"/>
    </row>
    <row r="277" spans="10:10" x14ac:dyDescent="0.25">
      <c r="J277" s="298"/>
    </row>
    <row r="278" spans="10:10" x14ac:dyDescent="0.25">
      <c r="J278" s="298"/>
    </row>
    <row r="279" spans="10:10" x14ac:dyDescent="0.25">
      <c r="J279" s="298"/>
    </row>
    <row r="280" spans="10:10" x14ac:dyDescent="0.25">
      <c r="J280" s="298"/>
    </row>
    <row r="281" spans="10:10" x14ac:dyDescent="0.25">
      <c r="J281" s="298"/>
    </row>
    <row r="282" spans="10:10" x14ac:dyDescent="0.25">
      <c r="J282" s="298"/>
    </row>
    <row r="283" spans="10:10" x14ac:dyDescent="0.25">
      <c r="J283" s="298"/>
    </row>
    <row r="284" spans="10:10" x14ac:dyDescent="0.25">
      <c r="J284" s="298"/>
    </row>
    <row r="285" spans="10:10" x14ac:dyDescent="0.25">
      <c r="J285" s="298"/>
    </row>
    <row r="286" spans="10:10" x14ac:dyDescent="0.25">
      <c r="J286" s="298"/>
    </row>
    <row r="287" spans="10:10" x14ac:dyDescent="0.25">
      <c r="J287" s="298"/>
    </row>
    <row r="288" spans="10:10" x14ac:dyDescent="0.25">
      <c r="J288" s="298"/>
    </row>
    <row r="289" spans="10:10" x14ac:dyDescent="0.25">
      <c r="J289" s="298"/>
    </row>
    <row r="290" spans="10:10" x14ac:dyDescent="0.25">
      <c r="J290" s="298"/>
    </row>
    <row r="291" spans="10:10" x14ac:dyDescent="0.25">
      <c r="J291" s="298"/>
    </row>
    <row r="292" spans="10:10" x14ac:dyDescent="0.25">
      <c r="J292" s="298"/>
    </row>
    <row r="293" spans="10:10" x14ac:dyDescent="0.25">
      <c r="J293" s="298"/>
    </row>
    <row r="294" spans="10:10" x14ac:dyDescent="0.25">
      <c r="J294" s="298"/>
    </row>
  </sheetData>
  <mergeCells count="1">
    <mergeCell ref="A1:J1"/>
  </mergeCells>
  <phoneticPr fontId="0" type="noConversion"/>
  <printOptions gridLines="1"/>
  <pageMargins left="0.75" right="0.16" top="0.51" bottom="0.22" header="0.5" footer="0"/>
  <pageSetup scale="84" fitToHeight="16" orientation="landscape" r:id="rId1"/>
  <headerFooter alignWithMargins="0"/>
  <rowBreaks count="4" manualBreakCount="4">
    <brk id="73" max="9" man="1"/>
    <brk id="119" max="9" man="1"/>
    <brk id="206" max="9" man="1"/>
    <brk id="252" max="9"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278"/>
  <sheetViews>
    <sheetView view="pageBreakPreview" zoomScaleNormal="100" zoomScaleSheetLayoutView="100" workbookViewId="0">
      <selection sqref="A1:I1"/>
    </sheetView>
  </sheetViews>
  <sheetFormatPr defaultColWidth="8.88671875" defaultRowHeight="13.2" x14ac:dyDescent="0.25"/>
  <cols>
    <col min="1" max="1" width="61.21875" style="273" bestFit="1" customWidth="1"/>
    <col min="2" max="3" width="9" style="273" bestFit="1" customWidth="1"/>
    <col min="4" max="4" width="11" style="273" customWidth="1"/>
    <col min="5" max="6" width="10.88671875" style="273" customWidth="1"/>
    <col min="7" max="7" width="14" style="273" bestFit="1" customWidth="1"/>
    <col min="8" max="8" width="13.5546875" style="2" bestFit="1" customWidth="1"/>
    <col min="9" max="10" width="10.33203125" style="273" bestFit="1" customWidth="1"/>
    <col min="11" max="16384" width="8.88671875" style="273"/>
  </cols>
  <sheetData>
    <row r="1" spans="1:10" x14ac:dyDescent="0.25">
      <c r="A1" s="307" t="str">
        <f>'SUMMARY BY FUND'!A1:J1</f>
        <v>2019-20 BUDGET</v>
      </c>
      <c r="B1" s="308"/>
      <c r="C1" s="308"/>
      <c r="D1" s="308"/>
      <c r="E1" s="308"/>
      <c r="F1" s="308"/>
      <c r="G1" s="308"/>
      <c r="H1" s="308"/>
      <c r="I1" s="308"/>
    </row>
    <row r="2" spans="1:10" ht="17.399999999999999" x14ac:dyDescent="0.3">
      <c r="A2" s="180" t="s">
        <v>1943</v>
      </c>
      <c r="B2" s="180"/>
      <c r="C2" s="180"/>
      <c r="D2" s="180"/>
      <c r="E2" s="180"/>
    </row>
    <row r="3" spans="1:10" x14ac:dyDescent="0.25">
      <c r="B3" s="2"/>
      <c r="C3" s="2"/>
      <c r="D3" s="2"/>
      <c r="E3" s="2"/>
      <c r="I3" s="151"/>
    </row>
    <row r="4" spans="1:10" x14ac:dyDescent="0.25">
      <c r="B4" s="2"/>
      <c r="C4" s="2"/>
      <c r="E4" s="195" t="s">
        <v>233</v>
      </c>
      <c r="F4" s="195" t="s">
        <v>234</v>
      </c>
      <c r="G4" s="16" t="s">
        <v>70</v>
      </c>
      <c r="H4" s="16" t="s">
        <v>409</v>
      </c>
      <c r="I4" s="16" t="s">
        <v>314</v>
      </c>
      <c r="J4" s="16" t="s">
        <v>345</v>
      </c>
    </row>
    <row r="5" spans="1:10" ht="15" x14ac:dyDescent="0.4">
      <c r="B5" s="2"/>
      <c r="C5" s="2"/>
      <c r="E5" s="274" t="s">
        <v>1794</v>
      </c>
      <c r="F5" s="274" t="s">
        <v>1970</v>
      </c>
      <c r="G5" s="274" t="s">
        <v>2129</v>
      </c>
      <c r="H5" s="274" t="s">
        <v>2129</v>
      </c>
      <c r="I5" s="274" t="s">
        <v>2129</v>
      </c>
      <c r="J5" s="291" t="s">
        <v>2129</v>
      </c>
    </row>
    <row r="6" spans="1:10" ht="13.8" x14ac:dyDescent="0.3">
      <c r="A6" s="115" t="s">
        <v>411</v>
      </c>
      <c r="B6" s="110"/>
      <c r="C6" s="110"/>
      <c r="D6" s="110"/>
      <c r="E6" s="110">
        <v>199265.03</v>
      </c>
      <c r="F6" s="110">
        <v>304352</v>
      </c>
      <c r="G6" s="2">
        <v>304352</v>
      </c>
      <c r="H6" s="2">
        <v>304352</v>
      </c>
      <c r="I6" s="2">
        <v>304352</v>
      </c>
      <c r="J6" s="2">
        <v>304352</v>
      </c>
    </row>
    <row r="7" spans="1:10" x14ac:dyDescent="0.25">
      <c r="A7" s="111" t="s">
        <v>102</v>
      </c>
      <c r="B7" s="110">
        <v>52</v>
      </c>
      <c r="C7" s="110">
        <f>55+1370</f>
        <v>1425</v>
      </c>
      <c r="D7" s="110">
        <f t="shared" ref="D7:D12" si="0">+C7*B7</f>
        <v>74100</v>
      </c>
      <c r="E7" s="110"/>
      <c r="F7" s="110"/>
      <c r="G7" s="110"/>
      <c r="H7" s="110"/>
      <c r="I7" s="110"/>
      <c r="J7" s="110"/>
    </row>
    <row r="8" spans="1:10" x14ac:dyDescent="0.25">
      <c r="A8" s="111" t="s">
        <v>103</v>
      </c>
      <c r="B8" s="110">
        <v>52</v>
      </c>
      <c r="C8" s="110">
        <v>893</v>
      </c>
      <c r="D8" s="110">
        <f t="shared" si="0"/>
        <v>46436</v>
      </c>
      <c r="E8" s="110"/>
      <c r="F8" s="110"/>
      <c r="G8" s="110"/>
      <c r="H8" s="110"/>
      <c r="I8" s="110"/>
      <c r="J8" s="110"/>
    </row>
    <row r="9" spans="1:10" x14ac:dyDescent="0.25">
      <c r="A9" s="111" t="s">
        <v>2040</v>
      </c>
      <c r="B9" s="110">
        <v>52</v>
      </c>
      <c r="C9" s="110">
        <v>885</v>
      </c>
      <c r="D9" s="110">
        <f t="shared" si="0"/>
        <v>46020</v>
      </c>
      <c r="E9" s="110"/>
      <c r="F9" s="110"/>
      <c r="G9" s="110"/>
      <c r="H9" s="110"/>
      <c r="I9" s="110"/>
      <c r="J9" s="110"/>
    </row>
    <row r="10" spans="1:10" x14ac:dyDescent="0.25">
      <c r="A10" s="208" t="s">
        <v>2041</v>
      </c>
      <c r="B10" s="110">
        <v>52</v>
      </c>
      <c r="C10" s="110">
        <v>839</v>
      </c>
      <c r="D10" s="110">
        <f t="shared" si="0"/>
        <v>43628</v>
      </c>
      <c r="E10" s="110"/>
      <c r="I10" s="2"/>
      <c r="J10" s="2"/>
    </row>
    <row r="11" spans="1:10" x14ac:dyDescent="0.25">
      <c r="A11" s="111" t="s">
        <v>1855</v>
      </c>
      <c r="B11" s="110">
        <v>52</v>
      </c>
      <c r="C11" s="110">
        <v>876</v>
      </c>
      <c r="D11" s="110">
        <f t="shared" si="0"/>
        <v>45552</v>
      </c>
      <c r="E11" s="110"/>
      <c r="I11" s="2"/>
      <c r="J11" s="2"/>
    </row>
    <row r="12" spans="1:10" x14ac:dyDescent="0.25">
      <c r="A12" s="111" t="s">
        <v>1856</v>
      </c>
      <c r="B12" s="110">
        <v>52</v>
      </c>
      <c r="C12" s="110">
        <v>883</v>
      </c>
      <c r="D12" s="110">
        <f t="shared" si="0"/>
        <v>45916</v>
      </c>
      <c r="E12" s="110"/>
      <c r="I12" s="2"/>
      <c r="J12" s="2"/>
    </row>
    <row r="13" spans="1:10" ht="15" x14ac:dyDescent="0.4">
      <c r="A13" s="111" t="s">
        <v>973</v>
      </c>
      <c r="B13" s="110"/>
      <c r="C13" s="110"/>
      <c r="D13" s="113">
        <v>2700</v>
      </c>
      <c r="E13" s="110"/>
      <c r="F13" s="110"/>
      <c r="G13" s="110"/>
      <c r="H13" s="110"/>
      <c r="I13" s="110"/>
      <c r="J13" s="110"/>
    </row>
    <row r="14" spans="1:10" x14ac:dyDescent="0.25">
      <c r="A14" s="111" t="s">
        <v>1247</v>
      </c>
      <c r="B14" s="110"/>
      <c r="C14" s="110"/>
      <c r="D14" s="110">
        <f>SUM(D7:D13)</f>
        <v>304352</v>
      </c>
      <c r="E14" s="110"/>
      <c r="F14" s="110"/>
      <c r="G14" s="110"/>
      <c r="H14" s="110"/>
      <c r="I14" s="110"/>
      <c r="J14" s="110"/>
    </row>
    <row r="15" spans="1:10" x14ac:dyDescent="0.25">
      <c r="A15" s="111"/>
      <c r="B15" s="110"/>
      <c r="C15" s="110"/>
      <c r="D15" s="110"/>
      <c r="E15" s="110"/>
      <c r="F15" s="111"/>
      <c r="G15" s="111"/>
      <c r="H15" s="110"/>
      <c r="I15" s="110"/>
      <c r="J15" s="110"/>
    </row>
    <row r="16" spans="1:10" ht="13.8" x14ac:dyDescent="0.3">
      <c r="A16" s="115" t="s">
        <v>1035</v>
      </c>
      <c r="B16" s="110"/>
      <c r="C16" s="110"/>
      <c r="D16" s="110"/>
      <c r="E16" s="110">
        <v>338801.23</v>
      </c>
      <c r="F16" s="110">
        <v>267831</v>
      </c>
      <c r="G16" s="110">
        <v>274905</v>
      </c>
      <c r="H16" s="110">
        <v>274905</v>
      </c>
      <c r="I16" s="110">
        <v>274905</v>
      </c>
      <c r="J16" s="110">
        <v>274905</v>
      </c>
    </row>
    <row r="17" spans="1:10" x14ac:dyDescent="0.25">
      <c r="A17" s="111" t="s">
        <v>1036</v>
      </c>
      <c r="B17" s="110" t="s">
        <v>396</v>
      </c>
      <c r="C17" s="110" t="s">
        <v>396</v>
      </c>
      <c r="D17" s="110" t="s">
        <v>396</v>
      </c>
      <c r="E17" s="110"/>
      <c r="F17" s="110"/>
      <c r="G17" s="110"/>
      <c r="H17" s="110"/>
      <c r="I17" s="110"/>
      <c r="J17" s="110"/>
    </row>
    <row r="18" spans="1:10" x14ac:dyDescent="0.25">
      <c r="A18" s="273" t="s">
        <v>1342</v>
      </c>
      <c r="B18" s="273">
        <v>52</v>
      </c>
      <c r="C18" s="273">
        <v>811</v>
      </c>
      <c r="D18" s="110">
        <f>+C18*B18</f>
        <v>42172</v>
      </c>
      <c r="E18" s="110"/>
      <c r="F18" s="110"/>
      <c r="G18" s="110"/>
      <c r="H18" s="110"/>
      <c r="I18" s="110"/>
      <c r="J18" s="110"/>
    </row>
    <row r="19" spans="1:10" x14ac:dyDescent="0.25">
      <c r="A19" s="273" t="s">
        <v>2042</v>
      </c>
      <c r="B19" s="273">
        <v>52</v>
      </c>
      <c r="C19" s="273">
        <v>624</v>
      </c>
      <c r="D19" s="110">
        <f>+C19*B19</f>
        <v>32448</v>
      </c>
      <c r="E19" s="110"/>
      <c r="F19" s="110"/>
      <c r="G19" s="110"/>
      <c r="H19" s="110"/>
      <c r="I19" s="110"/>
      <c r="J19" s="110"/>
    </row>
    <row r="20" spans="1:10" x14ac:dyDescent="0.25">
      <c r="A20" s="273" t="s">
        <v>2310</v>
      </c>
      <c r="B20" s="273">
        <v>52</v>
      </c>
      <c r="C20" s="273">
        <v>624</v>
      </c>
      <c r="D20" s="110">
        <f>+C20*B20</f>
        <v>32448</v>
      </c>
      <c r="E20" s="110"/>
      <c r="F20" s="110"/>
      <c r="G20" s="110"/>
      <c r="H20" s="110"/>
      <c r="I20" s="110"/>
      <c r="J20" s="110"/>
    </row>
    <row r="21" spans="1:10" x14ac:dyDescent="0.25">
      <c r="A21" s="273" t="s">
        <v>2043</v>
      </c>
      <c r="B21" s="273">
        <v>52</v>
      </c>
      <c r="C21" s="273">
        <v>680</v>
      </c>
      <c r="D21" s="110">
        <f>+C21*B21</f>
        <v>35360</v>
      </c>
      <c r="E21" s="110"/>
      <c r="F21" s="110"/>
      <c r="G21" s="110"/>
      <c r="H21" s="110"/>
      <c r="I21" s="110"/>
      <c r="J21" s="110"/>
    </row>
    <row r="22" spans="1:10" x14ac:dyDescent="0.25">
      <c r="A22" s="273" t="s">
        <v>973</v>
      </c>
      <c r="D22" s="110">
        <v>500</v>
      </c>
      <c r="E22" s="110"/>
      <c r="F22" s="110"/>
      <c r="G22" s="110"/>
      <c r="H22" s="110"/>
      <c r="I22" s="110"/>
      <c r="J22" s="110"/>
    </row>
    <row r="23" spans="1:10" x14ac:dyDescent="0.25">
      <c r="A23" s="273" t="s">
        <v>1405</v>
      </c>
      <c r="B23" s="273" t="s">
        <v>396</v>
      </c>
      <c r="C23" s="273" t="s">
        <v>396</v>
      </c>
      <c r="D23" s="110" t="s">
        <v>396</v>
      </c>
      <c r="E23" s="110"/>
      <c r="F23" s="110"/>
      <c r="G23" s="110"/>
      <c r="H23" s="110"/>
      <c r="I23" s="110"/>
      <c r="J23" s="110"/>
    </row>
    <row r="24" spans="1:10" ht="14.4" x14ac:dyDescent="0.3">
      <c r="A24" s="273" t="s">
        <v>1857</v>
      </c>
      <c r="B24" s="273">
        <v>1040</v>
      </c>
      <c r="C24" s="284">
        <v>12</v>
      </c>
      <c r="D24" s="110">
        <f t="shared" ref="D24:D38" si="1">+C24*B24</f>
        <v>12480</v>
      </c>
      <c r="E24" s="110"/>
      <c r="I24" s="2"/>
      <c r="J24" s="2"/>
    </row>
    <row r="25" spans="1:10" ht="14.4" x14ac:dyDescent="0.3">
      <c r="A25" s="273" t="s">
        <v>1929</v>
      </c>
      <c r="B25" s="273">
        <v>1040</v>
      </c>
      <c r="C25" s="284">
        <v>12</v>
      </c>
      <c r="D25" s="110">
        <f t="shared" si="1"/>
        <v>12480</v>
      </c>
      <c r="E25" s="110"/>
      <c r="F25" s="123"/>
      <c r="G25" s="123"/>
      <c r="H25" s="110"/>
      <c r="I25" s="110"/>
      <c r="J25" s="110"/>
    </row>
    <row r="26" spans="1:10" ht="14.4" x14ac:dyDescent="0.3">
      <c r="A26" s="273" t="s">
        <v>1781</v>
      </c>
      <c r="B26" s="273">
        <v>200</v>
      </c>
      <c r="C26" s="284">
        <v>12</v>
      </c>
      <c r="D26" s="110">
        <f t="shared" si="1"/>
        <v>2400</v>
      </c>
      <c r="E26" s="110"/>
      <c r="I26" s="2"/>
      <c r="J26" s="2"/>
    </row>
    <row r="27" spans="1:10" ht="14.4" x14ac:dyDescent="0.3">
      <c r="A27" s="273" t="s">
        <v>104</v>
      </c>
      <c r="B27" s="273">
        <v>936</v>
      </c>
      <c r="C27" s="284">
        <v>12.24</v>
      </c>
      <c r="D27" s="110">
        <f t="shared" si="1"/>
        <v>11456.64</v>
      </c>
      <c r="E27" s="110"/>
      <c r="I27" s="2"/>
      <c r="J27" s="2"/>
    </row>
    <row r="28" spans="1:10" ht="14.4" x14ac:dyDescent="0.3">
      <c r="A28" s="273" t="s">
        <v>2044</v>
      </c>
      <c r="B28" s="273">
        <v>1040</v>
      </c>
      <c r="C28" s="284">
        <v>13.68</v>
      </c>
      <c r="D28" s="110">
        <f t="shared" si="1"/>
        <v>14227.199999999999</v>
      </c>
      <c r="E28" s="110"/>
      <c r="F28" s="123"/>
      <c r="G28" s="123"/>
      <c r="H28" s="110"/>
      <c r="I28" s="110"/>
      <c r="J28" s="110"/>
    </row>
    <row r="29" spans="1:10" ht="14.4" x14ac:dyDescent="0.3">
      <c r="A29" s="273" t="s">
        <v>104</v>
      </c>
      <c r="B29" s="273">
        <v>780</v>
      </c>
      <c r="C29" s="284">
        <v>12.24</v>
      </c>
      <c r="D29" s="110">
        <f t="shared" si="1"/>
        <v>9547.2000000000007</v>
      </c>
      <c r="E29" s="110"/>
      <c r="F29" s="123"/>
      <c r="G29" s="123"/>
      <c r="H29" s="110"/>
      <c r="I29" s="110"/>
      <c r="J29" s="110"/>
    </row>
    <row r="30" spans="1:10" ht="14.4" x14ac:dyDescent="0.3">
      <c r="A30" s="273" t="s">
        <v>2044</v>
      </c>
      <c r="B30" s="273">
        <v>676</v>
      </c>
      <c r="C30" s="284">
        <v>12.24</v>
      </c>
      <c r="D30" s="110">
        <f t="shared" si="1"/>
        <v>8274.24</v>
      </c>
      <c r="E30" s="110"/>
      <c r="F30" s="123"/>
      <c r="G30" s="123"/>
      <c r="H30" s="110"/>
      <c r="I30" s="110"/>
      <c r="J30" s="110"/>
    </row>
    <row r="31" spans="1:10" ht="14.4" x14ac:dyDescent="0.3">
      <c r="A31" s="273" t="s">
        <v>104</v>
      </c>
      <c r="B31" s="273">
        <v>780</v>
      </c>
      <c r="C31" s="284">
        <v>12.24</v>
      </c>
      <c r="D31" s="110">
        <f t="shared" si="1"/>
        <v>9547.2000000000007</v>
      </c>
      <c r="E31" s="110"/>
      <c r="F31" s="123"/>
      <c r="G31" s="123"/>
      <c r="H31" s="110"/>
      <c r="I31" s="110"/>
      <c r="J31" s="110"/>
    </row>
    <row r="32" spans="1:10" ht="14.4" x14ac:dyDescent="0.3">
      <c r="A32" s="273" t="s">
        <v>2167</v>
      </c>
      <c r="B32" s="273">
        <v>780</v>
      </c>
      <c r="C32" s="284">
        <v>12</v>
      </c>
      <c r="D32" s="110">
        <f t="shared" si="1"/>
        <v>9360</v>
      </c>
      <c r="E32" s="110"/>
      <c r="F32" s="123"/>
      <c r="G32" s="123"/>
      <c r="H32" s="110"/>
      <c r="I32" s="110"/>
      <c r="J32" s="110"/>
    </row>
    <row r="33" spans="1:10" ht="14.4" x14ac:dyDescent="0.3">
      <c r="A33" s="273" t="s">
        <v>104</v>
      </c>
      <c r="B33" s="273">
        <v>728</v>
      </c>
      <c r="C33" s="284">
        <v>12</v>
      </c>
      <c r="D33" s="110">
        <f t="shared" si="1"/>
        <v>8736</v>
      </c>
      <c r="E33" s="110"/>
      <c r="I33" s="2"/>
      <c r="J33" s="2"/>
    </row>
    <row r="34" spans="1:10" ht="14.4" x14ac:dyDescent="0.3">
      <c r="A34" s="273" t="s">
        <v>2045</v>
      </c>
      <c r="B34" s="273">
        <v>312</v>
      </c>
      <c r="C34" s="284">
        <v>8.7799999999999994</v>
      </c>
      <c r="D34" s="110">
        <f t="shared" si="1"/>
        <v>2739.3599999999997</v>
      </c>
      <c r="E34" s="110"/>
      <c r="F34" s="123"/>
      <c r="G34" s="123"/>
      <c r="H34" s="110"/>
      <c r="I34" s="110"/>
      <c r="J34" s="110"/>
    </row>
    <row r="35" spans="1:10" ht="14.4" x14ac:dyDescent="0.3">
      <c r="A35" s="111" t="s">
        <v>2046</v>
      </c>
      <c r="B35" s="110">
        <v>636</v>
      </c>
      <c r="C35" s="284">
        <v>9.81</v>
      </c>
      <c r="D35" s="110">
        <f t="shared" si="1"/>
        <v>6239.1600000000008</v>
      </c>
      <c r="E35" s="110"/>
      <c r="F35" s="123"/>
      <c r="G35" s="123"/>
      <c r="H35" s="110"/>
      <c r="I35" s="110"/>
      <c r="J35" s="110"/>
    </row>
    <row r="36" spans="1:10" ht="14.4" x14ac:dyDescent="0.3">
      <c r="A36" s="111" t="s">
        <v>2168</v>
      </c>
      <c r="B36" s="110">
        <v>0</v>
      </c>
      <c r="C36" s="284">
        <v>12</v>
      </c>
      <c r="D36" s="110" t="s">
        <v>396</v>
      </c>
      <c r="E36" s="110"/>
      <c r="F36" s="123"/>
      <c r="G36" s="123"/>
      <c r="H36" s="110"/>
      <c r="I36" s="110"/>
      <c r="J36" s="110"/>
    </row>
    <row r="37" spans="1:10" ht="14.4" x14ac:dyDescent="0.3">
      <c r="A37" s="111" t="s">
        <v>105</v>
      </c>
      <c r="B37" s="110">
        <v>1300</v>
      </c>
      <c r="C37" s="284">
        <v>15</v>
      </c>
      <c r="D37" s="110">
        <f t="shared" si="1"/>
        <v>19500</v>
      </c>
      <c r="E37" s="110"/>
      <c r="F37" s="123"/>
      <c r="G37" s="123"/>
      <c r="H37" s="110"/>
      <c r="I37" s="110"/>
      <c r="J37" s="110"/>
    </row>
    <row r="38" spans="1:10" ht="14.4" x14ac:dyDescent="0.3">
      <c r="A38" s="111" t="s">
        <v>576</v>
      </c>
      <c r="B38" s="110">
        <v>300</v>
      </c>
      <c r="C38" s="284">
        <v>13.3</v>
      </c>
      <c r="D38" s="110">
        <f t="shared" si="1"/>
        <v>3990</v>
      </c>
      <c r="E38" s="110"/>
      <c r="F38" s="123"/>
      <c r="G38" s="123"/>
      <c r="H38" s="110"/>
      <c r="I38" s="110"/>
      <c r="J38" s="110"/>
    </row>
    <row r="39" spans="1:10" ht="15" x14ac:dyDescent="0.4">
      <c r="A39" s="111" t="s">
        <v>1858</v>
      </c>
      <c r="B39" s="110"/>
      <c r="C39" s="112"/>
      <c r="D39" s="113">
        <v>1000</v>
      </c>
      <c r="E39" s="110"/>
      <c r="F39" s="123"/>
      <c r="G39" s="123"/>
      <c r="H39" s="110"/>
      <c r="I39" s="110"/>
      <c r="J39" s="110"/>
    </row>
    <row r="40" spans="1:10" x14ac:dyDescent="0.25">
      <c r="A40" s="111" t="s">
        <v>1247</v>
      </c>
      <c r="B40" s="110"/>
      <c r="C40" s="110"/>
      <c r="D40" s="110">
        <f>SUM(D18:D39)</f>
        <v>274905</v>
      </c>
      <c r="E40" s="110"/>
      <c r="F40" s="110"/>
      <c r="G40" s="110"/>
      <c r="H40" s="110"/>
      <c r="I40" s="110"/>
      <c r="J40" s="110"/>
    </row>
    <row r="41" spans="1:10" x14ac:dyDescent="0.25">
      <c r="A41" s="273" t="s">
        <v>2169</v>
      </c>
      <c r="B41" s="110"/>
      <c r="C41" s="110"/>
      <c r="D41" s="110"/>
      <c r="E41" s="110"/>
      <c r="F41" s="110"/>
      <c r="G41" s="110"/>
      <c r="H41" s="110"/>
      <c r="I41" s="110"/>
      <c r="J41" s="110"/>
    </row>
    <row r="42" spans="1:10" x14ac:dyDescent="0.25">
      <c r="A42" s="111"/>
      <c r="B42" s="110" t="s">
        <v>396</v>
      </c>
      <c r="C42" s="110"/>
      <c r="D42" s="110" t="s">
        <v>396</v>
      </c>
      <c r="E42" s="110"/>
      <c r="F42" s="111"/>
      <c r="G42" s="111"/>
      <c r="H42" s="110"/>
      <c r="I42" s="110"/>
      <c r="J42" s="110"/>
    </row>
    <row r="43" spans="1:10" ht="13.8" x14ac:dyDescent="0.3">
      <c r="A43" s="115" t="s">
        <v>577</v>
      </c>
      <c r="B43" s="111"/>
      <c r="C43" s="111"/>
      <c r="D43" s="110"/>
      <c r="E43" s="110">
        <f>33527.26+7.64</f>
        <v>33534.9</v>
      </c>
      <c r="F43" s="110">
        <v>38679</v>
      </c>
      <c r="G43" s="110">
        <v>40601.599999999999</v>
      </c>
      <c r="H43" s="110">
        <v>40602</v>
      </c>
      <c r="I43" s="110">
        <v>40602</v>
      </c>
      <c r="J43" s="110">
        <v>40602</v>
      </c>
    </row>
    <row r="44" spans="1:10" x14ac:dyDescent="0.25">
      <c r="A44" s="111" t="s">
        <v>2317</v>
      </c>
      <c r="B44" s="110">
        <v>2080</v>
      </c>
      <c r="C44" s="112">
        <v>19.52</v>
      </c>
      <c r="D44" s="110">
        <f>+C44*B44</f>
        <v>40601.599999999999</v>
      </c>
      <c r="E44" s="110"/>
      <c r="F44" s="110"/>
      <c r="G44" s="110"/>
      <c r="H44" s="110"/>
      <c r="I44" s="110"/>
      <c r="J44" s="110"/>
    </row>
    <row r="45" spans="1:10" x14ac:dyDescent="0.25">
      <c r="A45" s="111" t="s">
        <v>1031</v>
      </c>
      <c r="B45" s="110">
        <v>0</v>
      </c>
      <c r="C45" s="112">
        <v>12.82</v>
      </c>
      <c r="D45" s="110">
        <f>+C45*B45</f>
        <v>0</v>
      </c>
      <c r="E45" s="110"/>
      <c r="F45" s="110"/>
      <c r="G45" s="110"/>
      <c r="H45" s="110"/>
      <c r="I45" s="110"/>
      <c r="J45" s="110"/>
    </row>
    <row r="46" spans="1:10" ht="15" x14ac:dyDescent="0.4">
      <c r="A46" s="242" t="s">
        <v>1782</v>
      </c>
      <c r="B46" s="242">
        <v>0</v>
      </c>
      <c r="C46" s="243">
        <v>15</v>
      </c>
      <c r="D46" s="244">
        <v>0</v>
      </c>
      <c r="E46" s="242"/>
      <c r="F46" s="209"/>
      <c r="G46" s="209"/>
      <c r="H46" s="279"/>
      <c r="I46" s="279"/>
      <c r="J46" s="279"/>
    </row>
    <row r="47" spans="1:10" x14ac:dyDescent="0.25">
      <c r="A47" s="111" t="s">
        <v>1247</v>
      </c>
      <c r="B47" s="110"/>
      <c r="C47" s="110"/>
      <c r="D47" s="110">
        <f>SUM(D44:D46)</f>
        <v>40601.599999999999</v>
      </c>
      <c r="E47" s="110"/>
      <c r="F47" s="110"/>
      <c r="G47" s="110"/>
      <c r="H47" s="110"/>
      <c r="I47" s="110"/>
      <c r="J47" s="110"/>
    </row>
    <row r="48" spans="1:10" x14ac:dyDescent="0.25">
      <c r="A48" s="111" t="s">
        <v>2170</v>
      </c>
      <c r="B48" s="110"/>
      <c r="C48" s="110"/>
      <c r="D48" s="110"/>
      <c r="E48" s="110"/>
      <c r="F48" s="110"/>
      <c r="G48" s="110"/>
      <c r="H48" s="110"/>
      <c r="I48" s="110"/>
      <c r="J48" s="110"/>
    </row>
    <row r="49" spans="1:10" x14ac:dyDescent="0.25">
      <c r="A49" s="111"/>
      <c r="B49" s="110"/>
      <c r="C49" s="112"/>
      <c r="D49" s="110"/>
      <c r="E49" s="110"/>
      <c r="F49" s="110"/>
      <c r="G49" s="110"/>
      <c r="H49" s="110"/>
      <c r="I49" s="110"/>
      <c r="J49" s="110"/>
    </row>
    <row r="50" spans="1:10" ht="13.8" x14ac:dyDescent="0.3">
      <c r="A50" s="115" t="s">
        <v>1296</v>
      </c>
      <c r="B50" s="111"/>
      <c r="C50" s="111"/>
      <c r="D50" s="110"/>
      <c r="E50" s="110">
        <v>44519.37</v>
      </c>
      <c r="F50" s="110">
        <v>46731</v>
      </c>
      <c r="G50" s="110">
        <v>46632</v>
      </c>
      <c r="H50" s="110">
        <v>46632</v>
      </c>
      <c r="I50" s="110">
        <v>46632</v>
      </c>
      <c r="J50" s="110">
        <v>46632</v>
      </c>
    </row>
    <row r="51" spans="1:10" hidden="1" x14ac:dyDescent="0.25">
      <c r="A51" s="126">
        <v>8103</v>
      </c>
      <c r="B51" s="110">
        <f>+D14</f>
        <v>304352</v>
      </c>
      <c r="C51" s="111">
        <v>7.6499999999999999E-2</v>
      </c>
      <c r="D51" s="110">
        <f>+C51*B51</f>
        <v>23282.928</v>
      </c>
      <c r="E51" s="110"/>
      <c r="F51" s="110"/>
      <c r="G51" s="110"/>
      <c r="H51" s="110"/>
      <c r="I51" s="110"/>
      <c r="J51" s="110"/>
    </row>
    <row r="52" spans="1:10" hidden="1" x14ac:dyDescent="0.25">
      <c r="A52" s="117" t="s">
        <v>807</v>
      </c>
      <c r="B52" s="110">
        <f>+D40</f>
        <v>274905</v>
      </c>
      <c r="C52" s="111">
        <v>7.6499999999999999E-2</v>
      </c>
      <c r="D52" s="110">
        <f>+C52*B52</f>
        <v>21030.232499999998</v>
      </c>
      <c r="E52" s="110"/>
      <c r="F52" s="110"/>
      <c r="G52" s="110"/>
      <c r="H52" s="110"/>
      <c r="I52" s="110"/>
      <c r="J52" s="110"/>
    </row>
    <row r="53" spans="1:10" ht="15" hidden="1" x14ac:dyDescent="0.4">
      <c r="A53" s="117" t="s">
        <v>184</v>
      </c>
      <c r="B53" s="110">
        <f>+D47</f>
        <v>40601.599999999999</v>
      </c>
      <c r="C53" s="111">
        <v>7.6499999999999999E-2</v>
      </c>
      <c r="D53" s="113">
        <f>+C53*B53</f>
        <v>3106.0223999999998</v>
      </c>
      <c r="E53" s="110"/>
      <c r="F53" s="110"/>
      <c r="G53" s="110"/>
      <c r="H53" s="110"/>
      <c r="I53" s="110"/>
      <c r="J53" s="110"/>
    </row>
    <row r="54" spans="1:10" hidden="1" x14ac:dyDescent="0.25">
      <c r="A54" s="111" t="s">
        <v>1247</v>
      </c>
      <c r="B54" s="111"/>
      <c r="C54" s="111"/>
      <c r="D54" s="110">
        <v>46632</v>
      </c>
      <c r="E54" s="110"/>
      <c r="F54" s="110"/>
      <c r="G54" s="110"/>
      <c r="H54" s="110"/>
      <c r="I54" s="110"/>
      <c r="J54" s="110"/>
    </row>
    <row r="55" spans="1:10" x14ac:dyDescent="0.25">
      <c r="A55" s="111"/>
      <c r="B55" s="111"/>
      <c r="C55" s="111"/>
      <c r="D55" s="110"/>
      <c r="E55" s="110"/>
      <c r="F55" s="110"/>
      <c r="G55" s="110"/>
      <c r="H55" s="110"/>
      <c r="I55" s="110"/>
      <c r="J55" s="110"/>
    </row>
    <row r="56" spans="1:10" ht="13.8" x14ac:dyDescent="0.3">
      <c r="A56" s="115" t="s">
        <v>1297</v>
      </c>
      <c r="B56" s="111"/>
      <c r="C56" s="111"/>
      <c r="D56" s="110"/>
      <c r="E56" s="110">
        <v>47981.04</v>
      </c>
      <c r="F56" s="110">
        <v>50900</v>
      </c>
      <c r="G56" s="110">
        <v>54496</v>
      </c>
      <c r="H56" s="110">
        <v>54496</v>
      </c>
      <c r="I56" s="110">
        <v>54496</v>
      </c>
      <c r="J56" s="110">
        <v>54496</v>
      </c>
    </row>
    <row r="57" spans="1:10" hidden="1" x14ac:dyDescent="0.25">
      <c r="A57" s="126">
        <v>8103</v>
      </c>
      <c r="B57" s="110">
        <f>+B51</f>
        <v>304352</v>
      </c>
      <c r="C57" s="114">
        <v>0.11169999999999999</v>
      </c>
      <c r="D57" s="110">
        <f>+C57*B57</f>
        <v>33996.118399999999</v>
      </c>
      <c r="E57" s="110"/>
      <c r="F57" s="110"/>
      <c r="G57" s="110"/>
      <c r="H57" s="110"/>
      <c r="I57" s="110"/>
      <c r="J57" s="110"/>
    </row>
    <row r="58" spans="1:10" hidden="1" x14ac:dyDescent="0.25">
      <c r="A58" s="111" t="s">
        <v>282</v>
      </c>
      <c r="B58" s="110">
        <f>+SUM(D18:D23)</f>
        <v>142928</v>
      </c>
      <c r="C58" s="114">
        <v>0.11169999999999999</v>
      </c>
      <c r="D58" s="110">
        <f>+C58*B58</f>
        <v>15965.057599999998</v>
      </c>
      <c r="E58" s="110"/>
      <c r="F58" s="110"/>
      <c r="G58" s="110"/>
      <c r="H58" s="110"/>
      <c r="I58" s="110"/>
      <c r="J58" s="110"/>
    </row>
    <row r="59" spans="1:10" ht="15" hidden="1" x14ac:dyDescent="0.4">
      <c r="A59" s="111" t="s">
        <v>283</v>
      </c>
      <c r="B59" s="110">
        <f>+B53</f>
        <v>40601.599999999999</v>
      </c>
      <c r="C59" s="114">
        <v>0.11169999999999999</v>
      </c>
      <c r="D59" s="113">
        <f>+C59*B59</f>
        <v>4535.1987199999994</v>
      </c>
      <c r="E59" s="110"/>
      <c r="F59" s="110"/>
      <c r="G59" s="110"/>
      <c r="H59" s="110"/>
      <c r="I59" s="110"/>
      <c r="J59" s="110"/>
    </row>
    <row r="60" spans="1:10" hidden="1" x14ac:dyDescent="0.25">
      <c r="A60" s="111" t="s">
        <v>1247</v>
      </c>
      <c r="B60" s="111"/>
      <c r="C60" s="111"/>
      <c r="D60" s="110">
        <f>SUM(D57:D59)</f>
        <v>54496.37472</v>
      </c>
      <c r="E60" s="110"/>
      <c r="F60" s="110"/>
      <c r="G60" s="110"/>
      <c r="H60" s="110"/>
      <c r="I60" s="110"/>
      <c r="J60" s="110"/>
    </row>
    <row r="61" spans="1:10" x14ac:dyDescent="0.25">
      <c r="A61" s="111"/>
      <c r="B61" s="111"/>
      <c r="C61" s="111"/>
      <c r="D61" s="110"/>
      <c r="E61" s="110"/>
      <c r="F61" s="110"/>
      <c r="G61" s="110"/>
      <c r="H61" s="110"/>
      <c r="I61" s="110"/>
      <c r="J61" s="110"/>
    </row>
    <row r="62" spans="1:10" ht="13.8" x14ac:dyDescent="0.3">
      <c r="A62" s="115" t="s">
        <v>1098</v>
      </c>
      <c r="B62" s="111"/>
      <c r="C62" s="111"/>
      <c r="D62" s="110"/>
      <c r="E62" s="110">
        <v>114172.96</v>
      </c>
      <c r="F62" s="110">
        <v>140000</v>
      </c>
      <c r="G62" s="110">
        <v>154000</v>
      </c>
      <c r="H62" s="110">
        <v>154000</v>
      </c>
      <c r="I62" s="110">
        <v>154000</v>
      </c>
      <c r="J62" s="110">
        <v>154000</v>
      </c>
    </row>
    <row r="63" spans="1:10" x14ac:dyDescent="0.25">
      <c r="A63" s="111" t="s">
        <v>416</v>
      </c>
      <c r="B63" s="110">
        <v>11</v>
      </c>
      <c r="C63" s="110">
        <v>14000</v>
      </c>
      <c r="D63" s="110">
        <f>+C63*B63</f>
        <v>154000</v>
      </c>
      <c r="E63" s="110"/>
      <c r="F63" s="110"/>
      <c r="G63" s="110"/>
      <c r="H63" s="110"/>
      <c r="I63" s="110"/>
      <c r="J63" s="110"/>
    </row>
    <row r="64" spans="1:10" x14ac:dyDescent="0.25">
      <c r="A64" s="111"/>
      <c r="B64" s="111"/>
      <c r="C64" s="111"/>
      <c r="D64" s="110"/>
      <c r="E64" s="110"/>
      <c r="F64" s="110"/>
      <c r="G64" s="110"/>
      <c r="H64" s="110"/>
      <c r="I64" s="110"/>
      <c r="J64" s="110"/>
    </row>
    <row r="65" spans="1:10" ht="13.8" x14ac:dyDescent="0.3">
      <c r="A65" s="115" t="s">
        <v>1099</v>
      </c>
      <c r="B65" s="111"/>
      <c r="C65" s="111"/>
      <c r="D65" s="110"/>
      <c r="E65" s="110">
        <v>7821.63</v>
      </c>
      <c r="F65" s="110">
        <v>10800</v>
      </c>
      <c r="G65" s="110">
        <v>11880</v>
      </c>
      <c r="H65" s="110">
        <v>11880</v>
      </c>
      <c r="I65" s="110">
        <v>11880</v>
      </c>
      <c r="J65" s="110">
        <v>11880</v>
      </c>
    </row>
    <row r="66" spans="1:10" x14ac:dyDescent="0.25">
      <c r="A66" s="111" t="s">
        <v>416</v>
      </c>
      <c r="B66" s="110">
        <v>11</v>
      </c>
      <c r="C66" s="110">
        <v>1200</v>
      </c>
      <c r="D66" s="110">
        <f>+C66*B66</f>
        <v>13200</v>
      </c>
      <c r="E66" s="110"/>
      <c r="F66" s="110"/>
      <c r="G66" s="110"/>
      <c r="H66" s="110"/>
      <c r="I66" s="110"/>
      <c r="J66" s="110"/>
    </row>
    <row r="67" spans="1:10" ht="15" x14ac:dyDescent="0.4">
      <c r="A67" s="111" t="s">
        <v>227</v>
      </c>
      <c r="B67" s="110"/>
      <c r="C67" s="110"/>
      <c r="D67" s="113">
        <f>+C66*-0.1*B66</f>
        <v>-1320</v>
      </c>
      <c r="E67" s="110"/>
      <c r="F67" s="110"/>
      <c r="G67" s="110"/>
      <c r="H67" s="110"/>
      <c r="I67" s="110"/>
      <c r="J67" s="110"/>
    </row>
    <row r="68" spans="1:10" x14ac:dyDescent="0.25">
      <c r="A68" s="111" t="s">
        <v>801</v>
      </c>
      <c r="B68" s="110"/>
      <c r="C68" s="110"/>
      <c r="D68" s="110">
        <f>SUM(D66:D67)</f>
        <v>11880</v>
      </c>
      <c r="E68" s="110"/>
      <c r="F68" s="110"/>
      <c r="G68" s="110"/>
      <c r="H68" s="110"/>
      <c r="I68" s="110"/>
      <c r="J68" s="110"/>
    </row>
    <row r="69" spans="1:10" x14ac:dyDescent="0.25">
      <c r="A69" s="111"/>
      <c r="B69" s="111"/>
      <c r="C69" s="111"/>
      <c r="D69" s="110"/>
      <c r="E69" s="110"/>
      <c r="F69" s="110"/>
      <c r="G69" s="110"/>
      <c r="H69" s="110"/>
      <c r="I69" s="110"/>
      <c r="J69" s="110"/>
    </row>
    <row r="70" spans="1:10" ht="13.8" x14ac:dyDescent="0.3">
      <c r="A70" s="115" t="s">
        <v>1458</v>
      </c>
      <c r="B70" s="111"/>
      <c r="C70" s="111"/>
      <c r="D70" s="110"/>
      <c r="E70" s="110">
        <v>957.73</v>
      </c>
      <c r="F70" s="110">
        <v>1350</v>
      </c>
      <c r="G70" s="110">
        <v>1485</v>
      </c>
      <c r="H70" s="110">
        <v>1485</v>
      </c>
      <c r="I70" s="110">
        <v>1485</v>
      </c>
      <c r="J70" s="110">
        <v>1485</v>
      </c>
    </row>
    <row r="71" spans="1:10" hidden="1" x14ac:dyDescent="0.25">
      <c r="A71" s="111" t="s">
        <v>412</v>
      </c>
      <c r="B71" s="110">
        <v>1</v>
      </c>
      <c r="C71" s="110">
        <v>135</v>
      </c>
      <c r="D71" s="110">
        <f>+C71*B71</f>
        <v>135</v>
      </c>
      <c r="E71" s="110"/>
      <c r="F71" s="111"/>
      <c r="G71" s="111"/>
      <c r="H71" s="110"/>
      <c r="I71" s="110"/>
      <c r="J71" s="110"/>
    </row>
    <row r="72" spans="1:10" hidden="1" x14ac:dyDescent="0.25">
      <c r="A72" s="111" t="s">
        <v>1459</v>
      </c>
      <c r="B72" s="110">
        <v>5</v>
      </c>
      <c r="C72" s="110">
        <v>135</v>
      </c>
      <c r="D72" s="110">
        <f>+C72*B72</f>
        <v>675</v>
      </c>
      <c r="E72" s="110"/>
      <c r="F72" s="111"/>
      <c r="G72" s="111"/>
      <c r="H72" s="110"/>
      <c r="I72" s="110"/>
      <c r="J72" s="110"/>
    </row>
    <row r="73" spans="1:10" ht="15" hidden="1" x14ac:dyDescent="0.4">
      <c r="A73" s="111" t="s">
        <v>1059</v>
      </c>
      <c r="B73" s="110">
        <v>5</v>
      </c>
      <c r="C73" s="110">
        <v>135</v>
      </c>
      <c r="D73" s="113">
        <f>+C73*B73</f>
        <v>675</v>
      </c>
      <c r="E73" s="110"/>
      <c r="F73" s="111"/>
      <c r="G73" s="111"/>
      <c r="H73" s="110"/>
      <c r="I73" s="110"/>
      <c r="J73" s="110"/>
    </row>
    <row r="74" spans="1:10" hidden="1" x14ac:dyDescent="0.25">
      <c r="A74" s="111" t="s">
        <v>1247</v>
      </c>
      <c r="B74" s="111"/>
      <c r="C74" s="111"/>
      <c r="D74" s="110">
        <f>SUM(D71:D73)</f>
        <v>1485</v>
      </c>
      <c r="E74" s="110"/>
      <c r="F74" s="111"/>
      <c r="G74" s="111"/>
      <c r="H74" s="110"/>
      <c r="I74" s="110"/>
      <c r="J74" s="110"/>
    </row>
    <row r="75" spans="1:10" x14ac:dyDescent="0.25">
      <c r="A75" s="111"/>
      <c r="B75" s="111"/>
      <c r="C75" s="111"/>
      <c r="D75" s="110"/>
      <c r="E75" s="110"/>
      <c r="F75" s="111"/>
      <c r="G75" s="111"/>
      <c r="H75" s="110"/>
      <c r="I75" s="110"/>
      <c r="J75" s="110"/>
    </row>
    <row r="76" spans="1:10" ht="13.8" x14ac:dyDescent="0.3">
      <c r="A76" s="115" t="s">
        <v>465</v>
      </c>
      <c r="B76" s="111"/>
      <c r="C76" s="111"/>
      <c r="D76" s="110"/>
      <c r="E76" s="110">
        <v>3304.85</v>
      </c>
      <c r="F76" s="110">
        <v>6300</v>
      </c>
      <c r="G76" s="110">
        <v>6600</v>
      </c>
      <c r="H76" s="110">
        <v>6600</v>
      </c>
      <c r="I76" s="110">
        <v>6600</v>
      </c>
      <c r="J76" s="110">
        <v>6600</v>
      </c>
    </row>
    <row r="77" spans="1:10" hidden="1" x14ac:dyDescent="0.25">
      <c r="A77" s="111" t="s">
        <v>827</v>
      </c>
      <c r="B77" s="110">
        <v>11</v>
      </c>
      <c r="C77" s="110">
        <v>600</v>
      </c>
      <c r="D77" s="110">
        <f>+C77*B77</f>
        <v>6600</v>
      </c>
      <c r="E77" s="110"/>
      <c r="F77" s="110"/>
      <c r="G77" s="110"/>
      <c r="H77" s="110"/>
      <c r="I77" s="110"/>
      <c r="J77" s="110"/>
    </row>
    <row r="78" spans="1:10" x14ac:dyDescent="0.25">
      <c r="A78" s="111"/>
      <c r="B78" s="111"/>
      <c r="C78" s="111"/>
      <c r="D78" s="110"/>
      <c r="E78" s="110"/>
      <c r="F78" s="110"/>
      <c r="G78" s="110"/>
      <c r="H78" s="110"/>
      <c r="I78" s="110"/>
      <c r="J78" s="110"/>
    </row>
    <row r="79" spans="1:10" ht="13.8" x14ac:dyDescent="0.3">
      <c r="A79" s="115" t="s">
        <v>191</v>
      </c>
      <c r="B79" s="111"/>
      <c r="C79" s="111"/>
      <c r="D79" s="110"/>
      <c r="E79" s="110">
        <v>1273.51</v>
      </c>
      <c r="F79" s="110">
        <v>1705</v>
      </c>
      <c r="G79" s="110">
        <v>1551</v>
      </c>
      <c r="H79" s="110">
        <v>1551</v>
      </c>
      <c r="I79" s="110">
        <v>1551</v>
      </c>
      <c r="J79" s="110">
        <v>1551</v>
      </c>
    </row>
    <row r="80" spans="1:10" hidden="1" x14ac:dyDescent="0.25">
      <c r="A80" s="117" t="s">
        <v>1468</v>
      </c>
      <c r="B80" s="110">
        <f>+B51</f>
        <v>304352</v>
      </c>
      <c r="C80" s="114">
        <v>1.5E-3</v>
      </c>
      <c r="D80" s="110">
        <f>+C80*B80</f>
        <v>456.52800000000002</v>
      </c>
      <c r="E80" s="110"/>
      <c r="F80" s="110"/>
      <c r="G80" s="110"/>
      <c r="H80" s="110"/>
      <c r="I80" s="110"/>
      <c r="J80" s="110"/>
    </row>
    <row r="81" spans="1:10" hidden="1" x14ac:dyDescent="0.25">
      <c r="A81" s="117" t="s">
        <v>807</v>
      </c>
      <c r="B81" s="110">
        <v>266542</v>
      </c>
      <c r="C81" s="114">
        <v>1.5E-3</v>
      </c>
      <c r="D81" s="110">
        <f>+C81*B81</f>
        <v>399.81299999999999</v>
      </c>
      <c r="E81" s="110"/>
      <c r="F81" s="110"/>
      <c r="G81" s="110"/>
      <c r="H81" s="110"/>
      <c r="I81" s="110"/>
      <c r="J81" s="110"/>
    </row>
    <row r="82" spans="1:10" ht="15" hidden="1" x14ac:dyDescent="0.4">
      <c r="A82" s="117" t="s">
        <v>184</v>
      </c>
      <c r="B82" s="110">
        <f>+B59</f>
        <v>40601.599999999999</v>
      </c>
      <c r="C82" s="114">
        <v>1.7100000000000001E-2</v>
      </c>
      <c r="D82" s="113">
        <f>+C82*B82</f>
        <v>694.28736000000004</v>
      </c>
      <c r="E82" s="110"/>
      <c r="F82" s="110"/>
      <c r="G82" s="110"/>
      <c r="H82" s="110"/>
      <c r="I82" s="110"/>
      <c r="J82" s="110"/>
    </row>
    <row r="83" spans="1:10" hidden="1" x14ac:dyDescent="0.25">
      <c r="A83" s="111" t="s">
        <v>1247</v>
      </c>
      <c r="B83" s="111"/>
      <c r="C83" s="111"/>
      <c r="D83" s="110">
        <f>SUM(D80:D82)</f>
        <v>1550.6283600000002</v>
      </c>
      <c r="E83" s="110"/>
      <c r="F83" s="110"/>
      <c r="G83" s="110"/>
      <c r="H83" s="110"/>
      <c r="I83" s="110"/>
      <c r="J83" s="110"/>
    </row>
    <row r="84" spans="1:10" ht="14.4" customHeight="1" x14ac:dyDescent="0.25">
      <c r="A84" s="111"/>
      <c r="B84" s="111"/>
      <c r="C84" s="111"/>
      <c r="D84" s="110"/>
      <c r="E84" s="110"/>
      <c r="F84" s="110"/>
      <c r="G84" s="110"/>
      <c r="H84" s="110"/>
      <c r="I84" s="110"/>
      <c r="J84" s="110"/>
    </row>
    <row r="85" spans="1:10" ht="13.8" x14ac:dyDescent="0.3">
      <c r="A85" s="115" t="s">
        <v>192</v>
      </c>
      <c r="B85" s="111"/>
      <c r="C85" s="111"/>
      <c r="D85" s="110"/>
      <c r="E85" s="110">
        <v>385.08</v>
      </c>
      <c r="F85" s="110">
        <v>475</v>
      </c>
      <c r="G85" s="110">
        <v>489</v>
      </c>
      <c r="H85" s="110">
        <v>489</v>
      </c>
      <c r="I85" s="110">
        <v>489</v>
      </c>
      <c r="J85" s="110">
        <v>489</v>
      </c>
    </row>
    <row r="86" spans="1:10" hidden="1" x14ac:dyDescent="0.25">
      <c r="A86" s="117" t="s">
        <v>1468</v>
      </c>
      <c r="B86" s="110">
        <v>4</v>
      </c>
      <c r="C86" s="110">
        <v>26</v>
      </c>
      <c r="D86" s="110">
        <f t="shared" ref="D86:D91" si="2">+C86*B86</f>
        <v>104</v>
      </c>
      <c r="E86" s="110"/>
      <c r="F86" s="110"/>
      <c r="G86" s="110"/>
      <c r="H86" s="110"/>
      <c r="I86" s="110"/>
      <c r="J86" s="110"/>
    </row>
    <row r="87" spans="1:10" hidden="1" x14ac:dyDescent="0.25">
      <c r="A87" s="117" t="s">
        <v>282</v>
      </c>
      <c r="B87" s="110">
        <v>4</v>
      </c>
      <c r="C87" s="110">
        <v>26</v>
      </c>
      <c r="D87" s="110">
        <f t="shared" si="2"/>
        <v>104</v>
      </c>
      <c r="E87" s="110"/>
      <c r="F87" s="110"/>
      <c r="G87" s="110"/>
      <c r="H87" s="110"/>
      <c r="I87" s="110"/>
      <c r="J87" s="110"/>
    </row>
    <row r="88" spans="1:10" hidden="1" x14ac:dyDescent="0.25">
      <c r="A88" s="111" t="s">
        <v>289</v>
      </c>
      <c r="B88" s="110">
        <v>2</v>
      </c>
      <c r="C88" s="110">
        <v>26</v>
      </c>
      <c r="D88" s="110">
        <f t="shared" si="2"/>
        <v>52</v>
      </c>
      <c r="E88" s="110"/>
      <c r="F88" s="110"/>
      <c r="G88" s="110"/>
      <c r="H88" s="110"/>
      <c r="I88" s="110"/>
      <c r="J88" s="110"/>
    </row>
    <row r="89" spans="1:10" hidden="1" x14ac:dyDescent="0.25">
      <c r="A89" s="111" t="s">
        <v>593</v>
      </c>
      <c r="B89" s="110">
        <f>+SUM(D24:D27)+D30+D29+D31+D33+D34+D35+D38+D39+D32</f>
        <v>98249.8</v>
      </c>
      <c r="C89" s="114">
        <v>1.8E-3</v>
      </c>
      <c r="D89" s="110">
        <f t="shared" si="2"/>
        <v>176.84963999999999</v>
      </c>
      <c r="E89" s="110"/>
      <c r="F89" s="110"/>
      <c r="G89" s="110"/>
      <c r="H89" s="110"/>
      <c r="I89" s="110"/>
      <c r="J89" s="110"/>
    </row>
    <row r="90" spans="1:10" hidden="1" x14ac:dyDescent="0.25">
      <c r="A90" s="111" t="s">
        <v>283</v>
      </c>
      <c r="B90" s="110">
        <v>2</v>
      </c>
      <c r="C90" s="110">
        <v>26</v>
      </c>
      <c r="D90" s="110">
        <f t="shared" si="2"/>
        <v>52</v>
      </c>
      <c r="E90" s="110"/>
      <c r="F90" s="110"/>
      <c r="G90" s="110"/>
      <c r="H90" s="110"/>
      <c r="I90" s="110"/>
      <c r="J90" s="110"/>
    </row>
    <row r="91" spans="1:10" ht="15" hidden="1" x14ac:dyDescent="0.4">
      <c r="A91" s="117" t="s">
        <v>260</v>
      </c>
      <c r="B91" s="110">
        <v>0</v>
      </c>
      <c r="C91" s="114">
        <v>1.8E-3</v>
      </c>
      <c r="D91" s="113">
        <f t="shared" si="2"/>
        <v>0</v>
      </c>
      <c r="E91" s="110"/>
      <c r="F91" s="111"/>
      <c r="G91" s="111"/>
      <c r="H91" s="110"/>
      <c r="I91" s="110"/>
      <c r="J91" s="110"/>
    </row>
    <row r="92" spans="1:10" hidden="1" x14ac:dyDescent="0.25">
      <c r="A92" s="111" t="s">
        <v>1247</v>
      </c>
      <c r="B92" s="111"/>
      <c r="C92" s="111"/>
      <c r="D92" s="110">
        <f>SUM(D86:D91)</f>
        <v>488.84964000000002</v>
      </c>
      <c r="E92" s="110"/>
      <c r="F92" s="111"/>
      <c r="G92" s="111"/>
      <c r="H92" s="110"/>
      <c r="I92" s="110"/>
      <c r="J92" s="110"/>
    </row>
    <row r="93" spans="1:10" x14ac:dyDescent="0.25">
      <c r="A93" s="111"/>
      <c r="B93" s="111"/>
      <c r="C93" s="111"/>
      <c r="D93" s="110"/>
      <c r="E93" s="110"/>
      <c r="F93" s="111"/>
      <c r="G93" s="111"/>
      <c r="H93" s="110"/>
      <c r="I93" s="110"/>
      <c r="J93" s="110"/>
    </row>
    <row r="94" spans="1:10" ht="13.8" x14ac:dyDescent="0.3">
      <c r="A94" s="115" t="s">
        <v>1783</v>
      </c>
      <c r="B94" s="111"/>
      <c r="C94" s="111"/>
      <c r="D94" s="110"/>
      <c r="E94" s="110">
        <v>685</v>
      </c>
      <c r="F94" s="111">
        <v>1500</v>
      </c>
      <c r="G94" s="111">
        <v>1500</v>
      </c>
      <c r="H94" s="110">
        <v>1500</v>
      </c>
      <c r="I94" s="110">
        <v>1500</v>
      </c>
      <c r="J94" s="110">
        <v>1500</v>
      </c>
    </row>
    <row r="95" spans="1:10" x14ac:dyDescent="0.25">
      <c r="A95" s="111" t="s">
        <v>179</v>
      </c>
      <c r="B95" s="111"/>
      <c r="C95" s="111"/>
      <c r="D95" s="110">
        <v>1500</v>
      </c>
      <c r="E95" s="110"/>
      <c r="I95" s="2"/>
      <c r="J95" s="2"/>
    </row>
    <row r="96" spans="1:10" x14ac:dyDescent="0.25">
      <c r="A96" s="111"/>
      <c r="B96" s="111"/>
      <c r="C96" s="111"/>
      <c r="D96" s="110"/>
      <c r="E96" s="110"/>
      <c r="F96" s="111"/>
      <c r="G96" s="111"/>
      <c r="H96" s="110"/>
      <c r="I96" s="110"/>
      <c r="J96" s="110"/>
    </row>
    <row r="97" spans="1:10" ht="13.8" x14ac:dyDescent="0.3">
      <c r="A97" s="115" t="s">
        <v>261</v>
      </c>
      <c r="B97" s="111"/>
      <c r="C97" s="111"/>
      <c r="D97" s="110"/>
      <c r="E97" s="110">
        <v>8828.56</v>
      </c>
      <c r="F97" s="110">
        <v>8400</v>
      </c>
      <c r="G97" s="110">
        <v>8400</v>
      </c>
      <c r="H97" s="110">
        <v>8400</v>
      </c>
      <c r="I97" s="110">
        <v>8400</v>
      </c>
      <c r="J97" s="110">
        <v>8400</v>
      </c>
    </row>
    <row r="98" spans="1:10" x14ac:dyDescent="0.25">
      <c r="A98" s="116" t="s">
        <v>524</v>
      </c>
      <c r="B98" s="116"/>
      <c r="C98" s="110"/>
      <c r="D98" s="110">
        <v>3600</v>
      </c>
      <c r="E98" s="110"/>
      <c r="F98" s="110"/>
      <c r="G98" s="110"/>
      <c r="H98" s="110"/>
      <c r="I98" s="110"/>
      <c r="J98" s="110"/>
    </row>
    <row r="99" spans="1:10" x14ac:dyDescent="0.25">
      <c r="A99" s="116" t="s">
        <v>525</v>
      </c>
      <c r="B99" s="116"/>
      <c r="C99" s="110"/>
      <c r="D99" s="110">
        <v>2800</v>
      </c>
      <c r="E99" s="110"/>
      <c r="F99" s="110"/>
      <c r="G99" s="110"/>
      <c r="H99" s="110"/>
      <c r="I99" s="110"/>
      <c r="J99" s="110"/>
    </row>
    <row r="100" spans="1:10" ht="15" x14ac:dyDescent="0.4">
      <c r="A100" s="116" t="s">
        <v>231</v>
      </c>
      <c r="B100" s="116"/>
      <c r="C100" s="113"/>
      <c r="D100" s="113">
        <v>2000</v>
      </c>
      <c r="E100" s="110"/>
      <c r="F100" s="110"/>
      <c r="G100" s="110"/>
      <c r="H100" s="110"/>
      <c r="I100" s="110"/>
      <c r="J100" s="110"/>
    </row>
    <row r="101" spans="1:10" x14ac:dyDescent="0.25">
      <c r="A101" s="116" t="s">
        <v>1247</v>
      </c>
      <c r="B101" s="116"/>
      <c r="C101" s="110"/>
      <c r="D101" s="110">
        <f>SUM(D98:D100)</f>
        <v>8400</v>
      </c>
      <c r="E101" s="110"/>
      <c r="F101" s="110"/>
      <c r="G101" s="110"/>
      <c r="H101" s="110"/>
      <c r="I101" s="110"/>
      <c r="J101" s="110"/>
    </row>
    <row r="102" spans="1:10" x14ac:dyDescent="0.25">
      <c r="A102" s="116"/>
      <c r="B102" s="116"/>
      <c r="C102" s="110"/>
      <c r="D102" s="110"/>
      <c r="E102" s="110"/>
      <c r="F102" s="110"/>
      <c r="G102" s="110"/>
      <c r="H102" s="110"/>
      <c r="I102" s="110"/>
      <c r="J102" s="110"/>
    </row>
    <row r="103" spans="1:10" ht="13.8" x14ac:dyDescent="0.3">
      <c r="A103" s="115" t="s">
        <v>23</v>
      </c>
      <c r="B103" s="111"/>
      <c r="C103" s="110" t="s">
        <v>396</v>
      </c>
      <c r="D103" s="110" t="s">
        <v>396</v>
      </c>
      <c r="E103" s="110">
        <v>2837.18</v>
      </c>
      <c r="F103" s="110">
        <v>4000</v>
      </c>
      <c r="G103" s="110">
        <v>4000</v>
      </c>
      <c r="H103" s="110">
        <v>4000</v>
      </c>
      <c r="I103" s="110">
        <v>4000</v>
      </c>
      <c r="J103" s="110">
        <v>4000</v>
      </c>
    </row>
    <row r="104" spans="1:10" x14ac:dyDescent="0.25">
      <c r="A104" s="111" t="s">
        <v>1025</v>
      </c>
      <c r="B104" s="111"/>
      <c r="C104" s="110"/>
      <c r="D104" s="110">
        <v>4000</v>
      </c>
      <c r="E104" s="110"/>
      <c r="F104" s="110"/>
      <c r="G104" s="110"/>
      <c r="H104" s="110"/>
      <c r="I104" s="110"/>
      <c r="J104" s="110"/>
    </row>
    <row r="105" spans="1:10" x14ac:dyDescent="0.25">
      <c r="A105" s="111" t="s">
        <v>396</v>
      </c>
      <c r="B105" s="111"/>
      <c r="C105" s="110"/>
      <c r="D105" s="110" t="s">
        <v>396</v>
      </c>
      <c r="E105" s="110"/>
      <c r="F105" s="110"/>
      <c r="G105" s="110"/>
      <c r="H105" s="110"/>
      <c r="I105" s="110"/>
      <c r="J105" s="110"/>
    </row>
    <row r="106" spans="1:10" ht="13.8" x14ac:dyDescent="0.3">
      <c r="A106" s="115" t="s">
        <v>232</v>
      </c>
      <c r="B106" s="111"/>
      <c r="C106" s="110"/>
      <c r="D106" s="110"/>
      <c r="E106" s="110">
        <v>521.80999999999995</v>
      </c>
      <c r="F106" s="110">
        <v>875</v>
      </c>
      <c r="G106" s="110">
        <v>875</v>
      </c>
      <c r="H106" s="110">
        <v>875</v>
      </c>
      <c r="I106" s="110">
        <v>875</v>
      </c>
      <c r="J106" s="110">
        <v>875</v>
      </c>
    </row>
    <row r="107" spans="1:10" x14ac:dyDescent="0.25">
      <c r="A107" s="111" t="s">
        <v>2047</v>
      </c>
      <c r="B107" s="111"/>
      <c r="C107" s="110"/>
      <c r="D107" s="110">
        <v>875</v>
      </c>
      <c r="E107" s="110"/>
      <c r="F107" s="110"/>
      <c r="G107" s="110"/>
      <c r="H107" s="110"/>
      <c r="I107" s="110"/>
      <c r="J107" s="110"/>
    </row>
    <row r="108" spans="1:10" x14ac:dyDescent="0.25">
      <c r="A108" s="111"/>
      <c r="B108" s="111"/>
      <c r="C108" s="110"/>
      <c r="E108" s="110"/>
      <c r="F108" s="110"/>
      <c r="G108" s="110"/>
      <c r="H108" s="110"/>
      <c r="I108" s="110"/>
      <c r="J108" s="110"/>
    </row>
    <row r="109" spans="1:10" ht="13.8" x14ac:dyDescent="0.3">
      <c r="A109" s="115" t="s">
        <v>1376</v>
      </c>
      <c r="B109" s="111"/>
      <c r="C109" s="110"/>
      <c r="D109" s="110" t="s">
        <v>396</v>
      </c>
      <c r="E109" s="110">
        <v>14177.75</v>
      </c>
      <c r="F109" s="110">
        <v>14310</v>
      </c>
      <c r="G109" s="110">
        <v>14310</v>
      </c>
      <c r="H109" s="110">
        <v>14310</v>
      </c>
      <c r="I109" s="110">
        <v>14310</v>
      </c>
      <c r="J109" s="110">
        <v>14310</v>
      </c>
    </row>
    <row r="110" spans="1:10" x14ac:dyDescent="0.25">
      <c r="A110" s="111" t="s">
        <v>1377</v>
      </c>
      <c r="B110" s="111"/>
      <c r="C110" s="110"/>
      <c r="D110" s="110">
        <v>14310</v>
      </c>
      <c r="E110" s="110"/>
      <c r="F110" s="110"/>
      <c r="G110" s="110"/>
      <c r="H110" s="110"/>
      <c r="I110" s="110"/>
      <c r="J110" s="110"/>
    </row>
    <row r="111" spans="1:10" x14ac:dyDescent="0.25">
      <c r="A111" s="111" t="s">
        <v>396</v>
      </c>
      <c r="B111" s="111"/>
      <c r="C111" s="111"/>
      <c r="D111" s="110" t="s">
        <v>396</v>
      </c>
      <c r="E111" s="110"/>
      <c r="F111" s="110"/>
      <c r="G111" s="110"/>
      <c r="H111" s="110"/>
      <c r="I111" s="110"/>
      <c r="J111" s="110"/>
    </row>
    <row r="112" spans="1:10" ht="13.8" x14ac:dyDescent="0.3">
      <c r="A112" s="115" t="s">
        <v>392</v>
      </c>
      <c r="B112" s="111"/>
      <c r="C112" s="111"/>
      <c r="D112" s="110"/>
      <c r="E112" s="110">
        <v>4574.5200000000004</v>
      </c>
      <c r="F112" s="110">
        <v>5300</v>
      </c>
      <c r="G112" s="110">
        <v>5300</v>
      </c>
      <c r="H112" s="110">
        <v>5300</v>
      </c>
      <c r="I112" s="110">
        <v>5300</v>
      </c>
      <c r="J112" s="110">
        <v>5300</v>
      </c>
    </row>
    <row r="113" spans="1:10" x14ac:dyDescent="0.25">
      <c r="A113" s="111" t="s">
        <v>1377</v>
      </c>
      <c r="B113" s="111"/>
      <c r="C113" s="111"/>
      <c r="D113" s="110">
        <v>5300</v>
      </c>
      <c r="E113" s="110"/>
      <c r="F113" s="110"/>
      <c r="G113" s="110"/>
      <c r="H113" s="110"/>
      <c r="I113" s="110"/>
      <c r="J113" s="110"/>
    </row>
    <row r="114" spans="1:10" x14ac:dyDescent="0.25">
      <c r="A114" s="111"/>
      <c r="B114" s="111"/>
      <c r="C114" s="111"/>
      <c r="D114" s="110"/>
      <c r="E114" s="110"/>
      <c r="F114" s="110"/>
      <c r="G114" s="110"/>
      <c r="H114" s="110"/>
      <c r="I114" s="110"/>
      <c r="J114" s="110"/>
    </row>
    <row r="115" spans="1:10" ht="13.8" x14ac:dyDescent="0.3">
      <c r="A115" s="115" t="s">
        <v>1186</v>
      </c>
      <c r="B115" s="111"/>
      <c r="C115" s="111"/>
      <c r="D115" s="110"/>
      <c r="E115" s="110">
        <v>1305.3</v>
      </c>
      <c r="F115" s="110">
        <v>1219</v>
      </c>
      <c r="G115" s="110">
        <v>1325</v>
      </c>
      <c r="H115" s="110">
        <v>1325</v>
      </c>
      <c r="I115" s="110">
        <v>1325</v>
      </c>
      <c r="J115" s="110">
        <v>1325</v>
      </c>
    </row>
    <row r="116" spans="1:10" x14ac:dyDescent="0.25">
      <c r="A116" s="111" t="s">
        <v>1377</v>
      </c>
      <c r="B116" s="111"/>
      <c r="C116" s="110"/>
      <c r="D116" s="110">
        <v>1325</v>
      </c>
      <c r="E116" s="110"/>
      <c r="F116" s="110"/>
      <c r="G116" s="110"/>
      <c r="H116" s="110"/>
      <c r="I116" s="110"/>
      <c r="J116" s="110"/>
    </row>
    <row r="117" spans="1:10" x14ac:dyDescent="0.25">
      <c r="A117" s="111"/>
      <c r="B117" s="111"/>
      <c r="C117" s="110"/>
      <c r="D117" s="110"/>
      <c r="E117" s="110"/>
      <c r="F117" s="110"/>
      <c r="G117" s="110"/>
      <c r="H117" s="110"/>
      <c r="I117" s="110"/>
      <c r="J117" s="110"/>
    </row>
    <row r="118" spans="1:10" ht="13.8" x14ac:dyDescent="0.3">
      <c r="A118" s="115" t="s">
        <v>1187</v>
      </c>
      <c r="B118" s="111"/>
      <c r="C118" s="110"/>
      <c r="D118" s="110"/>
      <c r="E118" s="110">
        <v>298.5</v>
      </c>
      <c r="F118" s="110">
        <v>242</v>
      </c>
      <c r="G118" s="110">
        <v>264</v>
      </c>
      <c r="H118" s="110">
        <v>264</v>
      </c>
      <c r="I118" s="110">
        <v>264</v>
      </c>
      <c r="J118" s="110">
        <v>264</v>
      </c>
    </row>
    <row r="119" spans="1:10" x14ac:dyDescent="0.25">
      <c r="A119" s="111" t="s">
        <v>1377</v>
      </c>
      <c r="B119" s="111"/>
      <c r="C119" s="110"/>
      <c r="D119" s="110">
        <v>264</v>
      </c>
      <c r="E119" s="110"/>
      <c r="F119" s="110"/>
      <c r="G119" s="110"/>
      <c r="H119" s="110"/>
      <c r="I119" s="110"/>
      <c r="J119" s="110"/>
    </row>
    <row r="120" spans="1:10" x14ac:dyDescent="0.25">
      <c r="A120" s="111"/>
      <c r="B120" s="111"/>
      <c r="C120" s="110"/>
      <c r="D120" s="110"/>
      <c r="E120" s="110"/>
      <c r="F120" s="110"/>
      <c r="G120" s="110"/>
      <c r="H120" s="110"/>
      <c r="I120" s="110"/>
      <c r="J120" s="110"/>
    </row>
    <row r="121" spans="1:10" ht="13.8" x14ac:dyDescent="0.3">
      <c r="A121" s="115" t="s">
        <v>1798</v>
      </c>
      <c r="B121" s="111"/>
      <c r="C121" s="110"/>
      <c r="D121" s="110"/>
      <c r="E121" s="110">
        <v>5140.9799999999996</v>
      </c>
      <c r="F121" s="110">
        <v>5600</v>
      </c>
      <c r="G121" s="110">
        <v>5600</v>
      </c>
      <c r="H121" s="110">
        <v>5600</v>
      </c>
      <c r="I121" s="110">
        <v>5600</v>
      </c>
      <c r="J121" s="110">
        <v>5600</v>
      </c>
    </row>
    <row r="122" spans="1:10" x14ac:dyDescent="0.25">
      <c r="A122" s="117" t="s">
        <v>1799</v>
      </c>
      <c r="B122" s="111"/>
      <c r="C122" s="110"/>
      <c r="D122" s="110">
        <v>2975</v>
      </c>
      <c r="E122" s="110"/>
      <c r="F122" s="110"/>
      <c r="G122" s="110"/>
      <c r="H122" s="110"/>
      <c r="I122" s="110"/>
      <c r="J122" s="110"/>
    </row>
    <row r="123" spans="1:10" x14ac:dyDescent="0.25">
      <c r="A123" s="111" t="s">
        <v>1930</v>
      </c>
      <c r="B123" s="111"/>
      <c r="C123" s="110"/>
      <c r="D123" s="110"/>
      <c r="E123" s="110"/>
      <c r="F123" s="110"/>
      <c r="G123" s="110"/>
      <c r="H123" s="110"/>
      <c r="I123" s="110"/>
      <c r="J123" s="110"/>
    </row>
    <row r="124" spans="1:10" x14ac:dyDescent="0.25">
      <c r="A124" s="117" t="s">
        <v>1800</v>
      </c>
      <c r="B124" s="111"/>
      <c r="C124" s="110"/>
      <c r="D124" s="110">
        <v>749</v>
      </c>
      <c r="E124" s="110"/>
      <c r="F124" s="110"/>
      <c r="G124" s="110"/>
      <c r="H124" s="110"/>
      <c r="I124" s="110"/>
      <c r="J124" s="110"/>
    </row>
    <row r="125" spans="1:10" x14ac:dyDescent="0.25">
      <c r="A125" s="111" t="s">
        <v>1082</v>
      </c>
      <c r="B125" s="111"/>
      <c r="C125" s="110"/>
      <c r="D125" s="110">
        <v>736</v>
      </c>
      <c r="E125" s="110"/>
      <c r="F125" s="110"/>
      <c r="G125" s="110"/>
      <c r="H125" s="110"/>
      <c r="I125" s="110"/>
      <c r="J125" s="110"/>
    </row>
    <row r="126" spans="1:10" x14ac:dyDescent="0.25">
      <c r="A126" s="111" t="s">
        <v>1336</v>
      </c>
      <c r="B126" s="111"/>
      <c r="C126" s="110"/>
      <c r="D126" s="110">
        <v>417</v>
      </c>
      <c r="E126" s="110"/>
      <c r="F126" s="110"/>
      <c r="G126" s="110"/>
      <c r="H126" s="110"/>
      <c r="I126" s="110"/>
      <c r="J126" s="110"/>
    </row>
    <row r="127" spans="1:10" ht="15" x14ac:dyDescent="0.4">
      <c r="A127" s="111" t="s">
        <v>1801</v>
      </c>
      <c r="B127" s="111"/>
      <c r="C127" s="113"/>
      <c r="D127" s="113">
        <v>723</v>
      </c>
      <c r="E127" s="110"/>
      <c r="F127" s="110"/>
      <c r="G127" s="110"/>
      <c r="H127" s="110"/>
      <c r="I127" s="110"/>
      <c r="J127" s="110"/>
    </row>
    <row r="128" spans="1:10" x14ac:dyDescent="0.25">
      <c r="A128" s="111" t="s">
        <v>1247</v>
      </c>
      <c r="B128" s="111"/>
      <c r="C128" s="110"/>
      <c r="D128" s="110">
        <f>SUM(D122:D127)</f>
        <v>5600</v>
      </c>
      <c r="E128" s="110"/>
      <c r="F128" s="110"/>
      <c r="G128" s="110"/>
      <c r="H128" s="110"/>
      <c r="I128" s="110"/>
      <c r="J128" s="110"/>
    </row>
    <row r="129" spans="1:10" x14ac:dyDescent="0.25">
      <c r="A129" s="111"/>
      <c r="B129" s="111"/>
      <c r="C129" s="110"/>
      <c r="D129" s="110"/>
      <c r="E129" s="110"/>
      <c r="F129" s="110"/>
      <c r="G129" s="110"/>
      <c r="H129" s="110"/>
      <c r="I129" s="110"/>
      <c r="J129" s="110"/>
    </row>
    <row r="130" spans="1:10" ht="13.8" x14ac:dyDescent="0.3">
      <c r="A130" s="115" t="s">
        <v>1268</v>
      </c>
      <c r="B130" s="111"/>
      <c r="C130" s="110"/>
      <c r="D130" s="110"/>
      <c r="E130" s="110">
        <v>598</v>
      </c>
      <c r="F130" s="110">
        <v>1000</v>
      </c>
      <c r="G130" s="110">
        <v>1000</v>
      </c>
      <c r="H130" s="110">
        <v>1000</v>
      </c>
      <c r="I130" s="110">
        <v>1000</v>
      </c>
      <c r="J130" s="110">
        <v>1000</v>
      </c>
    </row>
    <row r="131" spans="1:10" x14ac:dyDescent="0.25">
      <c r="A131" s="111" t="s">
        <v>1269</v>
      </c>
      <c r="B131" s="111"/>
      <c r="C131" s="110"/>
      <c r="D131" s="110">
        <v>280</v>
      </c>
      <c r="E131" s="110"/>
      <c r="F131" s="110"/>
      <c r="G131" s="110"/>
      <c r="H131" s="110"/>
      <c r="I131" s="110"/>
      <c r="J131" s="110"/>
    </row>
    <row r="132" spans="1:10" x14ac:dyDescent="0.25">
      <c r="A132" s="111" t="s">
        <v>1270</v>
      </c>
      <c r="B132" s="111"/>
      <c r="C132" s="110"/>
      <c r="D132" s="110">
        <v>210</v>
      </c>
      <c r="E132" s="110"/>
      <c r="F132" s="110"/>
      <c r="G132" s="110"/>
      <c r="H132" s="110"/>
      <c r="I132" s="110"/>
      <c r="J132" s="110"/>
    </row>
    <row r="133" spans="1:10" x14ac:dyDescent="0.25">
      <c r="A133" s="111" t="s">
        <v>1271</v>
      </c>
      <c r="B133" s="111"/>
      <c r="C133" s="110"/>
      <c r="D133" s="110">
        <v>410</v>
      </c>
      <c r="E133" s="110"/>
      <c r="F133" s="110"/>
      <c r="G133" s="110"/>
      <c r="H133" s="110"/>
      <c r="I133" s="110"/>
      <c r="J133" s="110"/>
    </row>
    <row r="134" spans="1:10" ht="15" x14ac:dyDescent="0.4">
      <c r="A134" s="111" t="s">
        <v>1012</v>
      </c>
      <c r="B134" s="111"/>
      <c r="C134" s="110"/>
      <c r="D134" s="113">
        <v>100</v>
      </c>
      <c r="E134" s="110"/>
      <c r="F134" s="110"/>
      <c r="G134" s="110"/>
      <c r="H134" s="110"/>
      <c r="I134" s="110"/>
      <c r="J134" s="110"/>
    </row>
    <row r="135" spans="1:10" x14ac:dyDescent="0.25">
      <c r="A135" s="111" t="s">
        <v>1247</v>
      </c>
      <c r="B135" s="111"/>
      <c r="C135" s="110"/>
      <c r="D135" s="110">
        <f>SUM(D131:D134)</f>
        <v>1000</v>
      </c>
      <c r="E135" s="110"/>
      <c r="F135" s="110"/>
      <c r="G135" s="110"/>
      <c r="H135" s="110"/>
      <c r="I135" s="110"/>
      <c r="J135" s="110"/>
    </row>
    <row r="136" spans="1:10" x14ac:dyDescent="0.25">
      <c r="A136" s="111" t="s">
        <v>396</v>
      </c>
      <c r="B136" s="110" t="s">
        <v>396</v>
      </c>
      <c r="C136" s="110"/>
      <c r="D136" s="110" t="s">
        <v>396</v>
      </c>
      <c r="E136" s="110"/>
      <c r="F136" s="110"/>
      <c r="G136" s="110"/>
      <c r="H136" s="110"/>
      <c r="I136" s="110"/>
      <c r="J136" s="110"/>
    </row>
    <row r="137" spans="1:10" ht="13.8" x14ac:dyDescent="0.3">
      <c r="A137" s="118" t="s">
        <v>499</v>
      </c>
      <c r="B137" s="111"/>
      <c r="C137" s="110"/>
      <c r="D137" s="110"/>
      <c r="E137" s="110">
        <v>7626.42</v>
      </c>
      <c r="F137" s="110">
        <v>8159</v>
      </c>
      <c r="G137" s="110">
        <v>7781</v>
      </c>
      <c r="H137" s="110">
        <v>7781</v>
      </c>
      <c r="I137" s="110">
        <v>7781</v>
      </c>
      <c r="J137" s="110">
        <v>7781</v>
      </c>
    </row>
    <row r="138" spans="1:10" x14ac:dyDescent="0.25">
      <c r="A138" s="111" t="s">
        <v>1472</v>
      </c>
      <c r="B138" s="111"/>
      <c r="C138" s="110"/>
      <c r="D138" s="110">
        <v>7781</v>
      </c>
      <c r="E138" s="110"/>
      <c r="F138" s="110"/>
      <c r="G138" s="110"/>
      <c r="H138" s="110"/>
      <c r="I138" s="110"/>
      <c r="J138" s="110"/>
    </row>
    <row r="139" spans="1:10" x14ac:dyDescent="0.25">
      <c r="A139" s="111"/>
      <c r="B139" s="111"/>
      <c r="C139" s="110"/>
      <c r="D139" s="110"/>
      <c r="E139" s="110"/>
      <c r="F139" s="110"/>
      <c r="G139" s="110"/>
      <c r="H139" s="110"/>
      <c r="I139" s="110"/>
      <c r="J139" s="110"/>
    </row>
    <row r="140" spans="1:10" ht="13.8" x14ac:dyDescent="0.3">
      <c r="A140" s="115" t="s">
        <v>1199</v>
      </c>
      <c r="B140" s="111"/>
      <c r="C140" s="110"/>
      <c r="D140" s="110"/>
      <c r="E140" s="110">
        <v>4453.53</v>
      </c>
      <c r="F140" s="110">
        <v>6000</v>
      </c>
      <c r="G140" s="110">
        <v>6000</v>
      </c>
      <c r="H140" s="110">
        <v>6000</v>
      </c>
      <c r="I140" s="110">
        <v>6000</v>
      </c>
      <c r="J140" s="110">
        <v>6000</v>
      </c>
    </row>
    <row r="141" spans="1:10" x14ac:dyDescent="0.25">
      <c r="A141" s="111" t="s">
        <v>1608</v>
      </c>
      <c r="B141" s="111"/>
      <c r="C141" s="110"/>
      <c r="D141" s="110">
        <v>3150</v>
      </c>
      <c r="E141" s="110"/>
      <c r="F141" s="110"/>
      <c r="G141" s="110"/>
      <c r="H141" s="110"/>
      <c r="I141" s="110"/>
      <c r="J141" s="110"/>
    </row>
    <row r="142" spans="1:10" ht="15" x14ac:dyDescent="0.4">
      <c r="A142" s="111" t="s">
        <v>1609</v>
      </c>
      <c r="B142" s="111"/>
      <c r="C142" s="113"/>
      <c r="D142" s="113">
        <v>2850</v>
      </c>
      <c r="E142" s="110"/>
      <c r="F142" s="110"/>
      <c r="G142" s="110"/>
      <c r="H142" s="110"/>
      <c r="I142" s="110"/>
      <c r="J142" s="110"/>
    </row>
    <row r="143" spans="1:10" x14ac:dyDescent="0.25">
      <c r="A143" s="111" t="s">
        <v>252</v>
      </c>
      <c r="B143" s="111"/>
      <c r="C143" s="110"/>
      <c r="D143" s="110">
        <f>SUM(D141:D142)</f>
        <v>6000</v>
      </c>
      <c r="E143" s="110"/>
      <c r="F143" s="110"/>
      <c r="G143" s="110"/>
      <c r="H143" s="110"/>
      <c r="I143" s="110"/>
      <c r="J143" s="110"/>
    </row>
    <row r="144" spans="1:10" x14ac:dyDescent="0.25">
      <c r="A144" s="111"/>
      <c r="B144" s="111"/>
      <c r="C144" s="110"/>
      <c r="D144" s="110"/>
      <c r="E144" s="110"/>
      <c r="F144" s="110"/>
      <c r="G144" s="110"/>
      <c r="H144" s="110"/>
      <c r="I144" s="110"/>
      <c r="J144" s="110"/>
    </row>
    <row r="145" spans="1:10" ht="13.8" x14ac:dyDescent="0.3">
      <c r="A145" s="115" t="s">
        <v>423</v>
      </c>
      <c r="B145" s="111"/>
      <c r="C145" s="110"/>
      <c r="D145" s="110"/>
      <c r="E145" s="110">
        <v>16219.14</v>
      </c>
      <c r="F145" s="110">
        <v>20242</v>
      </c>
      <c r="G145" s="110">
        <v>20492</v>
      </c>
      <c r="H145" s="110">
        <v>20492</v>
      </c>
      <c r="I145" s="110">
        <v>20492</v>
      </c>
      <c r="J145" s="110">
        <v>20492</v>
      </c>
    </row>
    <row r="146" spans="1:10" x14ac:dyDescent="0.25">
      <c r="A146" s="111" t="s">
        <v>274</v>
      </c>
      <c r="B146" s="111"/>
      <c r="C146" s="110"/>
      <c r="D146" s="110">
        <v>2500</v>
      </c>
      <c r="E146" s="110"/>
      <c r="F146" s="110"/>
      <c r="G146" s="110"/>
      <c r="H146" s="110"/>
      <c r="I146" s="110"/>
      <c r="J146" s="110"/>
    </row>
    <row r="147" spans="1:10" x14ac:dyDescent="0.25">
      <c r="A147" s="111" t="s">
        <v>424</v>
      </c>
      <c r="B147" s="111"/>
      <c r="C147" s="110"/>
      <c r="D147" s="110">
        <v>1689</v>
      </c>
      <c r="E147" s="110"/>
      <c r="F147" s="110"/>
      <c r="G147" s="110"/>
      <c r="H147" s="110"/>
      <c r="I147" s="110"/>
      <c r="J147" s="110"/>
    </row>
    <row r="148" spans="1:10" x14ac:dyDescent="0.25">
      <c r="A148" s="111" t="s">
        <v>425</v>
      </c>
      <c r="B148" s="111"/>
      <c r="C148" s="110"/>
      <c r="D148" s="110">
        <v>2600</v>
      </c>
      <c r="E148" s="110"/>
      <c r="F148" s="110"/>
      <c r="G148" s="110"/>
      <c r="H148" s="110"/>
      <c r="I148" s="110"/>
      <c r="J148" s="110"/>
    </row>
    <row r="149" spans="1:10" x14ac:dyDescent="0.25">
      <c r="A149" s="111" t="s">
        <v>631</v>
      </c>
      <c r="B149" s="111"/>
      <c r="C149" s="110"/>
      <c r="D149" s="110">
        <v>3400</v>
      </c>
      <c r="E149" s="110"/>
      <c r="F149" s="110"/>
      <c r="G149" s="110"/>
      <c r="H149" s="110"/>
      <c r="I149" s="110"/>
      <c r="J149" s="110"/>
    </row>
    <row r="150" spans="1:10" x14ac:dyDescent="0.25">
      <c r="A150" s="111" t="s">
        <v>783</v>
      </c>
      <c r="B150" s="111"/>
      <c r="C150" s="110"/>
      <c r="D150" s="110">
        <v>2000</v>
      </c>
      <c r="E150" s="110"/>
      <c r="F150" s="110"/>
      <c r="G150" s="110"/>
      <c r="H150" s="110"/>
      <c r="I150" s="110"/>
      <c r="J150" s="110"/>
    </row>
    <row r="151" spans="1:10" x14ac:dyDescent="0.25">
      <c r="A151" s="111" t="s">
        <v>216</v>
      </c>
      <c r="B151" s="111"/>
      <c r="C151" s="110"/>
      <c r="D151" s="110">
        <v>1888</v>
      </c>
      <c r="E151" s="110"/>
      <c r="F151" s="110"/>
      <c r="G151" s="110"/>
      <c r="H151" s="110"/>
      <c r="I151" s="110"/>
      <c r="J151" s="110"/>
    </row>
    <row r="152" spans="1:10" x14ac:dyDescent="0.25">
      <c r="A152" s="111" t="s">
        <v>1263</v>
      </c>
      <c r="B152" s="111"/>
      <c r="C152" s="110"/>
      <c r="D152" s="110">
        <v>1500</v>
      </c>
      <c r="E152" s="110"/>
      <c r="F152" s="110"/>
      <c r="G152" s="110"/>
      <c r="H152" s="110"/>
      <c r="I152" s="110"/>
      <c r="J152" s="110"/>
    </row>
    <row r="153" spans="1:10" x14ac:dyDescent="0.25">
      <c r="A153" s="111" t="s">
        <v>279</v>
      </c>
      <c r="B153" s="111"/>
      <c r="C153" s="110"/>
      <c r="D153" s="110">
        <v>360</v>
      </c>
      <c r="E153" s="110"/>
      <c r="F153" s="110"/>
      <c r="G153" s="110"/>
      <c r="H153" s="110"/>
      <c r="I153" s="110"/>
      <c r="J153" s="110"/>
    </row>
    <row r="154" spans="1:10" x14ac:dyDescent="0.25">
      <c r="A154" s="111" t="s">
        <v>403</v>
      </c>
      <c r="B154" s="111"/>
      <c r="C154" s="110"/>
      <c r="D154" s="110">
        <v>1600</v>
      </c>
      <c r="E154" s="110"/>
      <c r="F154" s="110"/>
      <c r="G154" s="110"/>
      <c r="H154" s="110"/>
      <c r="I154" s="110"/>
      <c r="J154" s="110"/>
    </row>
    <row r="155" spans="1:10" x14ac:dyDescent="0.25">
      <c r="A155" s="111" t="s">
        <v>280</v>
      </c>
      <c r="B155" s="111"/>
      <c r="C155" s="110"/>
      <c r="D155" s="110">
        <v>1200</v>
      </c>
      <c r="E155" s="110"/>
      <c r="F155" s="110"/>
      <c r="G155" s="110"/>
      <c r="H155" s="110"/>
      <c r="I155" s="110"/>
      <c r="J155" s="110"/>
    </row>
    <row r="156" spans="1:10" x14ac:dyDescent="0.25">
      <c r="A156" s="111" t="s">
        <v>339</v>
      </c>
      <c r="B156" s="111"/>
      <c r="C156" s="110"/>
      <c r="D156" s="110">
        <v>500</v>
      </c>
      <c r="E156" s="110"/>
      <c r="F156" s="110"/>
      <c r="G156" s="110"/>
      <c r="H156" s="110"/>
      <c r="I156" s="110"/>
      <c r="J156" s="110"/>
    </row>
    <row r="157" spans="1:10" ht="15" x14ac:dyDescent="0.4">
      <c r="A157" s="111" t="s">
        <v>281</v>
      </c>
      <c r="B157" s="111"/>
      <c r="C157" s="113"/>
      <c r="D157" s="113">
        <v>1255</v>
      </c>
      <c r="E157" s="110"/>
      <c r="F157" s="110"/>
      <c r="G157" s="110"/>
      <c r="H157" s="110"/>
      <c r="I157" s="110"/>
      <c r="J157" s="110"/>
    </row>
    <row r="158" spans="1:10" x14ac:dyDescent="0.25">
      <c r="A158" s="111" t="s">
        <v>1247</v>
      </c>
      <c r="B158" s="111"/>
      <c r="C158" s="110"/>
      <c r="D158" s="110">
        <f>SUM(D146:D157)</f>
        <v>20492</v>
      </c>
      <c r="E158" s="110"/>
      <c r="F158" s="110"/>
      <c r="G158" s="110"/>
      <c r="H158" s="110"/>
      <c r="I158" s="110"/>
      <c r="J158" s="110"/>
    </row>
    <row r="159" spans="1:10" x14ac:dyDescent="0.25">
      <c r="A159" s="111"/>
      <c r="B159" s="111"/>
      <c r="C159" s="110"/>
      <c r="D159" s="110"/>
      <c r="E159" s="110"/>
      <c r="F159" s="110"/>
      <c r="G159" s="110"/>
      <c r="H159" s="110"/>
      <c r="I159" s="110"/>
      <c r="J159" s="110"/>
    </row>
    <row r="160" spans="1:10" ht="13.8" x14ac:dyDescent="0.3">
      <c r="A160" s="115" t="s">
        <v>129</v>
      </c>
      <c r="B160" s="111"/>
      <c r="C160" s="110"/>
      <c r="D160" s="110"/>
      <c r="E160" s="110">
        <v>751.26</v>
      </c>
      <c r="F160" s="110">
        <v>450</v>
      </c>
      <c r="G160" s="110">
        <v>450</v>
      </c>
      <c r="H160" s="110">
        <v>450</v>
      </c>
      <c r="I160" s="110">
        <v>450</v>
      </c>
      <c r="J160" s="110">
        <v>450</v>
      </c>
    </row>
    <row r="161" spans="1:10" x14ac:dyDescent="0.25">
      <c r="A161" s="111" t="s">
        <v>1032</v>
      </c>
      <c r="B161" s="111"/>
      <c r="C161" s="110"/>
      <c r="D161" s="110">
        <v>400</v>
      </c>
      <c r="E161" s="110"/>
      <c r="F161" s="110"/>
      <c r="G161" s="110"/>
      <c r="H161" s="110"/>
      <c r="I161" s="110"/>
      <c r="J161" s="110"/>
    </row>
    <row r="162" spans="1:10" ht="15" x14ac:dyDescent="0.4">
      <c r="A162" s="111" t="s">
        <v>1057</v>
      </c>
      <c r="B162" s="111"/>
      <c r="C162" s="113"/>
      <c r="D162" s="113">
        <v>50</v>
      </c>
      <c r="E162" s="110"/>
      <c r="F162" s="110"/>
      <c r="G162" s="110"/>
      <c r="H162" s="110"/>
      <c r="I162" s="110"/>
      <c r="J162" s="110"/>
    </row>
    <row r="163" spans="1:10" x14ac:dyDescent="0.25">
      <c r="A163" s="111" t="s">
        <v>1247</v>
      </c>
      <c r="B163" s="111"/>
      <c r="C163" s="110"/>
      <c r="D163" s="110">
        <f>SUM(D161:D162)</f>
        <v>450</v>
      </c>
      <c r="E163" s="110"/>
      <c r="F163" s="110"/>
      <c r="G163" s="110"/>
      <c r="H163" s="110"/>
      <c r="I163" s="110"/>
      <c r="J163" s="110"/>
    </row>
    <row r="164" spans="1:10" x14ac:dyDescent="0.25">
      <c r="A164" s="111"/>
      <c r="B164" s="111"/>
      <c r="C164" s="110"/>
      <c r="D164" s="110"/>
      <c r="E164" s="110"/>
      <c r="F164" s="110"/>
      <c r="G164" s="110"/>
      <c r="H164" s="110"/>
      <c r="I164" s="110"/>
      <c r="J164" s="110"/>
    </row>
    <row r="165" spans="1:10" ht="13.8" x14ac:dyDescent="0.3">
      <c r="A165" s="115" t="s">
        <v>413</v>
      </c>
      <c r="B165" s="111"/>
      <c r="C165" s="110"/>
      <c r="D165" s="110"/>
      <c r="E165" s="110">
        <v>5187.6499999999996</v>
      </c>
      <c r="F165" s="110">
        <v>2000</v>
      </c>
      <c r="G165" s="110">
        <v>2000</v>
      </c>
      <c r="H165" s="110">
        <v>2000</v>
      </c>
      <c r="I165" s="110">
        <v>2000</v>
      </c>
      <c r="J165" s="110">
        <v>2000</v>
      </c>
    </row>
    <row r="166" spans="1:10" x14ac:dyDescent="0.25">
      <c r="A166" s="111" t="s">
        <v>1524</v>
      </c>
      <c r="B166" s="111"/>
      <c r="C166" s="110"/>
      <c r="D166" s="110">
        <v>2000</v>
      </c>
      <c r="E166" s="110"/>
      <c r="F166" s="110"/>
      <c r="G166" s="110"/>
      <c r="H166" s="110"/>
      <c r="I166" s="110"/>
      <c r="J166" s="110"/>
    </row>
    <row r="167" spans="1:10" x14ac:dyDescent="0.25">
      <c r="A167" s="111"/>
      <c r="B167" s="111"/>
      <c r="C167" s="110"/>
      <c r="D167" s="110"/>
      <c r="E167" s="110"/>
      <c r="F167" s="110"/>
      <c r="G167" s="110"/>
      <c r="H167" s="110"/>
      <c r="I167" s="110"/>
      <c r="J167" s="110"/>
    </row>
    <row r="168" spans="1:10" ht="13.8" x14ac:dyDescent="0.3">
      <c r="A168" s="115" t="s">
        <v>768</v>
      </c>
      <c r="B168" s="111"/>
      <c r="C168" s="110"/>
      <c r="D168" s="110"/>
      <c r="E168" s="110">
        <v>45259.46</v>
      </c>
      <c r="F168" s="110">
        <v>46130</v>
      </c>
      <c r="G168" s="110">
        <v>54862</v>
      </c>
      <c r="H168" s="110">
        <v>54862</v>
      </c>
      <c r="I168" s="110">
        <v>54862</v>
      </c>
      <c r="J168" s="110">
        <v>54862</v>
      </c>
    </row>
    <row r="169" spans="1:10" x14ac:dyDescent="0.25">
      <c r="A169" s="111" t="s">
        <v>1542</v>
      </c>
      <c r="B169" s="111"/>
      <c r="C169" s="110"/>
      <c r="D169" s="110">
        <v>1600</v>
      </c>
      <c r="E169" s="110"/>
      <c r="F169" s="110"/>
      <c r="G169" s="110"/>
      <c r="H169" s="110"/>
      <c r="I169" s="110"/>
      <c r="J169" s="110"/>
    </row>
    <row r="170" spans="1:10" x14ac:dyDescent="0.25">
      <c r="A170" s="111" t="s">
        <v>2048</v>
      </c>
      <c r="B170" s="111"/>
      <c r="C170" s="110"/>
      <c r="D170" s="110">
        <v>600</v>
      </c>
      <c r="E170" s="110"/>
      <c r="F170" s="110"/>
      <c r="G170" s="110"/>
      <c r="H170" s="110"/>
      <c r="I170" s="110"/>
      <c r="J170" s="110"/>
    </row>
    <row r="171" spans="1:10" x14ac:dyDescent="0.25">
      <c r="A171" s="111" t="s">
        <v>2049</v>
      </c>
      <c r="B171" s="111"/>
      <c r="C171" s="110"/>
      <c r="D171" s="110">
        <v>2370</v>
      </c>
      <c r="E171" s="110"/>
      <c r="F171" s="110"/>
      <c r="G171" s="110"/>
      <c r="H171" s="110"/>
      <c r="I171" s="110"/>
      <c r="J171" s="110"/>
    </row>
    <row r="172" spans="1:10" x14ac:dyDescent="0.25">
      <c r="A172" s="111" t="s">
        <v>640</v>
      </c>
      <c r="B172" s="111"/>
      <c r="C172" s="110"/>
      <c r="D172" s="110">
        <v>3000</v>
      </c>
      <c r="E172" s="110"/>
      <c r="F172" s="110"/>
      <c r="G172" s="110"/>
      <c r="H172" s="110"/>
      <c r="I172" s="110"/>
      <c r="J172" s="110"/>
    </row>
    <row r="173" spans="1:10" x14ac:dyDescent="0.25">
      <c r="A173" s="111" t="s">
        <v>2050</v>
      </c>
      <c r="B173" s="111"/>
      <c r="C173" s="110"/>
      <c r="D173" s="110">
        <v>2200</v>
      </c>
      <c r="E173" s="110"/>
      <c r="F173" s="110"/>
      <c r="G173" s="110"/>
      <c r="H173" s="110"/>
      <c r="I173" s="110"/>
      <c r="J173" s="110"/>
    </row>
    <row r="174" spans="1:10" ht="15" x14ac:dyDescent="0.4">
      <c r="A174" s="285" t="s">
        <v>1543</v>
      </c>
      <c r="B174" s="111"/>
      <c r="C174" s="113"/>
      <c r="D174" s="2">
        <v>40176</v>
      </c>
      <c r="E174" s="110"/>
      <c r="F174" s="48"/>
      <c r="G174" s="48"/>
      <c r="I174" s="2"/>
      <c r="J174" s="2"/>
    </row>
    <row r="175" spans="1:10" ht="15" x14ac:dyDescent="0.4">
      <c r="A175" s="285" t="s">
        <v>2171</v>
      </c>
      <c r="B175" s="286" t="s">
        <v>2172</v>
      </c>
      <c r="C175" s="113"/>
      <c r="D175" s="2">
        <v>3500</v>
      </c>
      <c r="E175" s="110"/>
      <c r="F175" s="48"/>
      <c r="G175" s="48"/>
      <c r="I175" s="2"/>
      <c r="J175" s="2"/>
    </row>
    <row r="176" spans="1:10" ht="15" x14ac:dyDescent="0.4">
      <c r="A176" s="285" t="s">
        <v>2173</v>
      </c>
      <c r="B176" s="286" t="s">
        <v>2172</v>
      </c>
      <c r="C176" s="113"/>
      <c r="D176" s="18">
        <v>1416</v>
      </c>
      <c r="E176" s="110"/>
      <c r="F176" s="48"/>
      <c r="G176" s="48"/>
      <c r="I176" s="2"/>
      <c r="J176" s="2"/>
    </row>
    <row r="177" spans="1:10" x14ac:dyDescent="0.25">
      <c r="A177" s="111" t="s">
        <v>1247</v>
      </c>
      <c r="B177" s="111"/>
      <c r="C177" s="110"/>
      <c r="D177" s="110">
        <f>SUM(D169:D176)</f>
        <v>54862</v>
      </c>
      <c r="E177" s="110"/>
      <c r="F177" s="110"/>
      <c r="G177" s="110"/>
      <c r="H177" s="110"/>
      <c r="I177" s="110"/>
      <c r="J177" s="110"/>
    </row>
    <row r="178" spans="1:10" x14ac:dyDescent="0.25">
      <c r="A178" s="111"/>
      <c r="B178" s="111"/>
      <c r="C178" s="110"/>
      <c r="D178" s="110"/>
      <c r="E178" s="110"/>
      <c r="F178" s="110"/>
      <c r="G178" s="110"/>
      <c r="H178" s="110"/>
      <c r="I178" s="110"/>
      <c r="J178" s="110"/>
    </row>
    <row r="179" spans="1:10" ht="13.8" x14ac:dyDescent="0.3">
      <c r="A179" s="115" t="s">
        <v>164</v>
      </c>
      <c r="B179" s="111"/>
      <c r="C179" s="110"/>
      <c r="D179" s="110"/>
      <c r="E179" s="110">
        <v>6353.01</v>
      </c>
      <c r="F179" s="110">
        <v>5766</v>
      </c>
      <c r="G179" s="110">
        <v>7175</v>
      </c>
      <c r="H179" s="110">
        <v>7175</v>
      </c>
      <c r="I179" s="110">
        <v>7175</v>
      </c>
      <c r="J179" s="110">
        <v>7175</v>
      </c>
    </row>
    <row r="180" spans="1:10" x14ac:dyDescent="0.25">
      <c r="A180" s="126" t="s">
        <v>2174</v>
      </c>
      <c r="B180" s="111"/>
      <c r="C180" s="110"/>
      <c r="D180" s="110">
        <v>130</v>
      </c>
      <c r="E180" s="110"/>
      <c r="F180" s="110"/>
      <c r="G180" s="110"/>
      <c r="H180" s="110"/>
      <c r="I180" s="110"/>
      <c r="J180" s="110"/>
    </row>
    <row r="181" spans="1:10" x14ac:dyDescent="0.25">
      <c r="A181" s="111" t="s">
        <v>165</v>
      </c>
      <c r="B181" s="111"/>
      <c r="C181" s="110"/>
      <c r="D181" s="110">
        <v>150</v>
      </c>
      <c r="E181" s="110"/>
      <c r="F181" s="110"/>
      <c r="G181" s="110"/>
      <c r="H181" s="110"/>
      <c r="I181" s="110"/>
      <c r="J181" s="110"/>
    </row>
    <row r="182" spans="1:10" x14ac:dyDescent="0.25">
      <c r="A182" s="111" t="s">
        <v>2051</v>
      </c>
      <c r="B182" s="111"/>
      <c r="C182" s="110"/>
      <c r="D182" s="110">
        <v>100</v>
      </c>
      <c r="E182" s="110"/>
      <c r="F182" s="110"/>
      <c r="G182" s="110"/>
      <c r="H182" s="110"/>
      <c r="I182" s="110"/>
      <c r="J182" s="110"/>
    </row>
    <row r="183" spans="1:10" x14ac:dyDescent="0.25">
      <c r="A183" s="111" t="s">
        <v>2175</v>
      </c>
      <c r="B183" s="111"/>
      <c r="C183" s="110"/>
      <c r="D183" s="110">
        <v>400</v>
      </c>
      <c r="E183" s="110"/>
      <c r="F183" s="110"/>
      <c r="G183" s="110"/>
      <c r="H183" s="110"/>
      <c r="I183" s="110"/>
      <c r="J183" s="110"/>
    </row>
    <row r="184" spans="1:10" x14ac:dyDescent="0.25">
      <c r="A184" s="111" t="s">
        <v>1544</v>
      </c>
      <c r="B184" s="111"/>
      <c r="C184" s="110"/>
      <c r="D184" s="110">
        <v>474</v>
      </c>
      <c r="E184" s="110"/>
      <c r="F184" s="110"/>
      <c r="G184" s="110"/>
      <c r="H184" s="110"/>
      <c r="I184" s="110"/>
      <c r="J184" s="110"/>
    </row>
    <row r="185" spans="1:10" x14ac:dyDescent="0.25">
      <c r="A185" s="110" t="s">
        <v>1784</v>
      </c>
      <c r="B185" s="111"/>
      <c r="C185" s="110"/>
      <c r="D185" s="273">
        <v>0</v>
      </c>
      <c r="E185" s="110"/>
      <c r="I185" s="2"/>
      <c r="J185" s="2"/>
    </row>
    <row r="186" spans="1:10" x14ac:dyDescent="0.25">
      <c r="A186" s="110" t="s">
        <v>2176</v>
      </c>
      <c r="B186" s="111"/>
      <c r="C186" s="110"/>
      <c r="D186" s="273">
        <v>150</v>
      </c>
      <c r="E186" s="110"/>
      <c r="I186" s="2"/>
      <c r="J186" s="2"/>
    </row>
    <row r="187" spans="1:10" x14ac:dyDescent="0.25">
      <c r="A187" s="111" t="s">
        <v>1859</v>
      </c>
      <c r="B187" s="111"/>
      <c r="C187" s="110"/>
      <c r="D187" s="110">
        <v>1020</v>
      </c>
      <c r="E187" s="110"/>
      <c r="F187" s="110"/>
      <c r="G187" s="110"/>
      <c r="H187" s="110"/>
      <c r="I187" s="110"/>
      <c r="J187" s="110"/>
    </row>
    <row r="188" spans="1:10" x14ac:dyDescent="0.25">
      <c r="A188" s="111" t="s">
        <v>698</v>
      </c>
      <c r="B188" s="111"/>
      <c r="C188" s="110"/>
      <c r="D188" s="110">
        <v>750</v>
      </c>
      <c r="E188" s="110"/>
      <c r="F188" s="110"/>
      <c r="G188" s="110"/>
      <c r="H188" s="110"/>
      <c r="I188" s="110"/>
      <c r="J188" s="110"/>
    </row>
    <row r="189" spans="1:10" x14ac:dyDescent="0.25">
      <c r="A189" s="110" t="s">
        <v>1860</v>
      </c>
      <c r="B189" s="111"/>
      <c r="C189" s="110"/>
      <c r="D189" s="273">
        <v>950</v>
      </c>
      <c r="E189" s="110"/>
      <c r="I189" s="2"/>
      <c r="J189" s="2"/>
    </row>
    <row r="190" spans="1:10" x14ac:dyDescent="0.25">
      <c r="A190" s="110" t="s">
        <v>2177</v>
      </c>
      <c r="B190" s="111"/>
      <c r="C190" s="110"/>
      <c r="D190" s="273">
        <v>1400</v>
      </c>
      <c r="E190" s="110"/>
      <c r="I190" s="2"/>
      <c r="J190" s="2"/>
    </row>
    <row r="191" spans="1:10" x14ac:dyDescent="0.25">
      <c r="A191" s="111" t="s">
        <v>437</v>
      </c>
      <c r="B191" s="111"/>
      <c r="C191" s="110"/>
      <c r="D191" s="110">
        <v>1</v>
      </c>
      <c r="E191" s="110"/>
      <c r="F191" s="110"/>
      <c r="G191" s="110"/>
      <c r="H191" s="110"/>
      <c r="I191" s="110"/>
      <c r="J191" s="110"/>
    </row>
    <row r="192" spans="1:10" ht="15" x14ac:dyDescent="0.4">
      <c r="A192" s="111" t="s">
        <v>592</v>
      </c>
      <c r="B192" s="111"/>
      <c r="C192" s="113"/>
      <c r="D192" s="113">
        <v>1650</v>
      </c>
      <c r="E192" s="110"/>
      <c r="F192" s="110"/>
      <c r="G192" s="110"/>
      <c r="H192" s="110"/>
      <c r="I192" s="110"/>
      <c r="J192" s="110"/>
    </row>
    <row r="193" spans="1:10" x14ac:dyDescent="0.25">
      <c r="A193" s="111" t="s">
        <v>1247</v>
      </c>
      <c r="B193" s="111"/>
      <c r="C193" s="110"/>
      <c r="D193" s="110">
        <f>SUM(D180:D192)</f>
        <v>7175</v>
      </c>
      <c r="E193" s="110"/>
      <c r="F193" s="110"/>
      <c r="G193" s="110"/>
      <c r="H193" s="110"/>
      <c r="I193" s="110"/>
      <c r="J193" s="110"/>
    </row>
    <row r="194" spans="1:10" x14ac:dyDescent="0.25">
      <c r="A194" s="111"/>
      <c r="B194" s="111"/>
      <c r="C194" s="110"/>
      <c r="D194" s="110"/>
      <c r="E194" s="110"/>
      <c r="F194" s="110"/>
      <c r="G194" s="110"/>
      <c r="H194" s="110"/>
      <c r="I194" s="110"/>
      <c r="J194" s="110"/>
    </row>
    <row r="195" spans="1:10" ht="13.8" x14ac:dyDescent="0.3">
      <c r="A195" s="115" t="s">
        <v>734</v>
      </c>
      <c r="B195" s="111"/>
      <c r="C195" s="110"/>
      <c r="D195" s="110"/>
      <c r="E195" s="110">
        <v>5595.84</v>
      </c>
      <c r="F195" s="125">
        <v>5200</v>
      </c>
      <c r="G195" s="125">
        <v>5200</v>
      </c>
      <c r="H195" s="125">
        <v>5200</v>
      </c>
      <c r="I195" s="125">
        <v>5200</v>
      </c>
      <c r="J195" s="125">
        <v>5200</v>
      </c>
    </row>
    <row r="196" spans="1:10" x14ac:dyDescent="0.25">
      <c r="A196" s="111" t="s">
        <v>763</v>
      </c>
      <c r="B196" s="111"/>
      <c r="C196" s="110"/>
      <c r="D196" s="110">
        <v>1400</v>
      </c>
      <c r="E196" s="110"/>
      <c r="F196" s="110"/>
      <c r="G196" s="110"/>
      <c r="H196" s="110"/>
      <c r="I196" s="110"/>
      <c r="J196" s="110"/>
    </row>
    <row r="197" spans="1:10" x14ac:dyDescent="0.25">
      <c r="A197" s="111" t="s">
        <v>399</v>
      </c>
      <c r="B197" s="111"/>
      <c r="C197" s="110"/>
      <c r="D197" s="110">
        <v>1400</v>
      </c>
      <c r="E197" s="110"/>
      <c r="F197" s="110"/>
      <c r="G197" s="110"/>
      <c r="H197" s="110"/>
      <c r="I197" s="110"/>
      <c r="J197" s="110"/>
    </row>
    <row r="198" spans="1:10" ht="15" x14ac:dyDescent="0.4">
      <c r="A198" s="111" t="s">
        <v>1345</v>
      </c>
      <c r="B198" s="111"/>
      <c r="C198" s="113"/>
      <c r="D198" s="113">
        <v>2400</v>
      </c>
      <c r="E198" s="110"/>
      <c r="F198" s="110"/>
      <c r="G198" s="110"/>
      <c r="H198" s="110"/>
      <c r="I198" s="110"/>
      <c r="J198" s="110"/>
    </row>
    <row r="199" spans="1:10" x14ac:dyDescent="0.25">
      <c r="A199" s="111" t="s">
        <v>1247</v>
      </c>
      <c r="B199" s="111"/>
      <c r="C199" s="110"/>
      <c r="D199" s="110">
        <f>SUM(D196:D198)</f>
        <v>5200</v>
      </c>
      <c r="E199" s="110"/>
      <c r="F199" s="110"/>
      <c r="G199" s="110"/>
      <c r="H199" s="110"/>
      <c r="I199" s="110"/>
      <c r="J199" s="110"/>
    </row>
    <row r="200" spans="1:10" x14ac:dyDescent="0.25">
      <c r="A200" s="111"/>
      <c r="B200" s="111"/>
      <c r="C200" s="110"/>
      <c r="D200" s="110"/>
      <c r="E200" s="110"/>
      <c r="F200" s="110"/>
      <c r="G200" s="110"/>
      <c r="H200" s="110"/>
      <c r="I200" s="110"/>
      <c r="J200" s="110"/>
    </row>
    <row r="201" spans="1:10" ht="13.8" x14ac:dyDescent="0.3">
      <c r="A201" s="115" t="s">
        <v>1346</v>
      </c>
      <c r="B201" s="111"/>
      <c r="C201" s="110"/>
      <c r="D201" s="110"/>
      <c r="E201" s="110">
        <v>1708.98</v>
      </c>
      <c r="F201" s="110">
        <v>1000</v>
      </c>
      <c r="G201" s="110">
        <v>1000</v>
      </c>
      <c r="H201" s="110">
        <v>1000</v>
      </c>
      <c r="I201" s="110">
        <v>1000</v>
      </c>
      <c r="J201" s="110">
        <v>1000</v>
      </c>
    </row>
    <row r="202" spans="1:10" x14ac:dyDescent="0.25">
      <c r="A202" s="111" t="s">
        <v>1802</v>
      </c>
      <c r="B202" s="111"/>
      <c r="C202" s="110"/>
      <c r="D202" s="110">
        <v>1000</v>
      </c>
      <c r="E202" s="110"/>
      <c r="F202" s="110"/>
      <c r="G202" s="110"/>
      <c r="H202" s="110"/>
      <c r="I202" s="110"/>
      <c r="J202" s="110"/>
    </row>
    <row r="203" spans="1:10" x14ac:dyDescent="0.25">
      <c r="A203" s="111"/>
      <c r="B203" s="111"/>
      <c r="C203" s="110"/>
      <c r="D203" s="110"/>
      <c r="E203" s="110"/>
      <c r="F203" s="110"/>
      <c r="G203" s="110"/>
      <c r="H203" s="110"/>
      <c r="I203" s="110"/>
      <c r="J203" s="110"/>
    </row>
    <row r="204" spans="1:10" ht="13.8" x14ac:dyDescent="0.3">
      <c r="A204" s="115" t="s">
        <v>573</v>
      </c>
      <c r="B204" s="111"/>
      <c r="C204" s="110"/>
      <c r="D204" s="110"/>
      <c r="E204" s="110">
        <f>4386+94825.09</f>
        <v>99211.09</v>
      </c>
      <c r="F204" s="110">
        <v>104582</v>
      </c>
      <c r="G204" s="110">
        <v>105133</v>
      </c>
      <c r="H204" s="110">
        <v>105133</v>
      </c>
      <c r="I204" s="110">
        <v>105133</v>
      </c>
      <c r="J204" s="110">
        <v>105133</v>
      </c>
    </row>
    <row r="205" spans="1:10" x14ac:dyDescent="0.25">
      <c r="A205" s="111" t="s">
        <v>1666</v>
      </c>
      <c r="B205" s="111"/>
      <c r="C205" s="110"/>
      <c r="D205" s="110">
        <v>8500</v>
      </c>
      <c r="E205" s="110"/>
      <c r="F205" s="110"/>
      <c r="G205" s="110"/>
      <c r="H205" s="110"/>
      <c r="I205" s="110"/>
      <c r="J205" s="110"/>
    </row>
    <row r="206" spans="1:10" x14ac:dyDescent="0.25">
      <c r="A206" s="111" t="s">
        <v>1667</v>
      </c>
      <c r="B206" s="111"/>
      <c r="C206" s="110"/>
      <c r="D206" s="110">
        <v>7500</v>
      </c>
      <c r="E206" s="110"/>
      <c r="F206" s="110"/>
      <c r="G206" s="110"/>
      <c r="H206" s="110"/>
      <c r="I206" s="110"/>
      <c r="J206" s="110"/>
    </row>
    <row r="207" spans="1:10" x14ac:dyDescent="0.25">
      <c r="A207" s="111" t="s">
        <v>1861</v>
      </c>
      <c r="B207" s="111"/>
      <c r="C207" s="110"/>
      <c r="D207" s="110">
        <v>2478</v>
      </c>
      <c r="E207" s="110"/>
      <c r="F207" s="110"/>
      <c r="G207" s="110"/>
      <c r="H207" s="110"/>
      <c r="I207" s="110"/>
      <c r="J207" s="110"/>
    </row>
    <row r="208" spans="1:10" x14ac:dyDescent="0.25">
      <c r="A208" s="111" t="s">
        <v>1785</v>
      </c>
      <c r="B208" s="111"/>
      <c r="C208" s="110"/>
      <c r="D208" s="110">
        <v>1000</v>
      </c>
      <c r="E208" s="110"/>
      <c r="F208" s="110"/>
      <c r="G208" s="110"/>
      <c r="H208" s="110"/>
      <c r="I208" s="110"/>
      <c r="J208" s="110"/>
    </row>
    <row r="209" spans="1:10" x14ac:dyDescent="0.25">
      <c r="A209" s="111" t="s">
        <v>254</v>
      </c>
      <c r="B209" s="111"/>
      <c r="C209" s="110"/>
      <c r="D209" s="110">
        <v>2500</v>
      </c>
      <c r="E209" s="110"/>
      <c r="F209" s="110"/>
      <c r="G209" s="110"/>
      <c r="H209" s="110"/>
      <c r="I209" s="110"/>
      <c r="J209" s="110"/>
    </row>
    <row r="210" spans="1:10" x14ac:dyDescent="0.25">
      <c r="A210" s="111" t="s">
        <v>1668</v>
      </c>
      <c r="B210" s="111"/>
      <c r="C210" s="110"/>
      <c r="D210" s="110">
        <v>3000</v>
      </c>
      <c r="E210" s="110"/>
      <c r="F210" s="110"/>
      <c r="G210" s="110"/>
      <c r="H210" s="110"/>
      <c r="I210" s="110"/>
      <c r="J210" s="110"/>
    </row>
    <row r="211" spans="1:10" x14ac:dyDescent="0.25">
      <c r="A211" s="111" t="s">
        <v>1931</v>
      </c>
      <c r="B211" s="111"/>
      <c r="C211" s="110"/>
      <c r="D211" s="110">
        <v>4900</v>
      </c>
      <c r="E211" s="110"/>
      <c r="F211" s="110"/>
      <c r="G211" s="110"/>
      <c r="H211" s="110"/>
      <c r="I211" s="110"/>
      <c r="J211" s="110"/>
    </row>
    <row r="212" spans="1:10" x14ac:dyDescent="0.25">
      <c r="A212" s="111" t="s">
        <v>1669</v>
      </c>
      <c r="B212" s="111"/>
      <c r="C212" s="110"/>
      <c r="D212" s="110">
        <v>2000</v>
      </c>
      <c r="E212" s="110"/>
      <c r="F212" s="110"/>
      <c r="G212" s="110"/>
      <c r="H212" s="110"/>
      <c r="I212" s="110"/>
      <c r="J212" s="110"/>
    </row>
    <row r="213" spans="1:10" x14ac:dyDescent="0.25">
      <c r="A213" s="111" t="s">
        <v>1670</v>
      </c>
      <c r="B213" s="111"/>
      <c r="C213" s="110"/>
      <c r="D213" s="110">
        <v>675</v>
      </c>
      <c r="E213" s="110"/>
      <c r="F213" s="110"/>
      <c r="G213" s="110"/>
      <c r="H213" s="110"/>
      <c r="I213" s="110"/>
      <c r="J213" s="110"/>
    </row>
    <row r="214" spans="1:10" x14ac:dyDescent="0.25">
      <c r="A214" s="111" t="s">
        <v>1671</v>
      </c>
      <c r="B214" s="111"/>
      <c r="C214" s="110"/>
      <c r="D214" s="110">
        <v>500</v>
      </c>
      <c r="E214" s="110"/>
      <c r="F214" s="110"/>
      <c r="G214" s="110"/>
      <c r="H214" s="110"/>
      <c r="I214" s="110"/>
      <c r="J214" s="110"/>
    </row>
    <row r="215" spans="1:10" x14ac:dyDescent="0.25">
      <c r="A215" s="111" t="s">
        <v>2178</v>
      </c>
      <c r="B215" s="111"/>
      <c r="C215" s="110"/>
      <c r="D215" s="110">
        <v>25300.47</v>
      </c>
      <c r="E215" s="110"/>
      <c r="F215" s="110"/>
      <c r="G215" s="110"/>
      <c r="H215" s="110"/>
      <c r="I215" s="110"/>
      <c r="J215" s="110"/>
    </row>
    <row r="216" spans="1:10" x14ac:dyDescent="0.25">
      <c r="A216" s="111" t="s">
        <v>2052</v>
      </c>
      <c r="B216" s="111"/>
      <c r="C216" s="110"/>
      <c r="D216" s="110">
        <v>11000</v>
      </c>
      <c r="E216" s="110"/>
      <c r="F216" s="110"/>
      <c r="G216" s="110"/>
      <c r="H216" s="110"/>
      <c r="I216" s="110"/>
      <c r="J216" s="110"/>
    </row>
    <row r="217" spans="1:10" x14ac:dyDescent="0.25">
      <c r="A217" s="111" t="s">
        <v>2179</v>
      </c>
      <c r="B217" s="287" t="s">
        <v>2172</v>
      </c>
      <c r="C217" s="110"/>
      <c r="D217" s="110">
        <v>6000</v>
      </c>
      <c r="E217" s="110"/>
      <c r="F217" s="110"/>
      <c r="G217" s="110"/>
      <c r="H217" s="110"/>
      <c r="I217" s="110"/>
      <c r="J217" s="110"/>
    </row>
    <row r="218" spans="1:10" x14ac:dyDescent="0.25">
      <c r="A218" s="288" t="s">
        <v>2180</v>
      </c>
      <c r="B218" s="289"/>
      <c r="C218" s="242"/>
      <c r="D218" s="242">
        <v>0</v>
      </c>
      <c r="E218" s="242"/>
      <c r="F218" s="242"/>
      <c r="G218" s="242"/>
      <c r="H218" s="242"/>
      <c r="I218" s="242"/>
      <c r="J218" s="242"/>
    </row>
    <row r="219" spans="1:10" x14ac:dyDescent="0.25">
      <c r="A219" s="111" t="s">
        <v>2181</v>
      </c>
      <c r="B219" s="287" t="s">
        <v>2172</v>
      </c>
      <c r="C219" s="110"/>
      <c r="D219" s="110">
        <v>5000</v>
      </c>
      <c r="E219" s="110"/>
      <c r="F219" s="110"/>
      <c r="G219" s="110"/>
      <c r="H219" s="110"/>
      <c r="I219" s="110"/>
      <c r="J219" s="110"/>
    </row>
    <row r="220" spans="1:10" x14ac:dyDescent="0.25">
      <c r="A220" s="111" t="s">
        <v>1786</v>
      </c>
      <c r="B220" s="111"/>
      <c r="C220" s="110"/>
      <c r="D220" s="110">
        <v>6300</v>
      </c>
      <c r="E220" s="110"/>
      <c r="F220" s="110"/>
      <c r="G220" s="110"/>
      <c r="H220" s="110"/>
      <c r="I220" s="110"/>
      <c r="J220" s="110"/>
    </row>
    <row r="221" spans="1:10" x14ac:dyDescent="0.25">
      <c r="A221" s="111" t="s">
        <v>764</v>
      </c>
      <c r="B221" s="111"/>
      <c r="C221" s="110"/>
      <c r="D221" s="110">
        <v>7080</v>
      </c>
      <c r="E221" s="110"/>
      <c r="F221" s="110"/>
      <c r="G221" s="110"/>
      <c r="H221" s="110"/>
      <c r="I221" s="110"/>
      <c r="J221" s="110"/>
    </row>
    <row r="222" spans="1:10" x14ac:dyDescent="0.25">
      <c r="A222" s="111" t="s">
        <v>1672</v>
      </c>
      <c r="B222" s="111"/>
      <c r="C222" s="110"/>
      <c r="D222" s="110">
        <v>1000</v>
      </c>
      <c r="E222" s="110"/>
      <c r="F222" s="110"/>
      <c r="G222" s="110"/>
      <c r="H222" s="110"/>
      <c r="I222" s="110"/>
      <c r="J222" s="110"/>
    </row>
    <row r="223" spans="1:10" x14ac:dyDescent="0.25">
      <c r="A223" s="111" t="s">
        <v>1673</v>
      </c>
      <c r="B223" s="111"/>
      <c r="C223" s="110"/>
      <c r="D223" s="110">
        <v>2000</v>
      </c>
      <c r="E223" s="110"/>
      <c r="F223" s="110"/>
      <c r="G223" s="110"/>
      <c r="H223" s="110"/>
      <c r="I223" s="110"/>
      <c r="J223" s="110"/>
    </row>
    <row r="224" spans="1:10" x14ac:dyDescent="0.25">
      <c r="A224" s="111" t="s">
        <v>2053</v>
      </c>
      <c r="B224" s="111"/>
      <c r="C224" s="110"/>
      <c r="D224" s="110">
        <v>3000</v>
      </c>
      <c r="E224" s="110"/>
      <c r="F224" s="110"/>
      <c r="G224" s="110"/>
      <c r="H224" s="110"/>
      <c r="I224" s="110"/>
      <c r="J224" s="110"/>
    </row>
    <row r="225" spans="1:10" ht="15" x14ac:dyDescent="0.4">
      <c r="A225" s="111" t="s">
        <v>2054</v>
      </c>
      <c r="B225" s="111"/>
      <c r="C225" s="113"/>
      <c r="D225" s="113">
        <v>5400</v>
      </c>
      <c r="E225" s="110"/>
      <c r="F225" s="110"/>
      <c r="G225" s="110"/>
      <c r="H225" s="110"/>
      <c r="I225" s="110"/>
      <c r="J225" s="110"/>
    </row>
    <row r="226" spans="1:10" x14ac:dyDescent="0.25">
      <c r="A226" s="111" t="s">
        <v>1545</v>
      </c>
      <c r="B226" s="111"/>
      <c r="C226" s="110"/>
      <c r="D226" s="110">
        <f>SUM(D205:D225)</f>
        <v>105133.47</v>
      </c>
      <c r="E226" s="110"/>
      <c r="F226" s="110"/>
      <c r="G226" s="110"/>
      <c r="H226" s="110"/>
      <c r="I226" s="110"/>
      <c r="J226" s="110"/>
    </row>
    <row r="227" spans="1:10" x14ac:dyDescent="0.25">
      <c r="A227" s="111"/>
      <c r="B227" s="111"/>
      <c r="C227" s="110"/>
      <c r="D227" s="110"/>
      <c r="E227" s="110"/>
      <c r="F227" s="110"/>
      <c r="G227" s="110"/>
      <c r="H227" s="110"/>
      <c r="I227" s="110"/>
      <c r="J227" s="110"/>
    </row>
    <row r="228" spans="1:10" ht="13.8" x14ac:dyDescent="0.3">
      <c r="A228" s="115" t="s">
        <v>255</v>
      </c>
      <c r="B228" s="111"/>
      <c r="C228" s="110"/>
      <c r="D228" s="110"/>
      <c r="E228" s="110"/>
      <c r="F228" s="110"/>
      <c r="G228" s="110"/>
      <c r="H228" s="110"/>
      <c r="I228" s="110"/>
      <c r="J228" s="110"/>
    </row>
    <row r="229" spans="1:10" x14ac:dyDescent="0.25">
      <c r="A229" s="111" t="s">
        <v>132</v>
      </c>
      <c r="B229" s="111"/>
      <c r="C229" s="110"/>
      <c r="D229" s="110">
        <v>0</v>
      </c>
      <c r="E229" s="110">
        <v>0</v>
      </c>
      <c r="F229" s="110"/>
      <c r="G229" s="110"/>
      <c r="H229" s="110"/>
      <c r="I229" s="110"/>
      <c r="J229" s="110"/>
    </row>
    <row r="230" spans="1:10" x14ac:dyDescent="0.25">
      <c r="A230" s="111"/>
      <c r="B230" s="111"/>
      <c r="C230" s="110"/>
      <c r="D230" s="110"/>
      <c r="E230" s="110"/>
      <c r="F230" s="110"/>
      <c r="G230" s="110"/>
      <c r="H230" s="110"/>
      <c r="I230" s="110"/>
      <c r="J230" s="110"/>
    </row>
    <row r="231" spans="1:10" ht="13.8" x14ac:dyDescent="0.3">
      <c r="A231" s="115" t="s">
        <v>257</v>
      </c>
      <c r="B231" s="111"/>
      <c r="C231" s="110"/>
      <c r="D231" s="110"/>
      <c r="E231" s="110"/>
      <c r="F231" s="110"/>
      <c r="G231" s="110"/>
      <c r="H231" s="110"/>
      <c r="I231" s="110"/>
      <c r="J231" s="110"/>
    </row>
    <row r="232" spans="1:10" x14ac:dyDescent="0.25">
      <c r="A232" s="111" t="s">
        <v>133</v>
      </c>
      <c r="B232" s="111"/>
      <c r="C232" s="110"/>
      <c r="D232" s="110">
        <v>0</v>
      </c>
      <c r="E232" s="110"/>
      <c r="F232" s="110"/>
      <c r="G232" s="110"/>
      <c r="H232" s="110"/>
      <c r="I232" s="110"/>
      <c r="J232" s="110"/>
    </row>
    <row r="233" spans="1:10" x14ac:dyDescent="0.25">
      <c r="A233" s="111"/>
      <c r="B233" s="111"/>
      <c r="C233" s="110"/>
      <c r="D233" s="110"/>
      <c r="E233" s="110"/>
      <c r="F233" s="110"/>
      <c r="G233" s="110"/>
      <c r="H233" s="110"/>
      <c r="I233" s="110"/>
      <c r="J233" s="110"/>
    </row>
    <row r="234" spans="1:10" ht="13.8" x14ac:dyDescent="0.3">
      <c r="A234" s="115" t="s">
        <v>443</v>
      </c>
      <c r="B234" s="111"/>
      <c r="C234" s="110"/>
      <c r="D234" s="110"/>
      <c r="E234" s="110">
        <v>18873.490000000002</v>
      </c>
      <c r="F234" s="110">
        <v>2710</v>
      </c>
      <c r="G234" s="110">
        <v>9935</v>
      </c>
      <c r="H234" s="110">
        <v>9935</v>
      </c>
      <c r="I234" s="110">
        <v>9935</v>
      </c>
      <c r="J234" s="110">
        <v>9935</v>
      </c>
    </row>
    <row r="235" spans="1:10" x14ac:dyDescent="0.25">
      <c r="A235" s="111" t="s">
        <v>248</v>
      </c>
      <c r="B235" s="111"/>
      <c r="C235" s="110"/>
      <c r="D235" s="110">
        <v>2000</v>
      </c>
      <c r="E235" s="110"/>
      <c r="F235" s="110"/>
      <c r="G235" s="110"/>
      <c r="H235" s="110"/>
      <c r="I235" s="110"/>
      <c r="J235" s="110"/>
    </row>
    <row r="236" spans="1:10" x14ac:dyDescent="0.25">
      <c r="A236" s="111" t="s">
        <v>2182</v>
      </c>
      <c r="B236" s="287" t="s">
        <v>2172</v>
      </c>
      <c r="C236" s="110"/>
      <c r="D236" s="110">
        <v>4600</v>
      </c>
      <c r="E236" s="110"/>
      <c r="F236" s="110">
        <v>0</v>
      </c>
      <c r="G236" s="110"/>
      <c r="H236" s="110"/>
      <c r="I236" s="110"/>
      <c r="J236" s="110"/>
    </row>
    <row r="237" spans="1:10" x14ac:dyDescent="0.25">
      <c r="A237" s="111" t="s">
        <v>2183</v>
      </c>
      <c r="B237" s="287" t="s">
        <v>2172</v>
      </c>
      <c r="C237" s="110"/>
      <c r="D237" s="110">
        <v>2625</v>
      </c>
      <c r="E237" s="110"/>
      <c r="F237" s="110">
        <v>0</v>
      </c>
      <c r="G237" s="110"/>
      <c r="H237" s="110"/>
      <c r="I237" s="110"/>
      <c r="J237" s="110"/>
    </row>
    <row r="238" spans="1:10" x14ac:dyDescent="0.25">
      <c r="A238" s="111" t="s">
        <v>859</v>
      </c>
      <c r="B238" s="111"/>
      <c r="C238" s="110"/>
      <c r="D238" s="110">
        <v>410</v>
      </c>
      <c r="E238" s="110"/>
      <c r="F238" s="110"/>
      <c r="G238" s="110"/>
      <c r="H238" s="110"/>
      <c r="I238" s="110"/>
      <c r="J238" s="110"/>
    </row>
    <row r="239" spans="1:10" ht="15" x14ac:dyDescent="0.4">
      <c r="A239" s="111" t="s">
        <v>962</v>
      </c>
      <c r="B239" s="111"/>
      <c r="C239" s="113"/>
      <c r="D239" s="113">
        <v>300</v>
      </c>
      <c r="E239" s="110"/>
      <c r="F239" s="110"/>
      <c r="G239" s="110"/>
      <c r="H239" s="110"/>
      <c r="I239" s="110"/>
      <c r="J239" s="110"/>
    </row>
    <row r="240" spans="1:10" x14ac:dyDescent="0.25">
      <c r="A240" s="111" t="s">
        <v>1247</v>
      </c>
      <c r="B240" s="111"/>
      <c r="C240" s="110"/>
      <c r="D240" s="110">
        <f>SUM(D235:D239)</f>
        <v>9935</v>
      </c>
      <c r="E240" s="110"/>
      <c r="F240" s="110"/>
      <c r="G240" s="110"/>
      <c r="H240" s="110"/>
      <c r="I240" s="110"/>
      <c r="J240" s="110"/>
    </row>
    <row r="241" spans="1:10" x14ac:dyDescent="0.25">
      <c r="A241" s="111"/>
      <c r="B241" s="111"/>
      <c r="C241" s="110"/>
      <c r="D241" s="110"/>
      <c r="E241" s="110"/>
      <c r="F241" s="110"/>
      <c r="G241" s="110"/>
      <c r="H241" s="110"/>
      <c r="I241" s="110"/>
      <c r="J241" s="110"/>
    </row>
    <row r="242" spans="1:10" ht="13.8" x14ac:dyDescent="0.3">
      <c r="A242" s="115" t="s">
        <v>1359</v>
      </c>
      <c r="B242" s="111"/>
      <c r="C242" s="110"/>
      <c r="D242" s="110"/>
      <c r="E242" s="110">
        <v>35000</v>
      </c>
      <c r="F242" s="110">
        <v>75000</v>
      </c>
      <c r="G242" s="110">
        <v>75000</v>
      </c>
      <c r="H242" s="110">
        <v>75000</v>
      </c>
      <c r="I242" s="110">
        <v>75000</v>
      </c>
      <c r="J242" s="110">
        <v>75000</v>
      </c>
    </row>
    <row r="243" spans="1:10" x14ac:dyDescent="0.25">
      <c r="A243" s="111" t="s">
        <v>51</v>
      </c>
      <c r="B243" s="111"/>
      <c r="C243" s="110"/>
      <c r="D243" s="110">
        <v>75000</v>
      </c>
      <c r="E243" s="110"/>
      <c r="F243" s="110"/>
      <c r="G243" s="110"/>
      <c r="H243" s="110"/>
      <c r="I243" s="110"/>
      <c r="J243" s="110"/>
    </row>
    <row r="244" spans="1:10" x14ac:dyDescent="0.25">
      <c r="A244" s="111"/>
      <c r="B244" s="111"/>
      <c r="C244" s="110"/>
      <c r="D244" s="110"/>
      <c r="E244" s="110"/>
      <c r="F244" s="110"/>
      <c r="G244" s="110"/>
      <c r="H244" s="110"/>
      <c r="I244" s="110"/>
      <c r="J244" s="110"/>
    </row>
    <row r="245" spans="1:10" ht="13.8" x14ac:dyDescent="0.3">
      <c r="A245" s="276" t="s">
        <v>1596</v>
      </c>
      <c r="B245" s="2" t="s">
        <v>1794</v>
      </c>
      <c r="C245" s="2" t="s">
        <v>1970</v>
      </c>
      <c r="D245" s="2" t="s">
        <v>2129</v>
      </c>
      <c r="E245" s="2">
        <v>44356.25</v>
      </c>
      <c r="F245" s="2">
        <v>0</v>
      </c>
      <c r="G245" s="2">
        <v>75000</v>
      </c>
      <c r="H245" s="2">
        <v>75000</v>
      </c>
      <c r="I245" s="2">
        <v>75000</v>
      </c>
      <c r="J245" s="2">
        <v>75000</v>
      </c>
    </row>
    <row r="246" spans="1:10" x14ac:dyDescent="0.25">
      <c r="A246" s="111" t="s">
        <v>2318</v>
      </c>
      <c r="B246" s="110">
        <v>0</v>
      </c>
      <c r="C246" s="110">
        <v>0</v>
      </c>
      <c r="D246" s="110">
        <v>75000</v>
      </c>
      <c r="E246" s="110"/>
      <c r="F246" s="110"/>
      <c r="G246" s="110"/>
      <c r="H246" s="110"/>
      <c r="I246" s="110"/>
      <c r="J246" s="2"/>
    </row>
    <row r="247" spans="1:10" x14ac:dyDescent="0.25">
      <c r="A247" s="111" t="s">
        <v>1787</v>
      </c>
      <c r="B247" s="110">
        <v>0</v>
      </c>
      <c r="C247" s="110">
        <v>0</v>
      </c>
      <c r="D247" s="110">
        <v>0</v>
      </c>
      <c r="I247" s="2"/>
      <c r="J247" s="2"/>
    </row>
    <row r="248" spans="1:10" x14ac:dyDescent="0.25">
      <c r="A248" s="111" t="s">
        <v>1247</v>
      </c>
      <c r="B248" s="110">
        <f>SUM(B246:B247)</f>
        <v>0</v>
      </c>
      <c r="C248" s="110">
        <f>SUM(C246:C247)</f>
        <v>0</v>
      </c>
      <c r="D248" s="110">
        <f>SUM(D246:D247)</f>
        <v>75000</v>
      </c>
      <c r="E248" s="110"/>
      <c r="F248" s="110"/>
      <c r="G248" s="110"/>
      <c r="H248" s="110"/>
      <c r="I248" s="110"/>
      <c r="J248" s="2"/>
    </row>
    <row r="249" spans="1:10" x14ac:dyDescent="0.25">
      <c r="A249" s="111"/>
      <c r="B249" s="110"/>
      <c r="C249" s="110"/>
      <c r="D249" s="110"/>
      <c r="E249" s="110"/>
      <c r="F249" s="110"/>
      <c r="G249" s="110"/>
      <c r="H249" s="110"/>
      <c r="I249" s="110"/>
      <c r="J249" s="110"/>
    </row>
    <row r="250" spans="1:10" x14ac:dyDescent="0.25">
      <c r="A250" s="111" t="s">
        <v>2311</v>
      </c>
      <c r="B250" s="111"/>
      <c r="C250" s="110"/>
      <c r="D250" s="110"/>
      <c r="E250" s="110">
        <f t="shared" ref="E250:J250" si="3">SUM(E6:E248)</f>
        <v>1121581.0500000003</v>
      </c>
      <c r="F250" s="110">
        <f t="shared" si="3"/>
        <v>1188808</v>
      </c>
      <c r="G250" s="110">
        <f t="shared" si="3"/>
        <v>1309593.6000000001</v>
      </c>
      <c r="H250" s="110">
        <f t="shared" si="3"/>
        <v>1309594</v>
      </c>
      <c r="I250" s="110">
        <f>SUM(I6:I248)</f>
        <v>1309594</v>
      </c>
      <c r="J250" s="110">
        <f t="shared" si="3"/>
        <v>1309594</v>
      </c>
    </row>
    <row r="251" spans="1:10" x14ac:dyDescent="0.25">
      <c r="A251" s="62" t="s">
        <v>1356</v>
      </c>
      <c r="B251" s="111"/>
      <c r="C251" s="110"/>
      <c r="D251" s="110"/>
      <c r="E251" s="110">
        <v>4385.68</v>
      </c>
      <c r="F251" s="110">
        <v>3500</v>
      </c>
      <c r="G251" s="110">
        <v>23000</v>
      </c>
      <c r="H251" s="110">
        <v>23000</v>
      </c>
      <c r="I251" s="110">
        <v>23000</v>
      </c>
      <c r="J251" s="110">
        <v>23000</v>
      </c>
    </row>
    <row r="252" spans="1:10" ht="15" x14ac:dyDescent="0.4">
      <c r="A252" s="111" t="s">
        <v>1737</v>
      </c>
      <c r="B252" s="111"/>
      <c r="C252" s="110"/>
      <c r="D252" s="110"/>
      <c r="E252" s="113"/>
      <c r="F252" s="113"/>
      <c r="G252" s="113"/>
      <c r="H252" s="113"/>
      <c r="I252" s="113"/>
      <c r="J252" s="113"/>
    </row>
    <row r="253" spans="1:10" x14ac:dyDescent="0.25">
      <c r="A253" s="111"/>
      <c r="B253" s="111"/>
      <c r="C253" s="110"/>
      <c r="D253" s="110"/>
      <c r="E253" s="110"/>
      <c r="F253" s="110"/>
      <c r="G253" s="110"/>
      <c r="H253" s="110"/>
      <c r="I253" s="110"/>
      <c r="J253" s="110"/>
    </row>
    <row r="254" spans="1:10" x14ac:dyDescent="0.25">
      <c r="A254" s="111"/>
      <c r="B254" s="111"/>
      <c r="C254" s="110"/>
      <c r="D254" s="110"/>
      <c r="E254" s="110"/>
      <c r="F254" s="110"/>
      <c r="G254" s="110"/>
      <c r="H254" s="110"/>
      <c r="I254" s="110"/>
      <c r="J254" s="110"/>
    </row>
    <row r="255" spans="1:10" x14ac:dyDescent="0.25">
      <c r="A255" s="111" t="s">
        <v>1355</v>
      </c>
      <c r="B255" s="111"/>
      <c r="C255" s="110"/>
      <c r="D255" s="110"/>
      <c r="E255" s="110">
        <f t="shared" ref="E255:J255" si="4">+E250-E256+E252</f>
        <v>1117195.3700000003</v>
      </c>
      <c r="F255" s="110">
        <f t="shared" si="4"/>
        <v>1185308</v>
      </c>
      <c r="G255" s="110">
        <f t="shared" si="4"/>
        <v>1286593.6000000001</v>
      </c>
      <c r="H255" s="110">
        <f t="shared" si="4"/>
        <v>1286594</v>
      </c>
      <c r="I255" s="110">
        <f>+I250-I256+I252</f>
        <v>1286594</v>
      </c>
      <c r="J255" s="110">
        <f t="shared" si="4"/>
        <v>1286594</v>
      </c>
    </row>
    <row r="256" spans="1:10" x14ac:dyDescent="0.25">
      <c r="A256" s="111" t="s">
        <v>1356</v>
      </c>
      <c r="B256" s="111"/>
      <c r="C256" s="110"/>
      <c r="D256" s="110"/>
      <c r="E256" s="110">
        <f>SUM(E251:E251)</f>
        <v>4385.68</v>
      </c>
      <c r="F256" s="110">
        <f>SUM(F251:F251)</f>
        <v>3500</v>
      </c>
      <c r="G256" s="110">
        <v>23000</v>
      </c>
      <c r="H256" s="110">
        <v>23000</v>
      </c>
      <c r="I256" s="110">
        <v>23000</v>
      </c>
      <c r="J256" s="110">
        <v>23000</v>
      </c>
    </row>
    <row r="257" spans="1:10" x14ac:dyDescent="0.25">
      <c r="A257" s="111"/>
      <c r="B257" s="111"/>
      <c r="C257" s="111"/>
      <c r="D257" s="111"/>
      <c r="E257" s="111"/>
      <c r="F257" s="111"/>
      <c r="G257" s="110"/>
      <c r="H257" s="110"/>
      <c r="I257" s="110"/>
      <c r="J257" s="110"/>
    </row>
    <row r="258" spans="1:10" x14ac:dyDescent="0.25">
      <c r="A258" s="111" t="s">
        <v>594</v>
      </c>
      <c r="B258" s="111"/>
      <c r="C258" s="111"/>
      <c r="D258" s="111"/>
      <c r="E258" s="110">
        <f t="shared" ref="E258:J258" si="5">SUM(E6:E94)</f>
        <v>792702.33</v>
      </c>
      <c r="F258" s="110">
        <f t="shared" si="5"/>
        <v>870623</v>
      </c>
      <c r="G258" s="110">
        <f t="shared" si="5"/>
        <v>898491.6</v>
      </c>
      <c r="H258" s="110">
        <f t="shared" si="5"/>
        <v>898492</v>
      </c>
      <c r="I258" s="110">
        <f>SUM(I6:I94)</f>
        <v>898492</v>
      </c>
      <c r="J258" s="110">
        <f t="shared" si="5"/>
        <v>898492</v>
      </c>
    </row>
    <row r="259" spans="1:10" x14ac:dyDescent="0.25">
      <c r="A259" s="111" t="s">
        <v>957</v>
      </c>
      <c r="B259" s="111"/>
      <c r="C259" s="111"/>
      <c r="D259" s="111"/>
      <c r="E259" s="110">
        <f t="shared" ref="E259:J259" si="6">SUM(E96:E223)</f>
        <v>230648.97999999998</v>
      </c>
      <c r="F259" s="110">
        <f t="shared" si="6"/>
        <v>240475</v>
      </c>
      <c r="G259" s="110">
        <f t="shared" si="6"/>
        <v>251167</v>
      </c>
      <c r="H259" s="110">
        <f t="shared" si="6"/>
        <v>251167</v>
      </c>
      <c r="I259" s="110">
        <f>SUM(I96:I223)</f>
        <v>251167</v>
      </c>
      <c r="J259" s="110">
        <f t="shared" si="6"/>
        <v>251167</v>
      </c>
    </row>
    <row r="260" spans="1:10" ht="15" x14ac:dyDescent="0.4">
      <c r="A260" s="111" t="s">
        <v>958</v>
      </c>
      <c r="B260" s="111"/>
      <c r="C260" s="111"/>
      <c r="D260" s="111"/>
      <c r="E260" s="113">
        <f t="shared" ref="E260:J260" si="7">SUM(E234:E246)</f>
        <v>98229.74</v>
      </c>
      <c r="F260" s="113">
        <f t="shared" si="7"/>
        <v>77710</v>
      </c>
      <c r="G260" s="113">
        <f t="shared" si="7"/>
        <v>159935</v>
      </c>
      <c r="H260" s="113">
        <f t="shared" si="7"/>
        <v>159935</v>
      </c>
      <c r="I260" s="113">
        <f>SUM(I234:I246)</f>
        <v>159935</v>
      </c>
      <c r="J260" s="113">
        <f t="shared" si="7"/>
        <v>159935</v>
      </c>
    </row>
    <row r="261" spans="1:10" x14ac:dyDescent="0.25">
      <c r="A261" s="62" t="s">
        <v>491</v>
      </c>
      <c r="B261" s="62"/>
      <c r="C261" s="62"/>
      <c r="D261" s="62"/>
      <c r="E261" s="3">
        <f t="shared" ref="E261:J261" si="8">SUM(E258:E260)</f>
        <v>1121581.05</v>
      </c>
      <c r="F261" s="3">
        <f t="shared" si="8"/>
        <v>1188808</v>
      </c>
      <c r="G261" s="3">
        <f t="shared" si="8"/>
        <v>1309593.6000000001</v>
      </c>
      <c r="H261" s="3">
        <f t="shared" si="8"/>
        <v>1309594</v>
      </c>
      <c r="I261" s="3">
        <f>SUM(I258:I260)</f>
        <v>1309594</v>
      </c>
      <c r="J261" s="3">
        <f t="shared" si="8"/>
        <v>1309594</v>
      </c>
    </row>
    <row r="262" spans="1:10" x14ac:dyDescent="0.25">
      <c r="A262" s="62"/>
      <c r="B262" s="62"/>
      <c r="C262" s="62"/>
      <c r="I262" s="2"/>
    </row>
    <row r="263" spans="1:10" x14ac:dyDescent="0.25">
      <c r="A263" s="62"/>
      <c r="B263" s="62"/>
      <c r="C263" s="62"/>
      <c r="I263" s="2"/>
    </row>
    <row r="264" spans="1:10" x14ac:dyDescent="0.25">
      <c r="A264" s="62"/>
      <c r="B264" s="62"/>
      <c r="C264" s="62"/>
      <c r="I264" s="2"/>
    </row>
    <row r="265" spans="1:10" x14ac:dyDescent="0.25">
      <c r="A265" s="62"/>
      <c r="B265" s="62"/>
      <c r="C265" s="62"/>
      <c r="I265" s="2"/>
    </row>
    <row r="266" spans="1:10" x14ac:dyDescent="0.25">
      <c r="A266" s="62"/>
      <c r="B266" s="62"/>
      <c r="C266" s="62"/>
      <c r="I266" s="2"/>
    </row>
    <row r="267" spans="1:10" x14ac:dyDescent="0.25">
      <c r="A267" s="62"/>
      <c r="B267" s="62"/>
      <c r="C267" s="62"/>
      <c r="I267" s="2"/>
    </row>
    <row r="268" spans="1:10" x14ac:dyDescent="0.25">
      <c r="A268" s="62"/>
      <c r="B268" s="62"/>
      <c r="C268" s="62"/>
      <c r="I268" s="2"/>
    </row>
    <row r="269" spans="1:10" x14ac:dyDescent="0.25">
      <c r="A269" s="62"/>
      <c r="B269" s="62"/>
      <c r="C269" s="62"/>
      <c r="I269" s="2"/>
    </row>
    <row r="270" spans="1:10" x14ac:dyDescent="0.25">
      <c r="A270" s="62"/>
      <c r="B270" s="62"/>
      <c r="C270" s="62"/>
      <c r="I270" s="2"/>
    </row>
    <row r="271" spans="1:10" x14ac:dyDescent="0.25">
      <c r="A271" s="62"/>
      <c r="B271" s="62"/>
      <c r="C271" s="62"/>
      <c r="I271" s="2"/>
    </row>
    <row r="272" spans="1:10" x14ac:dyDescent="0.25">
      <c r="A272" s="62"/>
      <c r="B272" s="62"/>
      <c r="C272" s="62"/>
      <c r="D272" s="62"/>
      <c r="E272" s="62"/>
      <c r="I272" s="2"/>
    </row>
    <row r="273" spans="1:9" x14ac:dyDescent="0.25">
      <c r="A273" s="62"/>
      <c r="B273" s="62"/>
      <c r="C273" s="62"/>
      <c r="D273" s="62"/>
      <c r="E273" s="62"/>
      <c r="I273" s="2"/>
    </row>
    <row r="274" spans="1:9" x14ac:dyDescent="0.25">
      <c r="A274" s="62"/>
      <c r="B274" s="62"/>
      <c r="C274" s="62"/>
      <c r="D274" s="62"/>
      <c r="E274" s="62"/>
      <c r="I274" s="2"/>
    </row>
    <row r="275" spans="1:9" x14ac:dyDescent="0.25">
      <c r="A275" s="62"/>
      <c r="B275" s="62"/>
      <c r="C275" s="62"/>
      <c r="D275" s="62"/>
      <c r="E275" s="62"/>
      <c r="I275" s="2"/>
    </row>
    <row r="276" spans="1:9" ht="12.6" customHeight="1" x14ac:dyDescent="0.25">
      <c r="A276" s="62"/>
      <c r="B276" s="62"/>
      <c r="C276" s="62"/>
      <c r="D276" s="62"/>
      <c r="E276" s="62"/>
      <c r="I276" s="2"/>
    </row>
    <row r="277" spans="1:9" x14ac:dyDescent="0.25">
      <c r="I277" s="2"/>
    </row>
    <row r="278" spans="1:9" x14ac:dyDescent="0.25">
      <c r="I278" s="2"/>
    </row>
  </sheetData>
  <mergeCells count="1">
    <mergeCell ref="A1:I1"/>
  </mergeCells>
  <phoneticPr fontId="0" type="noConversion"/>
  <printOptions gridLines="1"/>
  <pageMargins left="0.75" right="0.16" top="0.51" bottom="0.22" header="0.39" footer="0"/>
  <pageSetup scale="81" fitToHeight="11" orientation="landscape" r:id="rId1"/>
  <headerFooter alignWithMargins="0"/>
  <rowBreaks count="4" manualBreakCount="4">
    <brk id="120" max="9" man="1"/>
    <brk id="167" max="9" man="1"/>
    <brk id="203" max="9" man="1"/>
    <brk id="244"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219"/>
  <sheetViews>
    <sheetView view="pageBreakPreview" zoomScaleNormal="100" zoomScaleSheetLayoutView="100" workbookViewId="0">
      <selection activeCell="K1" sqref="K1:K1048576"/>
    </sheetView>
  </sheetViews>
  <sheetFormatPr defaultColWidth="8.88671875" defaultRowHeight="13.2" x14ac:dyDescent="0.25"/>
  <cols>
    <col min="1" max="1" width="48.33203125" style="7" bestFit="1" customWidth="1"/>
    <col min="2" max="2" width="9" style="7" bestFit="1" customWidth="1"/>
    <col min="3" max="3" width="10.109375" style="7" customWidth="1"/>
    <col min="4" max="4" width="10.33203125" style="7" customWidth="1"/>
    <col min="5" max="7" width="10.88671875" style="7" customWidth="1"/>
    <col min="8" max="8" width="14" style="7" bestFit="1" customWidth="1"/>
    <col min="9" max="10" width="10.88671875" style="7" customWidth="1"/>
    <col min="11" max="16384" width="8.88671875" style="7"/>
  </cols>
  <sheetData>
    <row r="1" spans="1:10" x14ac:dyDescent="0.25">
      <c r="A1" s="307" t="str">
        <f>'SUMMARY BY FUND'!A1:J1</f>
        <v>2019-20 BUDGET</v>
      </c>
      <c r="B1" s="308"/>
      <c r="C1" s="308"/>
      <c r="D1" s="308"/>
      <c r="E1" s="308"/>
      <c r="F1" s="308"/>
      <c r="G1" s="308"/>
      <c r="H1" s="308"/>
      <c r="I1" s="308"/>
      <c r="J1" s="308"/>
    </row>
    <row r="2" spans="1:10" ht="17.399999999999999" x14ac:dyDescent="0.3">
      <c r="A2" s="180" t="s">
        <v>1944</v>
      </c>
      <c r="B2" s="180"/>
      <c r="C2" s="180"/>
      <c r="D2" s="180"/>
      <c r="E2" s="180"/>
      <c r="F2" s="180"/>
    </row>
    <row r="3" spans="1:10" x14ac:dyDescent="0.25">
      <c r="B3" s="2"/>
      <c r="C3" s="2"/>
      <c r="D3" s="2"/>
      <c r="E3" s="2"/>
      <c r="F3" s="2"/>
    </row>
    <row r="4" spans="1:10" x14ac:dyDescent="0.25">
      <c r="B4" s="2"/>
      <c r="C4" s="2"/>
      <c r="D4" s="2"/>
      <c r="E4" s="195" t="s">
        <v>233</v>
      </c>
      <c r="F4" s="195" t="s">
        <v>234</v>
      </c>
      <c r="G4" s="195" t="s">
        <v>70</v>
      </c>
      <c r="H4" s="195" t="s">
        <v>409</v>
      </c>
      <c r="I4" s="16" t="s">
        <v>314</v>
      </c>
      <c r="J4" s="16" t="s">
        <v>345</v>
      </c>
    </row>
    <row r="5" spans="1:10" ht="15" x14ac:dyDescent="0.4">
      <c r="B5" s="2"/>
      <c r="C5" s="2"/>
      <c r="D5" s="2"/>
      <c r="E5" s="225" t="s">
        <v>1794</v>
      </c>
      <c r="F5" s="225" t="s">
        <v>1970</v>
      </c>
      <c r="G5" s="225" t="s">
        <v>2129</v>
      </c>
      <c r="H5" s="225" t="s">
        <v>2129</v>
      </c>
      <c r="I5" s="225" t="s">
        <v>2129</v>
      </c>
      <c r="J5" s="225" t="s">
        <v>2129</v>
      </c>
    </row>
    <row r="6" spans="1:10" ht="13.8" x14ac:dyDescent="0.3">
      <c r="A6" s="204" t="s">
        <v>818</v>
      </c>
      <c r="B6" s="2"/>
      <c r="C6" s="2"/>
      <c r="D6" s="2"/>
      <c r="E6" s="2">
        <v>55444</v>
      </c>
      <c r="F6" s="2">
        <v>63971</v>
      </c>
      <c r="G6" s="2">
        <v>63971</v>
      </c>
      <c r="H6" s="2">
        <v>63971</v>
      </c>
      <c r="I6" s="2">
        <v>63971</v>
      </c>
      <c r="J6" s="2">
        <v>65243</v>
      </c>
    </row>
    <row r="7" spans="1:10" x14ac:dyDescent="0.25">
      <c r="A7" s="202" t="s">
        <v>819</v>
      </c>
      <c r="B7" s="2">
        <v>52</v>
      </c>
      <c r="C7" s="2">
        <v>1231</v>
      </c>
      <c r="D7" s="2">
        <f>ROUND(B7*C7,0)</f>
        <v>64012</v>
      </c>
      <c r="E7" s="2"/>
      <c r="F7" s="2"/>
      <c r="G7" s="2"/>
      <c r="H7" s="2"/>
      <c r="I7" s="2"/>
      <c r="J7" s="2"/>
    </row>
    <row r="8" spans="1:10" ht="15" x14ac:dyDescent="0.4">
      <c r="A8" s="202" t="s">
        <v>973</v>
      </c>
      <c r="B8" s="2"/>
      <c r="C8" s="2"/>
      <c r="D8" s="11">
        <f>+C7</f>
        <v>1231</v>
      </c>
      <c r="E8" s="2"/>
      <c r="F8" s="2"/>
      <c r="G8" s="2"/>
      <c r="H8" s="2"/>
      <c r="I8" s="2"/>
      <c r="J8" s="2"/>
    </row>
    <row r="9" spans="1:10" x14ac:dyDescent="0.25">
      <c r="A9" s="202" t="s">
        <v>1247</v>
      </c>
      <c r="B9" s="2"/>
      <c r="C9" s="2"/>
      <c r="D9" s="2">
        <f>SUM(D7:D8)</f>
        <v>65243</v>
      </c>
      <c r="E9" s="2"/>
      <c r="F9" s="2"/>
      <c r="G9" s="2"/>
      <c r="H9" s="2"/>
      <c r="I9" s="2"/>
      <c r="J9" s="2"/>
    </row>
    <row r="10" spans="1:10" x14ac:dyDescent="0.25">
      <c r="A10" s="202"/>
      <c r="B10" s="2"/>
      <c r="C10" s="2"/>
      <c r="D10" s="2"/>
      <c r="E10" s="2"/>
      <c r="F10" s="2"/>
      <c r="G10" s="2"/>
      <c r="H10" s="2"/>
      <c r="I10" s="2"/>
      <c r="J10" s="2"/>
    </row>
    <row r="11" spans="1:10" ht="13.8" x14ac:dyDescent="0.3">
      <c r="A11" s="204" t="s">
        <v>820</v>
      </c>
      <c r="B11" s="2"/>
      <c r="C11" s="2"/>
      <c r="D11" s="2"/>
      <c r="E11" s="2">
        <v>188624</v>
      </c>
      <c r="F11" s="2">
        <v>204761</v>
      </c>
      <c r="G11" s="2">
        <v>202577</v>
      </c>
      <c r="H11" s="2">
        <v>202577</v>
      </c>
      <c r="I11" s="2">
        <v>202577</v>
      </c>
      <c r="J11" s="2">
        <v>206789</v>
      </c>
    </row>
    <row r="12" spans="1:10" x14ac:dyDescent="0.25">
      <c r="A12" s="202" t="s">
        <v>1899</v>
      </c>
      <c r="B12" s="2">
        <v>52</v>
      </c>
      <c r="C12" s="202">
        <v>1072</v>
      </c>
      <c r="D12" s="2">
        <f>ROUND(B12*C12,0)</f>
        <v>55744</v>
      </c>
      <c r="E12" s="2"/>
      <c r="F12" s="2"/>
      <c r="G12" s="2"/>
      <c r="H12" s="2"/>
      <c r="I12" s="2"/>
      <c r="J12" s="2"/>
    </row>
    <row r="13" spans="1:10" x14ac:dyDescent="0.25">
      <c r="A13" s="202" t="s">
        <v>1899</v>
      </c>
      <c r="B13" s="2">
        <v>52</v>
      </c>
      <c r="C13" s="202">
        <v>1014</v>
      </c>
      <c r="D13" s="2">
        <f>ROUND(B13*C13,0)</f>
        <v>52728</v>
      </c>
      <c r="E13" s="2"/>
      <c r="F13" s="2"/>
      <c r="G13" s="2"/>
      <c r="H13" s="2"/>
      <c r="I13" s="2"/>
      <c r="J13" s="2"/>
    </row>
    <row r="14" spans="1:10" x14ac:dyDescent="0.25">
      <c r="A14" s="202" t="s">
        <v>1899</v>
      </c>
      <c r="B14" s="2">
        <v>52</v>
      </c>
      <c r="C14" s="202">
        <v>1052</v>
      </c>
      <c r="D14" s="2">
        <f>ROUND(B14*C14,0)</f>
        <v>54704</v>
      </c>
      <c r="E14" s="2"/>
      <c r="F14" s="2"/>
      <c r="G14" s="2"/>
      <c r="H14" s="2"/>
      <c r="I14" s="2"/>
      <c r="J14" s="2"/>
    </row>
    <row r="15" spans="1:10" x14ac:dyDescent="0.25">
      <c r="A15" s="202" t="s">
        <v>1145</v>
      </c>
      <c r="B15" s="2">
        <v>52</v>
      </c>
      <c r="C15" s="202">
        <v>822</v>
      </c>
      <c r="D15" s="2">
        <f>ROUND(B15*C15,0)</f>
        <v>42744</v>
      </c>
      <c r="E15" s="2"/>
      <c r="F15" s="2"/>
      <c r="G15" s="2"/>
      <c r="H15" s="2"/>
      <c r="I15" s="2"/>
      <c r="J15" s="2"/>
    </row>
    <row r="16" spans="1:10" ht="15" x14ac:dyDescent="0.4">
      <c r="A16" s="202" t="s">
        <v>973</v>
      </c>
      <c r="B16" s="2"/>
      <c r="C16" s="2"/>
      <c r="D16" s="11">
        <v>869</v>
      </c>
      <c r="E16" s="2"/>
      <c r="F16" s="2"/>
      <c r="G16" s="2"/>
      <c r="H16" s="2"/>
      <c r="I16" s="2"/>
      <c r="J16" s="2"/>
    </row>
    <row r="17" spans="1:10" x14ac:dyDescent="0.25">
      <c r="A17" s="202" t="s">
        <v>1247</v>
      </c>
      <c r="B17" s="2"/>
      <c r="C17" s="2"/>
      <c r="D17" s="2">
        <f>SUM(D12:D16)</f>
        <v>206789</v>
      </c>
      <c r="E17" s="2"/>
      <c r="F17" s="2"/>
      <c r="G17" s="2"/>
      <c r="H17" s="2"/>
      <c r="I17" s="2"/>
      <c r="J17" s="2"/>
    </row>
    <row r="18" spans="1:10" x14ac:dyDescent="0.25">
      <c r="A18" s="202"/>
      <c r="B18" s="202"/>
      <c r="C18" s="202"/>
      <c r="D18" s="2"/>
      <c r="E18" s="2"/>
      <c r="F18" s="2"/>
      <c r="G18" s="2"/>
      <c r="H18" s="2"/>
      <c r="I18" s="2"/>
      <c r="J18" s="2"/>
    </row>
    <row r="19" spans="1:10" ht="13.8" x14ac:dyDescent="0.3">
      <c r="A19" s="204" t="s">
        <v>1327</v>
      </c>
      <c r="B19" s="202"/>
      <c r="C19" s="202"/>
      <c r="D19" s="2"/>
      <c r="E19" s="2">
        <v>4373.04</v>
      </c>
      <c r="F19" s="2">
        <v>3395</v>
      </c>
      <c r="G19" s="2">
        <v>3395</v>
      </c>
      <c r="H19" s="2">
        <v>3395</v>
      </c>
      <c r="I19" s="2">
        <v>3395</v>
      </c>
      <c r="J19" s="2">
        <v>3462</v>
      </c>
    </row>
    <row r="20" spans="1:10" x14ac:dyDescent="0.25">
      <c r="A20" s="202" t="s">
        <v>819</v>
      </c>
      <c r="B20" s="2">
        <v>75</v>
      </c>
      <c r="C20" s="12">
        <f>+C7/40*1.5</f>
        <v>46.162499999999994</v>
      </c>
      <c r="D20" s="2">
        <f>ROUND(B20*C20,0)</f>
        <v>3462</v>
      </c>
      <c r="E20" s="2"/>
      <c r="F20" s="2"/>
      <c r="G20" s="2"/>
      <c r="H20" s="2"/>
      <c r="I20" s="2"/>
      <c r="J20" s="2"/>
    </row>
    <row r="21" spans="1:10" x14ac:dyDescent="0.25">
      <c r="A21" s="202"/>
      <c r="B21" s="2"/>
      <c r="C21" s="12"/>
      <c r="D21" s="2"/>
      <c r="E21" s="2"/>
      <c r="F21" s="2"/>
      <c r="G21" s="2"/>
      <c r="H21" s="2"/>
      <c r="I21" s="2"/>
      <c r="J21" s="2"/>
    </row>
    <row r="22" spans="1:10" ht="13.8" x14ac:dyDescent="0.3">
      <c r="A22" s="204" t="s">
        <v>130</v>
      </c>
      <c r="B22" s="2"/>
      <c r="C22" s="12"/>
      <c r="D22" s="2"/>
      <c r="E22" s="2"/>
      <c r="F22" s="2"/>
      <c r="G22" s="2"/>
      <c r="H22" s="2"/>
      <c r="I22" s="2"/>
      <c r="J22" s="2"/>
    </row>
    <row r="23" spans="1:10" x14ac:dyDescent="0.25">
      <c r="A23" s="202"/>
      <c r="B23" s="2"/>
      <c r="C23" s="12"/>
      <c r="D23" s="2"/>
      <c r="E23" s="2"/>
      <c r="F23" s="2"/>
      <c r="G23" s="2"/>
      <c r="H23" s="2"/>
      <c r="I23" s="2"/>
      <c r="J23" s="2"/>
    </row>
    <row r="24" spans="1:10" ht="13.8" x14ac:dyDescent="0.3">
      <c r="A24" s="204" t="s">
        <v>1328</v>
      </c>
      <c r="B24" s="202"/>
      <c r="C24" s="202"/>
      <c r="D24" s="2"/>
      <c r="E24" s="2">
        <v>4698.99</v>
      </c>
      <c r="F24" s="2">
        <v>4689</v>
      </c>
      <c r="G24" s="2">
        <v>4546</v>
      </c>
      <c r="H24" s="2">
        <v>4546</v>
      </c>
      <c r="I24" s="2">
        <v>4546</v>
      </c>
      <c r="J24" s="2">
        <v>4641</v>
      </c>
    </row>
    <row r="25" spans="1:10" x14ac:dyDescent="0.25">
      <c r="A25" s="202" t="s">
        <v>1329</v>
      </c>
      <c r="B25" s="2">
        <v>125</v>
      </c>
      <c r="C25" s="12">
        <f>SUM(C12:C16)/40*1.5/4</f>
        <v>37.125</v>
      </c>
      <c r="D25" s="2">
        <f>ROUND(B25*C25,0)</f>
        <v>4641</v>
      </c>
      <c r="E25" s="2"/>
      <c r="F25" s="2"/>
      <c r="G25" s="2"/>
      <c r="H25" s="2"/>
      <c r="I25" s="2"/>
      <c r="J25" s="2"/>
    </row>
    <row r="26" spans="1:10" x14ac:dyDescent="0.25">
      <c r="A26" s="202"/>
      <c r="B26" s="2"/>
      <c r="C26" s="12"/>
      <c r="D26" s="2"/>
      <c r="E26" s="2"/>
      <c r="F26" s="2"/>
      <c r="G26" s="2"/>
      <c r="H26" s="2"/>
      <c r="I26" s="2"/>
      <c r="J26" s="2"/>
    </row>
    <row r="27" spans="1:10" ht="13.8" x14ac:dyDescent="0.3">
      <c r="A27" s="204" t="s">
        <v>1330</v>
      </c>
      <c r="B27" s="202"/>
      <c r="C27" s="202"/>
      <c r="D27" s="2"/>
      <c r="E27" s="2">
        <v>21046.2</v>
      </c>
      <c r="F27" s="2">
        <v>21170</v>
      </c>
      <c r="G27" s="2">
        <v>20999</v>
      </c>
      <c r="H27" s="2">
        <v>20999</v>
      </c>
      <c r="I27" s="2">
        <v>20999</v>
      </c>
      <c r="J27" s="2">
        <v>21430</v>
      </c>
    </row>
    <row r="28" spans="1:10" x14ac:dyDescent="0.25">
      <c r="A28" s="13" t="s">
        <v>1468</v>
      </c>
      <c r="B28" s="2">
        <f>+D9</f>
        <v>65243</v>
      </c>
      <c r="C28" s="14">
        <v>7.6499999999999999E-2</v>
      </c>
      <c r="D28" s="2">
        <f>ROUND(B28*C28,0)</f>
        <v>4991</v>
      </c>
      <c r="E28" s="2"/>
      <c r="F28" s="2"/>
      <c r="G28" s="2"/>
      <c r="H28" s="2"/>
      <c r="I28" s="2"/>
      <c r="J28" s="2"/>
    </row>
    <row r="29" spans="1:10" x14ac:dyDescent="0.25">
      <c r="A29" s="13" t="s">
        <v>807</v>
      </c>
      <c r="B29" s="2">
        <f>+D17</f>
        <v>206789</v>
      </c>
      <c r="C29" s="14">
        <v>7.6499999999999999E-2</v>
      </c>
      <c r="D29" s="2">
        <f>ROUND(B29*C29,0)</f>
        <v>15819</v>
      </c>
      <c r="E29" s="2"/>
      <c r="F29" s="2"/>
      <c r="G29" s="2"/>
      <c r="H29" s="2"/>
      <c r="I29" s="2"/>
      <c r="J29" s="2"/>
    </row>
    <row r="30" spans="1:10" x14ac:dyDescent="0.25">
      <c r="A30" s="13" t="s">
        <v>897</v>
      </c>
      <c r="B30" s="2">
        <f>+D20</f>
        <v>3462</v>
      </c>
      <c r="C30" s="14">
        <v>7.6499999999999999E-2</v>
      </c>
      <c r="D30" s="2">
        <f>ROUND(B30*C30,0)</f>
        <v>265</v>
      </c>
      <c r="E30" s="2"/>
      <c r="F30" s="2"/>
      <c r="G30" s="2"/>
      <c r="H30" s="2"/>
      <c r="I30" s="2"/>
      <c r="J30" s="2"/>
    </row>
    <row r="31" spans="1:10" ht="15" x14ac:dyDescent="0.4">
      <c r="A31" s="13" t="s">
        <v>185</v>
      </c>
      <c r="B31" s="2">
        <f>+D25</f>
        <v>4641</v>
      </c>
      <c r="C31" s="14">
        <v>7.6499999999999999E-2</v>
      </c>
      <c r="D31" s="11">
        <f>ROUND(B31*C31,0)</f>
        <v>355</v>
      </c>
      <c r="E31" s="2"/>
      <c r="F31" s="2"/>
      <c r="G31" s="2"/>
      <c r="H31" s="2"/>
      <c r="I31" s="2"/>
      <c r="J31" s="2"/>
    </row>
    <row r="32" spans="1:10" x14ac:dyDescent="0.25">
      <c r="A32" s="202" t="s">
        <v>1247</v>
      </c>
      <c r="B32" s="202"/>
      <c r="C32" s="202"/>
      <c r="D32" s="2">
        <f>SUM(D28:D31)</f>
        <v>21430</v>
      </c>
      <c r="E32" s="2"/>
      <c r="F32" s="2"/>
      <c r="G32" s="2"/>
      <c r="H32" s="2"/>
      <c r="I32" s="2"/>
      <c r="J32" s="2"/>
    </row>
    <row r="33" spans="1:10" x14ac:dyDescent="0.25">
      <c r="A33" s="202"/>
      <c r="B33" s="202"/>
      <c r="C33" s="202"/>
      <c r="D33" s="2"/>
      <c r="E33" s="2"/>
      <c r="F33" s="2"/>
      <c r="G33" s="2"/>
      <c r="H33" s="2"/>
      <c r="I33" s="2"/>
      <c r="J33" s="2"/>
    </row>
    <row r="34" spans="1:10" x14ac:dyDescent="0.25">
      <c r="A34" s="202"/>
      <c r="B34" s="202"/>
      <c r="C34" s="202"/>
      <c r="D34" s="2"/>
      <c r="E34" s="2"/>
      <c r="F34" s="2"/>
      <c r="G34" s="2"/>
      <c r="H34" s="2"/>
      <c r="I34" s="2"/>
      <c r="J34" s="2"/>
    </row>
    <row r="35" spans="1:10" ht="13.8" x14ac:dyDescent="0.3">
      <c r="A35" s="204" t="s">
        <v>1331</v>
      </c>
      <c r="B35" s="202"/>
      <c r="C35" s="202"/>
      <c r="D35" s="2"/>
      <c r="E35" s="2">
        <v>30144.62</v>
      </c>
      <c r="F35" s="2">
        <v>31491</v>
      </c>
      <c r="G35" s="2">
        <v>30661</v>
      </c>
      <c r="H35" s="2">
        <v>30661</v>
      </c>
      <c r="I35" s="2">
        <v>30661</v>
      </c>
      <c r="J35" s="2">
        <v>31291</v>
      </c>
    </row>
    <row r="36" spans="1:10" x14ac:dyDescent="0.25">
      <c r="A36" s="13" t="s">
        <v>1468</v>
      </c>
      <c r="B36" s="2">
        <f>+D9</f>
        <v>65243</v>
      </c>
      <c r="C36" s="32">
        <v>0.11169999999999999</v>
      </c>
      <c r="D36" s="2">
        <f>ROUND(B36*C36,0)</f>
        <v>7288</v>
      </c>
      <c r="E36" s="2"/>
      <c r="F36" s="2"/>
      <c r="G36" s="2"/>
      <c r="H36" s="2"/>
      <c r="I36" s="2"/>
      <c r="J36" s="2"/>
    </row>
    <row r="37" spans="1:10" x14ac:dyDescent="0.25">
      <c r="A37" s="13" t="s">
        <v>807</v>
      </c>
      <c r="B37" s="2">
        <f>+D17</f>
        <v>206789</v>
      </c>
      <c r="C37" s="32">
        <v>0.11169999999999999</v>
      </c>
      <c r="D37" s="2">
        <f>ROUND(B37*C37,0)</f>
        <v>23098</v>
      </c>
      <c r="E37" s="2"/>
      <c r="F37" s="2"/>
      <c r="G37" s="2"/>
      <c r="H37" s="2"/>
      <c r="I37" s="2"/>
      <c r="J37" s="2"/>
    </row>
    <row r="38" spans="1:10" x14ac:dyDescent="0.25">
      <c r="A38" s="13" t="s">
        <v>897</v>
      </c>
      <c r="B38" s="2">
        <f>+D20</f>
        <v>3462</v>
      </c>
      <c r="C38" s="32">
        <v>0.11169999999999999</v>
      </c>
      <c r="D38" s="2">
        <f>ROUND(B38*C38,0)</f>
        <v>387</v>
      </c>
      <c r="E38" s="2"/>
      <c r="F38" s="2"/>
      <c r="G38" s="2"/>
      <c r="H38" s="2"/>
      <c r="I38" s="2"/>
      <c r="J38" s="2"/>
    </row>
    <row r="39" spans="1:10" ht="15" x14ac:dyDescent="0.4">
      <c r="A39" s="13" t="s">
        <v>185</v>
      </c>
      <c r="B39" s="2">
        <f>+B31</f>
        <v>4641</v>
      </c>
      <c r="C39" s="32">
        <v>0.11169999999999999</v>
      </c>
      <c r="D39" s="11">
        <f>ROUND(B39*C39,0)</f>
        <v>518</v>
      </c>
      <c r="E39" s="2"/>
      <c r="F39" s="2"/>
      <c r="G39" s="2"/>
      <c r="H39" s="2"/>
      <c r="I39" s="2"/>
      <c r="J39" s="2"/>
    </row>
    <row r="40" spans="1:10" x14ac:dyDescent="0.25">
      <c r="A40" s="202" t="s">
        <v>1247</v>
      </c>
      <c r="B40" s="2"/>
      <c r="C40" s="14"/>
      <c r="D40" s="2">
        <f>SUM(D36:D39)</f>
        <v>31291</v>
      </c>
      <c r="E40" s="2"/>
      <c r="F40" s="2"/>
      <c r="G40" s="2"/>
      <c r="H40" s="2"/>
      <c r="I40" s="2"/>
      <c r="J40" s="2"/>
    </row>
    <row r="41" spans="1:10" x14ac:dyDescent="0.25">
      <c r="A41" s="202"/>
      <c r="B41" s="202"/>
      <c r="C41" s="202"/>
      <c r="D41" s="2"/>
      <c r="E41" s="2"/>
      <c r="F41" s="2"/>
      <c r="G41" s="2"/>
      <c r="H41" s="2"/>
      <c r="I41" s="2"/>
      <c r="J41" s="2"/>
    </row>
    <row r="42" spans="1:10" ht="13.8" x14ac:dyDescent="0.3">
      <c r="A42" s="204" t="s">
        <v>902</v>
      </c>
      <c r="B42" s="202"/>
      <c r="C42" s="202"/>
      <c r="D42" s="2"/>
      <c r="E42" s="2">
        <v>57671.7</v>
      </c>
      <c r="F42" s="2">
        <v>91500</v>
      </c>
      <c r="G42" s="2">
        <v>93000</v>
      </c>
      <c r="H42" s="2">
        <v>95125</v>
      </c>
      <c r="I42" s="2">
        <v>95125</v>
      </c>
      <c r="J42" s="2">
        <v>95125</v>
      </c>
    </row>
    <row r="43" spans="1:10" x14ac:dyDescent="0.25">
      <c r="A43" s="202" t="s">
        <v>416</v>
      </c>
      <c r="B43" s="2">
        <v>4</v>
      </c>
      <c r="C43" s="2">
        <v>19025</v>
      </c>
      <c r="D43" s="2">
        <f>ROUND(B43*C43,0)</f>
        <v>76100</v>
      </c>
      <c r="E43" s="2"/>
      <c r="F43" s="2"/>
      <c r="G43" s="2"/>
      <c r="H43" s="2"/>
      <c r="I43" s="2"/>
      <c r="J43" s="2"/>
    </row>
    <row r="44" spans="1:10" ht="15" x14ac:dyDescent="0.4">
      <c r="A44" s="202" t="s">
        <v>347</v>
      </c>
      <c r="B44" s="2">
        <v>1</v>
      </c>
      <c r="C44" s="2">
        <v>19025</v>
      </c>
      <c r="D44" s="11">
        <f>ROUND(B44*C44,0)</f>
        <v>19025</v>
      </c>
      <c r="E44" s="2"/>
      <c r="F44" s="2"/>
      <c r="G44" s="2"/>
      <c r="H44" s="2"/>
      <c r="I44" s="2"/>
      <c r="J44" s="2"/>
    </row>
    <row r="45" spans="1:10" x14ac:dyDescent="0.25">
      <c r="A45" s="202" t="s">
        <v>801</v>
      </c>
      <c r="B45" s="2"/>
      <c r="C45" s="2"/>
      <c r="D45" s="2">
        <f>SUM(D43:D44)</f>
        <v>95125</v>
      </c>
      <c r="E45" s="2"/>
      <c r="F45" s="2"/>
      <c r="G45" s="2"/>
      <c r="H45" s="2"/>
      <c r="I45" s="2"/>
      <c r="J45" s="2"/>
    </row>
    <row r="46" spans="1:10" x14ac:dyDescent="0.25">
      <c r="A46" s="202"/>
      <c r="B46" s="202"/>
      <c r="C46" s="202"/>
      <c r="D46" s="2"/>
      <c r="E46" s="2"/>
      <c r="F46" s="2"/>
      <c r="G46" s="2"/>
      <c r="H46" s="2"/>
      <c r="I46" s="2"/>
      <c r="J46" s="2"/>
    </row>
    <row r="47" spans="1:10" ht="13.8" x14ac:dyDescent="0.3">
      <c r="A47" s="204" t="s">
        <v>903</v>
      </c>
      <c r="B47" s="202"/>
      <c r="C47" s="202"/>
      <c r="D47" s="2"/>
      <c r="E47" s="2">
        <v>4111.8599999999997</v>
      </c>
      <c r="F47" s="2">
        <v>5850</v>
      </c>
      <c r="G47" s="2">
        <v>6008</v>
      </c>
      <c r="H47" s="2">
        <v>6075</v>
      </c>
      <c r="I47" s="2">
        <v>6075</v>
      </c>
      <c r="J47" s="2">
        <v>6075</v>
      </c>
    </row>
    <row r="48" spans="1:10" x14ac:dyDescent="0.25">
      <c r="A48" s="202" t="s">
        <v>416</v>
      </c>
      <c r="B48" s="2">
        <v>5</v>
      </c>
      <c r="C48" s="2">
        <v>1350</v>
      </c>
      <c r="D48" s="2">
        <f>ROUND(B48*C48,0)</f>
        <v>6750</v>
      </c>
      <c r="E48" s="2"/>
      <c r="F48" s="2"/>
      <c r="G48" s="2"/>
      <c r="H48" s="2"/>
      <c r="I48" s="2"/>
      <c r="J48" s="2"/>
    </row>
    <row r="49" spans="1:10" ht="15" x14ac:dyDescent="0.4">
      <c r="A49" s="202" t="s">
        <v>1745</v>
      </c>
      <c r="B49" s="2"/>
      <c r="C49" s="2"/>
      <c r="D49" s="11">
        <f>+D48*-0.1</f>
        <v>-675</v>
      </c>
      <c r="E49" s="2"/>
      <c r="F49" s="2"/>
      <c r="G49" s="2"/>
      <c r="H49" s="2"/>
      <c r="I49" s="2"/>
      <c r="J49" s="2"/>
    </row>
    <row r="50" spans="1:10" x14ac:dyDescent="0.25">
      <c r="A50" s="25"/>
      <c r="B50" s="26"/>
      <c r="C50" s="26"/>
      <c r="D50" s="26">
        <f>SUM(D48:D49)</f>
        <v>6075</v>
      </c>
      <c r="E50" s="2"/>
      <c r="F50" s="2"/>
      <c r="G50" s="2"/>
      <c r="H50" s="2"/>
      <c r="I50" s="2"/>
      <c r="J50" s="2"/>
    </row>
    <row r="51" spans="1:10" x14ac:dyDescent="0.25">
      <c r="A51" s="202"/>
      <c r="B51" s="202"/>
      <c r="C51" s="202"/>
      <c r="D51" s="2"/>
      <c r="E51" s="2"/>
      <c r="F51" s="2"/>
      <c r="G51" s="2"/>
      <c r="H51" s="2"/>
      <c r="I51" s="2"/>
      <c r="J51" s="2"/>
    </row>
    <row r="52" spans="1:10" ht="13.8" x14ac:dyDescent="0.3">
      <c r="A52" s="204" t="s">
        <v>904</v>
      </c>
      <c r="B52" s="202"/>
      <c r="C52" s="202"/>
      <c r="D52" s="2"/>
      <c r="E52" s="2">
        <v>231.28</v>
      </c>
      <c r="F52" s="2">
        <v>275</v>
      </c>
      <c r="G52" s="2">
        <v>275</v>
      </c>
      <c r="H52" s="2">
        <v>275</v>
      </c>
      <c r="I52" s="2">
        <v>275</v>
      </c>
      <c r="J52" s="2">
        <v>275</v>
      </c>
    </row>
    <row r="53" spans="1:10" hidden="1" x14ac:dyDescent="0.25">
      <c r="A53" s="202" t="s">
        <v>348</v>
      </c>
      <c r="B53" s="2">
        <v>1</v>
      </c>
      <c r="C53" s="2">
        <v>135</v>
      </c>
      <c r="D53" s="2">
        <f>ROUND(B53*C53,0)</f>
        <v>135</v>
      </c>
      <c r="E53" s="2"/>
      <c r="F53" s="2"/>
      <c r="G53" s="2"/>
      <c r="H53" s="2"/>
      <c r="I53" s="2"/>
      <c r="J53" s="2"/>
    </row>
    <row r="54" spans="1:10" ht="15" hidden="1" x14ac:dyDescent="0.4">
      <c r="A54" s="202" t="s">
        <v>1059</v>
      </c>
      <c r="B54" s="2">
        <v>4</v>
      </c>
      <c r="C54" s="2">
        <v>35</v>
      </c>
      <c r="D54" s="11">
        <f>ROUND(B54*C54,0)</f>
        <v>140</v>
      </c>
      <c r="E54" s="2"/>
      <c r="F54" s="2"/>
      <c r="G54" s="2"/>
      <c r="H54" s="2"/>
      <c r="I54" s="2"/>
      <c r="J54" s="2"/>
    </row>
    <row r="55" spans="1:10" hidden="1" x14ac:dyDescent="0.25">
      <c r="A55" s="202" t="s">
        <v>1247</v>
      </c>
      <c r="B55" s="202"/>
      <c r="C55" s="202"/>
      <c r="D55" s="2">
        <f>SUM(D53:D54)</f>
        <v>275</v>
      </c>
      <c r="E55" s="2"/>
      <c r="F55" s="2"/>
      <c r="G55" s="2"/>
      <c r="H55" s="2"/>
      <c r="I55" s="2"/>
      <c r="J55" s="2"/>
    </row>
    <row r="56" spans="1:10" x14ac:dyDescent="0.25">
      <c r="A56" s="202"/>
      <c r="B56" s="202"/>
      <c r="C56" s="202"/>
      <c r="D56" s="2"/>
      <c r="E56" s="2"/>
      <c r="F56" s="2"/>
      <c r="G56" s="2"/>
      <c r="H56" s="2"/>
      <c r="I56" s="2"/>
      <c r="J56" s="2"/>
    </row>
    <row r="57" spans="1:10" ht="13.8" x14ac:dyDescent="0.3">
      <c r="A57" s="204" t="s">
        <v>1465</v>
      </c>
      <c r="B57" s="202"/>
      <c r="C57" s="202"/>
      <c r="D57" s="2"/>
      <c r="E57" s="2">
        <v>1481.7</v>
      </c>
      <c r="F57" s="2">
        <v>3150</v>
      </c>
      <c r="G57" s="2">
        <v>3000</v>
      </c>
      <c r="H57" s="2">
        <v>3000</v>
      </c>
      <c r="I57" s="2">
        <v>3000</v>
      </c>
      <c r="J57" s="2">
        <v>3000</v>
      </c>
    </row>
    <row r="58" spans="1:10" x14ac:dyDescent="0.25">
      <c r="A58" s="202" t="s">
        <v>827</v>
      </c>
      <c r="B58" s="2">
        <v>5</v>
      </c>
      <c r="C58" s="2">
        <v>600</v>
      </c>
      <c r="D58" s="2">
        <f>ROUND(B58*C58,0)</f>
        <v>3000</v>
      </c>
      <c r="E58" s="2"/>
      <c r="F58" s="2"/>
      <c r="G58" s="2"/>
      <c r="H58" s="2"/>
      <c r="I58" s="2"/>
      <c r="J58" s="2"/>
    </row>
    <row r="59" spans="1:10" x14ac:dyDescent="0.25">
      <c r="A59" s="202"/>
      <c r="B59" s="202"/>
      <c r="C59" s="202"/>
      <c r="D59" s="2"/>
      <c r="E59" s="2"/>
      <c r="F59" s="2"/>
      <c r="G59" s="2"/>
      <c r="H59" s="2"/>
      <c r="I59" s="2"/>
      <c r="J59" s="2"/>
    </row>
    <row r="60" spans="1:10" ht="13.8" x14ac:dyDescent="0.3">
      <c r="A60" s="204" t="s">
        <v>1466</v>
      </c>
      <c r="B60" s="202"/>
      <c r="C60" s="202"/>
      <c r="D60" s="2"/>
      <c r="E60" s="2">
        <v>4664.92</v>
      </c>
      <c r="F60" s="2">
        <v>6420</v>
      </c>
      <c r="G60" s="2">
        <v>6368</v>
      </c>
      <c r="H60" s="2">
        <v>6368</v>
      </c>
      <c r="I60" s="2">
        <v>6368</v>
      </c>
      <c r="J60" s="2">
        <v>6500</v>
      </c>
    </row>
    <row r="61" spans="1:10" x14ac:dyDescent="0.25">
      <c r="A61" s="13" t="s">
        <v>1468</v>
      </c>
      <c r="B61" s="2">
        <f>+D9</f>
        <v>65243</v>
      </c>
      <c r="C61" s="14">
        <v>2.3199999999999998E-2</v>
      </c>
      <c r="D61" s="2">
        <f>ROUND(B61*C61,0)</f>
        <v>1514</v>
      </c>
      <c r="E61" s="2"/>
      <c r="F61" s="2"/>
      <c r="G61" s="2"/>
      <c r="H61" s="2"/>
      <c r="I61" s="2"/>
      <c r="J61" s="2"/>
    </row>
    <row r="62" spans="1:10" x14ac:dyDescent="0.25">
      <c r="A62" s="13" t="s">
        <v>807</v>
      </c>
      <c r="B62" s="2">
        <f>+D17</f>
        <v>206789</v>
      </c>
      <c r="C62" s="14">
        <v>2.3199999999999998E-2</v>
      </c>
      <c r="D62" s="2">
        <f>ROUND(B62*C62,0)</f>
        <v>4798</v>
      </c>
      <c r="E62" s="2"/>
      <c r="F62" s="2"/>
      <c r="G62" s="2"/>
      <c r="H62" s="2"/>
      <c r="I62" s="2"/>
      <c r="J62" s="2"/>
    </row>
    <row r="63" spans="1:10" x14ac:dyDescent="0.25">
      <c r="A63" s="13" t="s">
        <v>1982</v>
      </c>
      <c r="B63" s="2">
        <f>ROUND(D20,0)</f>
        <v>3462</v>
      </c>
      <c r="C63" s="14">
        <v>2.3199999999999998E-2</v>
      </c>
      <c r="D63" s="2">
        <f>ROUND(B63*C63,0)</f>
        <v>80</v>
      </c>
      <c r="E63" s="2"/>
      <c r="F63" s="2"/>
      <c r="G63" s="2"/>
      <c r="H63" s="2"/>
      <c r="I63" s="2"/>
      <c r="J63" s="2"/>
    </row>
    <row r="64" spans="1:10" ht="15" x14ac:dyDescent="0.4">
      <c r="A64" s="13" t="s">
        <v>1983</v>
      </c>
      <c r="B64" s="2">
        <f>ROUND(D25,0)</f>
        <v>4641</v>
      </c>
      <c r="C64" s="14">
        <v>2.3199999999999998E-2</v>
      </c>
      <c r="D64" s="11">
        <f>ROUND(B64*C64,0)</f>
        <v>108</v>
      </c>
      <c r="E64" s="2"/>
      <c r="F64" s="2"/>
      <c r="G64" s="2"/>
      <c r="H64" s="2"/>
      <c r="I64" s="2"/>
      <c r="J64" s="2"/>
    </row>
    <row r="65" spans="1:10" x14ac:dyDescent="0.25">
      <c r="A65" s="202" t="s">
        <v>1247</v>
      </c>
      <c r="B65" s="202"/>
      <c r="C65" s="202"/>
      <c r="D65" s="2">
        <f>SUM(D61:D64)</f>
        <v>6500</v>
      </c>
      <c r="E65" s="2"/>
      <c r="F65" s="2"/>
      <c r="G65" s="2"/>
      <c r="H65" s="2"/>
      <c r="I65" s="2"/>
      <c r="J65" s="2"/>
    </row>
    <row r="66" spans="1:10" x14ac:dyDescent="0.25">
      <c r="A66" s="202"/>
      <c r="B66" s="202"/>
      <c r="C66" s="202"/>
      <c r="D66" s="2"/>
      <c r="E66" s="2"/>
      <c r="F66" s="2"/>
      <c r="G66" s="2"/>
      <c r="H66" s="2"/>
      <c r="I66" s="2"/>
      <c r="J66" s="2"/>
    </row>
    <row r="67" spans="1:10" ht="13.8" x14ac:dyDescent="0.3">
      <c r="A67" s="204" t="s">
        <v>480</v>
      </c>
      <c r="B67" s="202"/>
      <c r="C67" s="202"/>
      <c r="D67" s="2"/>
      <c r="E67" s="2">
        <v>126</v>
      </c>
      <c r="F67" s="2">
        <v>130</v>
      </c>
      <c r="G67" s="2">
        <v>130</v>
      </c>
      <c r="H67" s="2">
        <v>130</v>
      </c>
      <c r="I67" s="2">
        <v>130</v>
      </c>
      <c r="J67" s="2">
        <v>130</v>
      </c>
    </row>
    <row r="68" spans="1:10" hidden="1" x14ac:dyDescent="0.25">
      <c r="A68" s="13" t="s">
        <v>1468</v>
      </c>
      <c r="B68" s="2">
        <v>1</v>
      </c>
      <c r="C68" s="2">
        <v>26</v>
      </c>
      <c r="D68" s="2">
        <f>ROUND(B68*C68,0)</f>
        <v>26</v>
      </c>
      <c r="E68" s="2"/>
      <c r="F68" s="2"/>
      <c r="G68" s="2"/>
      <c r="H68" s="2"/>
      <c r="I68" s="2"/>
      <c r="J68" s="2"/>
    </row>
    <row r="69" spans="1:10" ht="15" hidden="1" x14ac:dyDescent="0.4">
      <c r="A69" s="13" t="s">
        <v>807</v>
      </c>
      <c r="B69" s="2">
        <v>4</v>
      </c>
      <c r="C69" s="2">
        <v>26</v>
      </c>
      <c r="D69" s="11">
        <f>ROUND(B69*C69,0)</f>
        <v>104</v>
      </c>
      <c r="E69" s="2"/>
      <c r="F69" s="2"/>
      <c r="G69" s="2"/>
      <c r="H69" s="2"/>
      <c r="I69" s="2"/>
      <c r="J69" s="2"/>
    </row>
    <row r="70" spans="1:10" hidden="1" x14ac:dyDescent="0.25">
      <c r="A70" s="202" t="s">
        <v>1247</v>
      </c>
      <c r="B70" s="202"/>
      <c r="C70" s="202"/>
      <c r="D70" s="2">
        <f>SUM(D68:D69)</f>
        <v>130</v>
      </c>
      <c r="E70" s="2"/>
      <c r="F70" s="2"/>
      <c r="G70" s="2"/>
      <c r="H70" s="2"/>
      <c r="I70" s="2"/>
      <c r="J70" s="2"/>
    </row>
    <row r="71" spans="1:10" x14ac:dyDescent="0.25">
      <c r="A71" s="202"/>
      <c r="B71" s="202"/>
      <c r="C71" s="202"/>
      <c r="D71" s="2"/>
      <c r="E71" s="2"/>
      <c r="F71" s="2"/>
      <c r="G71" s="2"/>
      <c r="H71" s="2"/>
      <c r="I71" s="2"/>
      <c r="J71" s="2"/>
    </row>
    <row r="72" spans="1:10" ht="13.8" x14ac:dyDescent="0.3">
      <c r="A72" s="204" t="s">
        <v>237</v>
      </c>
      <c r="B72" s="202"/>
      <c r="C72" s="2"/>
      <c r="D72" s="2"/>
      <c r="E72" s="2">
        <v>0</v>
      </c>
      <c r="F72" s="2">
        <v>0</v>
      </c>
      <c r="G72" s="2"/>
      <c r="H72" s="2"/>
      <c r="I72" s="2"/>
      <c r="J72" s="2"/>
    </row>
    <row r="73" spans="1:10" x14ac:dyDescent="0.25">
      <c r="A73" s="202" t="s">
        <v>1678</v>
      </c>
      <c r="B73" s="202"/>
      <c r="C73" s="2"/>
      <c r="D73" s="2">
        <v>0</v>
      </c>
      <c r="E73" s="2"/>
      <c r="F73" s="2"/>
      <c r="G73" s="2"/>
      <c r="H73" s="2"/>
      <c r="I73" s="2"/>
      <c r="J73" s="2"/>
    </row>
    <row r="74" spans="1:10" x14ac:dyDescent="0.25">
      <c r="A74" s="202"/>
      <c r="B74" s="202"/>
      <c r="C74" s="2"/>
      <c r="D74" s="2"/>
      <c r="E74" s="2"/>
      <c r="F74" s="2"/>
      <c r="G74" s="2"/>
      <c r="H74" s="2"/>
      <c r="I74" s="2"/>
      <c r="J74" s="2"/>
    </row>
    <row r="75" spans="1:10" ht="13.8" x14ac:dyDescent="0.3">
      <c r="A75" s="238" t="s">
        <v>238</v>
      </c>
      <c r="B75" s="237"/>
      <c r="C75" s="2"/>
      <c r="D75" s="2"/>
      <c r="E75" s="2">
        <v>3659.8</v>
      </c>
      <c r="F75" s="2">
        <v>2200</v>
      </c>
      <c r="G75" s="2">
        <v>2900</v>
      </c>
      <c r="H75" s="2">
        <v>2900</v>
      </c>
      <c r="I75" s="2">
        <v>2900</v>
      </c>
      <c r="J75" s="2">
        <v>2900</v>
      </c>
    </row>
    <row r="76" spans="1:10" ht="26.4" x14ac:dyDescent="0.25">
      <c r="A76" s="33" t="s">
        <v>1432</v>
      </c>
      <c r="B76" s="6"/>
      <c r="C76" s="2"/>
      <c r="D76" s="2">
        <v>2200</v>
      </c>
      <c r="E76" s="2"/>
      <c r="F76" s="2"/>
      <c r="G76" s="2"/>
      <c r="H76" s="2"/>
      <c r="I76" s="2"/>
      <c r="J76" s="2"/>
    </row>
    <row r="77" spans="1:10" x14ac:dyDescent="0.25">
      <c r="A77" s="6"/>
      <c r="B77" s="6"/>
      <c r="C77" s="2"/>
      <c r="D77" s="2"/>
      <c r="E77" s="2"/>
      <c r="F77" s="2"/>
      <c r="G77" s="2"/>
      <c r="H77" s="2"/>
      <c r="I77" s="2"/>
      <c r="J77" s="2"/>
    </row>
    <row r="78" spans="1:10" ht="13.8" x14ac:dyDescent="0.3">
      <c r="A78" s="238" t="s">
        <v>219</v>
      </c>
      <c r="B78" s="237"/>
      <c r="C78" s="237"/>
      <c r="D78" s="2" t="s">
        <v>396</v>
      </c>
      <c r="E78" s="2">
        <v>2275.0700000000002</v>
      </c>
      <c r="F78" s="2">
        <v>2730</v>
      </c>
      <c r="G78" s="2">
        <v>2730</v>
      </c>
      <c r="H78" s="2">
        <v>2730</v>
      </c>
      <c r="I78" s="2">
        <v>2730</v>
      </c>
      <c r="J78" s="2">
        <v>3100</v>
      </c>
    </row>
    <row r="79" spans="1:10" x14ac:dyDescent="0.25">
      <c r="A79" s="237" t="s">
        <v>1069</v>
      </c>
      <c r="B79" s="2">
        <v>1</v>
      </c>
      <c r="C79" s="2">
        <v>300</v>
      </c>
      <c r="D79" s="2">
        <f>ROUND(B79*C79,0)</f>
        <v>300</v>
      </c>
      <c r="E79" s="2"/>
      <c r="F79" s="2"/>
      <c r="G79" s="2"/>
      <c r="H79" s="2"/>
      <c r="I79" s="2"/>
      <c r="J79" s="2"/>
    </row>
    <row r="80" spans="1:10" x14ac:dyDescent="0.25">
      <c r="A80" s="237" t="s">
        <v>931</v>
      </c>
      <c r="B80" s="2">
        <v>4</v>
      </c>
      <c r="C80" s="2">
        <v>300</v>
      </c>
      <c r="D80" s="2">
        <f>ROUND(B80*C80,0)</f>
        <v>1200</v>
      </c>
      <c r="E80" s="2"/>
      <c r="F80" s="2"/>
      <c r="G80" s="2"/>
      <c r="H80" s="2"/>
      <c r="I80" s="2"/>
      <c r="J80" s="2"/>
    </row>
    <row r="81" spans="1:10" x14ac:dyDescent="0.25">
      <c r="A81" s="237" t="s">
        <v>1179</v>
      </c>
      <c r="B81" s="2">
        <v>1</v>
      </c>
      <c r="C81" s="2">
        <v>200</v>
      </c>
      <c r="D81" s="2">
        <f>ROUND(B81*C81,0)</f>
        <v>200</v>
      </c>
      <c r="E81" s="2"/>
      <c r="F81" s="2"/>
      <c r="G81" s="2"/>
      <c r="H81" s="2"/>
      <c r="I81" s="2"/>
      <c r="J81" s="2"/>
    </row>
    <row r="82" spans="1:10" x14ac:dyDescent="0.25">
      <c r="A82" s="237" t="s">
        <v>1180</v>
      </c>
      <c r="B82" s="2">
        <v>4</v>
      </c>
      <c r="C82" s="2">
        <v>275</v>
      </c>
      <c r="D82" s="2">
        <f>ROUND(B82*C82,0)</f>
        <v>1100</v>
      </c>
      <c r="E82" s="2"/>
      <c r="F82" s="2"/>
      <c r="G82" s="2"/>
      <c r="H82" s="2"/>
      <c r="I82" s="2"/>
      <c r="J82" s="2"/>
    </row>
    <row r="83" spans="1:10" ht="15" x14ac:dyDescent="0.4">
      <c r="A83" s="6" t="s">
        <v>892</v>
      </c>
      <c r="B83" s="2">
        <v>5</v>
      </c>
      <c r="C83" s="2">
        <v>60</v>
      </c>
      <c r="D83" s="11">
        <v>300</v>
      </c>
      <c r="E83" s="2"/>
      <c r="F83" s="2"/>
      <c r="G83" s="2"/>
      <c r="H83" s="2"/>
      <c r="I83" s="2"/>
      <c r="J83" s="2"/>
    </row>
    <row r="84" spans="1:10" x14ac:dyDescent="0.25">
      <c r="A84" s="237" t="s">
        <v>1247</v>
      </c>
      <c r="B84" s="237"/>
      <c r="C84" s="237"/>
      <c r="D84" s="2">
        <f>SUM(D79:D83)</f>
        <v>3100</v>
      </c>
      <c r="E84" s="2"/>
      <c r="F84" s="2"/>
      <c r="G84" s="2"/>
      <c r="H84" s="2"/>
      <c r="I84" s="2"/>
      <c r="J84" s="2"/>
    </row>
    <row r="85" spans="1:10" x14ac:dyDescent="0.25">
      <c r="A85" s="237"/>
      <c r="B85" s="237"/>
      <c r="C85" s="237"/>
      <c r="D85" s="2"/>
      <c r="E85" s="237"/>
      <c r="F85" s="2"/>
      <c r="G85" s="2"/>
      <c r="H85" s="2"/>
      <c r="I85" s="2"/>
      <c r="J85" s="2"/>
    </row>
    <row r="86" spans="1:10" ht="13.8" x14ac:dyDescent="0.3">
      <c r="A86" s="238" t="s">
        <v>147</v>
      </c>
      <c r="B86" s="237"/>
      <c r="C86" s="237"/>
      <c r="D86" s="2">
        <v>80</v>
      </c>
      <c r="E86" s="237">
        <v>77.17</v>
      </c>
      <c r="F86" s="2">
        <v>90</v>
      </c>
      <c r="G86" s="2">
        <v>80</v>
      </c>
      <c r="H86" s="2">
        <v>80</v>
      </c>
      <c r="I86" s="2">
        <v>80</v>
      </c>
      <c r="J86" s="2">
        <v>80</v>
      </c>
    </row>
    <row r="87" spans="1:10" x14ac:dyDescent="0.25">
      <c r="A87" s="237"/>
      <c r="B87" s="237"/>
      <c r="C87" s="237"/>
      <c r="D87" s="2"/>
      <c r="E87" s="237"/>
      <c r="F87" s="2"/>
      <c r="G87" s="2"/>
      <c r="H87" s="2"/>
      <c r="I87" s="2"/>
      <c r="J87" s="2"/>
    </row>
    <row r="88" spans="1:10" ht="13.8" x14ac:dyDescent="0.3">
      <c r="A88" s="238" t="s">
        <v>893</v>
      </c>
      <c r="B88" s="237"/>
      <c r="C88" s="237"/>
      <c r="D88" s="2"/>
      <c r="E88" s="2">
        <v>1772.64</v>
      </c>
      <c r="F88" s="2">
        <v>1984</v>
      </c>
      <c r="G88" s="2">
        <v>2256</v>
      </c>
      <c r="H88" s="2">
        <v>2256</v>
      </c>
      <c r="I88" s="2">
        <v>2256</v>
      </c>
      <c r="J88" s="2">
        <v>2256</v>
      </c>
    </row>
    <row r="89" spans="1:10" x14ac:dyDescent="0.25">
      <c r="A89" s="237" t="s">
        <v>1243</v>
      </c>
      <c r="B89" s="2">
        <v>830</v>
      </c>
      <c r="C89" s="12">
        <v>2.58</v>
      </c>
      <c r="D89" s="2">
        <f>ROUND(B89*C89,0)</f>
        <v>2141</v>
      </c>
      <c r="E89" s="2"/>
      <c r="F89" s="2"/>
      <c r="G89" s="2"/>
      <c r="H89" s="2"/>
      <c r="I89" s="2"/>
      <c r="J89" s="2"/>
    </row>
    <row r="90" spans="1:10" ht="15" x14ac:dyDescent="0.4">
      <c r="A90" s="237" t="s">
        <v>450</v>
      </c>
      <c r="B90" s="2">
        <v>40</v>
      </c>
      <c r="C90" s="12">
        <v>2.88</v>
      </c>
      <c r="D90" s="11">
        <f>ROUND(B90*C90,0)</f>
        <v>115</v>
      </c>
      <c r="E90" s="2"/>
      <c r="F90" s="2"/>
      <c r="G90" s="2"/>
      <c r="H90" s="2"/>
      <c r="I90" s="2"/>
      <c r="J90" s="2"/>
    </row>
    <row r="91" spans="1:10" x14ac:dyDescent="0.25">
      <c r="A91" s="237" t="s">
        <v>1247</v>
      </c>
      <c r="B91" s="2"/>
      <c r="C91" s="14"/>
      <c r="D91" s="2">
        <f>SUM(D89:D90)</f>
        <v>2256</v>
      </c>
      <c r="E91" s="2"/>
      <c r="F91" s="2"/>
      <c r="G91" s="2"/>
      <c r="H91" s="2"/>
      <c r="I91" s="2"/>
      <c r="J91" s="2"/>
    </row>
    <row r="92" spans="1:10" x14ac:dyDescent="0.25">
      <c r="A92" s="237"/>
      <c r="B92" s="2"/>
      <c r="C92" s="14"/>
      <c r="D92" s="2"/>
      <c r="E92" s="2"/>
      <c r="F92" s="2"/>
      <c r="G92" s="2"/>
      <c r="H92" s="2"/>
      <c r="I92" s="2"/>
      <c r="J92" s="2"/>
    </row>
    <row r="93" spans="1:10" ht="13.8" x14ac:dyDescent="0.3">
      <c r="A93" s="238" t="s">
        <v>1244</v>
      </c>
      <c r="B93" s="2"/>
      <c r="C93" s="14"/>
      <c r="D93" s="2"/>
      <c r="E93" s="2">
        <v>479.88</v>
      </c>
      <c r="F93" s="2">
        <v>480</v>
      </c>
      <c r="G93" s="2">
        <v>480</v>
      </c>
      <c r="H93" s="2">
        <v>480</v>
      </c>
      <c r="I93" s="2">
        <v>480</v>
      </c>
      <c r="J93" s="2">
        <v>480</v>
      </c>
    </row>
    <row r="94" spans="1:10" x14ac:dyDescent="0.25">
      <c r="A94" s="237" t="s">
        <v>296</v>
      </c>
      <c r="B94" s="2"/>
      <c r="C94" s="2"/>
      <c r="D94" s="2">
        <v>480</v>
      </c>
      <c r="E94" s="2"/>
      <c r="F94" s="2"/>
      <c r="G94" s="2"/>
      <c r="H94" s="2"/>
      <c r="I94" s="2"/>
      <c r="J94" s="2"/>
    </row>
    <row r="95" spans="1:10" x14ac:dyDescent="0.25">
      <c r="A95" s="237"/>
      <c r="B95" s="2"/>
      <c r="C95" s="2"/>
      <c r="D95" s="2"/>
      <c r="E95" s="2"/>
      <c r="F95" s="2"/>
      <c r="G95" s="2"/>
      <c r="H95" s="2"/>
      <c r="I95" s="2"/>
      <c r="J95" s="2"/>
    </row>
    <row r="96" spans="1:10" x14ac:dyDescent="0.25">
      <c r="A96" s="237"/>
      <c r="B96" s="237"/>
      <c r="C96" s="2"/>
      <c r="D96" s="2"/>
      <c r="E96" s="2"/>
      <c r="F96" s="237"/>
      <c r="G96" s="237"/>
      <c r="H96" s="247"/>
      <c r="I96" s="295"/>
      <c r="J96" s="298"/>
    </row>
    <row r="97" spans="1:10" ht="13.8" x14ac:dyDescent="0.3">
      <c r="A97" s="17" t="s">
        <v>855</v>
      </c>
      <c r="B97" s="237"/>
      <c r="C97" s="2"/>
      <c r="D97" s="2"/>
      <c r="E97" s="2">
        <v>2296.1999999999998</v>
      </c>
      <c r="F97" s="2">
        <v>2340</v>
      </c>
      <c r="G97" s="2">
        <v>2231</v>
      </c>
      <c r="H97" s="2">
        <v>2231</v>
      </c>
      <c r="I97" s="2">
        <v>2231</v>
      </c>
      <c r="J97" s="2">
        <v>2231</v>
      </c>
    </row>
    <row r="98" spans="1:10" x14ac:dyDescent="0.25">
      <c r="A98" s="237" t="s">
        <v>1674</v>
      </c>
      <c r="B98" s="237"/>
      <c r="C98" s="2"/>
      <c r="D98" s="2">
        <v>2231</v>
      </c>
      <c r="E98" s="2"/>
      <c r="F98" s="2"/>
      <c r="G98" s="2"/>
      <c r="H98" s="2"/>
      <c r="I98" s="2"/>
      <c r="J98" s="2"/>
    </row>
    <row r="99" spans="1:10" x14ac:dyDescent="0.25">
      <c r="A99" s="237"/>
      <c r="B99" s="237"/>
      <c r="C99" s="2"/>
      <c r="D99" s="2"/>
      <c r="E99" s="2"/>
      <c r="F99" s="2"/>
      <c r="G99" s="2"/>
      <c r="H99" s="2"/>
      <c r="I99" s="2"/>
      <c r="J99" s="2"/>
    </row>
    <row r="100" spans="1:10" ht="13.8" x14ac:dyDescent="0.3">
      <c r="A100" s="238" t="s">
        <v>856</v>
      </c>
      <c r="B100" s="237"/>
      <c r="C100" s="2"/>
      <c r="D100" s="2"/>
      <c r="E100" s="2">
        <v>321.39999999999998</v>
      </c>
      <c r="F100" s="2">
        <v>500</v>
      </c>
      <c r="G100" s="2">
        <v>500</v>
      </c>
      <c r="H100" s="2">
        <v>500</v>
      </c>
      <c r="I100" s="2">
        <v>500</v>
      </c>
      <c r="J100" s="2">
        <v>500</v>
      </c>
    </row>
    <row r="101" spans="1:10" x14ac:dyDescent="0.25">
      <c r="A101" s="237" t="s">
        <v>608</v>
      </c>
      <c r="B101" s="237"/>
      <c r="C101" s="2"/>
      <c r="D101" s="2">
        <v>500</v>
      </c>
      <c r="E101" s="2"/>
      <c r="F101" s="2"/>
      <c r="G101" s="2"/>
      <c r="H101" s="2"/>
      <c r="I101" s="2"/>
      <c r="J101" s="2"/>
    </row>
    <row r="102" spans="1:10" x14ac:dyDescent="0.25">
      <c r="A102" s="237"/>
      <c r="B102" s="237"/>
      <c r="C102" s="2"/>
      <c r="D102" s="2"/>
      <c r="E102" s="2"/>
      <c r="F102" s="2"/>
      <c r="G102" s="2"/>
      <c r="H102" s="2"/>
      <c r="I102" s="2"/>
      <c r="J102" s="2"/>
    </row>
    <row r="103" spans="1:10" ht="13.8" x14ac:dyDescent="0.3">
      <c r="A103" s="238" t="s">
        <v>1100</v>
      </c>
      <c r="B103" s="237"/>
      <c r="C103" s="2"/>
      <c r="D103" s="2"/>
      <c r="E103" s="2">
        <v>5209.12</v>
      </c>
      <c r="F103" s="2">
        <v>4500</v>
      </c>
      <c r="G103" s="2">
        <v>4500</v>
      </c>
      <c r="H103" s="2">
        <v>4500</v>
      </c>
      <c r="I103" s="2">
        <v>4500</v>
      </c>
      <c r="J103" s="2">
        <v>4500</v>
      </c>
    </row>
    <row r="104" spans="1:10" x14ac:dyDescent="0.25">
      <c r="A104" s="237" t="s">
        <v>1679</v>
      </c>
      <c r="B104" s="237"/>
      <c r="C104" s="2"/>
      <c r="D104" s="2">
        <v>4500</v>
      </c>
      <c r="E104" s="2"/>
      <c r="F104" s="2"/>
      <c r="G104" s="2"/>
      <c r="H104" s="2"/>
      <c r="I104" s="2"/>
      <c r="J104" s="2"/>
    </row>
    <row r="105" spans="1:10" x14ac:dyDescent="0.25">
      <c r="A105" s="237" t="s">
        <v>1433</v>
      </c>
      <c r="B105" s="2"/>
      <c r="C105" s="18"/>
      <c r="D105" s="18"/>
      <c r="E105" s="2"/>
      <c r="F105" s="2"/>
      <c r="G105" s="2"/>
      <c r="H105" s="2"/>
      <c r="I105" s="2"/>
      <c r="J105" s="2"/>
    </row>
    <row r="106" spans="1:10" x14ac:dyDescent="0.25">
      <c r="A106" s="237"/>
      <c r="B106" s="237"/>
      <c r="C106" s="2"/>
      <c r="D106" s="2"/>
      <c r="E106" s="2"/>
      <c r="F106" s="2"/>
      <c r="G106" s="2"/>
      <c r="H106" s="2"/>
      <c r="I106" s="2"/>
      <c r="J106" s="2"/>
    </row>
    <row r="107" spans="1:10" ht="13.8" x14ac:dyDescent="0.3">
      <c r="A107" s="238" t="s">
        <v>1101</v>
      </c>
      <c r="B107" s="237"/>
      <c r="C107" s="2"/>
      <c r="D107" s="237"/>
      <c r="E107" s="2">
        <v>939.44</v>
      </c>
      <c r="F107" s="2">
        <v>250</v>
      </c>
      <c r="G107" s="2">
        <v>400</v>
      </c>
      <c r="H107" s="2">
        <v>400</v>
      </c>
      <c r="I107" s="2">
        <v>400</v>
      </c>
      <c r="J107" s="2">
        <v>400</v>
      </c>
    </row>
    <row r="108" spans="1:10" x14ac:dyDescent="0.25">
      <c r="A108" s="237" t="s">
        <v>1775</v>
      </c>
      <c r="B108" s="237"/>
      <c r="C108" s="2"/>
      <c r="D108" s="2">
        <v>400</v>
      </c>
      <c r="E108" s="2"/>
      <c r="F108" s="2"/>
      <c r="G108" s="2"/>
      <c r="H108" s="2"/>
      <c r="I108" s="2"/>
      <c r="J108" s="2"/>
    </row>
    <row r="109" spans="1:10" x14ac:dyDescent="0.25">
      <c r="A109" s="237"/>
      <c r="B109" s="237"/>
      <c r="C109" s="2"/>
      <c r="D109" s="2"/>
      <c r="E109" s="2"/>
      <c r="F109" s="2"/>
      <c r="G109" s="2"/>
      <c r="H109" s="2"/>
      <c r="I109" s="2"/>
      <c r="J109" s="2"/>
    </row>
    <row r="110" spans="1:10" ht="13.8" x14ac:dyDescent="0.3">
      <c r="A110" s="238" t="s">
        <v>1559</v>
      </c>
      <c r="B110" s="237"/>
      <c r="C110" s="2"/>
      <c r="D110" s="237"/>
      <c r="E110" s="2">
        <v>7643</v>
      </c>
      <c r="F110" s="2">
        <v>4628</v>
      </c>
      <c r="G110" s="2">
        <v>4628</v>
      </c>
      <c r="H110" s="2">
        <v>4628</v>
      </c>
      <c r="I110" s="2">
        <v>4628</v>
      </c>
      <c r="J110" s="2">
        <v>4628</v>
      </c>
    </row>
    <row r="111" spans="1:10" x14ac:dyDescent="0.25">
      <c r="A111" s="237" t="s">
        <v>1880</v>
      </c>
      <c r="B111" s="237"/>
      <c r="C111" s="2"/>
      <c r="D111" s="2">
        <v>2628</v>
      </c>
      <c r="E111" s="2"/>
      <c r="F111" s="2"/>
      <c r="G111" s="2"/>
      <c r="H111" s="2"/>
      <c r="I111" s="2"/>
      <c r="J111" s="2"/>
    </row>
    <row r="112" spans="1:10" x14ac:dyDescent="0.25">
      <c r="A112" s="237" t="s">
        <v>2058</v>
      </c>
      <c r="B112" s="237"/>
      <c r="C112" s="2"/>
      <c r="D112" s="2">
        <v>2000</v>
      </c>
      <c r="E112" s="2"/>
      <c r="F112" s="2"/>
      <c r="G112" s="2"/>
      <c r="H112" s="2"/>
      <c r="I112" s="2"/>
      <c r="J112" s="2"/>
    </row>
    <row r="113" spans="1:10" ht="15" x14ac:dyDescent="0.4">
      <c r="A113" s="237" t="s">
        <v>1881</v>
      </c>
      <c r="B113" s="237"/>
      <c r="C113" s="2"/>
      <c r="D113" s="11">
        <v>0</v>
      </c>
      <c r="E113" s="2"/>
      <c r="F113" s="2"/>
      <c r="G113" s="2"/>
      <c r="H113" s="2"/>
      <c r="I113" s="2"/>
      <c r="J113" s="2"/>
    </row>
    <row r="114" spans="1:10" x14ac:dyDescent="0.25">
      <c r="A114" s="237"/>
      <c r="B114" s="237"/>
      <c r="C114" s="2"/>
      <c r="D114" s="2">
        <f>SUM(D111:D113)</f>
        <v>4628</v>
      </c>
      <c r="E114" s="2"/>
      <c r="F114" s="2"/>
      <c r="G114" s="2"/>
      <c r="H114" s="2"/>
      <c r="I114" s="2"/>
      <c r="J114" s="2"/>
    </row>
    <row r="115" spans="1:10" x14ac:dyDescent="0.25">
      <c r="A115" s="237"/>
      <c r="B115" s="237"/>
      <c r="C115" s="2"/>
      <c r="D115" s="2"/>
      <c r="E115" s="2"/>
      <c r="F115" s="2"/>
      <c r="G115" s="2"/>
      <c r="H115" s="2"/>
      <c r="I115" s="2"/>
      <c r="J115" s="2"/>
    </row>
    <row r="116" spans="1:10" ht="13.8" x14ac:dyDescent="0.3">
      <c r="A116" s="238" t="s">
        <v>1592</v>
      </c>
      <c r="B116" s="237"/>
      <c r="C116" s="2"/>
      <c r="D116" s="2"/>
      <c r="E116" s="2">
        <v>955</v>
      </c>
      <c r="F116" s="2">
        <v>1500</v>
      </c>
      <c r="G116" s="2">
        <v>1500</v>
      </c>
      <c r="H116" s="2">
        <v>1500</v>
      </c>
      <c r="I116" s="2">
        <v>1500</v>
      </c>
      <c r="J116" s="2">
        <v>1500</v>
      </c>
    </row>
    <row r="117" spans="1:10" x14ac:dyDescent="0.25">
      <c r="A117" s="237" t="s">
        <v>1776</v>
      </c>
      <c r="B117" s="237"/>
      <c r="C117" s="2"/>
      <c r="D117" s="2">
        <v>1500</v>
      </c>
      <c r="E117" s="2"/>
      <c r="F117" s="2"/>
      <c r="G117" s="2"/>
      <c r="H117" s="2"/>
      <c r="I117" s="2"/>
      <c r="J117" s="2"/>
    </row>
    <row r="118" spans="1:10" x14ac:dyDescent="0.25">
      <c r="A118" s="237"/>
      <c r="B118" s="237"/>
      <c r="C118" s="2"/>
      <c r="D118" s="2"/>
      <c r="E118" s="2"/>
      <c r="F118" s="2"/>
      <c r="G118" s="2"/>
      <c r="H118" s="2"/>
      <c r="I118" s="2"/>
      <c r="J118" s="2"/>
    </row>
    <row r="119" spans="1:10" ht="13.8" x14ac:dyDescent="0.3">
      <c r="A119" s="238" t="s">
        <v>672</v>
      </c>
      <c r="B119" s="237"/>
      <c r="C119" s="2"/>
      <c r="D119" s="2"/>
      <c r="E119" s="2">
        <v>228</v>
      </c>
      <c r="F119" s="2">
        <v>200</v>
      </c>
      <c r="G119" s="2">
        <v>200</v>
      </c>
      <c r="H119" s="2">
        <v>200</v>
      </c>
      <c r="I119" s="2">
        <v>200</v>
      </c>
      <c r="J119" s="2">
        <v>200</v>
      </c>
    </row>
    <row r="120" spans="1:10" x14ac:dyDescent="0.25">
      <c r="A120" s="237" t="s">
        <v>1470</v>
      </c>
      <c r="B120" s="237"/>
      <c r="C120" s="2"/>
      <c r="D120" s="2">
        <v>200</v>
      </c>
      <c r="E120" s="2"/>
      <c r="F120" s="2"/>
      <c r="G120" s="2"/>
      <c r="H120" s="2"/>
      <c r="I120" s="2"/>
      <c r="J120" s="2"/>
    </row>
    <row r="121" spans="1:10" x14ac:dyDescent="0.25">
      <c r="A121" s="237"/>
      <c r="B121" s="237"/>
      <c r="C121" s="2"/>
      <c r="D121" s="2"/>
      <c r="E121" s="2"/>
      <c r="F121" s="2"/>
      <c r="G121" s="2"/>
      <c r="H121" s="2"/>
      <c r="I121" s="2"/>
      <c r="J121" s="2"/>
    </row>
    <row r="122" spans="1:10" ht="15" x14ac:dyDescent="0.4">
      <c r="A122" s="238" t="s">
        <v>430</v>
      </c>
      <c r="B122" s="237"/>
      <c r="C122" s="2"/>
      <c r="D122" s="2"/>
      <c r="E122" s="11">
        <v>0</v>
      </c>
      <c r="F122" s="11">
        <v>0</v>
      </c>
      <c r="G122" s="11">
        <v>0</v>
      </c>
      <c r="H122" s="11">
        <v>0</v>
      </c>
      <c r="I122" s="11">
        <v>0</v>
      </c>
      <c r="J122" s="11">
        <v>0</v>
      </c>
    </row>
    <row r="123" spans="1:10" x14ac:dyDescent="0.25">
      <c r="A123" s="23"/>
      <c r="B123" s="202"/>
      <c r="C123" s="2"/>
      <c r="D123" s="2">
        <v>0</v>
      </c>
      <c r="E123" s="2"/>
      <c r="F123" s="2"/>
      <c r="G123" s="2"/>
      <c r="H123" s="2"/>
      <c r="I123" s="2"/>
      <c r="J123" s="2"/>
    </row>
    <row r="124" spans="1:10" x14ac:dyDescent="0.25">
      <c r="A124" s="202"/>
      <c r="B124" s="202"/>
      <c r="C124" s="2"/>
      <c r="D124" s="2"/>
      <c r="E124" s="2"/>
      <c r="F124" s="2"/>
      <c r="G124" s="2"/>
      <c r="H124" s="2"/>
      <c r="I124" s="2"/>
      <c r="J124" s="2"/>
    </row>
    <row r="125" spans="1:10" x14ac:dyDescent="0.25">
      <c r="A125" s="202" t="s">
        <v>1332</v>
      </c>
      <c r="B125" s="202"/>
      <c r="C125" s="2"/>
      <c r="D125" s="70"/>
      <c r="E125" s="2">
        <f t="shared" ref="E125:J125" si="0">SUM(E6:E124)</f>
        <v>398475.03</v>
      </c>
      <c r="F125" s="2">
        <f t="shared" si="0"/>
        <v>458204</v>
      </c>
      <c r="G125" s="2">
        <f t="shared" si="0"/>
        <v>457335</v>
      </c>
      <c r="H125" s="2">
        <f t="shared" si="0"/>
        <v>459527</v>
      </c>
      <c r="I125" s="2">
        <f t="shared" si="0"/>
        <v>459527</v>
      </c>
      <c r="J125" s="2">
        <f t="shared" si="0"/>
        <v>466736</v>
      </c>
    </row>
    <row r="126" spans="1:10" x14ac:dyDescent="0.25">
      <c r="A126" s="202"/>
      <c r="B126" s="202"/>
      <c r="C126" s="202"/>
      <c r="D126" s="202"/>
      <c r="E126" s="202"/>
      <c r="F126" s="202"/>
      <c r="G126" s="202"/>
      <c r="H126" s="247"/>
      <c r="I126" s="295"/>
      <c r="J126" s="298"/>
    </row>
    <row r="127" spans="1:10" x14ac:dyDescent="0.25">
      <c r="A127" s="202"/>
      <c r="B127" s="202"/>
      <c r="C127" s="202"/>
      <c r="D127" s="202"/>
      <c r="E127" s="202"/>
      <c r="F127" s="202"/>
      <c r="G127" s="202"/>
      <c r="H127" s="247"/>
      <c r="I127" s="295"/>
      <c r="J127" s="298"/>
    </row>
    <row r="128" spans="1:10" x14ac:dyDescent="0.25">
      <c r="A128" s="202" t="s">
        <v>594</v>
      </c>
      <c r="B128" s="202"/>
      <c r="C128" s="70"/>
      <c r="D128" s="70"/>
      <c r="E128" s="2">
        <f t="shared" ref="E128:J128" si="1">SUM(E6:E71)</f>
        <v>372618.31</v>
      </c>
      <c r="F128" s="2">
        <f t="shared" si="1"/>
        <v>436802</v>
      </c>
      <c r="G128" s="2">
        <f t="shared" si="1"/>
        <v>434930</v>
      </c>
      <c r="H128" s="2">
        <f t="shared" si="1"/>
        <v>437122</v>
      </c>
      <c r="I128" s="2">
        <f t="shared" si="1"/>
        <v>437122</v>
      </c>
      <c r="J128" s="2">
        <f t="shared" si="1"/>
        <v>443961</v>
      </c>
    </row>
    <row r="129" spans="1:10" x14ac:dyDescent="0.25">
      <c r="A129" s="202" t="s">
        <v>957</v>
      </c>
      <c r="B129" s="202"/>
      <c r="C129" s="58"/>
      <c r="D129" s="70"/>
      <c r="E129" s="2">
        <f t="shared" ref="E129:J129" si="2">SUM(E72:E119)</f>
        <v>25856.720000000001</v>
      </c>
      <c r="F129" s="2">
        <f t="shared" si="2"/>
        <v>21402</v>
      </c>
      <c r="G129" s="2">
        <f t="shared" si="2"/>
        <v>22405</v>
      </c>
      <c r="H129" s="2">
        <f t="shared" si="2"/>
        <v>22405</v>
      </c>
      <c r="I129" s="2">
        <f t="shared" si="2"/>
        <v>22405</v>
      </c>
      <c r="J129" s="2">
        <f t="shared" si="2"/>
        <v>22775</v>
      </c>
    </row>
    <row r="130" spans="1:10" ht="15" x14ac:dyDescent="0.4">
      <c r="A130" s="202" t="s">
        <v>958</v>
      </c>
      <c r="B130" s="202"/>
      <c r="C130" s="202"/>
      <c r="D130" s="202"/>
      <c r="E130" s="11">
        <f t="shared" ref="E130:J130" si="3">SUM(E122)</f>
        <v>0</v>
      </c>
      <c r="F130" s="11">
        <f t="shared" si="3"/>
        <v>0</v>
      </c>
      <c r="G130" s="11">
        <f t="shared" si="3"/>
        <v>0</v>
      </c>
      <c r="H130" s="11">
        <f t="shared" si="3"/>
        <v>0</v>
      </c>
      <c r="I130" s="11">
        <f t="shared" si="3"/>
        <v>0</v>
      </c>
      <c r="J130" s="11">
        <f t="shared" si="3"/>
        <v>0</v>
      </c>
    </row>
    <row r="131" spans="1:10" x14ac:dyDescent="0.25">
      <c r="A131" s="202" t="s">
        <v>1247</v>
      </c>
      <c r="B131" s="202"/>
      <c r="C131" s="202"/>
      <c r="D131" s="202"/>
      <c r="E131" s="2">
        <f t="shared" ref="E131:J131" si="4">SUM(E128:E130)</f>
        <v>398475.03</v>
      </c>
      <c r="F131" s="2">
        <f t="shared" si="4"/>
        <v>458204</v>
      </c>
      <c r="G131" s="2">
        <f t="shared" si="4"/>
        <v>457335</v>
      </c>
      <c r="H131" s="2">
        <f t="shared" si="4"/>
        <v>459527</v>
      </c>
      <c r="I131" s="2">
        <f t="shared" si="4"/>
        <v>459527</v>
      </c>
      <c r="J131" s="2">
        <f t="shared" si="4"/>
        <v>466736</v>
      </c>
    </row>
    <row r="132" spans="1:10" x14ac:dyDescent="0.25">
      <c r="H132" s="247"/>
      <c r="I132" s="295"/>
      <c r="J132" s="298"/>
    </row>
    <row r="133" spans="1:10" x14ac:dyDescent="0.25">
      <c r="H133" s="247"/>
      <c r="I133" s="295"/>
      <c r="J133" s="298"/>
    </row>
    <row r="134" spans="1:10" x14ac:dyDescent="0.25">
      <c r="H134" s="247"/>
      <c r="I134" s="295"/>
      <c r="J134" s="298"/>
    </row>
    <row r="135" spans="1:10" x14ac:dyDescent="0.25">
      <c r="H135" s="247"/>
      <c r="I135" s="295"/>
      <c r="J135" s="298"/>
    </row>
    <row r="136" spans="1:10" x14ac:dyDescent="0.25">
      <c r="H136" s="247"/>
      <c r="I136" s="295"/>
      <c r="J136" s="298"/>
    </row>
    <row r="137" spans="1:10" x14ac:dyDescent="0.25">
      <c r="H137" s="247"/>
      <c r="I137" s="295"/>
      <c r="J137" s="298"/>
    </row>
    <row r="138" spans="1:10" x14ac:dyDescent="0.25">
      <c r="H138" s="247"/>
      <c r="I138" s="295"/>
      <c r="J138" s="298"/>
    </row>
    <row r="139" spans="1:10" x14ac:dyDescent="0.25">
      <c r="H139" s="247"/>
      <c r="I139" s="295"/>
      <c r="J139" s="298"/>
    </row>
    <row r="140" spans="1:10" x14ac:dyDescent="0.25">
      <c r="H140" s="247"/>
      <c r="I140" s="295"/>
      <c r="J140" s="298"/>
    </row>
    <row r="141" spans="1:10" x14ac:dyDescent="0.25">
      <c r="H141" s="247"/>
      <c r="I141" s="295"/>
      <c r="J141" s="298"/>
    </row>
    <row r="142" spans="1:10" x14ac:dyDescent="0.25">
      <c r="H142" s="247"/>
      <c r="I142" s="295"/>
      <c r="J142" s="298"/>
    </row>
    <row r="143" spans="1:10" x14ac:dyDescent="0.25">
      <c r="H143" s="247"/>
      <c r="I143" s="295"/>
      <c r="J143" s="298"/>
    </row>
    <row r="144" spans="1:10" x14ac:dyDescent="0.25">
      <c r="H144" s="247"/>
      <c r="I144" s="295"/>
      <c r="J144" s="298"/>
    </row>
    <row r="145" spans="8:10" x14ac:dyDescent="0.25">
      <c r="H145" s="247"/>
      <c r="I145" s="295"/>
      <c r="J145" s="298"/>
    </row>
    <row r="146" spans="8:10" x14ac:dyDescent="0.25">
      <c r="H146" s="247"/>
      <c r="I146" s="295"/>
      <c r="J146" s="298"/>
    </row>
    <row r="147" spans="8:10" x14ac:dyDescent="0.25">
      <c r="H147" s="247"/>
      <c r="I147" s="295"/>
      <c r="J147" s="298"/>
    </row>
    <row r="148" spans="8:10" x14ac:dyDescent="0.25">
      <c r="H148" s="247"/>
      <c r="I148" s="295"/>
      <c r="J148" s="298"/>
    </row>
    <row r="149" spans="8:10" x14ac:dyDescent="0.25">
      <c r="H149" s="247"/>
      <c r="I149" s="295"/>
      <c r="J149" s="298"/>
    </row>
    <row r="150" spans="8:10" x14ac:dyDescent="0.25">
      <c r="H150" s="247"/>
      <c r="I150" s="295"/>
      <c r="J150" s="298"/>
    </row>
    <row r="151" spans="8:10" x14ac:dyDescent="0.25">
      <c r="H151" s="247"/>
      <c r="I151" s="295"/>
      <c r="J151" s="298"/>
    </row>
    <row r="152" spans="8:10" x14ac:dyDescent="0.25">
      <c r="H152" s="247"/>
      <c r="I152" s="295"/>
      <c r="J152" s="298"/>
    </row>
    <row r="153" spans="8:10" x14ac:dyDescent="0.25">
      <c r="H153" s="247"/>
      <c r="I153" s="295"/>
      <c r="J153" s="298"/>
    </row>
    <row r="154" spans="8:10" x14ac:dyDescent="0.25">
      <c r="H154" s="247"/>
      <c r="I154" s="295"/>
      <c r="J154" s="298"/>
    </row>
    <row r="155" spans="8:10" x14ac:dyDescent="0.25">
      <c r="H155" s="247"/>
      <c r="I155" s="295"/>
      <c r="J155" s="298"/>
    </row>
    <row r="156" spans="8:10" x14ac:dyDescent="0.25">
      <c r="H156" s="247"/>
      <c r="I156" s="295"/>
      <c r="J156" s="298"/>
    </row>
    <row r="157" spans="8:10" x14ac:dyDescent="0.25">
      <c r="H157" s="247"/>
      <c r="I157" s="295"/>
      <c r="J157" s="298"/>
    </row>
    <row r="158" spans="8:10" x14ac:dyDescent="0.25">
      <c r="H158" s="247"/>
      <c r="I158" s="295"/>
      <c r="J158" s="298"/>
    </row>
    <row r="159" spans="8:10" x14ac:dyDescent="0.25">
      <c r="H159" s="247"/>
      <c r="I159" s="295"/>
      <c r="J159" s="298"/>
    </row>
    <row r="160" spans="8:10" x14ac:dyDescent="0.25">
      <c r="H160" s="247"/>
      <c r="I160" s="295"/>
      <c r="J160" s="298"/>
    </row>
    <row r="161" spans="8:10" x14ac:dyDescent="0.25">
      <c r="H161" s="247"/>
      <c r="I161" s="295"/>
      <c r="J161" s="298"/>
    </row>
    <row r="162" spans="8:10" x14ac:dyDescent="0.25">
      <c r="H162" s="247"/>
      <c r="I162" s="295"/>
      <c r="J162" s="298"/>
    </row>
    <row r="163" spans="8:10" x14ac:dyDescent="0.25">
      <c r="H163" s="247"/>
      <c r="I163" s="295"/>
      <c r="J163" s="298"/>
    </row>
    <row r="164" spans="8:10" x14ac:dyDescent="0.25">
      <c r="H164" s="247"/>
      <c r="I164" s="295"/>
      <c r="J164" s="298"/>
    </row>
    <row r="165" spans="8:10" x14ac:dyDescent="0.25">
      <c r="H165" s="247"/>
      <c r="I165" s="295"/>
      <c r="J165" s="298"/>
    </row>
    <row r="166" spans="8:10" x14ac:dyDescent="0.25">
      <c r="H166" s="247"/>
      <c r="I166" s="295"/>
      <c r="J166" s="298"/>
    </row>
    <row r="167" spans="8:10" x14ac:dyDescent="0.25">
      <c r="H167" s="247"/>
      <c r="I167" s="295"/>
      <c r="J167" s="298"/>
    </row>
    <row r="168" spans="8:10" x14ac:dyDescent="0.25">
      <c r="H168" s="247"/>
      <c r="I168" s="295"/>
      <c r="J168" s="298"/>
    </row>
    <row r="169" spans="8:10" x14ac:dyDescent="0.25">
      <c r="H169" s="247"/>
      <c r="I169" s="295"/>
      <c r="J169" s="298"/>
    </row>
    <row r="170" spans="8:10" x14ac:dyDescent="0.25">
      <c r="H170" s="247"/>
      <c r="I170" s="295"/>
      <c r="J170" s="298"/>
    </row>
    <row r="171" spans="8:10" x14ac:dyDescent="0.25">
      <c r="H171" s="247"/>
      <c r="J171" s="298"/>
    </row>
    <row r="172" spans="8:10" x14ac:dyDescent="0.25">
      <c r="H172" s="247"/>
      <c r="J172" s="298"/>
    </row>
    <row r="173" spans="8:10" x14ac:dyDescent="0.25">
      <c r="H173" s="247"/>
      <c r="J173" s="298"/>
    </row>
    <row r="174" spans="8:10" x14ac:dyDescent="0.25">
      <c r="H174" s="247"/>
      <c r="J174" s="298"/>
    </row>
    <row r="175" spans="8:10" x14ac:dyDescent="0.25">
      <c r="H175" s="247"/>
      <c r="J175" s="298"/>
    </row>
    <row r="176" spans="8:10" x14ac:dyDescent="0.25">
      <c r="H176" s="247"/>
      <c r="J176" s="298"/>
    </row>
    <row r="177" spans="8:10" x14ac:dyDescent="0.25">
      <c r="H177" s="247"/>
      <c r="J177" s="298"/>
    </row>
    <row r="178" spans="8:10" x14ac:dyDescent="0.25">
      <c r="H178" s="247"/>
      <c r="J178" s="298"/>
    </row>
    <row r="179" spans="8:10" x14ac:dyDescent="0.25">
      <c r="H179" s="247"/>
      <c r="J179" s="298"/>
    </row>
    <row r="180" spans="8:10" x14ac:dyDescent="0.25">
      <c r="H180" s="247"/>
      <c r="J180" s="298"/>
    </row>
    <row r="181" spans="8:10" x14ac:dyDescent="0.25">
      <c r="H181" s="247"/>
      <c r="J181" s="298"/>
    </row>
    <row r="182" spans="8:10" x14ac:dyDescent="0.25">
      <c r="H182" s="247"/>
      <c r="J182" s="298"/>
    </row>
    <row r="183" spans="8:10" x14ac:dyDescent="0.25">
      <c r="H183" s="247"/>
      <c r="J183" s="298"/>
    </row>
    <row r="184" spans="8:10" x14ac:dyDescent="0.25">
      <c r="H184" s="247"/>
      <c r="J184" s="298"/>
    </row>
    <row r="185" spans="8:10" x14ac:dyDescent="0.25">
      <c r="H185" s="247"/>
      <c r="J185" s="298"/>
    </row>
    <row r="186" spans="8:10" x14ac:dyDescent="0.25">
      <c r="H186" s="247"/>
      <c r="J186" s="298"/>
    </row>
    <row r="187" spans="8:10" x14ac:dyDescent="0.25">
      <c r="H187" s="247"/>
      <c r="J187" s="298"/>
    </row>
    <row r="188" spans="8:10" x14ac:dyDescent="0.25">
      <c r="H188" s="247"/>
      <c r="J188" s="298"/>
    </row>
    <row r="189" spans="8:10" x14ac:dyDescent="0.25">
      <c r="H189" s="247"/>
      <c r="J189" s="298"/>
    </row>
    <row r="190" spans="8:10" x14ac:dyDescent="0.25">
      <c r="H190" s="247"/>
      <c r="J190" s="298"/>
    </row>
    <row r="191" spans="8:10" x14ac:dyDescent="0.25">
      <c r="H191" s="247"/>
      <c r="J191" s="298"/>
    </row>
    <row r="192" spans="8:10" x14ac:dyDescent="0.25">
      <c r="H192" s="247"/>
      <c r="J192" s="298"/>
    </row>
    <row r="193" spans="8:10" x14ac:dyDescent="0.25">
      <c r="H193" s="247"/>
      <c r="J193" s="298"/>
    </row>
    <row r="194" spans="8:10" x14ac:dyDescent="0.25">
      <c r="H194" s="247"/>
      <c r="J194" s="298"/>
    </row>
    <row r="195" spans="8:10" x14ac:dyDescent="0.25">
      <c r="H195" s="247"/>
      <c r="J195" s="298"/>
    </row>
    <row r="196" spans="8:10" x14ac:dyDescent="0.25">
      <c r="H196" s="247"/>
      <c r="J196" s="298"/>
    </row>
    <row r="197" spans="8:10" x14ac:dyDescent="0.25">
      <c r="H197" s="247"/>
      <c r="J197" s="298"/>
    </row>
    <row r="198" spans="8:10" x14ac:dyDescent="0.25">
      <c r="J198" s="298"/>
    </row>
    <row r="199" spans="8:10" x14ac:dyDescent="0.25">
      <c r="J199" s="298"/>
    </row>
    <row r="200" spans="8:10" x14ac:dyDescent="0.25">
      <c r="J200" s="298"/>
    </row>
    <row r="201" spans="8:10" x14ac:dyDescent="0.25">
      <c r="J201" s="298"/>
    </row>
    <row r="202" spans="8:10" x14ac:dyDescent="0.25">
      <c r="J202" s="298"/>
    </row>
    <row r="203" spans="8:10" x14ac:dyDescent="0.25">
      <c r="J203" s="298"/>
    </row>
    <row r="204" spans="8:10" x14ac:dyDescent="0.25">
      <c r="J204" s="298"/>
    </row>
    <row r="205" spans="8:10" x14ac:dyDescent="0.25">
      <c r="J205" s="298"/>
    </row>
    <row r="206" spans="8:10" x14ac:dyDescent="0.25">
      <c r="J206" s="298"/>
    </row>
    <row r="207" spans="8:10" x14ac:dyDescent="0.25">
      <c r="J207" s="298"/>
    </row>
    <row r="208" spans="8:10" x14ac:dyDescent="0.25">
      <c r="J208" s="298"/>
    </row>
    <row r="209" spans="10:10" x14ac:dyDescent="0.25">
      <c r="J209" s="298"/>
    </row>
    <row r="210" spans="10:10" x14ac:dyDescent="0.25">
      <c r="J210" s="298"/>
    </row>
    <row r="211" spans="10:10" x14ac:dyDescent="0.25">
      <c r="J211" s="298"/>
    </row>
    <row r="212" spans="10:10" x14ac:dyDescent="0.25">
      <c r="J212" s="298"/>
    </row>
    <row r="213" spans="10:10" x14ac:dyDescent="0.25">
      <c r="J213" s="298"/>
    </row>
    <row r="214" spans="10:10" x14ac:dyDescent="0.25">
      <c r="J214" s="298"/>
    </row>
    <row r="215" spans="10:10" x14ac:dyDescent="0.25">
      <c r="J215" s="298"/>
    </row>
    <row r="216" spans="10:10" x14ac:dyDescent="0.25">
      <c r="J216" s="298"/>
    </row>
    <row r="217" spans="10:10" x14ac:dyDescent="0.25">
      <c r="J217" s="298"/>
    </row>
    <row r="218" spans="10:10" x14ac:dyDescent="0.25">
      <c r="J218" s="298"/>
    </row>
    <row r="219" spans="10:10" x14ac:dyDescent="0.25">
      <c r="J219" s="298"/>
    </row>
  </sheetData>
  <mergeCells count="1">
    <mergeCell ref="A1:J1"/>
  </mergeCells>
  <phoneticPr fontId="0" type="noConversion"/>
  <printOptions gridLines="1"/>
  <pageMargins left="0.75" right="0.16" top="0.51" bottom="0.22" header="0.5" footer="0.5"/>
  <pageSetup scale="85" fitToHeight="5" orientation="landscape" r:id="rId1"/>
  <headerFooter alignWithMargins="0"/>
  <rowBreaks count="2" manualBreakCount="2">
    <brk id="73" max="9" man="1"/>
    <brk id="108" max="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210"/>
  <sheetViews>
    <sheetView view="pageBreakPreview" zoomScaleNormal="100" zoomScaleSheetLayoutView="100" workbookViewId="0">
      <selection sqref="A1:J1"/>
    </sheetView>
  </sheetViews>
  <sheetFormatPr defaultColWidth="8.88671875" defaultRowHeight="13.2" x14ac:dyDescent="0.25"/>
  <cols>
    <col min="1" max="1" width="52.88671875" style="7" customWidth="1"/>
    <col min="2" max="2" width="9.5546875" style="7" customWidth="1"/>
    <col min="3" max="3" width="8.5546875" style="7" bestFit="1" customWidth="1"/>
    <col min="4" max="4" width="9.44140625" style="7" bestFit="1" customWidth="1"/>
    <col min="5" max="7" width="10.88671875" style="7" customWidth="1"/>
    <col min="8" max="8" width="14" style="7" bestFit="1" customWidth="1"/>
    <col min="9" max="10" width="10.88671875" style="7" customWidth="1"/>
    <col min="11" max="16384" width="8.88671875" style="7"/>
  </cols>
  <sheetData>
    <row r="1" spans="1:10" x14ac:dyDescent="0.25">
      <c r="A1" s="307" t="str">
        <f>'SUMMARY BY FUND'!A1:J1</f>
        <v>2019-20 BUDGET</v>
      </c>
      <c r="B1" s="308"/>
      <c r="C1" s="308"/>
      <c r="D1" s="308"/>
      <c r="E1" s="308"/>
      <c r="F1" s="308"/>
      <c r="G1" s="308"/>
      <c r="H1" s="308"/>
      <c r="I1" s="308"/>
      <c r="J1" s="308"/>
    </row>
    <row r="2" spans="1:10" ht="17.399999999999999" x14ac:dyDescent="0.3">
      <c r="A2" s="180" t="s">
        <v>1945</v>
      </c>
      <c r="B2" s="180"/>
      <c r="C2" s="180"/>
      <c r="D2" s="180"/>
      <c r="E2" s="180"/>
      <c r="F2" s="180"/>
    </row>
    <row r="3" spans="1:10" x14ac:dyDescent="0.25">
      <c r="B3" s="2"/>
      <c r="C3" s="2"/>
      <c r="D3" s="2"/>
      <c r="E3" s="2"/>
      <c r="F3" s="2"/>
    </row>
    <row r="4" spans="1:10" x14ac:dyDescent="0.25">
      <c r="B4" s="2"/>
      <c r="C4" s="2"/>
      <c r="D4" s="2"/>
      <c r="E4" s="195" t="s">
        <v>233</v>
      </c>
      <c r="F4" s="195" t="s">
        <v>234</v>
      </c>
      <c r="G4" s="195" t="s">
        <v>70</v>
      </c>
      <c r="H4" s="195" t="s">
        <v>409</v>
      </c>
      <c r="I4" s="16" t="s">
        <v>314</v>
      </c>
      <c r="J4" s="16" t="s">
        <v>345</v>
      </c>
    </row>
    <row r="5" spans="1:10" ht="15" x14ac:dyDescent="0.4">
      <c r="B5" s="2"/>
      <c r="C5" s="2"/>
      <c r="D5" s="2"/>
      <c r="E5" s="225" t="s">
        <v>1794</v>
      </c>
      <c r="F5" s="225" t="s">
        <v>1970</v>
      </c>
      <c r="G5" s="225" t="s">
        <v>2129</v>
      </c>
      <c r="H5" s="225" t="s">
        <v>2129</v>
      </c>
      <c r="I5" s="225" t="s">
        <v>2129</v>
      </c>
      <c r="J5" s="225" t="s">
        <v>2129</v>
      </c>
    </row>
    <row r="6" spans="1:10" ht="13.8" x14ac:dyDescent="0.3">
      <c r="A6" s="204" t="s">
        <v>1111</v>
      </c>
      <c r="B6" s="2"/>
      <c r="C6" s="2"/>
      <c r="D6" s="2"/>
      <c r="E6" s="2">
        <f>400.98+45284.62</f>
        <v>45685.600000000006</v>
      </c>
      <c r="F6" s="2">
        <v>80952</v>
      </c>
      <c r="G6" s="2">
        <v>82304</v>
      </c>
      <c r="H6" s="2">
        <v>82304</v>
      </c>
      <c r="I6" s="2">
        <v>82987</v>
      </c>
      <c r="J6" s="2">
        <v>82987</v>
      </c>
    </row>
    <row r="7" spans="1:10" x14ac:dyDescent="0.25">
      <c r="A7" s="23" t="s">
        <v>1361</v>
      </c>
      <c r="B7" s="2">
        <v>52</v>
      </c>
      <c r="C7" s="2">
        <v>879</v>
      </c>
      <c r="D7" s="2">
        <f>ROUND(B7*C7,0)</f>
        <v>45708</v>
      </c>
      <c r="E7" s="2"/>
      <c r="F7" s="2"/>
      <c r="G7" s="2"/>
      <c r="H7" s="2"/>
      <c r="I7" s="2"/>
      <c r="J7" s="2"/>
    </row>
    <row r="8" spans="1:10" x14ac:dyDescent="0.25">
      <c r="A8" s="23" t="s">
        <v>1361</v>
      </c>
      <c r="B8" s="2">
        <v>52</v>
      </c>
      <c r="C8" s="2">
        <v>700</v>
      </c>
      <c r="D8" s="2">
        <f>ROUND(B8*C8,0)</f>
        <v>36400</v>
      </c>
      <c r="E8" s="2"/>
      <c r="F8" s="2"/>
      <c r="G8" s="2"/>
      <c r="H8" s="2"/>
      <c r="I8" s="2"/>
      <c r="J8" s="2"/>
    </row>
    <row r="9" spans="1:10" ht="15" x14ac:dyDescent="0.4">
      <c r="A9" s="202" t="s">
        <v>973</v>
      </c>
      <c r="B9" s="2" t="s">
        <v>396</v>
      </c>
      <c r="C9" s="2" t="s">
        <v>396</v>
      </c>
      <c r="D9" s="11">
        <v>879</v>
      </c>
      <c r="E9" s="2"/>
      <c r="F9" s="2"/>
      <c r="G9" s="2"/>
      <c r="H9" s="2"/>
      <c r="I9" s="2"/>
      <c r="J9" s="2"/>
    </row>
    <row r="10" spans="1:10" x14ac:dyDescent="0.25">
      <c r="A10" s="202" t="s">
        <v>1247</v>
      </c>
      <c r="B10" s="2"/>
      <c r="C10" s="2"/>
      <c r="D10" s="2">
        <f>SUM(D7:D9)</f>
        <v>82987</v>
      </c>
      <c r="E10" s="2"/>
      <c r="F10" s="2"/>
      <c r="G10" s="2"/>
      <c r="H10" s="2"/>
      <c r="I10" s="2"/>
      <c r="J10" s="2"/>
    </row>
    <row r="11" spans="1:10" x14ac:dyDescent="0.25">
      <c r="A11" s="202"/>
      <c r="B11" s="12"/>
      <c r="C11" s="202"/>
      <c r="D11" s="2"/>
      <c r="E11" s="2"/>
      <c r="F11" s="2"/>
      <c r="G11" s="2"/>
      <c r="H11" s="2"/>
      <c r="I11" s="2"/>
      <c r="J11" s="2"/>
    </row>
    <row r="12" spans="1:10" ht="13.8" x14ac:dyDescent="0.3">
      <c r="A12" s="204" t="s">
        <v>922</v>
      </c>
      <c r="B12" s="202"/>
      <c r="C12" s="202"/>
      <c r="D12" s="202"/>
      <c r="E12" s="2">
        <v>54765.120000000003</v>
      </c>
      <c r="F12" s="2">
        <v>39182</v>
      </c>
      <c r="G12" s="2">
        <v>39182</v>
      </c>
      <c r="H12" s="2">
        <v>39182</v>
      </c>
      <c r="I12" s="2">
        <v>40352</v>
      </c>
      <c r="J12" s="2">
        <v>40352</v>
      </c>
    </row>
    <row r="13" spans="1:10" x14ac:dyDescent="0.25">
      <c r="A13" s="23" t="s">
        <v>1874</v>
      </c>
      <c r="B13" s="144">
        <v>1300</v>
      </c>
      <c r="C13" s="12">
        <v>15.52</v>
      </c>
      <c r="D13" s="2">
        <f>ROUND(B13*C13,0)</f>
        <v>20176</v>
      </c>
      <c r="E13" s="2"/>
      <c r="F13" s="2"/>
      <c r="G13" s="2"/>
      <c r="H13" s="2"/>
      <c r="I13" s="2"/>
      <c r="J13" s="2"/>
    </row>
    <row r="14" spans="1:10" ht="15" x14ac:dyDescent="0.4">
      <c r="A14" s="23" t="s">
        <v>1560</v>
      </c>
      <c r="B14" s="144">
        <v>1300</v>
      </c>
      <c r="C14" s="12">
        <v>15.52</v>
      </c>
      <c r="D14" s="11">
        <f>ROUND(B14*C14,0)</f>
        <v>20176</v>
      </c>
      <c r="E14" s="2"/>
      <c r="F14" s="2"/>
      <c r="G14" s="2"/>
      <c r="H14" s="2"/>
      <c r="I14" s="2"/>
      <c r="J14" s="2"/>
    </row>
    <row r="15" spans="1:10" ht="13.8" x14ac:dyDescent="0.3">
      <c r="A15" s="204"/>
      <c r="B15" s="202"/>
      <c r="C15" s="202"/>
      <c r="D15" s="2">
        <f>SUM(D13:D14)</f>
        <v>40352</v>
      </c>
      <c r="E15" s="2"/>
      <c r="F15" s="2"/>
      <c r="G15" s="2"/>
      <c r="H15" s="2"/>
      <c r="I15" s="2"/>
      <c r="J15" s="2"/>
    </row>
    <row r="16" spans="1:10" ht="13.95" customHeight="1" x14ac:dyDescent="0.3">
      <c r="A16" s="204" t="s">
        <v>923</v>
      </c>
      <c r="B16" s="202"/>
      <c r="C16" s="202"/>
      <c r="D16" s="2"/>
      <c r="E16" s="2">
        <v>4895.16</v>
      </c>
      <c r="F16" s="2">
        <v>4623</v>
      </c>
      <c r="G16" s="2">
        <v>4701</v>
      </c>
      <c r="H16" s="2">
        <v>4701</v>
      </c>
      <c r="I16" s="2">
        <v>4737</v>
      </c>
      <c r="J16" s="2">
        <v>4737</v>
      </c>
    </row>
    <row r="17" spans="1:10" x14ac:dyDescent="0.25">
      <c r="A17" s="202" t="s">
        <v>1361</v>
      </c>
      <c r="B17" s="2">
        <v>160</v>
      </c>
      <c r="C17" s="12">
        <f>+(C7+C8)/40*1.5/2</f>
        <v>29.606250000000003</v>
      </c>
      <c r="D17" s="2">
        <f>ROUND(B17*C17,0)</f>
        <v>4737</v>
      </c>
      <c r="E17" s="2"/>
      <c r="F17" s="2"/>
      <c r="G17" s="2"/>
      <c r="H17" s="2"/>
      <c r="I17" s="2"/>
      <c r="J17" s="2"/>
    </row>
    <row r="18" spans="1:10" x14ac:dyDescent="0.25">
      <c r="A18" s="202"/>
      <c r="B18" s="2"/>
      <c r="C18" s="12"/>
      <c r="D18" s="2"/>
      <c r="E18" s="2"/>
      <c r="F18" s="2"/>
      <c r="G18" s="2"/>
      <c r="H18" s="2"/>
      <c r="I18" s="2"/>
      <c r="J18" s="2"/>
    </row>
    <row r="19" spans="1:10" ht="13.8" x14ac:dyDescent="0.3">
      <c r="A19" s="204" t="s">
        <v>927</v>
      </c>
      <c r="B19" s="202"/>
      <c r="C19" s="202"/>
      <c r="D19" s="2"/>
      <c r="E19" s="2">
        <v>8104.91</v>
      </c>
      <c r="F19" s="2">
        <v>9544</v>
      </c>
      <c r="G19" s="2">
        <v>9653</v>
      </c>
      <c r="H19" s="2">
        <v>9653</v>
      </c>
      <c r="I19" s="2">
        <v>9798</v>
      </c>
      <c r="J19" s="2">
        <v>9798</v>
      </c>
    </row>
    <row r="20" spans="1:10" x14ac:dyDescent="0.25">
      <c r="A20" s="13" t="s">
        <v>807</v>
      </c>
      <c r="B20" s="2">
        <f>+D10</f>
        <v>82987</v>
      </c>
      <c r="C20" s="14">
        <v>7.6499999999999999E-2</v>
      </c>
      <c r="D20" s="2">
        <f>ROUND(B20*C20,0)</f>
        <v>6349</v>
      </c>
      <c r="E20" s="2"/>
      <c r="F20" s="2"/>
      <c r="G20" s="2"/>
      <c r="H20" s="2"/>
      <c r="I20" s="2"/>
      <c r="J20" s="2"/>
    </row>
    <row r="21" spans="1:10" x14ac:dyDescent="0.25">
      <c r="A21" s="13" t="s">
        <v>184</v>
      </c>
      <c r="B21" s="2">
        <f>+D15</f>
        <v>40352</v>
      </c>
      <c r="C21" s="14">
        <v>7.6499999999999999E-2</v>
      </c>
      <c r="D21" s="2">
        <f>ROUND(B21*C21,0)</f>
        <v>3087</v>
      </c>
      <c r="E21" s="2"/>
      <c r="F21" s="2"/>
      <c r="G21" s="2"/>
      <c r="H21" s="2"/>
      <c r="I21" s="2"/>
      <c r="J21" s="2"/>
    </row>
    <row r="22" spans="1:10" ht="15" x14ac:dyDescent="0.4">
      <c r="A22" s="13" t="s">
        <v>185</v>
      </c>
      <c r="B22" s="2">
        <f>+D17</f>
        <v>4737</v>
      </c>
      <c r="C22" s="14">
        <v>7.6499999999999999E-2</v>
      </c>
      <c r="D22" s="11">
        <f>ROUND(B22*C22,0)</f>
        <v>362</v>
      </c>
      <c r="E22" s="2"/>
      <c r="F22" s="2"/>
      <c r="G22" s="2"/>
      <c r="H22" s="2"/>
      <c r="I22" s="2"/>
      <c r="J22" s="2"/>
    </row>
    <row r="23" spans="1:10" x14ac:dyDescent="0.25">
      <c r="A23" s="202" t="s">
        <v>1247</v>
      </c>
      <c r="B23" s="202"/>
      <c r="C23" s="202"/>
      <c r="D23" s="2">
        <f>SUM(D20:D22)</f>
        <v>9798</v>
      </c>
      <c r="E23" s="2"/>
      <c r="F23" s="2"/>
      <c r="G23" s="2"/>
      <c r="H23" s="2"/>
      <c r="I23" s="2"/>
      <c r="J23" s="2"/>
    </row>
    <row r="24" spans="1:10" x14ac:dyDescent="0.25">
      <c r="A24" s="202"/>
      <c r="B24" s="202"/>
      <c r="C24" s="202"/>
      <c r="D24" s="2"/>
      <c r="E24" s="2"/>
      <c r="F24" s="2"/>
      <c r="G24" s="2"/>
      <c r="H24" s="2"/>
      <c r="I24" s="2"/>
      <c r="J24" s="2"/>
    </row>
    <row r="25" spans="1:10" ht="13.8" x14ac:dyDescent="0.3">
      <c r="A25" s="204" t="s">
        <v>928</v>
      </c>
      <c r="B25" s="202"/>
      <c r="C25" s="202"/>
      <c r="D25" s="2"/>
      <c r="E25" s="2">
        <v>225.33</v>
      </c>
      <c r="F25" s="2">
        <v>9738</v>
      </c>
      <c r="G25" s="2">
        <v>9718</v>
      </c>
      <c r="H25" s="2">
        <v>9718</v>
      </c>
      <c r="I25" s="2">
        <v>9799</v>
      </c>
      <c r="J25" s="2">
        <v>9799</v>
      </c>
    </row>
    <row r="26" spans="1:10" x14ac:dyDescent="0.25">
      <c r="A26" s="13" t="s">
        <v>807</v>
      </c>
      <c r="B26" s="2">
        <f>+D10</f>
        <v>82987</v>
      </c>
      <c r="C26" s="14">
        <v>0.11169999999999999</v>
      </c>
      <c r="D26" s="2">
        <f>ROUND(B26*C26,0)</f>
        <v>9270</v>
      </c>
      <c r="E26" s="2"/>
      <c r="F26" s="2"/>
      <c r="G26" s="2"/>
      <c r="H26" s="2"/>
      <c r="I26" s="2"/>
      <c r="J26" s="2"/>
    </row>
    <row r="27" spans="1:10" ht="15" x14ac:dyDescent="0.4">
      <c r="A27" s="13" t="s">
        <v>185</v>
      </c>
      <c r="B27" s="2">
        <f>+D17</f>
        <v>4737</v>
      </c>
      <c r="C27" s="14">
        <v>0.11169999999999999</v>
      </c>
      <c r="D27" s="11">
        <f>ROUND(B27*C27,0)</f>
        <v>529</v>
      </c>
      <c r="E27" s="2"/>
      <c r="F27" s="2"/>
      <c r="G27" s="2"/>
      <c r="H27" s="2"/>
      <c r="I27" s="2"/>
      <c r="J27" s="2"/>
    </row>
    <row r="28" spans="1:10" x14ac:dyDescent="0.25">
      <c r="A28" s="202" t="s">
        <v>1247</v>
      </c>
      <c r="B28" s="202"/>
      <c r="C28" s="202"/>
      <c r="D28" s="2">
        <f>SUM(D26:D27)</f>
        <v>9799</v>
      </c>
      <c r="E28" s="2"/>
      <c r="F28" s="2"/>
      <c r="G28" s="2"/>
      <c r="H28" s="2"/>
      <c r="I28" s="2"/>
      <c r="J28" s="2"/>
    </row>
    <row r="29" spans="1:10" x14ac:dyDescent="0.25">
      <c r="A29" s="202"/>
      <c r="B29" s="202"/>
      <c r="C29" s="202"/>
      <c r="D29" s="2"/>
      <c r="E29" s="2"/>
      <c r="F29" s="2"/>
      <c r="G29" s="2"/>
      <c r="H29" s="2"/>
      <c r="I29" s="2"/>
      <c r="J29" s="2"/>
    </row>
    <row r="30" spans="1:10" ht="13.8" x14ac:dyDescent="0.3">
      <c r="A30" s="204" t="s">
        <v>929</v>
      </c>
      <c r="B30" s="202"/>
      <c r="C30" s="202"/>
      <c r="D30" s="2"/>
      <c r="E30" s="2">
        <v>16463.259999999998</v>
      </c>
      <c r="F30" s="2">
        <v>36600</v>
      </c>
      <c r="G30" s="2">
        <v>37200</v>
      </c>
      <c r="H30" s="2">
        <v>38050</v>
      </c>
      <c r="I30" s="2">
        <v>38050</v>
      </c>
      <c r="J30" s="2">
        <v>38050</v>
      </c>
    </row>
    <row r="31" spans="1:10" x14ac:dyDescent="0.25">
      <c r="A31" s="202" t="s">
        <v>416</v>
      </c>
      <c r="B31" s="2">
        <v>2</v>
      </c>
      <c r="C31" s="2">
        <v>19025</v>
      </c>
      <c r="D31" s="2">
        <f>ROUND(B31*C31,0)</f>
        <v>38050</v>
      </c>
      <c r="E31" s="2"/>
      <c r="F31" s="2"/>
      <c r="G31" s="2"/>
      <c r="H31" s="2"/>
      <c r="I31" s="2"/>
      <c r="J31" s="2"/>
    </row>
    <row r="32" spans="1:10" x14ac:dyDescent="0.25">
      <c r="A32" s="202"/>
      <c r="B32" s="202"/>
      <c r="C32" s="202"/>
      <c r="D32" s="2"/>
      <c r="E32" s="2"/>
      <c r="F32" s="2"/>
      <c r="G32" s="2"/>
      <c r="H32" s="2"/>
      <c r="I32" s="2"/>
      <c r="J32" s="2"/>
    </row>
    <row r="33" spans="1:10" ht="13.8" x14ac:dyDescent="0.3">
      <c r="A33" s="204" t="s">
        <v>1260</v>
      </c>
      <c r="B33" s="202"/>
      <c r="C33" s="202"/>
      <c r="D33" s="2"/>
      <c r="E33" s="2">
        <v>1174.1500000000001</v>
      </c>
      <c r="F33" s="2">
        <v>2340</v>
      </c>
      <c r="G33" s="2">
        <v>2403</v>
      </c>
      <c r="H33" s="2">
        <v>2430</v>
      </c>
      <c r="I33" s="2">
        <v>2430</v>
      </c>
      <c r="J33" s="2">
        <v>2430</v>
      </c>
    </row>
    <row r="34" spans="1:10" x14ac:dyDescent="0.25">
      <c r="A34" s="202" t="s">
        <v>416</v>
      </c>
      <c r="B34" s="2">
        <v>2</v>
      </c>
      <c r="C34" s="2">
        <v>1350</v>
      </c>
      <c r="D34" s="2">
        <f>ROUND(B34*C34,0)</f>
        <v>2700</v>
      </c>
      <c r="E34" s="2"/>
      <c r="F34" s="2"/>
      <c r="G34" s="2"/>
      <c r="H34" s="2"/>
      <c r="I34" s="2"/>
      <c r="J34" s="2"/>
    </row>
    <row r="35" spans="1:10" ht="15" x14ac:dyDescent="0.4">
      <c r="A35" s="202" t="s">
        <v>227</v>
      </c>
      <c r="B35" s="202"/>
      <c r="C35" s="202"/>
      <c r="D35" s="11">
        <f>+C34*-0.1*B34</f>
        <v>-270</v>
      </c>
      <c r="E35" s="2"/>
      <c r="F35" s="2"/>
      <c r="G35" s="2"/>
      <c r="H35" s="2"/>
      <c r="I35" s="2"/>
      <c r="J35" s="2"/>
    </row>
    <row r="36" spans="1:10" x14ac:dyDescent="0.25">
      <c r="A36" s="202" t="s">
        <v>1247</v>
      </c>
      <c r="B36" s="202"/>
      <c r="C36" s="202"/>
      <c r="D36" s="2">
        <f>SUM(D34:D35)</f>
        <v>2430</v>
      </c>
      <c r="E36" s="2"/>
      <c r="F36" s="2"/>
      <c r="G36" s="2"/>
      <c r="H36" s="2"/>
      <c r="I36" s="2"/>
      <c r="J36" s="2"/>
    </row>
    <row r="37" spans="1:10" ht="15" x14ac:dyDescent="0.4">
      <c r="A37" s="202"/>
      <c r="B37" s="202"/>
      <c r="C37" s="202"/>
      <c r="D37" s="11"/>
      <c r="E37" s="2"/>
      <c r="F37" s="2"/>
      <c r="G37" s="2"/>
      <c r="H37" s="2"/>
      <c r="I37" s="2"/>
      <c r="J37" s="2"/>
    </row>
    <row r="38" spans="1:10" ht="13.8" x14ac:dyDescent="0.3">
      <c r="A38" s="204" t="s">
        <v>1053</v>
      </c>
      <c r="B38" s="202"/>
      <c r="C38" s="202"/>
      <c r="D38" s="2"/>
      <c r="E38" s="2">
        <v>99.3</v>
      </c>
      <c r="F38" s="2">
        <v>270</v>
      </c>
      <c r="G38" s="2">
        <v>270</v>
      </c>
      <c r="H38" s="2">
        <v>270</v>
      </c>
      <c r="I38" s="2">
        <v>270</v>
      </c>
      <c r="J38" s="2">
        <v>270</v>
      </c>
    </row>
    <row r="39" spans="1:10" hidden="1" x14ac:dyDescent="0.25">
      <c r="A39" s="202" t="s">
        <v>416</v>
      </c>
      <c r="B39" s="2">
        <v>2</v>
      </c>
      <c r="C39" s="2">
        <v>135</v>
      </c>
      <c r="D39" s="2">
        <f>ROUND(B39*C39,0)</f>
        <v>270</v>
      </c>
      <c r="E39" s="2"/>
      <c r="F39" s="2"/>
      <c r="G39" s="2"/>
      <c r="H39" s="2"/>
      <c r="I39" s="2"/>
      <c r="J39" s="2"/>
    </row>
    <row r="40" spans="1:10" x14ac:dyDescent="0.25">
      <c r="A40" s="202"/>
      <c r="B40" s="202"/>
      <c r="C40" s="202"/>
      <c r="D40" s="2"/>
      <c r="E40" s="2"/>
      <c r="F40" s="2"/>
      <c r="G40" s="2"/>
      <c r="H40" s="2"/>
      <c r="I40" s="2"/>
      <c r="J40" s="2"/>
    </row>
    <row r="41" spans="1:10" ht="13.8" x14ac:dyDescent="0.3">
      <c r="A41" s="204" t="s">
        <v>1277</v>
      </c>
      <c r="B41" s="202"/>
      <c r="C41" s="202"/>
      <c r="D41" s="2"/>
      <c r="E41" s="2">
        <v>430.71</v>
      </c>
      <c r="F41" s="2">
        <v>1260</v>
      </c>
      <c r="G41" s="2">
        <v>1200</v>
      </c>
      <c r="H41" s="2">
        <v>1200</v>
      </c>
      <c r="I41" s="2">
        <v>1200</v>
      </c>
      <c r="J41" s="2">
        <v>1200</v>
      </c>
    </row>
    <row r="42" spans="1:10" hidden="1" x14ac:dyDescent="0.25">
      <c r="A42" s="202" t="s">
        <v>416</v>
      </c>
      <c r="B42" s="2">
        <v>2</v>
      </c>
      <c r="C42" s="2">
        <v>600</v>
      </c>
      <c r="D42" s="2">
        <f>ROUND(B42*C42,0)</f>
        <v>1200</v>
      </c>
      <c r="E42" s="2"/>
      <c r="F42" s="2"/>
      <c r="G42" s="2"/>
      <c r="H42" s="2"/>
      <c r="I42" s="2"/>
      <c r="J42" s="2"/>
    </row>
    <row r="43" spans="1:10" x14ac:dyDescent="0.25">
      <c r="A43" s="202"/>
      <c r="B43" s="202"/>
      <c r="C43" s="202"/>
      <c r="D43" s="2"/>
      <c r="E43" s="2"/>
      <c r="F43" s="2"/>
      <c r="G43" s="2"/>
      <c r="H43" s="2"/>
      <c r="I43" s="2"/>
      <c r="J43" s="2"/>
    </row>
    <row r="44" spans="1:10" ht="13.8" x14ac:dyDescent="0.3">
      <c r="A44" s="204" t="s">
        <v>1278</v>
      </c>
      <c r="B44" s="202"/>
      <c r="C44" s="202"/>
      <c r="D44" s="2"/>
      <c r="E44" s="2">
        <v>2116</v>
      </c>
      <c r="F44" s="2">
        <v>3082</v>
      </c>
      <c r="G44" s="2">
        <v>3079</v>
      </c>
      <c r="H44" s="2">
        <v>3079</v>
      </c>
      <c r="I44" s="2">
        <v>3126</v>
      </c>
      <c r="J44" s="2">
        <v>3126</v>
      </c>
    </row>
    <row r="45" spans="1:10" x14ac:dyDescent="0.25">
      <c r="A45" s="13" t="s">
        <v>807</v>
      </c>
      <c r="B45" s="2">
        <f>+D10</f>
        <v>82987</v>
      </c>
      <c r="C45" s="14">
        <v>2.4400000000000002E-2</v>
      </c>
      <c r="D45" s="2">
        <f>ROUND(B45*C45,0)</f>
        <v>2025</v>
      </c>
      <c r="E45" s="2"/>
      <c r="F45" s="2"/>
      <c r="G45" s="2"/>
      <c r="H45" s="2"/>
      <c r="I45" s="2"/>
      <c r="J45" s="2"/>
    </row>
    <row r="46" spans="1:10" x14ac:dyDescent="0.25">
      <c r="A46" s="13" t="s">
        <v>184</v>
      </c>
      <c r="B46" s="2">
        <f>+B21</f>
        <v>40352</v>
      </c>
      <c r="C46" s="14">
        <v>2.4400000000000002E-2</v>
      </c>
      <c r="D46" s="2">
        <f>ROUND(B46*C46,0)</f>
        <v>985</v>
      </c>
      <c r="E46" s="2"/>
      <c r="F46" s="2"/>
      <c r="G46" s="2"/>
      <c r="H46" s="2"/>
      <c r="I46" s="2"/>
      <c r="J46" s="2"/>
    </row>
    <row r="47" spans="1:10" ht="15" x14ac:dyDescent="0.4">
      <c r="A47" s="13" t="s">
        <v>1983</v>
      </c>
      <c r="B47" s="2">
        <f>ROUND(D17,0)</f>
        <v>4737</v>
      </c>
      <c r="C47" s="14">
        <v>2.4400000000000002E-2</v>
      </c>
      <c r="D47" s="11">
        <f>ROUND(B47*C47,0)</f>
        <v>116</v>
      </c>
      <c r="E47" s="2"/>
      <c r="F47" s="2"/>
      <c r="G47" s="2"/>
      <c r="H47" s="2"/>
      <c r="I47" s="2"/>
      <c r="J47" s="2"/>
    </row>
    <row r="48" spans="1:10" x14ac:dyDescent="0.25">
      <c r="A48" s="202" t="s">
        <v>1247</v>
      </c>
      <c r="B48" s="202"/>
      <c r="C48" s="202"/>
      <c r="D48" s="2">
        <f>SUM(D45:D47)</f>
        <v>3126</v>
      </c>
      <c r="E48" s="2"/>
      <c r="F48" s="2"/>
      <c r="G48" s="2"/>
      <c r="H48" s="2"/>
      <c r="I48" s="2"/>
      <c r="J48" s="2"/>
    </row>
    <row r="49" spans="1:10" x14ac:dyDescent="0.25">
      <c r="A49" s="202"/>
      <c r="B49" s="202"/>
      <c r="C49" s="202"/>
      <c r="D49" s="2"/>
      <c r="E49" s="2"/>
      <c r="F49" s="2"/>
      <c r="G49" s="2"/>
      <c r="H49" s="2"/>
      <c r="I49" s="2"/>
      <c r="J49" s="2"/>
    </row>
    <row r="50" spans="1:10" ht="13.8" x14ac:dyDescent="0.3">
      <c r="A50" s="204" t="s">
        <v>1522</v>
      </c>
      <c r="B50" s="202"/>
      <c r="C50" s="202"/>
      <c r="D50" s="2"/>
      <c r="E50" s="2">
        <v>83.86</v>
      </c>
      <c r="F50" s="2">
        <v>104</v>
      </c>
      <c r="G50" s="2">
        <v>104</v>
      </c>
      <c r="H50" s="2">
        <v>104</v>
      </c>
      <c r="I50" s="2">
        <v>104</v>
      </c>
      <c r="J50" s="2">
        <v>104</v>
      </c>
    </row>
    <row r="51" spans="1:10" x14ac:dyDescent="0.25">
      <c r="A51" s="13" t="s">
        <v>807</v>
      </c>
      <c r="B51" s="2">
        <v>2</v>
      </c>
      <c r="C51" s="2">
        <v>26</v>
      </c>
      <c r="D51" s="2">
        <f>ROUND(B51*C51,0)</f>
        <v>52</v>
      </c>
      <c r="E51" s="2"/>
      <c r="F51" s="2"/>
      <c r="G51" s="2"/>
      <c r="H51" s="2"/>
      <c r="I51" s="2"/>
      <c r="J51" s="2"/>
    </row>
    <row r="52" spans="1:10" ht="15" x14ac:dyDescent="0.4">
      <c r="A52" s="34" t="s">
        <v>2108</v>
      </c>
      <c r="B52" s="2">
        <v>2</v>
      </c>
      <c r="C52" s="2">
        <v>26</v>
      </c>
      <c r="D52" s="11">
        <f>ROUND(B52*C52,0)</f>
        <v>52</v>
      </c>
      <c r="E52" s="2"/>
      <c r="F52" s="2"/>
      <c r="G52" s="2"/>
      <c r="H52" s="2"/>
      <c r="I52" s="2"/>
      <c r="J52" s="2"/>
    </row>
    <row r="53" spans="1:10" x14ac:dyDescent="0.25">
      <c r="A53" s="13"/>
      <c r="B53" s="2"/>
      <c r="C53" s="2"/>
      <c r="D53" s="2">
        <f>SUM(D51:D52)</f>
        <v>104</v>
      </c>
      <c r="E53" s="2"/>
      <c r="F53" s="2"/>
      <c r="G53" s="2"/>
      <c r="H53" s="2"/>
      <c r="I53" s="2"/>
      <c r="J53" s="2"/>
    </row>
    <row r="54" spans="1:10" x14ac:dyDescent="0.25">
      <c r="A54" s="224"/>
      <c r="B54" s="224"/>
      <c r="C54" s="224"/>
      <c r="D54" s="2"/>
      <c r="E54" s="2"/>
      <c r="F54" s="2"/>
      <c r="G54" s="202"/>
      <c r="H54" s="247"/>
      <c r="I54" s="295"/>
      <c r="J54" s="298"/>
    </row>
    <row r="55" spans="1:10" s="224" customFormat="1" ht="13.8" x14ac:dyDescent="0.3">
      <c r="A55" s="238" t="s">
        <v>2132</v>
      </c>
      <c r="B55" s="237"/>
      <c r="C55" s="237"/>
      <c r="D55" s="2"/>
      <c r="E55" s="2">
        <v>1187.5</v>
      </c>
      <c r="F55" s="2">
        <v>0</v>
      </c>
      <c r="G55" s="2">
        <v>0</v>
      </c>
      <c r="H55" s="2">
        <v>0</v>
      </c>
      <c r="I55" s="2">
        <v>0</v>
      </c>
      <c r="J55" s="2">
        <v>0</v>
      </c>
    </row>
    <row r="56" spans="1:10" s="224" customFormat="1" x14ac:dyDescent="0.25">
      <c r="A56" s="237"/>
      <c r="B56" s="237"/>
      <c r="C56" s="237"/>
      <c r="D56" s="2"/>
      <c r="E56" s="2"/>
      <c r="F56" s="2"/>
      <c r="G56" s="237"/>
      <c r="H56" s="247"/>
      <c r="I56" s="295"/>
      <c r="J56" s="298"/>
    </row>
    <row r="57" spans="1:10" ht="13.8" x14ac:dyDescent="0.3">
      <c r="A57" s="238" t="s">
        <v>24</v>
      </c>
      <c r="B57" s="237"/>
      <c r="C57" s="237"/>
      <c r="D57" s="2" t="s">
        <v>396</v>
      </c>
      <c r="E57" s="2">
        <v>235</v>
      </c>
      <c r="F57" s="2">
        <v>900</v>
      </c>
      <c r="G57" s="2">
        <v>900</v>
      </c>
      <c r="H57" s="2">
        <v>900</v>
      </c>
      <c r="I57" s="2">
        <v>900</v>
      </c>
      <c r="J57" s="2">
        <v>900</v>
      </c>
    </row>
    <row r="58" spans="1:10" x14ac:dyDescent="0.25">
      <c r="A58" s="237" t="s">
        <v>658</v>
      </c>
      <c r="B58" s="2">
        <v>2</v>
      </c>
      <c r="C58" s="2">
        <v>300</v>
      </c>
      <c r="D58" s="2">
        <f>ROUND(B58*C58,0)</f>
        <v>600</v>
      </c>
      <c r="E58" s="2"/>
      <c r="F58" s="2"/>
      <c r="G58" s="2"/>
      <c r="H58" s="2"/>
      <c r="I58" s="2"/>
      <c r="J58" s="2"/>
    </row>
    <row r="59" spans="1:10" ht="15" x14ac:dyDescent="0.4">
      <c r="A59" s="237" t="s">
        <v>1071</v>
      </c>
      <c r="B59" s="2">
        <v>4</v>
      </c>
      <c r="C59" s="2">
        <v>100</v>
      </c>
      <c r="D59" s="11">
        <v>300</v>
      </c>
      <c r="E59" s="2"/>
      <c r="F59" s="2"/>
      <c r="G59" s="2"/>
      <c r="H59" s="2"/>
      <c r="I59" s="2"/>
      <c r="J59" s="2"/>
    </row>
    <row r="60" spans="1:10" x14ac:dyDescent="0.25">
      <c r="A60" s="237"/>
      <c r="B60" s="2"/>
      <c r="C60" s="2"/>
      <c r="D60" s="2">
        <f>SUM(D58:D59)</f>
        <v>900</v>
      </c>
      <c r="E60" s="2"/>
      <c r="F60" s="2"/>
      <c r="G60" s="2"/>
      <c r="H60" s="2"/>
      <c r="I60" s="2"/>
      <c r="J60" s="2"/>
    </row>
    <row r="61" spans="1:10" x14ac:dyDescent="0.25">
      <c r="A61" s="237"/>
      <c r="B61" s="237"/>
      <c r="C61" s="2"/>
      <c r="D61" s="2"/>
      <c r="E61" s="2"/>
      <c r="F61" s="2"/>
      <c r="G61" s="2"/>
      <c r="H61" s="2"/>
      <c r="I61" s="2"/>
      <c r="J61" s="2"/>
    </row>
    <row r="62" spans="1:10" s="224" customFormat="1" ht="13.8" x14ac:dyDescent="0.3">
      <c r="A62" s="238" t="s">
        <v>2133</v>
      </c>
      <c r="B62" s="237"/>
      <c r="C62" s="237"/>
      <c r="D62" s="2"/>
      <c r="E62" s="2">
        <v>19.940000000000001</v>
      </c>
      <c r="F62" s="2">
        <v>0</v>
      </c>
      <c r="G62" s="2">
        <v>0</v>
      </c>
      <c r="H62" s="2">
        <v>0</v>
      </c>
      <c r="I62" s="2">
        <v>0</v>
      </c>
      <c r="J62" s="2">
        <v>0</v>
      </c>
    </row>
    <row r="63" spans="1:10" s="224" customFormat="1" x14ac:dyDescent="0.25">
      <c r="A63" s="237"/>
      <c r="B63" s="237"/>
      <c r="C63" s="2"/>
      <c r="D63" s="2"/>
      <c r="E63" s="2"/>
      <c r="F63" s="2"/>
      <c r="G63" s="2"/>
      <c r="H63" s="2"/>
      <c r="I63" s="2"/>
      <c r="J63" s="2"/>
    </row>
    <row r="64" spans="1:10" ht="13.8" x14ac:dyDescent="0.3">
      <c r="A64" s="238" t="s">
        <v>1030</v>
      </c>
      <c r="B64" s="237"/>
      <c r="C64" s="2"/>
      <c r="D64" s="2"/>
      <c r="E64" s="2">
        <v>30388.66</v>
      </c>
      <c r="F64" s="2">
        <v>32275</v>
      </c>
      <c r="G64" s="2">
        <v>30500</v>
      </c>
      <c r="H64" s="2">
        <v>30500</v>
      </c>
      <c r="I64" s="2">
        <v>30500</v>
      </c>
      <c r="J64" s="2">
        <v>30500</v>
      </c>
    </row>
    <row r="65" spans="1:10" x14ac:dyDescent="0.25">
      <c r="A65" s="237" t="s">
        <v>2322</v>
      </c>
      <c r="B65" s="237"/>
      <c r="C65" s="2"/>
      <c r="D65" s="2">
        <v>29000</v>
      </c>
      <c r="E65" s="2"/>
      <c r="F65" s="2"/>
      <c r="G65" s="2"/>
      <c r="H65" s="2"/>
      <c r="I65" s="2"/>
      <c r="J65" s="2"/>
    </row>
    <row r="66" spans="1:10" x14ac:dyDescent="0.25">
      <c r="A66" s="237" t="s">
        <v>873</v>
      </c>
      <c r="B66" s="237"/>
      <c r="C66" s="2"/>
      <c r="D66" s="2">
        <v>850</v>
      </c>
      <c r="E66" s="2"/>
      <c r="F66" s="2"/>
      <c r="G66" s="2"/>
      <c r="H66" s="2"/>
      <c r="I66" s="2"/>
      <c r="J66" s="2"/>
    </row>
    <row r="67" spans="1:10" ht="15" x14ac:dyDescent="0.4">
      <c r="A67" s="237" t="s">
        <v>1616</v>
      </c>
      <c r="B67" s="237"/>
      <c r="C67" s="11"/>
      <c r="D67" s="11">
        <v>650</v>
      </c>
      <c r="E67" s="2"/>
      <c r="F67" s="2"/>
      <c r="G67" s="2"/>
      <c r="H67" s="2"/>
      <c r="I67" s="2"/>
      <c r="J67" s="2"/>
    </row>
    <row r="68" spans="1:10" x14ac:dyDescent="0.25">
      <c r="A68" s="237" t="s">
        <v>1247</v>
      </c>
      <c r="B68" s="237"/>
      <c r="C68" s="2"/>
      <c r="D68" s="2">
        <f>SUM(D65:D67)</f>
        <v>30500</v>
      </c>
      <c r="E68" s="2"/>
      <c r="F68" s="2"/>
      <c r="G68" s="2"/>
      <c r="H68" s="2"/>
      <c r="I68" s="2"/>
      <c r="J68" s="2"/>
    </row>
    <row r="69" spans="1:10" x14ac:dyDescent="0.25">
      <c r="A69" s="237"/>
      <c r="B69" s="237"/>
      <c r="C69" s="2"/>
      <c r="D69" s="2"/>
      <c r="E69" s="2"/>
      <c r="F69" s="2"/>
      <c r="G69" s="2"/>
      <c r="H69" s="2"/>
      <c r="I69" s="2"/>
      <c r="J69" s="2"/>
    </row>
    <row r="70" spans="1:10" ht="13.8" x14ac:dyDescent="0.3">
      <c r="A70" s="238" t="s">
        <v>385</v>
      </c>
      <c r="B70" s="237"/>
      <c r="C70" s="2"/>
      <c r="D70" s="2"/>
      <c r="E70" s="2">
        <v>9630.49</v>
      </c>
      <c r="F70" s="2">
        <v>8300</v>
      </c>
      <c r="G70" s="2">
        <v>9650</v>
      </c>
      <c r="H70" s="2">
        <v>9650</v>
      </c>
      <c r="I70" s="2">
        <v>9650</v>
      </c>
      <c r="J70" s="2">
        <v>9650</v>
      </c>
    </row>
    <row r="71" spans="1:10" x14ac:dyDescent="0.25">
      <c r="A71" s="237" t="s">
        <v>1292</v>
      </c>
      <c r="B71" s="237"/>
      <c r="C71" s="2"/>
      <c r="D71" s="2">
        <v>8000</v>
      </c>
      <c r="E71" s="2"/>
      <c r="F71" s="2"/>
      <c r="G71" s="2"/>
      <c r="H71" s="2"/>
      <c r="I71" s="2"/>
      <c r="J71" s="2"/>
    </row>
    <row r="72" spans="1:10" ht="15" x14ac:dyDescent="0.4">
      <c r="A72" s="119" t="s">
        <v>941</v>
      </c>
      <c r="B72" s="237"/>
      <c r="C72" s="2"/>
      <c r="D72" s="11">
        <v>1650</v>
      </c>
      <c r="E72" s="2"/>
      <c r="F72" s="2"/>
      <c r="G72" s="2"/>
      <c r="H72" s="2"/>
      <c r="I72" s="2"/>
      <c r="J72" s="2"/>
    </row>
    <row r="73" spans="1:10" x14ac:dyDescent="0.25">
      <c r="A73" s="237" t="s">
        <v>1247</v>
      </c>
      <c r="B73" s="237"/>
      <c r="C73" s="2"/>
      <c r="D73" s="2">
        <f>SUM(D71:D72)</f>
        <v>9650</v>
      </c>
      <c r="E73" s="2"/>
      <c r="F73" s="2"/>
      <c r="G73" s="2"/>
      <c r="H73" s="2"/>
      <c r="I73" s="2"/>
      <c r="J73" s="2"/>
    </row>
    <row r="74" spans="1:10" x14ac:dyDescent="0.25">
      <c r="A74" s="237"/>
      <c r="B74" s="237"/>
      <c r="C74" s="237"/>
      <c r="D74" s="2"/>
      <c r="E74" s="2"/>
      <c r="F74" s="2"/>
      <c r="G74" s="2"/>
      <c r="H74" s="2"/>
      <c r="I74" s="2"/>
      <c r="J74" s="2"/>
    </row>
    <row r="75" spans="1:10" ht="13.8" x14ac:dyDescent="0.3">
      <c r="A75" s="238" t="s">
        <v>874</v>
      </c>
      <c r="B75" s="237"/>
      <c r="C75" s="237"/>
      <c r="D75" s="2"/>
      <c r="E75" s="2">
        <v>3865.5</v>
      </c>
      <c r="F75" s="2">
        <v>3700</v>
      </c>
      <c r="G75" s="2">
        <v>4200</v>
      </c>
      <c r="H75" s="2">
        <v>4200</v>
      </c>
      <c r="I75" s="2">
        <v>4200</v>
      </c>
      <c r="J75" s="2">
        <v>4200</v>
      </c>
    </row>
    <row r="76" spans="1:10" x14ac:dyDescent="0.25">
      <c r="A76" s="294" t="s">
        <v>2322</v>
      </c>
      <c r="B76" s="237"/>
      <c r="C76" s="2"/>
      <c r="D76" s="2">
        <v>4200</v>
      </c>
      <c r="E76" s="2"/>
      <c r="F76" s="2"/>
      <c r="G76" s="2"/>
      <c r="H76" s="2"/>
      <c r="I76" s="2"/>
      <c r="J76" s="2"/>
    </row>
    <row r="77" spans="1:10" x14ac:dyDescent="0.25">
      <c r="A77" s="237"/>
      <c r="B77" s="237"/>
      <c r="C77" s="2"/>
      <c r="D77" s="2"/>
      <c r="E77" s="2"/>
      <c r="F77" s="2"/>
      <c r="G77" s="2"/>
      <c r="H77" s="2"/>
      <c r="I77" s="2"/>
      <c r="J77" s="2"/>
    </row>
    <row r="78" spans="1:10" ht="13.8" x14ac:dyDescent="0.3">
      <c r="A78" s="238" t="s">
        <v>875</v>
      </c>
      <c r="B78" s="237"/>
      <c r="C78" s="2"/>
      <c r="D78" s="2"/>
      <c r="E78" s="2">
        <v>597</v>
      </c>
      <c r="F78" s="2">
        <v>484</v>
      </c>
      <c r="G78" s="2">
        <v>650</v>
      </c>
      <c r="H78" s="2">
        <v>650</v>
      </c>
      <c r="I78" s="2">
        <v>650</v>
      </c>
      <c r="J78" s="2">
        <v>650</v>
      </c>
    </row>
    <row r="79" spans="1:10" x14ac:dyDescent="0.25">
      <c r="A79" s="294" t="s">
        <v>2322</v>
      </c>
      <c r="B79" s="237"/>
      <c r="C79" s="2"/>
      <c r="D79" s="2">
        <v>650</v>
      </c>
      <c r="E79" s="2"/>
      <c r="F79" s="2"/>
      <c r="G79" s="2"/>
      <c r="H79" s="2"/>
      <c r="I79" s="2"/>
      <c r="J79" s="2"/>
    </row>
    <row r="80" spans="1:10" x14ac:dyDescent="0.25">
      <c r="A80" s="237"/>
      <c r="B80" s="237"/>
      <c r="C80" s="237"/>
      <c r="D80" s="2"/>
      <c r="E80" s="2"/>
      <c r="F80" s="2"/>
      <c r="G80" s="2"/>
      <c r="H80" s="2"/>
      <c r="I80" s="2"/>
      <c r="J80" s="2"/>
    </row>
    <row r="81" spans="1:10" ht="13.8" x14ac:dyDescent="0.3">
      <c r="A81" s="238" t="s">
        <v>876</v>
      </c>
      <c r="B81" s="237"/>
      <c r="C81" s="237"/>
      <c r="D81" s="2"/>
      <c r="E81" s="2">
        <v>1252.42</v>
      </c>
      <c r="F81" s="2">
        <v>1475</v>
      </c>
      <c r="G81" s="2">
        <v>1548</v>
      </c>
      <c r="H81" s="2">
        <v>1548</v>
      </c>
      <c r="I81" s="2">
        <v>1548</v>
      </c>
      <c r="J81" s="2">
        <v>1548</v>
      </c>
    </row>
    <row r="82" spans="1:10" x14ac:dyDescent="0.25">
      <c r="A82" s="237" t="s">
        <v>1284</v>
      </c>
      <c r="B82" s="2">
        <v>600</v>
      </c>
      <c r="C82" s="12">
        <v>2.58</v>
      </c>
      <c r="D82" s="2">
        <f>ROUND(B82*C82,0)</f>
        <v>1548</v>
      </c>
      <c r="E82" s="2"/>
      <c r="F82" s="2"/>
      <c r="G82" s="2"/>
      <c r="H82" s="2"/>
      <c r="I82" s="2"/>
      <c r="J82" s="2"/>
    </row>
    <row r="83" spans="1:10" x14ac:dyDescent="0.25">
      <c r="A83" s="237"/>
      <c r="B83" s="237"/>
      <c r="C83" s="237"/>
      <c r="D83" s="2"/>
      <c r="E83" s="2"/>
      <c r="F83" s="2"/>
      <c r="G83" s="2"/>
      <c r="H83" s="2"/>
      <c r="I83" s="2"/>
      <c r="J83" s="2"/>
    </row>
    <row r="84" spans="1:10" ht="13.8" x14ac:dyDescent="0.3">
      <c r="A84" s="238" t="s">
        <v>877</v>
      </c>
      <c r="B84" s="237"/>
      <c r="C84" s="237"/>
      <c r="D84" s="2"/>
      <c r="E84" s="2">
        <v>863.54</v>
      </c>
      <c r="F84" s="2">
        <v>1380</v>
      </c>
      <c r="G84" s="2">
        <v>925</v>
      </c>
      <c r="H84" s="2">
        <v>925</v>
      </c>
      <c r="I84" s="2">
        <v>925</v>
      </c>
      <c r="J84" s="2">
        <v>925</v>
      </c>
    </row>
    <row r="85" spans="1:10" x14ac:dyDescent="0.25">
      <c r="A85" s="237" t="s">
        <v>86</v>
      </c>
      <c r="B85" s="2" t="s">
        <v>396</v>
      </c>
      <c r="C85" s="2"/>
      <c r="D85" s="2">
        <v>300</v>
      </c>
      <c r="E85" s="2"/>
      <c r="F85" s="2"/>
      <c r="G85" s="2"/>
      <c r="H85" s="2"/>
      <c r="I85" s="2"/>
      <c r="J85" s="2"/>
    </row>
    <row r="86" spans="1:10" ht="15" x14ac:dyDescent="0.4">
      <c r="A86" s="237" t="s">
        <v>108</v>
      </c>
      <c r="B86" s="2"/>
      <c r="C86" s="2"/>
      <c r="D86" s="11">
        <v>625</v>
      </c>
      <c r="E86" s="2"/>
      <c r="F86" s="2"/>
      <c r="G86" s="2"/>
      <c r="H86" s="2"/>
      <c r="I86" s="2"/>
      <c r="J86" s="2"/>
    </row>
    <row r="87" spans="1:10" x14ac:dyDescent="0.25">
      <c r="A87" s="237" t="s">
        <v>1247</v>
      </c>
      <c r="B87" s="2"/>
      <c r="C87" s="2"/>
      <c r="D87" s="2">
        <f>SUM(D85:D86)</f>
        <v>925</v>
      </c>
      <c r="E87" s="2"/>
      <c r="F87" s="2"/>
      <c r="G87" s="2"/>
      <c r="H87" s="2"/>
      <c r="I87" s="2"/>
      <c r="J87" s="2"/>
    </row>
    <row r="88" spans="1:10" x14ac:dyDescent="0.25">
      <c r="A88" s="237"/>
      <c r="B88" s="237"/>
      <c r="C88" s="2"/>
      <c r="D88" s="2"/>
      <c r="E88" s="2"/>
      <c r="F88" s="2"/>
      <c r="G88" s="2"/>
      <c r="H88" s="2"/>
      <c r="I88" s="2"/>
      <c r="J88" s="2"/>
    </row>
    <row r="89" spans="1:10" ht="13.8" x14ac:dyDescent="0.3">
      <c r="A89" s="17" t="s">
        <v>878</v>
      </c>
      <c r="B89" s="237"/>
      <c r="C89" s="2"/>
      <c r="D89" s="2"/>
      <c r="E89" s="2">
        <v>4359.1499999999996</v>
      </c>
      <c r="F89" s="2">
        <v>4640</v>
      </c>
      <c r="G89" s="2">
        <v>4425</v>
      </c>
      <c r="H89" s="2">
        <v>4425</v>
      </c>
      <c r="I89" s="2">
        <v>4425</v>
      </c>
      <c r="J89" s="2">
        <v>4425</v>
      </c>
    </row>
    <row r="90" spans="1:10" x14ac:dyDescent="0.25">
      <c r="A90" s="237" t="s">
        <v>1674</v>
      </c>
      <c r="B90" s="237"/>
      <c r="C90" s="2"/>
      <c r="D90" s="2">
        <v>4425</v>
      </c>
      <c r="E90" s="2"/>
      <c r="F90" s="2"/>
      <c r="G90" s="2"/>
      <c r="H90" s="2"/>
      <c r="I90" s="2"/>
      <c r="J90" s="2"/>
    </row>
    <row r="91" spans="1:10" x14ac:dyDescent="0.25">
      <c r="A91" s="237"/>
      <c r="B91" s="237"/>
      <c r="C91" s="2"/>
      <c r="D91" s="2"/>
      <c r="E91" s="2"/>
      <c r="F91" s="2"/>
      <c r="G91" s="2"/>
      <c r="H91" s="2"/>
      <c r="I91" s="2"/>
      <c r="J91" s="2"/>
    </row>
    <row r="92" spans="1:10" x14ac:dyDescent="0.25">
      <c r="A92" s="237"/>
      <c r="B92" s="237"/>
      <c r="C92" s="2"/>
      <c r="D92" s="2"/>
      <c r="E92" s="2"/>
      <c r="F92" s="2"/>
      <c r="G92" s="2"/>
      <c r="H92" s="2"/>
      <c r="I92" s="2"/>
      <c r="J92" s="2"/>
    </row>
    <row r="93" spans="1:10" ht="13.8" x14ac:dyDescent="0.3">
      <c r="A93" s="238" t="s">
        <v>879</v>
      </c>
      <c r="B93" s="237"/>
      <c r="C93" s="2"/>
      <c r="D93" s="2"/>
      <c r="E93" s="2">
        <v>65351.68</v>
      </c>
      <c r="F93" s="2">
        <v>37748</v>
      </c>
      <c r="G93" s="2">
        <v>45973</v>
      </c>
      <c r="H93" s="2">
        <v>45973</v>
      </c>
      <c r="I93" s="2">
        <v>45973</v>
      </c>
      <c r="J93" s="2">
        <v>45973</v>
      </c>
    </row>
    <row r="94" spans="1:10" x14ac:dyDescent="0.25">
      <c r="A94" s="237" t="s">
        <v>1675</v>
      </c>
      <c r="B94" s="237"/>
      <c r="C94" s="2"/>
      <c r="D94" s="2">
        <v>5000</v>
      </c>
      <c r="E94" s="2"/>
      <c r="F94" s="2"/>
      <c r="G94" s="2"/>
      <c r="H94" s="2"/>
      <c r="I94" s="2"/>
      <c r="J94" s="2"/>
    </row>
    <row r="95" spans="1:10" x14ac:dyDescent="0.25">
      <c r="A95" s="237" t="s">
        <v>114</v>
      </c>
      <c r="B95" s="237"/>
      <c r="C95" s="2"/>
      <c r="D95" s="2">
        <v>2448</v>
      </c>
      <c r="E95" s="2"/>
      <c r="F95" s="2"/>
      <c r="G95" s="2"/>
      <c r="H95" s="2"/>
      <c r="I95" s="2"/>
      <c r="J95" s="2"/>
    </row>
    <row r="96" spans="1:10" x14ac:dyDescent="0.25">
      <c r="A96" s="237" t="s">
        <v>1313</v>
      </c>
      <c r="B96" s="237"/>
      <c r="C96" s="2"/>
      <c r="D96" s="2">
        <v>3000</v>
      </c>
      <c r="E96" s="2"/>
      <c r="F96" s="2"/>
      <c r="G96" s="2"/>
      <c r="H96" s="2"/>
      <c r="I96" s="2"/>
      <c r="J96" s="2"/>
    </row>
    <row r="97" spans="1:10" x14ac:dyDescent="0.25">
      <c r="A97" s="237" t="s">
        <v>1314</v>
      </c>
      <c r="B97" s="237"/>
      <c r="C97" s="2"/>
      <c r="D97" s="2">
        <v>500</v>
      </c>
      <c r="E97" s="2"/>
      <c r="F97" s="2"/>
      <c r="G97" s="2"/>
      <c r="H97" s="2"/>
      <c r="I97" s="2"/>
      <c r="J97" s="2"/>
    </row>
    <row r="98" spans="1:10" x14ac:dyDescent="0.25">
      <c r="A98" s="237" t="s">
        <v>2059</v>
      </c>
      <c r="B98" s="237"/>
      <c r="C98" s="2"/>
      <c r="D98" s="2">
        <v>3000</v>
      </c>
      <c r="E98" s="2"/>
      <c r="F98" s="2"/>
      <c r="G98" s="2"/>
      <c r="H98" s="2"/>
      <c r="I98" s="2"/>
      <c r="J98" s="2"/>
    </row>
    <row r="99" spans="1:10" x14ac:dyDescent="0.25">
      <c r="A99" s="237" t="s">
        <v>1875</v>
      </c>
      <c r="B99" s="237"/>
      <c r="C99" s="2"/>
      <c r="D99" s="2">
        <v>1500</v>
      </c>
      <c r="E99" s="2"/>
      <c r="F99" s="2"/>
      <c r="G99" s="2"/>
      <c r="H99" s="2"/>
      <c r="I99" s="2"/>
      <c r="J99" s="2"/>
    </row>
    <row r="100" spans="1:10" x14ac:dyDescent="0.25">
      <c r="A100" s="237" t="s">
        <v>1315</v>
      </c>
      <c r="B100" s="237"/>
      <c r="C100" s="2"/>
      <c r="D100" s="2">
        <v>1100</v>
      </c>
      <c r="E100" s="2"/>
      <c r="F100" s="2"/>
      <c r="G100" s="2"/>
      <c r="H100" s="2"/>
      <c r="I100" s="2"/>
      <c r="J100" s="2"/>
    </row>
    <row r="101" spans="1:10" x14ac:dyDescent="0.25">
      <c r="A101" s="237" t="s">
        <v>990</v>
      </c>
      <c r="B101" s="237"/>
      <c r="C101" s="2"/>
      <c r="D101" s="2">
        <v>500</v>
      </c>
      <c r="E101" s="2"/>
      <c r="F101" s="2"/>
      <c r="G101" s="2"/>
      <c r="H101" s="2"/>
      <c r="I101" s="2"/>
      <c r="J101" s="2"/>
    </row>
    <row r="102" spans="1:10" x14ac:dyDescent="0.25">
      <c r="A102" s="6" t="s">
        <v>1025</v>
      </c>
      <c r="B102" s="6"/>
      <c r="C102" s="2"/>
      <c r="D102" s="2">
        <v>10000</v>
      </c>
      <c r="E102" s="2"/>
      <c r="F102" s="2"/>
      <c r="G102" s="2"/>
      <c r="H102" s="2"/>
      <c r="I102" s="2"/>
      <c r="J102" s="2"/>
    </row>
    <row r="103" spans="1:10" x14ac:dyDescent="0.25">
      <c r="A103" s="6" t="s">
        <v>1917</v>
      </c>
      <c r="B103" s="6"/>
      <c r="C103" s="2"/>
      <c r="D103" s="2">
        <v>795</v>
      </c>
      <c r="E103" s="2"/>
      <c r="F103" s="2"/>
      <c r="G103" s="2"/>
      <c r="H103" s="2"/>
      <c r="I103" s="2"/>
      <c r="J103" s="2"/>
    </row>
    <row r="104" spans="1:10" x14ac:dyDescent="0.25">
      <c r="A104" s="6" t="s">
        <v>2192</v>
      </c>
      <c r="B104" s="6"/>
      <c r="C104" s="2"/>
      <c r="D104" s="2">
        <v>1000</v>
      </c>
      <c r="E104" s="2"/>
      <c r="F104" s="2"/>
      <c r="G104" s="2"/>
      <c r="H104" s="2"/>
      <c r="I104" s="2"/>
      <c r="J104" s="2"/>
    </row>
    <row r="105" spans="1:10" x14ac:dyDescent="0.25">
      <c r="A105" s="6" t="s">
        <v>2193</v>
      </c>
      <c r="B105" s="6"/>
      <c r="C105" s="2"/>
      <c r="D105" s="2">
        <v>1600</v>
      </c>
      <c r="E105" s="2"/>
      <c r="F105" s="2"/>
      <c r="G105" s="2"/>
      <c r="H105" s="2"/>
      <c r="I105" s="2"/>
      <c r="J105" s="2"/>
    </row>
    <row r="106" spans="1:10" x14ac:dyDescent="0.25">
      <c r="A106" s="6" t="s">
        <v>2194</v>
      </c>
      <c r="B106" s="6"/>
      <c r="C106" s="2"/>
      <c r="D106" s="2">
        <v>1100</v>
      </c>
      <c r="E106" s="2"/>
      <c r="F106" s="2"/>
      <c r="G106" s="2"/>
      <c r="H106" s="2"/>
      <c r="I106" s="2"/>
      <c r="J106" s="2"/>
    </row>
    <row r="107" spans="1:10" x14ac:dyDescent="0.25">
      <c r="A107" s="6" t="s">
        <v>2195</v>
      </c>
      <c r="B107" s="6"/>
      <c r="C107" s="2"/>
      <c r="D107" s="2">
        <v>800</v>
      </c>
      <c r="E107" s="2"/>
      <c r="F107" s="2"/>
      <c r="G107" s="2"/>
      <c r="H107" s="2"/>
      <c r="I107" s="2"/>
      <c r="J107" s="2"/>
    </row>
    <row r="108" spans="1:10" x14ac:dyDescent="0.25">
      <c r="A108" s="6" t="s">
        <v>1050</v>
      </c>
      <c r="B108" s="6"/>
      <c r="C108" s="2"/>
      <c r="D108" s="2">
        <v>1200</v>
      </c>
      <c r="E108" s="2"/>
      <c r="F108" s="2"/>
      <c r="G108" s="2"/>
      <c r="H108" s="2"/>
      <c r="I108" s="2"/>
      <c r="J108" s="2"/>
    </row>
    <row r="109" spans="1:10" x14ac:dyDescent="0.25">
      <c r="A109" s="6" t="s">
        <v>1184</v>
      </c>
      <c r="B109" s="6"/>
      <c r="C109" s="2"/>
      <c r="D109" s="2">
        <v>300</v>
      </c>
      <c r="E109" s="2"/>
      <c r="F109" s="2"/>
      <c r="G109" s="2"/>
      <c r="H109" s="2"/>
      <c r="I109" s="2"/>
      <c r="J109" s="2"/>
    </row>
    <row r="110" spans="1:10" x14ac:dyDescent="0.25">
      <c r="A110" s="6" t="s">
        <v>2196</v>
      </c>
      <c r="B110" s="6"/>
      <c r="C110" s="2"/>
      <c r="D110" s="2">
        <v>2000</v>
      </c>
      <c r="E110" s="2"/>
      <c r="F110" s="2"/>
      <c r="G110" s="2"/>
      <c r="H110" s="2"/>
      <c r="I110" s="2"/>
      <c r="J110" s="2"/>
    </row>
    <row r="111" spans="1:10" x14ac:dyDescent="0.25">
      <c r="A111" s="6" t="s">
        <v>2197</v>
      </c>
      <c r="B111" s="6"/>
      <c r="C111" s="2"/>
      <c r="D111" s="2">
        <v>2000</v>
      </c>
      <c r="E111" s="2"/>
      <c r="F111" s="2"/>
      <c r="G111" s="2"/>
      <c r="H111" s="2"/>
      <c r="I111" s="2"/>
      <c r="J111" s="2"/>
    </row>
    <row r="112" spans="1:10" x14ac:dyDescent="0.25">
      <c r="A112" s="6" t="s">
        <v>1676</v>
      </c>
      <c r="B112" s="6"/>
      <c r="C112" s="2"/>
      <c r="D112" s="2">
        <v>250</v>
      </c>
      <c r="E112" s="2"/>
      <c r="F112" s="2"/>
      <c r="G112" s="2"/>
      <c r="H112" s="2"/>
      <c r="I112" s="2"/>
      <c r="J112" s="2"/>
    </row>
    <row r="113" spans="1:10" x14ac:dyDescent="0.25">
      <c r="A113" s="6" t="s">
        <v>1791</v>
      </c>
      <c r="B113" s="6"/>
      <c r="C113" s="2"/>
      <c r="D113" s="2">
        <v>880</v>
      </c>
      <c r="E113" s="2"/>
      <c r="F113" s="2"/>
      <c r="G113" s="2"/>
      <c r="H113" s="2"/>
      <c r="I113" s="2"/>
      <c r="J113" s="2"/>
    </row>
    <row r="114" spans="1:10" ht="15" x14ac:dyDescent="0.4">
      <c r="A114" s="237" t="s">
        <v>2198</v>
      </c>
      <c r="B114" s="237"/>
      <c r="C114" s="11"/>
      <c r="D114" s="11">
        <v>7000</v>
      </c>
      <c r="E114" s="2"/>
      <c r="F114" s="2"/>
      <c r="G114" s="2"/>
      <c r="H114" s="2"/>
      <c r="I114" s="2"/>
      <c r="J114" s="2"/>
    </row>
    <row r="115" spans="1:10" x14ac:dyDescent="0.25">
      <c r="A115" s="237" t="s">
        <v>1247</v>
      </c>
      <c r="B115" s="237"/>
      <c r="C115" s="2"/>
      <c r="D115" s="2">
        <f>SUM(D94:D114)</f>
        <v>45973</v>
      </c>
      <c r="E115" s="2"/>
      <c r="F115" s="2"/>
      <c r="G115" s="237"/>
      <c r="H115" s="247"/>
      <c r="I115" s="295"/>
      <c r="J115" s="298"/>
    </row>
    <row r="116" spans="1:10" x14ac:dyDescent="0.25">
      <c r="A116" s="237"/>
      <c r="B116" s="237"/>
      <c r="C116" s="2"/>
      <c r="D116" s="2"/>
      <c r="E116" s="2"/>
      <c r="F116" s="2"/>
      <c r="G116" s="2"/>
      <c r="H116" s="2"/>
      <c r="I116" s="2"/>
      <c r="J116" s="2"/>
    </row>
    <row r="117" spans="1:10" ht="13.8" x14ac:dyDescent="0.3">
      <c r="A117" s="238" t="s">
        <v>998</v>
      </c>
      <c r="B117" s="237"/>
      <c r="C117" s="2"/>
      <c r="D117" s="2"/>
      <c r="E117" s="2">
        <v>7767.99</v>
      </c>
      <c r="F117" s="2">
        <v>5250</v>
      </c>
      <c r="G117" s="2">
        <v>5250</v>
      </c>
      <c r="H117" s="2">
        <v>5250</v>
      </c>
      <c r="I117" s="2">
        <v>5250</v>
      </c>
      <c r="J117" s="2">
        <v>5250</v>
      </c>
    </row>
    <row r="118" spans="1:10" x14ac:dyDescent="0.25">
      <c r="A118" s="237" t="s">
        <v>999</v>
      </c>
      <c r="B118" s="237"/>
      <c r="C118" s="2"/>
      <c r="D118" s="2">
        <v>750</v>
      </c>
      <c r="E118" s="2"/>
      <c r="F118" s="2"/>
      <c r="G118" s="2"/>
      <c r="H118" s="2"/>
      <c r="I118" s="2"/>
      <c r="J118" s="2"/>
    </row>
    <row r="119" spans="1:10" x14ac:dyDescent="0.25">
      <c r="A119" s="237" t="s">
        <v>1010</v>
      </c>
      <c r="B119" s="237"/>
      <c r="C119" s="2"/>
      <c r="D119" s="2">
        <v>750</v>
      </c>
      <c r="E119" s="2"/>
      <c r="F119" s="2"/>
      <c r="G119" s="2"/>
      <c r="H119" s="2"/>
      <c r="I119" s="2"/>
      <c r="J119" s="2"/>
    </row>
    <row r="120" spans="1:10" ht="15" x14ac:dyDescent="0.4">
      <c r="A120" s="237" t="s">
        <v>1777</v>
      </c>
      <c r="B120" s="237"/>
      <c r="C120" s="11"/>
      <c r="D120" s="2">
        <v>3000</v>
      </c>
      <c r="E120" s="2"/>
      <c r="F120" s="2"/>
      <c r="G120" s="2"/>
      <c r="H120" s="2"/>
      <c r="I120" s="2"/>
      <c r="J120" s="2"/>
    </row>
    <row r="121" spans="1:10" ht="15" x14ac:dyDescent="0.4">
      <c r="A121" s="237" t="s">
        <v>1561</v>
      </c>
      <c r="B121" s="237"/>
      <c r="C121" s="11"/>
      <c r="D121" s="11">
        <v>750</v>
      </c>
      <c r="E121" s="2"/>
      <c r="F121" s="2"/>
      <c r="G121" s="2"/>
      <c r="H121" s="2"/>
      <c r="I121" s="2"/>
      <c r="J121" s="2"/>
    </row>
    <row r="122" spans="1:10" x14ac:dyDescent="0.25">
      <c r="A122" s="237" t="s">
        <v>1247</v>
      </c>
      <c r="B122" s="237"/>
      <c r="C122" s="2"/>
      <c r="D122" s="2">
        <f>SUM(D118:D121)</f>
        <v>5250</v>
      </c>
      <c r="E122" s="2"/>
      <c r="F122" s="2"/>
      <c r="G122" s="2"/>
      <c r="H122" s="2"/>
      <c r="I122" s="2"/>
      <c r="J122" s="2"/>
    </row>
    <row r="123" spans="1:10" x14ac:dyDescent="0.25">
      <c r="A123" s="237"/>
      <c r="B123" s="237"/>
      <c r="C123" s="2"/>
      <c r="D123" s="2"/>
      <c r="E123" s="2"/>
      <c r="F123" s="2"/>
      <c r="G123" s="2"/>
      <c r="H123" s="2"/>
      <c r="I123" s="2"/>
      <c r="J123" s="2"/>
    </row>
    <row r="124" spans="1:10" ht="13.8" x14ac:dyDescent="0.3">
      <c r="A124" s="238" t="s">
        <v>1482</v>
      </c>
      <c r="B124" s="237"/>
      <c r="C124" s="2"/>
      <c r="D124" s="2"/>
      <c r="E124" s="2">
        <v>141.97</v>
      </c>
      <c r="F124" s="2">
        <v>750</v>
      </c>
      <c r="G124" s="2">
        <v>750</v>
      </c>
      <c r="H124" s="2">
        <v>750</v>
      </c>
      <c r="I124" s="2">
        <v>750</v>
      </c>
      <c r="J124" s="2">
        <v>750</v>
      </c>
    </row>
    <row r="125" spans="1:10" x14ac:dyDescent="0.25">
      <c r="A125" s="23" t="s">
        <v>1677</v>
      </c>
      <c r="B125" s="237"/>
      <c r="C125" s="2"/>
      <c r="D125" s="2">
        <v>750</v>
      </c>
      <c r="E125" s="2"/>
      <c r="F125" s="2"/>
      <c r="G125" s="2"/>
      <c r="H125" s="2"/>
      <c r="I125" s="2"/>
      <c r="J125" s="2"/>
    </row>
    <row r="126" spans="1:10" x14ac:dyDescent="0.25">
      <c r="A126" s="237"/>
      <c r="B126" s="237"/>
      <c r="C126" s="2"/>
      <c r="D126" s="2"/>
      <c r="E126" s="2"/>
      <c r="F126" s="2"/>
      <c r="G126" s="2"/>
      <c r="H126" s="2"/>
      <c r="I126" s="2"/>
      <c r="J126" s="2"/>
    </row>
    <row r="127" spans="1:10" ht="13.8" x14ac:dyDescent="0.3">
      <c r="A127" s="238" t="s">
        <v>1090</v>
      </c>
      <c r="B127" s="237"/>
      <c r="C127" s="2"/>
      <c r="D127" s="2"/>
      <c r="E127" s="2">
        <v>503.1</v>
      </c>
      <c r="F127" s="2">
        <v>1800</v>
      </c>
      <c r="G127" s="2">
        <v>1000</v>
      </c>
      <c r="H127" s="2">
        <v>1000</v>
      </c>
      <c r="I127" s="2">
        <v>1000</v>
      </c>
      <c r="J127" s="2">
        <v>1000</v>
      </c>
    </row>
    <row r="128" spans="1:10" x14ac:dyDescent="0.25">
      <c r="A128" s="237" t="s">
        <v>1876</v>
      </c>
      <c r="B128" s="237"/>
      <c r="C128" s="2"/>
      <c r="D128" s="2">
        <v>1000</v>
      </c>
      <c r="E128" s="2"/>
      <c r="F128" s="2"/>
      <c r="G128" s="2"/>
      <c r="H128" s="2"/>
      <c r="I128" s="2"/>
      <c r="J128" s="2"/>
    </row>
    <row r="129" spans="1:10" x14ac:dyDescent="0.25">
      <c r="A129" s="237"/>
      <c r="B129" s="237"/>
      <c r="C129" s="2"/>
      <c r="D129" s="2"/>
      <c r="E129" s="2"/>
      <c r="F129" s="2"/>
      <c r="G129" s="2"/>
      <c r="H129" s="2"/>
      <c r="I129" s="2"/>
      <c r="J129" s="2"/>
    </row>
    <row r="130" spans="1:10" x14ac:dyDescent="0.25">
      <c r="A130" s="237"/>
      <c r="B130" s="237"/>
      <c r="C130" s="2"/>
      <c r="D130" s="2"/>
      <c r="E130" s="2"/>
      <c r="F130" s="2"/>
      <c r="G130" s="2"/>
      <c r="H130" s="2"/>
      <c r="I130" s="2"/>
      <c r="J130" s="2"/>
    </row>
    <row r="131" spans="1:10" ht="13.8" x14ac:dyDescent="0.3">
      <c r="A131" s="238" t="s">
        <v>1819</v>
      </c>
      <c r="B131" s="237"/>
      <c r="C131" s="2"/>
      <c r="D131" s="2"/>
      <c r="E131" s="2">
        <v>16000</v>
      </c>
      <c r="F131" s="2">
        <v>17000</v>
      </c>
      <c r="G131" s="2">
        <v>17500</v>
      </c>
      <c r="H131" s="2">
        <v>17500</v>
      </c>
      <c r="I131" s="2">
        <v>17500</v>
      </c>
      <c r="J131" s="2">
        <v>17500</v>
      </c>
    </row>
    <row r="132" spans="1:10" x14ac:dyDescent="0.25">
      <c r="A132" s="237" t="s">
        <v>2060</v>
      </c>
      <c r="B132" s="237"/>
      <c r="C132" s="2"/>
      <c r="D132" s="2">
        <v>17000</v>
      </c>
      <c r="E132" s="2"/>
      <c r="F132" s="2"/>
      <c r="G132" s="2"/>
      <c r="H132" s="2"/>
      <c r="I132" s="2"/>
      <c r="J132" s="2"/>
    </row>
    <row r="133" spans="1:10" ht="13.8" x14ac:dyDescent="0.3">
      <c r="A133" s="238"/>
      <c r="B133" s="237"/>
      <c r="C133" s="2"/>
      <c r="D133" s="2"/>
      <c r="E133" s="2"/>
      <c r="F133" s="2"/>
      <c r="G133" s="2"/>
      <c r="H133" s="2"/>
      <c r="I133" s="2"/>
      <c r="J133" s="2"/>
    </row>
    <row r="134" spans="1:10" x14ac:dyDescent="0.25">
      <c r="A134" s="237"/>
      <c r="B134" s="237"/>
      <c r="C134" s="2"/>
      <c r="D134" s="2"/>
      <c r="E134" s="2"/>
      <c r="F134" s="2"/>
      <c r="G134" s="2"/>
      <c r="H134" s="2"/>
      <c r="I134" s="2"/>
      <c r="J134" s="2"/>
    </row>
    <row r="135" spans="1:10" ht="13.8" x14ac:dyDescent="0.3">
      <c r="A135" s="238" t="s">
        <v>531</v>
      </c>
      <c r="B135" s="237"/>
      <c r="C135" s="8"/>
      <c r="D135" s="8"/>
      <c r="E135" s="2">
        <v>6660</v>
      </c>
      <c r="F135" s="2">
        <v>210000</v>
      </c>
      <c r="G135" s="2">
        <v>12500</v>
      </c>
      <c r="H135" s="2">
        <v>12500</v>
      </c>
      <c r="I135" s="2">
        <v>12500</v>
      </c>
      <c r="J135" s="2">
        <v>12500</v>
      </c>
    </row>
    <row r="136" spans="1:10" x14ac:dyDescent="0.25">
      <c r="A136" s="237" t="s">
        <v>1877</v>
      </c>
      <c r="B136" s="237"/>
      <c r="C136" s="8"/>
      <c r="D136" s="2">
        <v>0</v>
      </c>
      <c r="E136" s="2"/>
      <c r="F136" s="2"/>
      <c r="G136" s="237"/>
      <c r="H136" s="247"/>
      <c r="I136" s="295"/>
      <c r="J136" s="298"/>
    </row>
    <row r="137" spans="1:10" x14ac:dyDescent="0.25">
      <c r="A137" s="237" t="s">
        <v>2094</v>
      </c>
      <c r="B137" s="237"/>
      <c r="C137" s="8"/>
      <c r="D137" s="2">
        <v>0</v>
      </c>
      <c r="E137" s="2"/>
      <c r="F137" s="2"/>
      <c r="G137" s="237"/>
      <c r="H137" s="247"/>
      <c r="I137" s="295"/>
      <c r="J137" s="298"/>
    </row>
    <row r="138" spans="1:10" x14ac:dyDescent="0.25">
      <c r="A138" s="237" t="s">
        <v>2199</v>
      </c>
      <c r="B138" s="237"/>
      <c r="C138" s="8"/>
      <c r="D138" s="2">
        <v>2500</v>
      </c>
      <c r="E138" s="2"/>
      <c r="F138" s="2"/>
      <c r="G138" s="237"/>
      <c r="H138" s="247"/>
      <c r="I138" s="295"/>
      <c r="J138" s="298"/>
    </row>
    <row r="139" spans="1:10" s="237" customFormat="1" ht="15" x14ac:dyDescent="0.4">
      <c r="A139" s="237" t="s">
        <v>2200</v>
      </c>
      <c r="C139" s="9"/>
      <c r="D139" s="18">
        <v>10000</v>
      </c>
      <c r="E139" s="2"/>
      <c r="F139" s="2"/>
      <c r="H139" s="247"/>
      <c r="I139" s="295"/>
      <c r="J139" s="298"/>
    </row>
    <row r="140" spans="1:10" s="237" customFormat="1" x14ac:dyDescent="0.25">
      <c r="A140" s="237" t="s">
        <v>1247</v>
      </c>
      <c r="C140" s="2"/>
      <c r="D140" s="2">
        <f>SUM(D136:D139)</f>
        <v>12500</v>
      </c>
      <c r="E140" s="2"/>
      <c r="F140" s="2"/>
      <c r="H140" s="247"/>
      <c r="I140" s="295"/>
      <c r="J140" s="298"/>
    </row>
    <row r="141" spans="1:10" s="237" customFormat="1" x14ac:dyDescent="0.25">
      <c r="C141" s="2"/>
      <c r="D141" s="2"/>
      <c r="E141" s="2"/>
      <c r="F141" s="2"/>
      <c r="H141" s="247"/>
      <c r="I141" s="295"/>
      <c r="J141" s="298"/>
    </row>
    <row r="142" spans="1:10" s="237" customFormat="1" ht="15" x14ac:dyDescent="0.4">
      <c r="A142" s="238" t="s">
        <v>1879</v>
      </c>
      <c r="C142" s="8"/>
      <c r="D142" s="18"/>
      <c r="E142" s="11"/>
      <c r="F142" s="11"/>
      <c r="G142" s="11">
        <v>65500</v>
      </c>
      <c r="H142" s="11">
        <v>0</v>
      </c>
      <c r="I142" s="11">
        <v>0</v>
      </c>
      <c r="J142" s="11">
        <v>0</v>
      </c>
    </row>
    <row r="143" spans="1:10" s="237" customFormat="1" ht="15" x14ac:dyDescent="0.4">
      <c r="A143" s="237" t="s">
        <v>2201</v>
      </c>
      <c r="C143" s="9"/>
      <c r="D143" s="2">
        <v>0</v>
      </c>
      <c r="E143" s="2"/>
      <c r="H143" s="247"/>
      <c r="I143" s="295"/>
      <c r="J143" s="298"/>
    </row>
    <row r="144" spans="1:10" s="237" customFormat="1" ht="15" x14ac:dyDescent="0.4">
      <c r="A144" s="237" t="s">
        <v>2202</v>
      </c>
      <c r="C144" s="9"/>
      <c r="D144" s="35">
        <v>0</v>
      </c>
      <c r="E144" s="2"/>
      <c r="H144" s="247"/>
      <c r="I144" s="295"/>
      <c r="J144" s="298"/>
    </row>
    <row r="145" spans="1:10" s="237" customFormat="1" x14ac:dyDescent="0.25">
      <c r="A145" s="237" t="s">
        <v>1247</v>
      </c>
      <c r="C145" s="2"/>
      <c r="D145" s="2">
        <f>SUM(D143:D144)</f>
        <v>0</v>
      </c>
      <c r="E145" s="2"/>
      <c r="H145" s="247"/>
      <c r="I145" s="295"/>
      <c r="J145" s="298"/>
    </row>
    <row r="146" spans="1:10" s="237" customFormat="1" x14ac:dyDescent="0.25">
      <c r="C146" s="2"/>
      <c r="D146" s="2"/>
      <c r="E146" s="2"/>
      <c r="F146" s="2"/>
      <c r="G146" s="2"/>
      <c r="H146" s="2"/>
      <c r="I146" s="2"/>
      <c r="J146" s="2"/>
    </row>
    <row r="147" spans="1:10" s="237" customFormat="1" x14ac:dyDescent="0.25">
      <c r="C147" s="2"/>
      <c r="D147" s="2"/>
      <c r="E147" s="2"/>
      <c r="F147" s="2"/>
      <c r="G147" s="2"/>
      <c r="H147" s="2"/>
      <c r="I147" s="2"/>
      <c r="J147" s="2"/>
    </row>
    <row r="148" spans="1:10" s="237" customFormat="1" x14ac:dyDescent="0.25">
      <c r="C148" s="2"/>
      <c r="D148" s="2"/>
      <c r="E148" s="2"/>
      <c r="F148" s="2"/>
      <c r="G148" s="2"/>
      <c r="H148" s="2"/>
      <c r="I148" s="2"/>
      <c r="J148" s="2"/>
    </row>
    <row r="149" spans="1:10" x14ac:dyDescent="0.25">
      <c r="A149" s="202" t="s">
        <v>1332</v>
      </c>
      <c r="B149" s="202"/>
      <c r="C149" s="2"/>
      <c r="D149" s="2"/>
      <c r="E149" s="2">
        <f t="shared" ref="E149:J149" si="0">SUM(E6:E145)</f>
        <v>282867.33999999997</v>
      </c>
      <c r="F149" s="2">
        <f t="shared" si="0"/>
        <v>513397</v>
      </c>
      <c r="G149" s="2">
        <f t="shared" si="0"/>
        <v>391085</v>
      </c>
      <c r="H149" s="2">
        <f t="shared" si="0"/>
        <v>326462</v>
      </c>
      <c r="I149" s="2">
        <f t="shared" si="0"/>
        <v>328624</v>
      </c>
      <c r="J149" s="2">
        <f t="shared" si="0"/>
        <v>328624</v>
      </c>
    </row>
    <row r="150" spans="1:10" x14ac:dyDescent="0.25">
      <c r="A150" s="202"/>
      <c r="B150" s="202"/>
      <c r="C150" s="202"/>
      <c r="D150" s="202"/>
      <c r="E150" s="202"/>
      <c r="F150" s="202"/>
      <c r="G150" s="202"/>
      <c r="H150" s="247"/>
      <c r="I150" s="295"/>
      <c r="J150" s="298"/>
    </row>
    <row r="151" spans="1:10" x14ac:dyDescent="0.25">
      <c r="A151" s="202" t="s">
        <v>594</v>
      </c>
      <c r="B151" s="202"/>
      <c r="C151" s="202"/>
      <c r="D151" s="202"/>
      <c r="E151" s="2">
        <f t="shared" ref="E151:J151" si="1">SUM(E6:E54)</f>
        <v>134043.39999999997</v>
      </c>
      <c r="F151" s="2">
        <f t="shared" si="1"/>
        <v>187695</v>
      </c>
      <c r="G151" s="2">
        <f t="shared" si="1"/>
        <v>189814</v>
      </c>
      <c r="H151" s="2">
        <f t="shared" si="1"/>
        <v>190691</v>
      </c>
      <c r="I151" s="2">
        <f t="shared" si="1"/>
        <v>192853</v>
      </c>
      <c r="J151" s="2">
        <f t="shared" si="1"/>
        <v>192853</v>
      </c>
    </row>
    <row r="152" spans="1:10" x14ac:dyDescent="0.25">
      <c r="A152" s="202" t="s">
        <v>957</v>
      </c>
      <c r="B152" s="202"/>
      <c r="C152" s="202"/>
      <c r="D152" s="202"/>
      <c r="E152" s="2">
        <f t="shared" ref="E152:J152" si="2">SUM(E55:E131)</f>
        <v>142163.94</v>
      </c>
      <c r="F152" s="2">
        <f t="shared" si="2"/>
        <v>115702</v>
      </c>
      <c r="G152" s="2">
        <f t="shared" si="2"/>
        <v>123271</v>
      </c>
      <c r="H152" s="2">
        <f t="shared" si="2"/>
        <v>123271</v>
      </c>
      <c r="I152" s="2">
        <f t="shared" si="2"/>
        <v>123271</v>
      </c>
      <c r="J152" s="2">
        <f t="shared" si="2"/>
        <v>123271</v>
      </c>
    </row>
    <row r="153" spans="1:10" ht="15" x14ac:dyDescent="0.4">
      <c r="A153" s="202" t="s">
        <v>958</v>
      </c>
      <c r="B153" s="202"/>
      <c r="C153" s="202"/>
      <c r="D153" s="202"/>
      <c r="E153" s="11">
        <f t="shared" ref="E153:J153" si="3">SUM(E135:E145)</f>
        <v>6660</v>
      </c>
      <c r="F153" s="11">
        <f t="shared" si="3"/>
        <v>210000</v>
      </c>
      <c r="G153" s="11">
        <f t="shared" si="3"/>
        <v>78000</v>
      </c>
      <c r="H153" s="11">
        <f t="shared" si="3"/>
        <v>12500</v>
      </c>
      <c r="I153" s="11">
        <f t="shared" si="3"/>
        <v>12500</v>
      </c>
      <c r="J153" s="11">
        <f t="shared" si="3"/>
        <v>12500</v>
      </c>
    </row>
    <row r="154" spans="1:10" x14ac:dyDescent="0.25">
      <c r="A154" s="202" t="s">
        <v>1247</v>
      </c>
      <c r="B154" s="202"/>
      <c r="C154" s="202"/>
      <c r="D154" s="202"/>
      <c r="E154" s="2">
        <f t="shared" ref="E154:J154" si="4">SUM(E151:E153)</f>
        <v>282867.33999999997</v>
      </c>
      <c r="F154" s="2">
        <f t="shared" si="4"/>
        <v>513397</v>
      </c>
      <c r="G154" s="2">
        <f t="shared" si="4"/>
        <v>391085</v>
      </c>
      <c r="H154" s="2">
        <f t="shared" si="4"/>
        <v>326462</v>
      </c>
      <c r="I154" s="2">
        <f t="shared" si="4"/>
        <v>328624</v>
      </c>
      <c r="J154" s="2">
        <f t="shared" si="4"/>
        <v>328624</v>
      </c>
    </row>
    <row r="155" spans="1:10" x14ac:dyDescent="0.25">
      <c r="H155" s="247"/>
      <c r="I155" s="295"/>
      <c r="J155" s="298"/>
    </row>
    <row r="156" spans="1:10" x14ac:dyDescent="0.25">
      <c r="H156" s="247"/>
      <c r="I156" s="295"/>
      <c r="J156" s="298"/>
    </row>
    <row r="157" spans="1:10" x14ac:dyDescent="0.25">
      <c r="H157" s="247"/>
      <c r="I157" s="295"/>
      <c r="J157" s="298"/>
    </row>
    <row r="158" spans="1:10" x14ac:dyDescent="0.25">
      <c r="H158" s="247"/>
      <c r="I158" s="2">
        <f>+I154-H154</f>
        <v>2162</v>
      </c>
      <c r="J158" s="2">
        <f>+J154-I154</f>
        <v>0</v>
      </c>
    </row>
    <row r="159" spans="1:10" x14ac:dyDescent="0.25">
      <c r="H159" s="247"/>
      <c r="I159" s="295"/>
      <c r="J159" s="298"/>
    </row>
    <row r="160" spans="1:10" x14ac:dyDescent="0.25">
      <c r="H160" s="247"/>
      <c r="I160" s="295"/>
      <c r="J160" s="298"/>
    </row>
    <row r="161" spans="8:10" x14ac:dyDescent="0.25">
      <c r="H161" s="247"/>
      <c r="I161" s="295"/>
      <c r="J161" s="298"/>
    </row>
    <row r="162" spans="8:10" x14ac:dyDescent="0.25">
      <c r="H162" s="247"/>
      <c r="I162" s="295"/>
      <c r="J162" s="298"/>
    </row>
    <row r="163" spans="8:10" x14ac:dyDescent="0.25">
      <c r="H163" s="247"/>
      <c r="I163" s="221"/>
      <c r="J163" s="298"/>
    </row>
    <row r="164" spans="8:10" x14ac:dyDescent="0.25">
      <c r="H164" s="247"/>
      <c r="I164" s="221"/>
      <c r="J164" s="298"/>
    </row>
    <row r="165" spans="8:10" x14ac:dyDescent="0.25">
      <c r="H165" s="247"/>
      <c r="I165" s="221"/>
      <c r="J165" s="298"/>
    </row>
    <row r="166" spans="8:10" x14ac:dyDescent="0.25">
      <c r="H166" s="247"/>
      <c r="I166" s="221"/>
      <c r="J166" s="298"/>
    </row>
    <row r="167" spans="8:10" x14ac:dyDescent="0.25">
      <c r="H167" s="247"/>
      <c r="I167" s="221"/>
      <c r="J167" s="298"/>
    </row>
    <row r="168" spans="8:10" x14ac:dyDescent="0.25">
      <c r="H168" s="247"/>
      <c r="I168" s="221"/>
      <c r="J168" s="298"/>
    </row>
    <row r="169" spans="8:10" x14ac:dyDescent="0.25">
      <c r="H169" s="247"/>
      <c r="I169" s="221"/>
      <c r="J169" s="298"/>
    </row>
    <row r="170" spans="8:10" x14ac:dyDescent="0.25">
      <c r="H170" s="247"/>
      <c r="I170" s="221"/>
      <c r="J170" s="298"/>
    </row>
    <row r="171" spans="8:10" x14ac:dyDescent="0.25">
      <c r="H171" s="247"/>
      <c r="I171" s="221"/>
      <c r="J171" s="298"/>
    </row>
    <row r="172" spans="8:10" x14ac:dyDescent="0.25">
      <c r="H172" s="247"/>
      <c r="I172" s="221"/>
      <c r="J172" s="298"/>
    </row>
    <row r="173" spans="8:10" x14ac:dyDescent="0.25">
      <c r="H173" s="247"/>
      <c r="I173" s="221"/>
      <c r="J173" s="298"/>
    </row>
    <row r="174" spans="8:10" x14ac:dyDescent="0.25">
      <c r="H174" s="247"/>
      <c r="J174" s="298"/>
    </row>
    <row r="175" spans="8:10" x14ac:dyDescent="0.25">
      <c r="H175" s="247"/>
      <c r="J175" s="298"/>
    </row>
    <row r="176" spans="8:10" x14ac:dyDescent="0.25">
      <c r="H176" s="247"/>
      <c r="J176" s="298"/>
    </row>
    <row r="177" spans="8:10" x14ac:dyDescent="0.25">
      <c r="H177" s="247"/>
      <c r="J177" s="298"/>
    </row>
    <row r="178" spans="8:10" x14ac:dyDescent="0.25">
      <c r="H178" s="247"/>
      <c r="J178" s="298"/>
    </row>
    <row r="179" spans="8:10" x14ac:dyDescent="0.25">
      <c r="H179" s="247"/>
      <c r="J179" s="298"/>
    </row>
    <row r="180" spans="8:10" x14ac:dyDescent="0.25">
      <c r="H180" s="247"/>
      <c r="J180" s="298"/>
    </row>
    <row r="181" spans="8:10" x14ac:dyDescent="0.25">
      <c r="H181" s="247"/>
      <c r="J181" s="298"/>
    </row>
    <row r="182" spans="8:10" x14ac:dyDescent="0.25">
      <c r="H182" s="247"/>
      <c r="J182" s="298"/>
    </row>
    <row r="183" spans="8:10" x14ac:dyDescent="0.25">
      <c r="H183" s="247"/>
      <c r="J183" s="298"/>
    </row>
    <row r="184" spans="8:10" x14ac:dyDescent="0.25">
      <c r="H184" s="247"/>
      <c r="J184" s="298"/>
    </row>
    <row r="185" spans="8:10" x14ac:dyDescent="0.25">
      <c r="H185" s="247"/>
      <c r="J185" s="298"/>
    </row>
    <row r="186" spans="8:10" x14ac:dyDescent="0.25">
      <c r="H186" s="247"/>
      <c r="J186" s="298"/>
    </row>
    <row r="187" spans="8:10" x14ac:dyDescent="0.25">
      <c r="H187" s="247"/>
      <c r="J187" s="298"/>
    </row>
    <row r="188" spans="8:10" x14ac:dyDescent="0.25">
      <c r="H188" s="247"/>
      <c r="J188" s="298"/>
    </row>
    <row r="189" spans="8:10" x14ac:dyDescent="0.25">
      <c r="H189" s="247"/>
      <c r="J189" s="298"/>
    </row>
    <row r="190" spans="8:10" x14ac:dyDescent="0.25">
      <c r="H190" s="247"/>
      <c r="J190" s="298"/>
    </row>
    <row r="191" spans="8:10" x14ac:dyDescent="0.25">
      <c r="H191" s="205"/>
      <c r="J191" s="298"/>
    </row>
    <row r="192" spans="8:10" x14ac:dyDescent="0.25">
      <c r="H192" s="205"/>
      <c r="J192" s="298"/>
    </row>
    <row r="193" spans="8:10" x14ac:dyDescent="0.25">
      <c r="H193" s="205"/>
      <c r="J193" s="298"/>
    </row>
    <row r="194" spans="8:10" x14ac:dyDescent="0.25">
      <c r="H194" s="205"/>
      <c r="J194" s="298"/>
    </row>
    <row r="195" spans="8:10" x14ac:dyDescent="0.25">
      <c r="H195" s="205"/>
      <c r="J195" s="298"/>
    </row>
    <row r="196" spans="8:10" x14ac:dyDescent="0.25">
      <c r="H196" s="205"/>
      <c r="J196" s="298"/>
    </row>
    <row r="197" spans="8:10" x14ac:dyDescent="0.25">
      <c r="H197" s="205"/>
      <c r="J197" s="298"/>
    </row>
    <row r="198" spans="8:10" x14ac:dyDescent="0.25">
      <c r="H198" s="205"/>
      <c r="J198" s="223"/>
    </row>
    <row r="199" spans="8:10" x14ac:dyDescent="0.25">
      <c r="H199" s="205"/>
      <c r="J199" s="223"/>
    </row>
    <row r="200" spans="8:10" x14ac:dyDescent="0.25">
      <c r="H200" s="205"/>
      <c r="J200" s="223"/>
    </row>
    <row r="201" spans="8:10" x14ac:dyDescent="0.25">
      <c r="H201" s="205"/>
      <c r="J201" s="223"/>
    </row>
    <row r="202" spans="8:10" x14ac:dyDescent="0.25">
      <c r="J202" s="223"/>
    </row>
    <row r="203" spans="8:10" x14ac:dyDescent="0.25">
      <c r="J203" s="223"/>
    </row>
    <row r="204" spans="8:10" x14ac:dyDescent="0.25">
      <c r="J204" s="223"/>
    </row>
    <row r="205" spans="8:10" x14ac:dyDescent="0.25">
      <c r="J205" s="223"/>
    </row>
    <row r="206" spans="8:10" x14ac:dyDescent="0.25">
      <c r="J206" s="223"/>
    </row>
    <row r="207" spans="8:10" x14ac:dyDescent="0.25">
      <c r="J207" s="223"/>
    </row>
    <row r="208" spans="8:10" x14ac:dyDescent="0.25">
      <c r="J208" s="223"/>
    </row>
    <row r="209" spans="10:10" x14ac:dyDescent="0.25">
      <c r="J209" s="223"/>
    </row>
    <row r="210" spans="10:10" x14ac:dyDescent="0.25">
      <c r="J210" s="223"/>
    </row>
  </sheetData>
  <mergeCells count="1">
    <mergeCell ref="A1:J1"/>
  </mergeCells>
  <phoneticPr fontId="0" type="noConversion"/>
  <printOptions gridLines="1"/>
  <pageMargins left="0.75" right="0.16" top="0.51" bottom="0.22" header="0.5" footer="0"/>
  <pageSetup scale="85" fitToHeight="5" orientation="landscape" r:id="rId1"/>
  <headerFooter alignWithMargins="0"/>
  <rowBreaks count="3" manualBreakCount="3">
    <brk id="63" max="9" man="1"/>
    <brk id="92" max="9" man="1"/>
    <brk id="134" max="9" man="1"/>
  </row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IJ204"/>
  <sheetViews>
    <sheetView view="pageBreakPreview" zoomScaleNormal="100" zoomScaleSheetLayoutView="100" workbookViewId="0">
      <selection sqref="A1:J1"/>
    </sheetView>
  </sheetViews>
  <sheetFormatPr defaultColWidth="8.88671875" defaultRowHeight="13.2" x14ac:dyDescent="0.25"/>
  <cols>
    <col min="1" max="1" width="55.109375" style="273" customWidth="1"/>
    <col min="2" max="2" width="8.77734375" style="273" bestFit="1" customWidth="1"/>
    <col min="3" max="3" width="7.77734375" style="273" bestFit="1" customWidth="1"/>
    <col min="4" max="4" width="8.77734375" style="273" bestFit="1" customWidth="1"/>
    <col min="5" max="6" width="9" style="273" bestFit="1" customWidth="1"/>
    <col min="7" max="7" width="11.6640625" style="2" bestFit="1" customWidth="1"/>
    <col min="8" max="8" width="13.5546875" style="273" bestFit="1" customWidth="1"/>
    <col min="9" max="10" width="10.88671875" style="273" customWidth="1"/>
    <col min="11" max="16384" width="8.88671875" style="273"/>
  </cols>
  <sheetData>
    <row r="1" spans="1:244" x14ac:dyDescent="0.25">
      <c r="A1" s="307" t="str">
        <f>'SUMMARY BY FUND'!A1:J1</f>
        <v>2019-20 BUDGET</v>
      </c>
      <c r="B1" s="308"/>
      <c r="C1" s="308"/>
      <c r="D1" s="308"/>
      <c r="E1" s="308"/>
      <c r="F1" s="308"/>
      <c r="G1" s="308"/>
      <c r="H1" s="308"/>
      <c r="I1" s="308"/>
      <c r="J1" s="308"/>
    </row>
    <row r="2" spans="1:244" ht="17.399999999999999" x14ac:dyDescent="0.3">
      <c r="A2" s="180" t="s">
        <v>1946</v>
      </c>
      <c r="B2" s="180"/>
      <c r="C2" s="180"/>
      <c r="D2" s="180"/>
      <c r="E2" s="180"/>
      <c r="F2" s="180"/>
      <c r="I2" s="21"/>
      <c r="J2" s="21"/>
    </row>
    <row r="3" spans="1:244" x14ac:dyDescent="0.25">
      <c r="B3" s="2"/>
      <c r="C3" s="2"/>
      <c r="D3" s="2"/>
      <c r="E3" s="2"/>
      <c r="F3" s="2"/>
      <c r="I3" s="21"/>
      <c r="J3" s="21"/>
    </row>
    <row r="4" spans="1:244" x14ac:dyDescent="0.25">
      <c r="B4" s="2"/>
      <c r="C4" s="2"/>
      <c r="D4" s="2"/>
      <c r="E4" s="16" t="s">
        <v>233</v>
      </c>
      <c r="F4" s="16" t="s">
        <v>234</v>
      </c>
      <c r="G4" s="16" t="s">
        <v>70</v>
      </c>
      <c r="H4" s="16" t="s">
        <v>409</v>
      </c>
      <c r="I4" s="16" t="s">
        <v>314</v>
      </c>
      <c r="J4" s="16" t="s">
        <v>345</v>
      </c>
    </row>
    <row r="5" spans="1:244" ht="15" x14ac:dyDescent="0.4">
      <c r="B5" s="2"/>
      <c r="C5" s="2"/>
      <c r="D5" s="2"/>
      <c r="E5" s="274" t="s">
        <v>1794</v>
      </c>
      <c r="F5" s="274" t="s">
        <v>1970</v>
      </c>
      <c r="G5" s="274" t="s">
        <v>2129</v>
      </c>
      <c r="H5" s="274" t="s">
        <v>2129</v>
      </c>
      <c r="I5" s="274" t="s">
        <v>2129</v>
      </c>
      <c r="J5" s="274" t="s">
        <v>2129</v>
      </c>
    </row>
    <row r="6" spans="1:244" ht="13.8" x14ac:dyDescent="0.3">
      <c r="A6" s="276" t="s">
        <v>1370</v>
      </c>
      <c r="B6" s="2"/>
      <c r="C6" s="2"/>
      <c r="D6" s="2"/>
      <c r="E6" s="2">
        <v>39478.400000000001</v>
      </c>
      <c r="F6" s="48">
        <v>40664</v>
      </c>
      <c r="G6" s="48">
        <v>40664</v>
      </c>
      <c r="H6" s="48">
        <v>40664</v>
      </c>
      <c r="I6" s="48">
        <v>41912</v>
      </c>
      <c r="J6" s="48">
        <v>41912</v>
      </c>
      <c r="IJ6" s="48"/>
    </row>
    <row r="7" spans="1:244" x14ac:dyDescent="0.25">
      <c r="A7" s="273" t="s">
        <v>143</v>
      </c>
      <c r="B7" s="2">
        <v>52</v>
      </c>
      <c r="C7" s="2">
        <v>806</v>
      </c>
      <c r="D7" s="2">
        <f>ROUND(B7*C7,0)</f>
        <v>41912</v>
      </c>
      <c r="E7" s="2"/>
      <c r="F7" s="48"/>
      <c r="G7" s="48"/>
      <c r="H7" s="48"/>
      <c r="I7" s="48"/>
      <c r="J7" s="48"/>
      <c r="IJ7" s="48"/>
    </row>
    <row r="8" spans="1:244" ht="15" x14ac:dyDescent="0.4">
      <c r="A8" s="273" t="s">
        <v>973</v>
      </c>
      <c r="B8" s="2" t="s">
        <v>396</v>
      </c>
      <c r="C8" s="2" t="s">
        <v>396</v>
      </c>
      <c r="D8" s="11">
        <v>0</v>
      </c>
      <c r="E8" s="2"/>
      <c r="F8" s="68"/>
      <c r="G8" s="68"/>
      <c r="H8" s="68"/>
      <c r="I8" s="68"/>
      <c r="J8" s="68"/>
      <c r="IJ8" s="68"/>
    </row>
    <row r="9" spans="1:244" x14ac:dyDescent="0.25">
      <c r="A9" s="273" t="s">
        <v>1247</v>
      </c>
      <c r="B9" s="2"/>
      <c r="C9" s="2"/>
      <c r="D9" s="2">
        <f>SUM(D7:D8)</f>
        <v>41912</v>
      </c>
      <c r="E9" s="2"/>
      <c r="F9" s="48"/>
      <c r="G9" s="48"/>
      <c r="H9" s="48"/>
      <c r="I9" s="48"/>
      <c r="J9" s="48"/>
      <c r="IJ9" s="48"/>
    </row>
    <row r="10" spans="1:244" x14ac:dyDescent="0.25">
      <c r="B10" s="2"/>
      <c r="C10" s="2"/>
      <c r="D10" s="2"/>
      <c r="E10" s="2"/>
      <c r="F10" s="48"/>
      <c r="G10" s="48"/>
      <c r="H10" s="48"/>
      <c r="I10" s="48"/>
      <c r="J10" s="48"/>
      <c r="IJ10" s="48"/>
    </row>
    <row r="11" spans="1:244" ht="13.8" x14ac:dyDescent="0.3">
      <c r="A11" s="276" t="s">
        <v>387</v>
      </c>
      <c r="B11" s="2"/>
      <c r="C11" s="2"/>
      <c r="D11" s="2"/>
      <c r="E11" s="2">
        <v>163294.35</v>
      </c>
      <c r="F11" s="48">
        <v>167309</v>
      </c>
      <c r="G11" s="48">
        <v>167309</v>
      </c>
      <c r="H11" s="48">
        <v>167309</v>
      </c>
      <c r="I11" s="48">
        <v>172883</v>
      </c>
      <c r="J11" s="48">
        <v>172883</v>
      </c>
      <c r="IJ11" s="48"/>
    </row>
    <row r="12" spans="1:244" x14ac:dyDescent="0.25">
      <c r="A12" s="273" t="s">
        <v>388</v>
      </c>
      <c r="B12" s="2">
        <v>52</v>
      </c>
      <c r="C12" s="2">
        <v>1959</v>
      </c>
      <c r="D12" s="2">
        <f>ROUND(B12*C12,0)</f>
        <v>101868</v>
      </c>
      <c r="E12" s="2"/>
      <c r="F12" s="48"/>
      <c r="G12" s="48"/>
      <c r="H12" s="48"/>
      <c r="I12" s="48"/>
      <c r="J12" s="48"/>
      <c r="IJ12" s="48"/>
    </row>
    <row r="13" spans="1:244" x14ac:dyDescent="0.25">
      <c r="A13" s="273" t="s">
        <v>389</v>
      </c>
      <c r="B13" s="2">
        <v>52</v>
      </c>
      <c r="C13" s="2">
        <v>1328</v>
      </c>
      <c r="D13" s="2">
        <f>ROUND(B13*C13,0)</f>
        <v>69056</v>
      </c>
      <c r="E13" s="2"/>
      <c r="F13" s="48"/>
      <c r="G13" s="48"/>
      <c r="H13" s="48"/>
      <c r="I13" s="48"/>
      <c r="J13" s="48"/>
      <c r="IJ13" s="48"/>
    </row>
    <row r="14" spans="1:244" ht="15" x14ac:dyDescent="0.4">
      <c r="A14" s="273" t="s">
        <v>973</v>
      </c>
      <c r="B14" s="2"/>
      <c r="C14" s="2"/>
      <c r="D14" s="11">
        <v>1959</v>
      </c>
      <c r="E14" s="2"/>
      <c r="F14" s="48"/>
      <c r="G14" s="48"/>
      <c r="H14" s="48"/>
      <c r="I14" s="48"/>
      <c r="J14" s="48"/>
      <c r="IJ14" s="48"/>
    </row>
    <row r="15" spans="1:244" x14ac:dyDescent="0.25">
      <c r="A15" s="273" t="s">
        <v>1247</v>
      </c>
      <c r="B15" s="2"/>
      <c r="C15" s="2"/>
      <c r="D15" s="2">
        <f>SUM(D12:D14)</f>
        <v>172883</v>
      </c>
      <c r="E15" s="2"/>
      <c r="F15" s="48"/>
      <c r="G15" s="48"/>
      <c r="H15" s="48"/>
      <c r="I15" s="48"/>
      <c r="J15" s="48"/>
      <c r="IJ15" s="48"/>
    </row>
    <row r="16" spans="1:244" x14ac:dyDescent="0.25">
      <c r="B16" s="2"/>
      <c r="C16" s="2"/>
      <c r="D16" s="2"/>
      <c r="E16" s="2"/>
      <c r="F16" s="48"/>
      <c r="G16" s="48"/>
      <c r="H16" s="48"/>
      <c r="I16" s="48"/>
      <c r="J16" s="48"/>
      <c r="IJ16" s="48"/>
    </row>
    <row r="17" spans="1:244" ht="13.8" x14ac:dyDescent="0.3">
      <c r="A17" s="276" t="s">
        <v>503</v>
      </c>
      <c r="B17" s="2"/>
      <c r="C17" s="2"/>
      <c r="D17" s="2"/>
      <c r="E17" s="2">
        <v>39582</v>
      </c>
      <c r="F17" s="48">
        <v>55380</v>
      </c>
      <c r="G17" s="48">
        <v>55380</v>
      </c>
      <c r="H17" s="48">
        <v>55380</v>
      </c>
      <c r="I17" s="48">
        <v>57512</v>
      </c>
      <c r="J17" s="48">
        <v>57512</v>
      </c>
      <c r="IJ17" s="48"/>
    </row>
    <row r="18" spans="1:244" x14ac:dyDescent="0.25">
      <c r="A18" s="273" t="s">
        <v>302</v>
      </c>
      <c r="B18" s="2">
        <v>52</v>
      </c>
      <c r="C18" s="2">
        <v>1106</v>
      </c>
      <c r="D18" s="2">
        <f>ROUND(B18*C18,0)</f>
        <v>57512</v>
      </c>
      <c r="E18" s="2"/>
      <c r="F18" s="48"/>
      <c r="G18" s="48"/>
      <c r="H18" s="48"/>
      <c r="I18" s="48"/>
      <c r="J18" s="48"/>
      <c r="IJ18" s="48"/>
    </row>
    <row r="19" spans="1:244" x14ac:dyDescent="0.25">
      <c r="D19" s="2"/>
      <c r="E19" s="2"/>
      <c r="F19" s="48"/>
      <c r="G19" s="48"/>
      <c r="H19" s="48"/>
      <c r="I19" s="48"/>
      <c r="J19" s="48"/>
      <c r="IJ19" s="48"/>
    </row>
    <row r="20" spans="1:244" ht="13.8" x14ac:dyDescent="0.3">
      <c r="A20" s="276" t="s">
        <v>624</v>
      </c>
      <c r="D20" s="2"/>
      <c r="E20" s="2">
        <v>26011.27</v>
      </c>
      <c r="F20" s="48">
        <v>26070</v>
      </c>
      <c r="G20" s="48">
        <v>26070</v>
      </c>
      <c r="H20" s="48">
        <v>26070</v>
      </c>
      <c r="I20" s="48">
        <v>26852</v>
      </c>
      <c r="J20" s="48">
        <v>26852</v>
      </c>
      <c r="IJ20" s="48"/>
    </row>
    <row r="21" spans="1:244" x14ac:dyDescent="0.25">
      <c r="A21" s="273" t="s">
        <v>831</v>
      </c>
      <c r="B21" s="2">
        <v>200</v>
      </c>
      <c r="C21" s="12">
        <v>18.07</v>
      </c>
      <c r="D21" s="2">
        <f>ROUND(B21*C21,0)</f>
        <v>3614</v>
      </c>
      <c r="E21" s="2"/>
      <c r="F21" s="48"/>
      <c r="G21" s="48"/>
      <c r="H21" s="48"/>
      <c r="I21" s="48"/>
      <c r="J21" s="48"/>
      <c r="IJ21" s="48"/>
    </row>
    <row r="22" spans="1:244" ht="15" x14ac:dyDescent="0.4">
      <c r="A22" s="273" t="s">
        <v>121</v>
      </c>
      <c r="B22" s="2">
        <v>1248</v>
      </c>
      <c r="C22" s="12">
        <v>18.62</v>
      </c>
      <c r="D22" s="11">
        <f>ROUND(B22*C22,0)</f>
        <v>23238</v>
      </c>
      <c r="E22" s="2"/>
      <c r="F22" s="48"/>
      <c r="G22" s="48"/>
      <c r="H22" s="48"/>
      <c r="I22" s="48"/>
      <c r="J22" s="48"/>
      <c r="IJ22" s="48"/>
    </row>
    <row r="23" spans="1:244" x14ac:dyDescent="0.25">
      <c r="B23" s="2"/>
      <c r="C23" s="12"/>
      <c r="D23" s="2">
        <f>SUM(D21:D22)</f>
        <v>26852</v>
      </c>
      <c r="E23" s="2"/>
      <c r="F23" s="48"/>
      <c r="G23" s="48"/>
      <c r="H23" s="48"/>
      <c r="I23" s="48"/>
      <c r="J23" s="48"/>
      <c r="IJ23" s="48"/>
    </row>
    <row r="24" spans="1:244" x14ac:dyDescent="0.25">
      <c r="G24" s="48"/>
      <c r="H24" s="48"/>
      <c r="I24" s="48"/>
      <c r="J24" s="48"/>
      <c r="IJ24" s="48"/>
    </row>
    <row r="25" spans="1:244" ht="13.8" x14ac:dyDescent="0.3">
      <c r="A25" s="276" t="s">
        <v>1973</v>
      </c>
      <c r="B25" s="2"/>
      <c r="C25" s="12"/>
      <c r="D25" s="2"/>
      <c r="E25" s="2">
        <v>0</v>
      </c>
      <c r="F25" s="2">
        <v>0</v>
      </c>
      <c r="G25" s="2">
        <v>0</v>
      </c>
      <c r="H25" s="2">
        <v>0</v>
      </c>
      <c r="I25" s="2">
        <v>0</v>
      </c>
      <c r="J25" s="2">
        <v>0</v>
      </c>
      <c r="IJ25" s="48"/>
    </row>
    <row r="26" spans="1:244" x14ac:dyDescent="0.25">
      <c r="D26" s="2"/>
      <c r="E26" s="2"/>
      <c r="F26" s="48"/>
      <c r="G26" s="48"/>
      <c r="H26" s="48"/>
      <c r="I26" s="48"/>
      <c r="J26" s="48"/>
      <c r="IJ26" s="48"/>
    </row>
    <row r="27" spans="1:244" ht="13.8" x14ac:dyDescent="0.3">
      <c r="A27" s="276" t="s">
        <v>203</v>
      </c>
      <c r="B27" s="76"/>
      <c r="D27" s="2"/>
      <c r="E27" s="2">
        <v>20376.830000000002</v>
      </c>
      <c r="F27" s="48">
        <v>22141</v>
      </c>
      <c r="G27" s="48">
        <v>22141</v>
      </c>
      <c r="H27" s="48">
        <v>22141</v>
      </c>
      <c r="I27" s="48">
        <v>22886</v>
      </c>
      <c r="J27" s="48">
        <v>22886</v>
      </c>
      <c r="IJ27" s="48"/>
    </row>
    <row r="28" spans="1:244" x14ac:dyDescent="0.25">
      <c r="A28" s="13" t="s">
        <v>1248</v>
      </c>
      <c r="B28" s="2">
        <f>+D9</f>
        <v>41912</v>
      </c>
      <c r="C28" s="14">
        <v>7.6499999999999999E-2</v>
      </c>
      <c r="D28" s="2">
        <f>ROUND(B28*C28,0)</f>
        <v>3206</v>
      </c>
      <c r="E28" s="2"/>
      <c r="F28" s="48"/>
      <c r="G28" s="48"/>
      <c r="H28" s="48"/>
      <c r="I28" s="48"/>
      <c r="J28" s="48"/>
      <c r="IJ28" s="48"/>
    </row>
    <row r="29" spans="1:244" x14ac:dyDescent="0.25">
      <c r="A29" s="13" t="s">
        <v>1249</v>
      </c>
      <c r="B29" s="2">
        <f>+D15</f>
        <v>172883</v>
      </c>
      <c r="C29" s="14">
        <v>7.6499999999999999E-2</v>
      </c>
      <c r="D29" s="2">
        <f>ROUND(B29*C29,0)</f>
        <v>13226</v>
      </c>
      <c r="E29" s="2"/>
      <c r="F29" s="48"/>
      <c r="G29" s="48"/>
      <c r="H29" s="48"/>
      <c r="I29" s="48"/>
      <c r="J29" s="48"/>
      <c r="IJ29" s="48"/>
    </row>
    <row r="30" spans="1:244" x14ac:dyDescent="0.25">
      <c r="A30" s="13" t="s">
        <v>1250</v>
      </c>
      <c r="B30" s="2">
        <f>+D18</f>
        <v>57512</v>
      </c>
      <c r="C30" s="14">
        <v>7.6499999999999999E-2</v>
      </c>
      <c r="D30" s="2">
        <f>ROUND(B30*C30,0)</f>
        <v>4400</v>
      </c>
      <c r="E30" s="2"/>
      <c r="F30" s="48"/>
      <c r="G30" s="48"/>
      <c r="H30" s="48"/>
      <c r="I30" s="48"/>
      <c r="J30" s="48"/>
      <c r="IJ30" s="48"/>
    </row>
    <row r="31" spans="1:244" ht="15" x14ac:dyDescent="0.4">
      <c r="A31" s="13" t="s">
        <v>1251</v>
      </c>
      <c r="B31" s="2">
        <f>+D23</f>
        <v>26852</v>
      </c>
      <c r="C31" s="14">
        <v>7.6499999999999999E-2</v>
      </c>
      <c r="D31" s="11">
        <f>ROUND(B31*C31,0)</f>
        <v>2054</v>
      </c>
      <c r="E31" s="2"/>
      <c r="F31" s="48"/>
      <c r="G31" s="48"/>
      <c r="H31" s="48"/>
      <c r="I31" s="48"/>
      <c r="J31" s="48"/>
      <c r="IJ31" s="48"/>
    </row>
    <row r="32" spans="1:244" x14ac:dyDescent="0.25">
      <c r="A32" s="273" t="s">
        <v>1247</v>
      </c>
      <c r="B32" s="2" t="s">
        <v>396</v>
      </c>
      <c r="D32" s="2">
        <f>SUM(D28:D31)</f>
        <v>22886</v>
      </c>
      <c r="E32" s="2"/>
      <c r="F32" s="48"/>
      <c r="G32" s="48"/>
      <c r="H32" s="48"/>
      <c r="I32" s="48"/>
      <c r="J32" s="48"/>
      <c r="IJ32" s="48"/>
    </row>
    <row r="33" spans="1:244" x14ac:dyDescent="0.25">
      <c r="D33" s="2"/>
      <c r="E33" s="2"/>
      <c r="F33" s="48"/>
      <c r="G33" s="48"/>
      <c r="H33" s="48"/>
      <c r="I33" s="48"/>
      <c r="J33" s="48"/>
      <c r="IJ33" s="48"/>
    </row>
    <row r="34" spans="1:244" ht="13.8" x14ac:dyDescent="0.3">
      <c r="A34" s="15" t="s">
        <v>204</v>
      </c>
      <c r="D34" s="2"/>
      <c r="E34" s="2">
        <v>27579.81</v>
      </c>
      <c r="F34" s="48">
        <v>29970</v>
      </c>
      <c r="G34" s="48">
        <v>29416</v>
      </c>
      <c r="H34" s="48">
        <v>29416</v>
      </c>
      <c r="I34" s="48">
        <v>30417</v>
      </c>
      <c r="J34" s="48">
        <v>30417</v>
      </c>
      <c r="IJ34" s="48"/>
    </row>
    <row r="35" spans="1:244" x14ac:dyDescent="0.25">
      <c r="A35" s="13" t="s">
        <v>1248</v>
      </c>
      <c r="B35" s="2">
        <f>+D9</f>
        <v>41912</v>
      </c>
      <c r="C35" s="14">
        <v>0.11169999999999999</v>
      </c>
      <c r="D35" s="2">
        <f>ROUND(B35*C35,0)</f>
        <v>4682</v>
      </c>
      <c r="E35" s="2"/>
      <c r="F35" s="48"/>
      <c r="G35" s="48"/>
      <c r="H35" s="48"/>
      <c r="I35" s="48"/>
      <c r="J35" s="48"/>
      <c r="IJ35" s="48"/>
    </row>
    <row r="36" spans="1:244" x14ac:dyDescent="0.25">
      <c r="A36" s="13" t="s">
        <v>1249</v>
      </c>
      <c r="B36" s="2">
        <f>+D15</f>
        <v>172883</v>
      </c>
      <c r="C36" s="14">
        <v>0.11169999999999999</v>
      </c>
      <c r="D36" s="2">
        <f>ROUND(B36*C36,0)</f>
        <v>19311</v>
      </c>
      <c r="E36" s="2"/>
      <c r="F36" s="48"/>
      <c r="G36" s="48"/>
      <c r="H36" s="48"/>
      <c r="I36" s="48"/>
      <c r="J36" s="48"/>
      <c r="IJ36" s="48"/>
    </row>
    <row r="37" spans="1:244" ht="15" x14ac:dyDescent="0.4">
      <c r="A37" s="13" t="s">
        <v>1250</v>
      </c>
      <c r="B37" s="2">
        <f>+D18</f>
        <v>57512</v>
      </c>
      <c r="C37" s="14">
        <v>0.11169999999999999</v>
      </c>
      <c r="D37" s="11">
        <f>ROUND(B37*C37,0)</f>
        <v>6424</v>
      </c>
      <c r="E37" s="2"/>
      <c r="F37" s="48"/>
      <c r="G37" s="48"/>
      <c r="H37" s="48"/>
      <c r="I37" s="48"/>
      <c r="J37" s="48"/>
      <c r="IJ37" s="48"/>
    </row>
    <row r="38" spans="1:244" x14ac:dyDescent="0.25">
      <c r="A38" s="273" t="s">
        <v>1247</v>
      </c>
      <c r="D38" s="2">
        <f>SUM(D35:D37)</f>
        <v>30417</v>
      </c>
      <c r="E38" s="2"/>
      <c r="F38" s="48"/>
      <c r="G38" s="48"/>
      <c r="H38" s="48"/>
      <c r="I38" s="48"/>
      <c r="J38" s="48"/>
      <c r="IJ38" s="48"/>
    </row>
    <row r="39" spans="1:244" x14ac:dyDescent="0.25">
      <c r="D39" s="2"/>
      <c r="E39" s="2"/>
      <c r="F39" s="48"/>
      <c r="G39" s="48"/>
      <c r="H39" s="48"/>
      <c r="I39" s="48"/>
      <c r="J39" s="48"/>
      <c r="IJ39" s="48"/>
    </row>
    <row r="40" spans="1:244" ht="13.8" x14ac:dyDescent="0.3">
      <c r="A40" s="276" t="s">
        <v>516</v>
      </c>
      <c r="D40" s="2"/>
      <c r="E40" s="2">
        <v>60364.13</v>
      </c>
      <c r="F40" s="48">
        <v>73200</v>
      </c>
      <c r="G40" s="48">
        <v>74400</v>
      </c>
      <c r="H40" s="48">
        <v>76100</v>
      </c>
      <c r="I40" s="48">
        <v>76100</v>
      </c>
      <c r="J40" s="48">
        <v>76100</v>
      </c>
      <c r="IJ40" s="48"/>
    </row>
    <row r="41" spans="1:244" x14ac:dyDescent="0.25">
      <c r="A41" s="273" t="s">
        <v>225</v>
      </c>
      <c r="B41" s="2">
        <v>4</v>
      </c>
      <c r="C41" s="2">
        <v>19025</v>
      </c>
      <c r="D41" s="2">
        <f>ROUND(B41*C41,0)</f>
        <v>76100</v>
      </c>
      <c r="E41" s="2"/>
      <c r="F41" s="48"/>
      <c r="G41" s="48"/>
      <c r="H41" s="48"/>
      <c r="I41" s="48"/>
      <c r="J41" s="48"/>
      <c r="IJ41" s="48"/>
    </row>
    <row r="42" spans="1:244" x14ac:dyDescent="0.25">
      <c r="D42" s="2"/>
      <c r="E42" s="2"/>
      <c r="F42" s="48"/>
      <c r="G42" s="48"/>
      <c r="H42" s="48"/>
      <c r="I42" s="48"/>
      <c r="J42" s="48"/>
      <c r="IJ42" s="48"/>
    </row>
    <row r="43" spans="1:244" ht="13.8" x14ac:dyDescent="0.3">
      <c r="A43" s="276" t="s">
        <v>517</v>
      </c>
      <c r="D43" s="2"/>
      <c r="E43" s="2">
        <v>4304.97</v>
      </c>
      <c r="F43" s="48">
        <v>4680</v>
      </c>
      <c r="G43" s="48">
        <v>4806</v>
      </c>
      <c r="H43" s="48">
        <v>4860</v>
      </c>
      <c r="I43" s="48">
        <v>4860</v>
      </c>
      <c r="J43" s="48">
        <v>4860</v>
      </c>
      <c r="IJ43" s="48"/>
    </row>
    <row r="44" spans="1:244" x14ac:dyDescent="0.25">
      <c r="A44" s="273" t="s">
        <v>416</v>
      </c>
      <c r="B44" s="2">
        <v>4</v>
      </c>
      <c r="C44" s="2">
        <v>1350</v>
      </c>
      <c r="D44" s="2">
        <f>ROUND(B44*C44,0)</f>
        <v>5400</v>
      </c>
      <c r="E44" s="2"/>
      <c r="F44" s="48"/>
      <c r="G44" s="48"/>
      <c r="H44" s="48"/>
      <c r="I44" s="48"/>
      <c r="J44" s="48"/>
      <c r="IJ44" s="48"/>
    </row>
    <row r="45" spans="1:244" ht="15" x14ac:dyDescent="0.4">
      <c r="A45" s="273" t="s">
        <v>227</v>
      </c>
      <c r="B45" s="2"/>
      <c r="C45" s="2"/>
      <c r="D45" s="11">
        <f>-C44*B44*0.1</f>
        <v>-540</v>
      </c>
      <c r="E45" s="2"/>
      <c r="F45" s="48"/>
      <c r="G45" s="48"/>
      <c r="H45" s="48"/>
      <c r="I45" s="48"/>
      <c r="J45" s="48"/>
      <c r="IJ45" s="48"/>
    </row>
    <row r="46" spans="1:244" x14ac:dyDescent="0.25">
      <c r="A46" s="273" t="s">
        <v>801</v>
      </c>
      <c r="B46" s="2"/>
      <c r="C46" s="2"/>
      <c r="D46" s="2">
        <f>SUM(D44:D45)</f>
        <v>4860</v>
      </c>
      <c r="E46" s="2"/>
      <c r="F46" s="48"/>
      <c r="G46" s="48"/>
      <c r="H46" s="48"/>
      <c r="I46" s="48"/>
      <c r="J46" s="48"/>
      <c r="IJ46" s="48"/>
    </row>
    <row r="47" spans="1:244" x14ac:dyDescent="0.25">
      <c r="D47" s="2"/>
      <c r="E47" s="2"/>
      <c r="F47" s="48"/>
      <c r="G47" s="48"/>
      <c r="H47" s="48"/>
      <c r="I47" s="48"/>
      <c r="J47" s="48"/>
      <c r="IJ47" s="48"/>
    </row>
    <row r="48" spans="1:244" ht="13.8" x14ac:dyDescent="0.3">
      <c r="A48" s="276" t="s">
        <v>473</v>
      </c>
      <c r="D48" s="2"/>
      <c r="E48" s="2">
        <v>534.51</v>
      </c>
      <c r="F48" s="48">
        <v>540</v>
      </c>
      <c r="G48" s="48">
        <v>540</v>
      </c>
      <c r="H48" s="48">
        <v>540</v>
      </c>
      <c r="I48" s="48">
        <v>540</v>
      </c>
      <c r="J48" s="48">
        <v>540</v>
      </c>
      <c r="IJ48" s="48"/>
    </row>
    <row r="49" spans="1:244" hidden="1" x14ac:dyDescent="0.25">
      <c r="A49" s="273" t="s">
        <v>416</v>
      </c>
      <c r="B49" s="2">
        <v>4</v>
      </c>
      <c r="C49" s="2">
        <v>135</v>
      </c>
      <c r="D49" s="2">
        <f>ROUND(B49*C49,0)</f>
        <v>540</v>
      </c>
      <c r="E49" s="2"/>
      <c r="F49" s="48"/>
      <c r="G49" s="48"/>
      <c r="H49" s="48"/>
      <c r="I49" s="48"/>
      <c r="J49" s="48"/>
      <c r="IJ49" s="48"/>
    </row>
    <row r="50" spans="1:244" x14ac:dyDescent="0.25">
      <c r="D50" s="2"/>
      <c r="E50" s="2"/>
      <c r="F50" s="48"/>
      <c r="G50" s="48"/>
      <c r="H50" s="48"/>
      <c r="I50" s="48"/>
      <c r="J50" s="48"/>
      <c r="IJ50" s="48"/>
    </row>
    <row r="51" spans="1:244" ht="13.8" x14ac:dyDescent="0.3">
      <c r="A51" s="276" t="s">
        <v>474</v>
      </c>
      <c r="D51" s="2"/>
      <c r="E51" s="2">
        <v>1826.94</v>
      </c>
      <c r="F51" s="48">
        <v>1640</v>
      </c>
      <c r="G51" s="48">
        <v>2400</v>
      </c>
      <c r="H51" s="48">
        <v>2400</v>
      </c>
      <c r="I51" s="48">
        <v>2400</v>
      </c>
      <c r="J51" s="48">
        <v>2400</v>
      </c>
      <c r="IJ51" s="48"/>
    </row>
    <row r="52" spans="1:244" hidden="1" x14ac:dyDescent="0.25">
      <c r="A52" s="273" t="s">
        <v>416</v>
      </c>
      <c r="B52" s="2">
        <v>4</v>
      </c>
      <c r="C52" s="2">
        <v>600</v>
      </c>
      <c r="D52" s="2">
        <f>ROUND(B52*C52,0)</f>
        <v>2400</v>
      </c>
      <c r="E52" s="2"/>
      <c r="F52" s="48"/>
      <c r="G52" s="48"/>
      <c r="H52" s="48"/>
      <c r="I52" s="48"/>
      <c r="J52" s="48"/>
      <c r="IJ52" s="48"/>
    </row>
    <row r="53" spans="1:244" x14ac:dyDescent="0.25">
      <c r="D53" s="2"/>
      <c r="E53" s="2"/>
      <c r="F53" s="48"/>
      <c r="G53" s="48"/>
      <c r="H53" s="48"/>
      <c r="I53" s="48"/>
      <c r="J53" s="48"/>
      <c r="IJ53" s="48"/>
    </row>
    <row r="54" spans="1:244" ht="13.8" x14ac:dyDescent="0.3">
      <c r="A54" s="276" t="s">
        <v>475</v>
      </c>
      <c r="D54" s="2"/>
      <c r="E54" s="2">
        <v>4868.46</v>
      </c>
      <c r="F54" s="48">
        <v>6035</v>
      </c>
      <c r="G54" s="48">
        <v>5754</v>
      </c>
      <c r="H54" s="48">
        <v>5754</v>
      </c>
      <c r="I54" s="48">
        <v>5946</v>
      </c>
      <c r="J54" s="48">
        <v>5946</v>
      </c>
      <c r="IJ54" s="48"/>
    </row>
    <row r="55" spans="1:244" x14ac:dyDescent="0.25">
      <c r="A55" s="13" t="s">
        <v>1248</v>
      </c>
      <c r="B55" s="2">
        <f>+D9</f>
        <v>41912</v>
      </c>
      <c r="C55" s="14">
        <v>1.5E-3</v>
      </c>
      <c r="D55" s="2">
        <f>ROUND(B55*C55,0)</f>
        <v>63</v>
      </c>
      <c r="E55" s="2"/>
      <c r="F55" s="48"/>
      <c r="G55" s="48"/>
      <c r="H55" s="48"/>
      <c r="I55" s="48"/>
      <c r="J55" s="48"/>
      <c r="IJ55" s="48"/>
    </row>
    <row r="56" spans="1:244" x14ac:dyDescent="0.25">
      <c r="A56" s="23" t="s">
        <v>1252</v>
      </c>
      <c r="B56" s="2">
        <f>+D15-D13</f>
        <v>103827</v>
      </c>
      <c r="C56" s="14">
        <v>3.3300000000000003E-2</v>
      </c>
      <c r="D56" s="2">
        <f>ROUND(B56*C56,0)</f>
        <v>3457</v>
      </c>
      <c r="E56" s="2"/>
      <c r="F56" s="48"/>
      <c r="G56" s="48"/>
      <c r="H56" s="48"/>
      <c r="I56" s="48"/>
      <c r="J56" s="48"/>
      <c r="IJ56" s="48"/>
    </row>
    <row r="57" spans="1:244" x14ac:dyDescent="0.25">
      <c r="A57" s="273" t="s">
        <v>940</v>
      </c>
      <c r="B57" s="2">
        <f>+D13</f>
        <v>69056</v>
      </c>
      <c r="C57" s="14">
        <v>3.3300000000000003E-2</v>
      </c>
      <c r="D57" s="2">
        <f>ROUND(B57*C57,0)</f>
        <v>2300</v>
      </c>
      <c r="E57" s="2"/>
      <c r="F57" s="48"/>
      <c r="G57" s="48"/>
      <c r="H57" s="48"/>
      <c r="I57" s="48"/>
      <c r="J57" s="48"/>
      <c r="IJ57" s="48"/>
    </row>
    <row r="58" spans="1:244" x14ac:dyDescent="0.25">
      <c r="A58" s="13" t="s">
        <v>290</v>
      </c>
      <c r="B58" s="2">
        <f>+D18</f>
        <v>57512</v>
      </c>
      <c r="C58" s="14">
        <v>1.5E-3</v>
      </c>
      <c r="D58" s="2">
        <f>ROUND(B58*C58,0)</f>
        <v>86</v>
      </c>
      <c r="E58" s="2"/>
      <c r="F58" s="48"/>
      <c r="G58" s="48"/>
      <c r="H58" s="48"/>
      <c r="I58" s="48"/>
      <c r="J58" s="48"/>
      <c r="IJ58" s="48"/>
    </row>
    <row r="59" spans="1:244" ht="15" x14ac:dyDescent="0.4">
      <c r="A59" s="13" t="s">
        <v>1254</v>
      </c>
      <c r="B59" s="2">
        <f>+D23</f>
        <v>26852</v>
      </c>
      <c r="C59" s="14">
        <v>1.5E-3</v>
      </c>
      <c r="D59" s="11">
        <f>ROUND(B59*C59,0)</f>
        <v>40</v>
      </c>
      <c r="E59" s="2"/>
      <c r="F59" s="48"/>
      <c r="G59" s="48"/>
      <c r="H59" s="48"/>
      <c r="I59" s="48"/>
      <c r="J59" s="48"/>
      <c r="IJ59" s="48"/>
    </row>
    <row r="60" spans="1:244" x14ac:dyDescent="0.25">
      <c r="A60" s="273" t="s">
        <v>1247</v>
      </c>
      <c r="D60" s="2">
        <f>SUM(D55:D59)</f>
        <v>5946</v>
      </c>
      <c r="E60" s="2"/>
      <c r="F60" s="48"/>
      <c r="G60" s="48"/>
      <c r="H60" s="48"/>
      <c r="I60" s="48"/>
      <c r="J60" s="48"/>
      <c r="IJ60" s="48"/>
    </row>
    <row r="61" spans="1:244" x14ac:dyDescent="0.25">
      <c r="D61" s="2"/>
      <c r="E61" s="2"/>
      <c r="F61" s="48"/>
      <c r="G61" s="48"/>
      <c r="H61" s="48"/>
      <c r="I61" s="48"/>
      <c r="J61" s="48"/>
      <c r="IJ61" s="48"/>
    </row>
    <row r="62" spans="1:244" ht="13.8" x14ac:dyDescent="0.3">
      <c r="A62" s="276" t="s">
        <v>477</v>
      </c>
      <c r="D62" s="2"/>
      <c r="E62" s="2">
        <v>123.01</v>
      </c>
      <c r="F62" s="48">
        <v>136</v>
      </c>
      <c r="G62" s="48">
        <v>136</v>
      </c>
      <c r="H62" s="48">
        <v>136</v>
      </c>
      <c r="I62" s="48">
        <v>137</v>
      </c>
      <c r="J62" s="48">
        <v>137</v>
      </c>
      <c r="IJ62" s="48"/>
    </row>
    <row r="63" spans="1:244" x14ac:dyDescent="0.25">
      <c r="A63" s="13" t="s">
        <v>1248</v>
      </c>
      <c r="B63" s="2">
        <v>1</v>
      </c>
      <c r="C63" s="2">
        <v>26</v>
      </c>
      <c r="D63" s="2">
        <f>ROUND(B63*C63,0)</f>
        <v>26</v>
      </c>
      <c r="E63" s="2"/>
      <c r="F63" s="48"/>
      <c r="G63" s="48"/>
      <c r="H63" s="48"/>
      <c r="I63" s="48"/>
      <c r="J63" s="48"/>
      <c r="IJ63" s="48"/>
    </row>
    <row r="64" spans="1:244" x14ac:dyDescent="0.25">
      <c r="A64" s="13" t="s">
        <v>1249</v>
      </c>
      <c r="B64" s="2">
        <v>2</v>
      </c>
      <c r="C64" s="2">
        <v>26</v>
      </c>
      <c r="D64" s="2">
        <f>ROUND(B64*C64,0)</f>
        <v>52</v>
      </c>
      <c r="E64" s="2"/>
      <c r="F64" s="48"/>
      <c r="G64" s="48"/>
      <c r="H64" s="48"/>
      <c r="I64" s="48"/>
      <c r="J64" s="48"/>
      <c r="IJ64" s="48"/>
    </row>
    <row r="65" spans="1:244" x14ac:dyDescent="0.25">
      <c r="A65" s="13" t="s">
        <v>1250</v>
      </c>
      <c r="B65" s="2">
        <v>1</v>
      </c>
      <c r="C65" s="2">
        <v>26</v>
      </c>
      <c r="D65" s="2">
        <f>ROUND(B65*C65,0)</f>
        <v>26</v>
      </c>
      <c r="E65" s="2"/>
      <c r="F65" s="48"/>
      <c r="G65" s="48"/>
      <c r="H65" s="48"/>
      <c r="I65" s="48"/>
      <c r="J65" s="48"/>
      <c r="IJ65" s="48"/>
    </row>
    <row r="66" spans="1:244" x14ac:dyDescent="0.25">
      <c r="A66" s="13" t="s">
        <v>2107</v>
      </c>
      <c r="B66" s="2">
        <f>+D21</f>
        <v>3614</v>
      </c>
      <c r="C66" s="14">
        <v>1.8E-3</v>
      </c>
      <c r="D66" s="2">
        <f>ROUND(B66*C66,0)</f>
        <v>7</v>
      </c>
      <c r="E66" s="2"/>
      <c r="F66" s="48"/>
      <c r="G66" s="48"/>
      <c r="H66" s="48"/>
      <c r="I66" s="48"/>
      <c r="J66" s="48"/>
      <c r="IJ66" s="48"/>
    </row>
    <row r="67" spans="1:244" x14ac:dyDescent="0.25">
      <c r="A67" s="13" t="s">
        <v>2109</v>
      </c>
      <c r="B67" s="2">
        <v>1</v>
      </c>
      <c r="C67" s="2">
        <v>26</v>
      </c>
      <c r="D67" s="18">
        <f>ROUND(B67*C67,0)</f>
        <v>26</v>
      </c>
      <c r="E67" s="2"/>
      <c r="F67" s="48"/>
      <c r="G67" s="48"/>
      <c r="H67" s="48"/>
      <c r="I67" s="48"/>
      <c r="J67" s="48"/>
      <c r="IJ67" s="48"/>
    </row>
    <row r="68" spans="1:244" x14ac:dyDescent="0.25">
      <c r="A68" s="273" t="s">
        <v>1247</v>
      </c>
      <c r="B68" s="2" t="s">
        <v>396</v>
      </c>
      <c r="C68" s="14" t="s">
        <v>396</v>
      </c>
      <c r="D68" s="2">
        <f>SUM(D63:D67)</f>
        <v>137</v>
      </c>
      <c r="E68" s="2"/>
      <c r="F68" s="48"/>
      <c r="G68" s="48"/>
      <c r="H68" s="48"/>
      <c r="I68" s="48"/>
      <c r="J68" s="48"/>
      <c r="IJ68" s="48"/>
    </row>
    <row r="69" spans="1:244" x14ac:dyDescent="0.25">
      <c r="D69" s="2"/>
      <c r="E69" s="2"/>
      <c r="F69" s="48"/>
      <c r="G69" s="48"/>
      <c r="H69" s="48"/>
      <c r="I69" s="48"/>
      <c r="J69" s="48"/>
      <c r="IJ69" s="48"/>
    </row>
    <row r="70" spans="1:244" ht="13.8" x14ac:dyDescent="0.3">
      <c r="A70" s="276" t="s">
        <v>478</v>
      </c>
      <c r="D70" s="2"/>
      <c r="E70" s="2">
        <v>1905.14</v>
      </c>
      <c r="F70" s="48">
        <v>3500</v>
      </c>
      <c r="G70" s="48">
        <v>3500</v>
      </c>
      <c r="H70" s="48">
        <v>3500</v>
      </c>
      <c r="I70" s="48">
        <v>3500</v>
      </c>
      <c r="J70" s="48">
        <v>3500</v>
      </c>
      <c r="IJ70" s="48"/>
    </row>
    <row r="71" spans="1:244" x14ac:dyDescent="0.25">
      <c r="A71" s="273" t="s">
        <v>1610</v>
      </c>
      <c r="D71" s="2">
        <v>3500</v>
      </c>
      <c r="E71" s="2"/>
      <c r="F71" s="48"/>
      <c r="G71" s="48"/>
      <c r="H71" s="48"/>
      <c r="I71" s="48"/>
      <c r="J71" s="48"/>
      <c r="IJ71" s="48"/>
    </row>
    <row r="72" spans="1:244" x14ac:dyDescent="0.25">
      <c r="A72" s="273" t="s">
        <v>396</v>
      </c>
      <c r="D72" s="2" t="s">
        <v>396</v>
      </c>
      <c r="E72" s="2"/>
      <c r="F72" s="48"/>
      <c r="G72" s="48"/>
      <c r="H72" s="48"/>
      <c r="I72" s="48"/>
      <c r="J72" s="48"/>
      <c r="IJ72" s="48"/>
    </row>
    <row r="73" spans="1:244" ht="13.8" x14ac:dyDescent="0.3">
      <c r="A73" s="276" t="s">
        <v>468</v>
      </c>
      <c r="D73" s="2"/>
      <c r="E73" s="2">
        <v>0</v>
      </c>
      <c r="F73" s="48">
        <v>100</v>
      </c>
      <c r="G73" s="48">
        <v>100</v>
      </c>
      <c r="H73" s="48">
        <v>100</v>
      </c>
      <c r="I73" s="48">
        <v>100</v>
      </c>
      <c r="J73" s="48">
        <v>100</v>
      </c>
      <c r="IJ73" s="48"/>
    </row>
    <row r="74" spans="1:244" x14ac:dyDescent="0.25">
      <c r="A74" s="273" t="s">
        <v>469</v>
      </c>
      <c r="B74" s="2"/>
      <c r="D74" s="2">
        <v>100</v>
      </c>
      <c r="E74" s="2"/>
      <c r="F74" s="48"/>
      <c r="G74" s="48"/>
      <c r="H74" s="48"/>
      <c r="I74" s="48"/>
      <c r="J74" s="48"/>
      <c r="IJ74" s="48"/>
    </row>
    <row r="75" spans="1:244" x14ac:dyDescent="0.25">
      <c r="D75" s="2"/>
      <c r="E75" s="2"/>
      <c r="F75" s="48"/>
      <c r="G75" s="48"/>
      <c r="H75" s="48"/>
      <c r="I75" s="48"/>
      <c r="J75" s="48"/>
      <c r="IJ75" s="48"/>
    </row>
    <row r="76" spans="1:244" ht="13.8" x14ac:dyDescent="0.3">
      <c r="A76" s="276" t="s">
        <v>890</v>
      </c>
      <c r="D76" s="2"/>
      <c r="E76" s="2">
        <v>391.63</v>
      </c>
      <c r="F76" s="48">
        <v>200</v>
      </c>
      <c r="G76" s="48">
        <v>200</v>
      </c>
      <c r="H76" s="48">
        <v>200</v>
      </c>
      <c r="I76" s="48">
        <v>200</v>
      </c>
      <c r="J76" s="48">
        <v>200</v>
      </c>
      <c r="IJ76" s="48"/>
    </row>
    <row r="77" spans="1:244" x14ac:dyDescent="0.25">
      <c r="A77" s="273" t="s">
        <v>832</v>
      </c>
      <c r="D77" s="2">
        <v>200</v>
      </c>
      <c r="E77" s="2"/>
      <c r="F77" s="48"/>
      <c r="G77" s="48"/>
      <c r="H77" s="48"/>
      <c r="I77" s="48"/>
      <c r="J77" s="48"/>
      <c r="IJ77" s="48"/>
    </row>
    <row r="78" spans="1:244" x14ac:dyDescent="0.25">
      <c r="D78" s="2"/>
      <c r="E78" s="2"/>
      <c r="F78" s="48"/>
      <c r="G78" s="48"/>
      <c r="H78" s="48"/>
      <c r="I78" s="48"/>
      <c r="J78" s="48"/>
      <c r="IJ78" s="48"/>
    </row>
    <row r="79" spans="1:244" ht="13.8" x14ac:dyDescent="0.3">
      <c r="A79" s="276" t="s">
        <v>891</v>
      </c>
      <c r="D79" s="2"/>
      <c r="E79" s="2">
        <v>7432.11</v>
      </c>
      <c r="F79" s="48">
        <v>6550</v>
      </c>
      <c r="G79" s="48">
        <v>7450</v>
      </c>
      <c r="H79" s="48">
        <v>7450</v>
      </c>
      <c r="I79" s="48">
        <v>7450</v>
      </c>
      <c r="J79" s="48">
        <v>7450</v>
      </c>
      <c r="IJ79" s="48"/>
    </row>
    <row r="80" spans="1:244" x14ac:dyDescent="0.25">
      <c r="A80" s="273" t="s">
        <v>321</v>
      </c>
      <c r="B80" s="2" t="s">
        <v>396</v>
      </c>
      <c r="D80" s="2">
        <v>0</v>
      </c>
      <c r="E80" s="2"/>
      <c r="F80" s="48"/>
      <c r="G80" s="48"/>
      <c r="H80" s="48"/>
      <c r="I80" s="48"/>
      <c r="J80" s="48"/>
      <c r="IJ80" s="48"/>
    </row>
    <row r="81" spans="1:244" ht="15" x14ac:dyDescent="0.4">
      <c r="A81" s="273" t="s">
        <v>324</v>
      </c>
      <c r="B81" s="2"/>
      <c r="D81" s="11">
        <v>7450</v>
      </c>
      <c r="E81" s="2"/>
      <c r="F81" s="2"/>
      <c r="H81" s="2"/>
      <c r="I81" s="2"/>
      <c r="J81" s="2"/>
      <c r="IJ81" s="2"/>
    </row>
    <row r="82" spans="1:244" x14ac:dyDescent="0.25">
      <c r="A82" s="273" t="s">
        <v>1247</v>
      </c>
      <c r="B82" s="2"/>
      <c r="D82" s="2">
        <f>SUM(D80:D81)</f>
        <v>7450</v>
      </c>
      <c r="E82" s="2"/>
      <c r="F82" s="48"/>
      <c r="G82" s="48"/>
      <c r="H82" s="48"/>
      <c r="I82" s="48"/>
      <c r="J82" s="48"/>
      <c r="IJ82" s="48"/>
    </row>
    <row r="83" spans="1:244" x14ac:dyDescent="0.25">
      <c r="E83" s="2"/>
      <c r="F83" s="48"/>
      <c r="G83" s="48"/>
      <c r="H83" s="48"/>
      <c r="I83" s="48"/>
      <c r="J83" s="48"/>
      <c r="IJ83" s="48"/>
    </row>
    <row r="84" spans="1:244" ht="13.8" x14ac:dyDescent="0.3">
      <c r="A84" s="276" t="s">
        <v>46</v>
      </c>
      <c r="E84" s="2">
        <v>0</v>
      </c>
      <c r="F84" s="48">
        <v>125</v>
      </c>
      <c r="G84" s="48">
        <v>77</v>
      </c>
      <c r="H84" s="48">
        <v>77</v>
      </c>
      <c r="I84" s="48">
        <v>77</v>
      </c>
      <c r="J84" s="48">
        <v>77</v>
      </c>
      <c r="IJ84" s="48"/>
    </row>
    <row r="85" spans="1:244" x14ac:dyDescent="0.25">
      <c r="A85" s="273" t="s">
        <v>1284</v>
      </c>
      <c r="B85" s="2">
        <v>30</v>
      </c>
      <c r="C85" s="12">
        <v>2.58</v>
      </c>
      <c r="D85" s="2">
        <f>+C85*B85</f>
        <v>77.400000000000006</v>
      </c>
      <c r="E85" s="2"/>
      <c r="F85" s="48"/>
      <c r="G85" s="48"/>
      <c r="H85" s="48"/>
      <c r="I85" s="48"/>
      <c r="J85" s="48"/>
      <c r="IJ85" s="48"/>
    </row>
    <row r="86" spans="1:244" x14ac:dyDescent="0.25">
      <c r="B86" s="2"/>
      <c r="D86" s="14"/>
      <c r="E86" s="2"/>
      <c r="F86" s="48"/>
      <c r="G86" s="48"/>
      <c r="H86" s="48"/>
      <c r="I86" s="48"/>
      <c r="J86" s="48"/>
      <c r="IJ86" s="48"/>
    </row>
    <row r="87" spans="1:244" ht="13.8" x14ac:dyDescent="0.3">
      <c r="A87" s="276" t="s">
        <v>213</v>
      </c>
      <c r="B87" s="2"/>
      <c r="D87" s="14"/>
      <c r="E87" s="2">
        <v>3300.73</v>
      </c>
      <c r="F87" s="48">
        <v>3370</v>
      </c>
      <c r="G87" s="48">
        <v>3462</v>
      </c>
      <c r="H87" s="48">
        <v>3462</v>
      </c>
      <c r="I87" s="48">
        <v>3462</v>
      </c>
      <c r="J87" s="48">
        <v>3462</v>
      </c>
      <c r="IJ87" s="48"/>
    </row>
    <row r="88" spans="1:244" x14ac:dyDescent="0.25">
      <c r="A88" s="273" t="s">
        <v>959</v>
      </c>
      <c r="B88" s="2"/>
      <c r="D88" s="2">
        <v>2100</v>
      </c>
      <c r="E88" s="2"/>
      <c r="F88" s="48"/>
      <c r="G88" s="48"/>
      <c r="H88" s="48"/>
      <c r="I88" s="48"/>
      <c r="J88" s="48"/>
      <c r="IJ88" s="48"/>
    </row>
    <row r="89" spans="1:244" ht="15" x14ac:dyDescent="0.4">
      <c r="A89" s="273" t="s">
        <v>214</v>
      </c>
      <c r="B89" s="2"/>
      <c r="D89" s="11">
        <f>(85*12)+(28.5*12)</f>
        <v>1362</v>
      </c>
      <c r="E89" s="2"/>
      <c r="F89" s="48"/>
      <c r="G89" s="48"/>
      <c r="H89" s="48"/>
      <c r="I89" s="48"/>
      <c r="J89" s="48"/>
      <c r="IJ89" s="48"/>
    </row>
    <row r="90" spans="1:244" x14ac:dyDescent="0.25">
      <c r="A90" s="273" t="s">
        <v>1247</v>
      </c>
      <c r="B90" s="2"/>
      <c r="D90" s="2">
        <f>SUM(D88:D89)</f>
        <v>3462</v>
      </c>
      <c r="E90" s="2"/>
      <c r="F90" s="48"/>
      <c r="G90" s="48"/>
      <c r="H90" s="48"/>
      <c r="I90" s="48"/>
      <c r="J90" s="48"/>
      <c r="IJ90" s="48"/>
    </row>
    <row r="91" spans="1:244" x14ac:dyDescent="0.25">
      <c r="D91" s="2"/>
      <c r="E91" s="2"/>
      <c r="F91" s="48"/>
      <c r="G91" s="48"/>
      <c r="H91" s="48"/>
      <c r="I91" s="48"/>
      <c r="J91" s="48"/>
      <c r="IJ91" s="48"/>
    </row>
    <row r="92" spans="1:244" ht="13.8" x14ac:dyDescent="0.3">
      <c r="A92" s="276" t="s">
        <v>647</v>
      </c>
      <c r="D92" s="2"/>
      <c r="E92" s="2">
        <v>22446.400000000001</v>
      </c>
      <c r="F92" s="48">
        <v>24000</v>
      </c>
      <c r="G92" s="48">
        <v>23334</v>
      </c>
      <c r="H92" s="48">
        <v>23334</v>
      </c>
      <c r="I92" s="48">
        <v>23334</v>
      </c>
      <c r="J92" s="48">
        <v>23334</v>
      </c>
      <c r="IJ92" s="48"/>
    </row>
    <row r="93" spans="1:244" x14ac:dyDescent="0.25">
      <c r="A93" s="273" t="s">
        <v>149</v>
      </c>
      <c r="B93" s="2" t="s">
        <v>396</v>
      </c>
      <c r="D93" s="2">
        <v>21034</v>
      </c>
      <c r="E93" s="2"/>
      <c r="F93" s="2"/>
      <c r="H93" s="2"/>
      <c r="I93" s="2"/>
      <c r="J93" s="2"/>
      <c r="IJ93" s="2"/>
    </row>
    <row r="94" spans="1:244" x14ac:dyDescent="0.25">
      <c r="A94" s="273" t="s">
        <v>2027</v>
      </c>
      <c r="D94" s="2">
        <v>1800</v>
      </c>
      <c r="E94" s="2"/>
      <c r="F94" s="2"/>
      <c r="H94" s="2"/>
      <c r="I94" s="2"/>
      <c r="J94" s="2"/>
      <c r="IJ94" s="2"/>
    </row>
    <row r="95" spans="1:244" ht="15" x14ac:dyDescent="0.4">
      <c r="A95" s="273" t="s">
        <v>868</v>
      </c>
      <c r="D95" s="11">
        <v>500</v>
      </c>
      <c r="E95" s="2"/>
      <c r="F95" s="48"/>
      <c r="G95" s="48"/>
      <c r="H95" s="48"/>
      <c r="I95" s="48"/>
      <c r="J95" s="48"/>
      <c r="IJ95" s="48"/>
    </row>
    <row r="96" spans="1:244" x14ac:dyDescent="0.25">
      <c r="A96" s="273" t="s">
        <v>1247</v>
      </c>
      <c r="D96" s="2">
        <f>SUM(D93:D95)</f>
        <v>23334</v>
      </c>
      <c r="E96" s="2"/>
      <c r="F96" s="48"/>
      <c r="G96" s="48"/>
      <c r="H96" s="48"/>
      <c r="I96" s="48"/>
      <c r="J96" s="48"/>
      <c r="IJ96" s="48"/>
    </row>
    <row r="97" spans="1:244" x14ac:dyDescent="0.25">
      <c r="D97" s="2"/>
      <c r="E97" s="2"/>
      <c r="F97" s="48"/>
      <c r="G97" s="48"/>
      <c r="H97" s="48"/>
      <c r="I97" s="48"/>
      <c r="J97" s="48"/>
      <c r="IJ97" s="48"/>
    </row>
    <row r="98" spans="1:244" ht="13.8" x14ac:dyDescent="0.3">
      <c r="A98" s="17" t="s">
        <v>869</v>
      </c>
      <c r="D98" s="2"/>
      <c r="E98" s="2">
        <v>3044.57</v>
      </c>
      <c r="F98" s="48">
        <v>3135</v>
      </c>
      <c r="G98" s="48">
        <v>2990</v>
      </c>
      <c r="H98" s="48">
        <v>2990</v>
      </c>
      <c r="I98" s="48">
        <v>2990</v>
      </c>
      <c r="J98" s="48">
        <v>2990</v>
      </c>
      <c r="IJ98" s="48"/>
    </row>
    <row r="99" spans="1:244" x14ac:dyDescent="0.25">
      <c r="A99" s="273" t="s">
        <v>870</v>
      </c>
      <c r="D99" s="2">
        <v>2990</v>
      </c>
      <c r="E99" s="2"/>
      <c r="F99" s="48"/>
      <c r="G99" s="48"/>
      <c r="H99" s="48"/>
      <c r="I99" s="48"/>
      <c r="J99" s="48"/>
      <c r="IJ99" s="48"/>
    </row>
    <row r="100" spans="1:244" x14ac:dyDescent="0.25">
      <c r="D100" s="2"/>
      <c r="E100" s="2"/>
      <c r="F100" s="48"/>
      <c r="G100" s="48"/>
      <c r="H100" s="48"/>
      <c r="I100" s="48"/>
      <c r="J100" s="48"/>
      <c r="IJ100" s="48"/>
    </row>
    <row r="101" spans="1:244" ht="13.8" x14ac:dyDescent="0.3">
      <c r="A101" s="276" t="s">
        <v>871</v>
      </c>
      <c r="D101" s="2"/>
      <c r="E101" s="2">
        <v>44.56</v>
      </c>
      <c r="F101" s="48">
        <v>1500</v>
      </c>
      <c r="G101" s="48">
        <v>1500</v>
      </c>
      <c r="H101" s="48">
        <v>1500</v>
      </c>
      <c r="I101" s="48">
        <v>1500</v>
      </c>
      <c r="J101" s="48">
        <v>1500</v>
      </c>
      <c r="IJ101" s="48"/>
    </row>
    <row r="102" spans="1:244" x14ac:dyDescent="0.25">
      <c r="A102" s="273" t="s">
        <v>518</v>
      </c>
      <c r="D102" s="2">
        <v>1500</v>
      </c>
      <c r="E102" s="2"/>
      <c r="F102" s="48"/>
      <c r="G102" s="48"/>
      <c r="H102" s="48"/>
      <c r="I102" s="48"/>
      <c r="J102" s="48"/>
      <c r="IJ102" s="48"/>
    </row>
    <row r="103" spans="1:244" x14ac:dyDescent="0.25">
      <c r="A103" s="273" t="s">
        <v>396</v>
      </c>
      <c r="D103" s="2" t="s">
        <v>396</v>
      </c>
      <c r="E103" s="2"/>
      <c r="F103" s="48"/>
      <c r="G103" s="48"/>
      <c r="H103" s="48"/>
      <c r="I103" s="48"/>
      <c r="J103" s="48"/>
      <c r="IJ103" s="48"/>
    </row>
    <row r="104" spans="1:244" ht="13.8" x14ac:dyDescent="0.3">
      <c r="A104" s="276" t="s">
        <v>175</v>
      </c>
      <c r="D104" s="2"/>
      <c r="E104" s="2">
        <v>0</v>
      </c>
      <c r="F104" s="48">
        <v>190</v>
      </c>
      <c r="G104" s="48">
        <v>100</v>
      </c>
      <c r="H104" s="48">
        <v>100</v>
      </c>
      <c r="I104" s="48">
        <v>100</v>
      </c>
      <c r="J104" s="48">
        <v>100</v>
      </c>
      <c r="IJ104" s="48"/>
    </row>
    <row r="105" spans="1:244" x14ac:dyDescent="0.25">
      <c r="A105" s="273" t="s">
        <v>176</v>
      </c>
      <c r="D105" s="2">
        <v>100</v>
      </c>
      <c r="E105" s="2"/>
      <c r="F105" s="48"/>
      <c r="G105" s="48"/>
      <c r="H105" s="48"/>
      <c r="I105" s="48"/>
      <c r="J105" s="48"/>
      <c r="IJ105" s="48"/>
    </row>
    <row r="106" spans="1:244" x14ac:dyDescent="0.25">
      <c r="D106" s="2"/>
      <c r="E106" s="2"/>
      <c r="F106" s="48"/>
      <c r="G106" s="48"/>
      <c r="H106" s="48"/>
      <c r="I106" s="48"/>
      <c r="J106" s="48"/>
      <c r="IJ106" s="48"/>
    </row>
    <row r="107" spans="1:244" ht="13.8" x14ac:dyDescent="0.3">
      <c r="A107" s="276" t="s">
        <v>1285</v>
      </c>
      <c r="D107" s="2"/>
      <c r="E107" s="2">
        <v>4444.68</v>
      </c>
      <c r="F107" s="48">
        <v>2000</v>
      </c>
      <c r="G107" s="48">
        <v>869</v>
      </c>
      <c r="H107" s="48">
        <v>869</v>
      </c>
      <c r="I107" s="48">
        <v>869</v>
      </c>
      <c r="J107" s="48">
        <v>869</v>
      </c>
      <c r="IJ107" s="48"/>
    </row>
    <row r="108" spans="1:244" x14ac:dyDescent="0.25">
      <c r="A108" s="273" t="s">
        <v>809</v>
      </c>
      <c r="D108" s="2">
        <v>869</v>
      </c>
      <c r="E108" s="2"/>
      <c r="F108" s="48"/>
      <c r="G108" s="48"/>
      <c r="H108" s="48"/>
      <c r="I108" s="48"/>
      <c r="J108" s="48"/>
      <c r="IJ108" s="48"/>
    </row>
    <row r="109" spans="1:244" x14ac:dyDescent="0.25">
      <c r="E109" s="2"/>
      <c r="F109" s="48"/>
      <c r="G109" s="48"/>
      <c r="H109" s="48"/>
      <c r="I109" s="48"/>
      <c r="J109" s="48"/>
      <c r="IJ109" s="48"/>
    </row>
    <row r="110" spans="1:244" ht="13.8" x14ac:dyDescent="0.3">
      <c r="A110" s="276" t="s">
        <v>226</v>
      </c>
      <c r="B110" s="30" t="s">
        <v>396</v>
      </c>
      <c r="D110" s="38"/>
      <c r="E110" s="2">
        <v>0</v>
      </c>
      <c r="F110" s="48">
        <v>2500</v>
      </c>
      <c r="G110" s="48">
        <v>1000</v>
      </c>
      <c r="H110" s="48">
        <v>1000</v>
      </c>
      <c r="I110" s="48">
        <v>1000</v>
      </c>
      <c r="J110" s="48">
        <v>1000</v>
      </c>
      <c r="IJ110" s="48"/>
    </row>
    <row r="111" spans="1:244" x14ac:dyDescent="0.25">
      <c r="A111" s="273" t="s">
        <v>2165</v>
      </c>
      <c r="B111" s="2" t="s">
        <v>396</v>
      </c>
      <c r="D111" s="2">
        <v>1000</v>
      </c>
      <c r="E111" s="2"/>
      <c r="F111" s="2"/>
      <c r="H111" s="2"/>
      <c r="I111" s="2"/>
      <c r="J111" s="2"/>
      <c r="IJ111" s="2"/>
    </row>
    <row r="112" spans="1:244" x14ac:dyDescent="0.25">
      <c r="B112" s="2"/>
      <c r="D112" s="2"/>
      <c r="E112" s="2"/>
      <c r="F112" s="2"/>
      <c r="H112" s="2"/>
      <c r="I112" s="2"/>
      <c r="J112" s="2"/>
      <c r="IJ112" s="2"/>
    </row>
    <row r="113" spans="1:244" ht="13.8" x14ac:dyDescent="0.3">
      <c r="A113" s="276" t="s">
        <v>762</v>
      </c>
      <c r="E113" s="2">
        <v>280</v>
      </c>
      <c r="F113" s="48">
        <v>2500</v>
      </c>
      <c r="G113" s="48">
        <v>2500</v>
      </c>
      <c r="H113" s="48">
        <v>2500</v>
      </c>
      <c r="I113" s="48">
        <v>2500</v>
      </c>
      <c r="J113" s="48">
        <v>2500</v>
      </c>
      <c r="IJ113" s="48"/>
    </row>
    <row r="114" spans="1:244" x14ac:dyDescent="0.25">
      <c r="A114" s="273" t="s">
        <v>45</v>
      </c>
      <c r="D114" s="2">
        <v>500</v>
      </c>
      <c r="E114" s="2"/>
      <c r="F114" s="48"/>
      <c r="G114" s="48"/>
      <c r="H114" s="48"/>
      <c r="I114" s="48"/>
      <c r="J114" s="48"/>
      <c r="IJ114" s="48"/>
    </row>
    <row r="115" spans="1:244" x14ac:dyDescent="0.25">
      <c r="A115" s="273" t="s">
        <v>2028</v>
      </c>
      <c r="D115" s="2">
        <v>600</v>
      </c>
      <c r="E115" s="2"/>
      <c r="F115" s="48"/>
      <c r="G115" s="48"/>
      <c r="H115" s="48"/>
      <c r="I115" s="48"/>
      <c r="J115" s="48"/>
      <c r="IJ115" s="48"/>
    </row>
    <row r="116" spans="1:244" x14ac:dyDescent="0.25">
      <c r="A116" s="273" t="s">
        <v>2029</v>
      </c>
      <c r="D116" s="2">
        <v>1200</v>
      </c>
      <c r="E116" s="2"/>
      <c r="F116" s="48"/>
      <c r="G116" s="48"/>
      <c r="H116" s="48"/>
      <c r="I116" s="48"/>
      <c r="J116" s="48"/>
      <c r="IJ116" s="48"/>
    </row>
    <row r="117" spans="1:244" ht="15" x14ac:dyDescent="0.4">
      <c r="A117" s="273" t="s">
        <v>1307</v>
      </c>
      <c r="D117" s="11">
        <v>200</v>
      </c>
      <c r="E117" s="2"/>
      <c r="F117" s="48"/>
      <c r="G117" s="48"/>
      <c r="H117" s="48"/>
      <c r="I117" s="48"/>
      <c r="J117" s="48"/>
      <c r="IJ117" s="48"/>
    </row>
    <row r="118" spans="1:244" x14ac:dyDescent="0.25">
      <c r="A118" s="273" t="s">
        <v>1247</v>
      </c>
      <c r="D118" s="2">
        <f>SUM(D114:D117)</f>
        <v>2500</v>
      </c>
      <c r="E118" s="2"/>
      <c r="F118" s="48"/>
      <c r="G118" s="48"/>
      <c r="H118" s="48"/>
      <c r="I118" s="48"/>
      <c r="J118" s="48"/>
      <c r="IJ118" s="48"/>
    </row>
    <row r="119" spans="1:244" x14ac:dyDescent="0.25">
      <c r="D119" s="2"/>
      <c r="E119" s="2"/>
      <c r="F119" s="48"/>
      <c r="G119" s="48"/>
      <c r="H119" s="48"/>
      <c r="I119" s="48"/>
      <c r="J119" s="48"/>
      <c r="IJ119" s="48"/>
    </row>
    <row r="120" spans="1:244" ht="13.8" x14ac:dyDescent="0.3">
      <c r="A120" s="276" t="s">
        <v>15</v>
      </c>
      <c r="D120" s="38"/>
      <c r="E120" s="2">
        <v>3464.67</v>
      </c>
      <c r="F120" s="48">
        <v>1500</v>
      </c>
      <c r="G120" s="48">
        <v>1500</v>
      </c>
      <c r="H120" s="48">
        <v>1500</v>
      </c>
      <c r="I120" s="48">
        <v>1500</v>
      </c>
      <c r="J120" s="48">
        <v>1500</v>
      </c>
      <c r="IJ120" s="48"/>
    </row>
    <row r="121" spans="1:244" x14ac:dyDescent="0.25">
      <c r="A121" s="273" t="s">
        <v>16</v>
      </c>
      <c r="D121" s="2">
        <v>1000</v>
      </c>
      <c r="E121" s="2"/>
      <c r="F121" s="48"/>
      <c r="G121" s="48"/>
      <c r="H121" s="48"/>
      <c r="I121" s="48"/>
      <c r="J121" s="48"/>
      <c r="IJ121" s="48"/>
    </row>
    <row r="122" spans="1:244" ht="15" x14ac:dyDescent="0.4">
      <c r="A122" s="273" t="s">
        <v>780</v>
      </c>
      <c r="D122" s="11">
        <v>500</v>
      </c>
      <c r="E122" s="2"/>
      <c r="F122" s="48"/>
      <c r="G122" s="48"/>
      <c r="H122" s="48"/>
      <c r="I122" s="48"/>
      <c r="J122" s="48"/>
      <c r="IJ122" s="48"/>
    </row>
    <row r="123" spans="1:244" x14ac:dyDescent="0.25">
      <c r="A123" s="273" t="s">
        <v>1247</v>
      </c>
      <c r="D123" s="2">
        <f>SUM(D121:D122)</f>
        <v>1500</v>
      </c>
      <c r="E123" s="2"/>
      <c r="F123" s="48"/>
      <c r="G123" s="48"/>
      <c r="H123" s="48"/>
      <c r="I123" s="48"/>
      <c r="J123" s="48"/>
      <c r="IJ123" s="48"/>
    </row>
    <row r="124" spans="1:244" x14ac:dyDescent="0.25">
      <c r="D124" s="2"/>
      <c r="E124" s="2"/>
      <c r="F124" s="48"/>
      <c r="G124" s="48"/>
      <c r="H124" s="48"/>
      <c r="I124" s="48"/>
      <c r="J124" s="48"/>
      <c r="IJ124" s="48"/>
    </row>
    <row r="125" spans="1:244" ht="13.8" x14ac:dyDescent="0.3">
      <c r="A125" s="276" t="s">
        <v>1343</v>
      </c>
      <c r="D125" s="2"/>
      <c r="E125" s="8">
        <v>0</v>
      </c>
      <c r="F125" s="48">
        <v>2500</v>
      </c>
      <c r="G125" s="48">
        <v>2500</v>
      </c>
      <c r="H125" s="48">
        <v>2500</v>
      </c>
      <c r="I125" s="48">
        <v>2500</v>
      </c>
      <c r="J125" s="48">
        <v>2500</v>
      </c>
      <c r="IJ125" s="48"/>
    </row>
    <row r="126" spans="1:244" x14ac:dyDescent="0.25">
      <c r="A126" s="273" t="s">
        <v>2166</v>
      </c>
      <c r="D126" s="8">
        <v>2500</v>
      </c>
      <c r="E126" s="2"/>
      <c r="F126" s="48"/>
      <c r="G126" s="48"/>
      <c r="H126" s="48"/>
      <c r="I126" s="48"/>
      <c r="J126" s="48"/>
      <c r="IJ126" s="48"/>
    </row>
    <row r="127" spans="1:244" x14ac:dyDescent="0.25">
      <c r="E127" s="2"/>
      <c r="F127" s="48"/>
      <c r="G127" s="48"/>
      <c r="H127" s="48"/>
      <c r="I127" s="48"/>
      <c r="J127" s="48"/>
      <c r="IJ127" s="48"/>
    </row>
    <row r="128" spans="1:244" ht="13.8" x14ac:dyDescent="0.3">
      <c r="A128" s="276" t="s">
        <v>648</v>
      </c>
      <c r="D128" s="38"/>
      <c r="E128" s="2">
        <v>4231</v>
      </c>
      <c r="F128" s="48">
        <v>5131</v>
      </c>
      <c r="G128" s="48">
        <v>5131</v>
      </c>
      <c r="H128" s="48">
        <v>5131</v>
      </c>
      <c r="I128" s="48">
        <v>5131</v>
      </c>
      <c r="J128" s="48">
        <v>5131</v>
      </c>
      <c r="IJ128" s="48"/>
    </row>
    <row r="129" spans="1:244" x14ac:dyDescent="0.25">
      <c r="A129" s="273" t="s">
        <v>649</v>
      </c>
      <c r="E129" s="2"/>
      <c r="F129" s="48"/>
      <c r="G129" s="48"/>
      <c r="H129" s="48"/>
      <c r="I129" s="48"/>
      <c r="J129" s="48"/>
      <c r="IJ129" s="48"/>
    </row>
    <row r="130" spans="1:244" x14ac:dyDescent="0.25">
      <c r="A130" s="273" t="s">
        <v>2030</v>
      </c>
      <c r="D130" s="2">
        <v>900</v>
      </c>
      <c r="E130" s="2"/>
      <c r="F130" s="2"/>
      <c r="H130" s="2"/>
      <c r="I130" s="2"/>
      <c r="J130" s="2"/>
      <c r="IJ130" s="2"/>
    </row>
    <row r="131" spans="1:244" x14ac:dyDescent="0.25">
      <c r="A131" s="273" t="s">
        <v>2031</v>
      </c>
      <c r="D131" s="2">
        <v>963</v>
      </c>
      <c r="E131" s="2"/>
      <c r="F131" s="2"/>
      <c r="H131" s="2"/>
      <c r="I131" s="2"/>
      <c r="J131" s="2"/>
      <c r="IJ131" s="2"/>
    </row>
    <row r="132" spans="1:244" x14ac:dyDescent="0.25">
      <c r="A132" s="273" t="s">
        <v>36</v>
      </c>
      <c r="D132" s="2">
        <v>250</v>
      </c>
      <c r="E132" s="2"/>
      <c r="F132" s="2"/>
      <c r="H132" s="2"/>
      <c r="I132" s="2"/>
      <c r="J132" s="2"/>
      <c r="IJ132" s="2"/>
    </row>
    <row r="133" spans="1:244" x14ac:dyDescent="0.25">
      <c r="A133" s="273" t="s">
        <v>533</v>
      </c>
      <c r="D133" s="2">
        <v>200</v>
      </c>
      <c r="E133" s="2"/>
      <c r="F133" s="48"/>
      <c r="G133" s="48"/>
      <c r="H133" s="48"/>
      <c r="I133" s="48"/>
      <c r="J133" s="48"/>
      <c r="IJ133" s="48"/>
    </row>
    <row r="134" spans="1:244" x14ac:dyDescent="0.25">
      <c r="A134" s="273" t="s">
        <v>1587</v>
      </c>
      <c r="D134" s="2">
        <v>400</v>
      </c>
      <c r="E134" s="2"/>
      <c r="F134" s="48"/>
      <c r="G134" s="48"/>
      <c r="H134" s="48"/>
      <c r="I134" s="48"/>
      <c r="J134" s="48"/>
      <c r="IJ134" s="48"/>
    </row>
    <row r="135" spans="1:244" x14ac:dyDescent="0.25">
      <c r="A135" s="273" t="s">
        <v>1122</v>
      </c>
      <c r="D135" s="2">
        <v>380</v>
      </c>
      <c r="E135" s="2"/>
      <c r="F135" s="48"/>
      <c r="G135" s="48"/>
      <c r="H135" s="48"/>
      <c r="I135" s="48"/>
      <c r="J135" s="48"/>
      <c r="IJ135" s="48"/>
    </row>
    <row r="136" spans="1:244" x14ac:dyDescent="0.25">
      <c r="A136" s="273" t="s">
        <v>1588</v>
      </c>
      <c r="D136" s="2">
        <v>150</v>
      </c>
      <c r="E136" s="2"/>
      <c r="F136" s="48"/>
      <c r="G136" s="48"/>
      <c r="H136" s="48"/>
      <c r="I136" s="48"/>
      <c r="J136" s="48"/>
      <c r="IJ136" s="48"/>
    </row>
    <row r="137" spans="1:244" x14ac:dyDescent="0.25">
      <c r="A137" s="273" t="s">
        <v>400</v>
      </c>
      <c r="D137" s="2">
        <v>200</v>
      </c>
      <c r="E137" s="2"/>
      <c r="F137" s="48"/>
      <c r="G137" s="48"/>
      <c r="H137" s="48"/>
      <c r="I137" s="48"/>
      <c r="J137" s="48"/>
      <c r="IJ137" s="48"/>
    </row>
    <row r="138" spans="1:244" ht="15" x14ac:dyDescent="0.4">
      <c r="A138" s="273" t="s">
        <v>401</v>
      </c>
      <c r="D138" s="11">
        <v>1688</v>
      </c>
      <c r="E138" s="2"/>
      <c r="F138" s="48"/>
      <c r="G138" s="48"/>
      <c r="H138" s="48"/>
      <c r="I138" s="48"/>
      <c r="J138" s="48"/>
      <c r="IJ138" s="48"/>
    </row>
    <row r="139" spans="1:244" x14ac:dyDescent="0.25">
      <c r="A139" s="273" t="s">
        <v>402</v>
      </c>
      <c r="D139" s="2">
        <f>SUM(D130:D138)</f>
        <v>5131</v>
      </c>
      <c r="E139" s="2"/>
      <c r="F139" s="48"/>
      <c r="G139" s="48"/>
      <c r="H139" s="48"/>
      <c r="I139" s="48"/>
      <c r="J139" s="48"/>
      <c r="IJ139" s="48"/>
    </row>
    <row r="140" spans="1:244" x14ac:dyDescent="0.25">
      <c r="D140" s="2"/>
      <c r="E140" s="2"/>
      <c r="F140" s="48"/>
      <c r="G140" s="48"/>
      <c r="H140" s="48"/>
      <c r="I140" s="48"/>
      <c r="J140" s="48"/>
      <c r="IJ140" s="48"/>
    </row>
    <row r="141" spans="1:244" ht="13.8" x14ac:dyDescent="0.3">
      <c r="A141" s="276" t="s">
        <v>486</v>
      </c>
      <c r="E141" s="2">
        <v>2394.5100000000002</v>
      </c>
      <c r="F141" s="48">
        <v>1750</v>
      </c>
      <c r="G141" s="48">
        <v>1750</v>
      </c>
      <c r="H141" s="48">
        <v>1750</v>
      </c>
      <c r="I141" s="48">
        <v>1750</v>
      </c>
      <c r="J141" s="48">
        <v>1750</v>
      </c>
      <c r="IJ141" s="48"/>
    </row>
    <row r="142" spans="1:244" x14ac:dyDescent="0.25">
      <c r="A142" s="273" t="s">
        <v>218</v>
      </c>
      <c r="D142" s="2">
        <v>1750</v>
      </c>
      <c r="E142" s="2"/>
      <c r="F142" s="48"/>
      <c r="G142" s="48"/>
      <c r="H142" s="48"/>
      <c r="I142" s="48"/>
      <c r="J142" s="48"/>
      <c r="IJ142" s="48"/>
    </row>
    <row r="143" spans="1:244" x14ac:dyDescent="0.25">
      <c r="D143" s="2"/>
      <c r="E143" s="2"/>
      <c r="F143" s="48"/>
      <c r="G143" s="48"/>
      <c r="H143" s="48"/>
      <c r="I143" s="48"/>
      <c r="J143" s="48"/>
      <c r="IJ143" s="48"/>
    </row>
    <row r="144" spans="1:244" ht="13.8" x14ac:dyDescent="0.3">
      <c r="A144" s="276" t="s">
        <v>131</v>
      </c>
      <c r="D144" s="2"/>
      <c r="E144" s="2"/>
      <c r="F144" s="48"/>
      <c r="G144" s="48"/>
      <c r="H144" s="48"/>
      <c r="I144" s="48"/>
      <c r="J144" s="48"/>
      <c r="IJ144" s="48"/>
    </row>
    <row r="145" spans="1:244" ht="15" x14ac:dyDescent="0.4">
      <c r="E145" s="2"/>
      <c r="F145" s="11"/>
      <c r="G145" s="11"/>
      <c r="H145" s="11"/>
      <c r="I145" s="11"/>
      <c r="J145" s="11"/>
      <c r="IJ145" s="11"/>
    </row>
    <row r="146" spans="1:244" ht="15" x14ac:dyDescent="0.4">
      <c r="A146" s="276" t="s">
        <v>406</v>
      </c>
      <c r="E146" s="2">
        <v>0</v>
      </c>
      <c r="F146" s="11">
        <v>0</v>
      </c>
      <c r="G146" s="11"/>
      <c r="H146" s="11"/>
      <c r="I146" s="11"/>
      <c r="J146" s="11"/>
      <c r="IJ146" s="11"/>
    </row>
    <row r="147" spans="1:244" x14ac:dyDescent="0.25">
      <c r="E147" s="2"/>
      <c r="F147" s="2"/>
      <c r="H147" s="2"/>
      <c r="I147" s="2"/>
      <c r="J147" s="2"/>
      <c r="IJ147" s="2"/>
    </row>
    <row r="148" spans="1:244" ht="13.8" x14ac:dyDescent="0.3">
      <c r="A148" s="276" t="s">
        <v>2095</v>
      </c>
      <c r="E148" s="2">
        <v>0</v>
      </c>
      <c r="F148" s="2">
        <v>20000</v>
      </c>
      <c r="G148" s="2">
        <v>0</v>
      </c>
      <c r="H148" s="2">
        <v>0</v>
      </c>
      <c r="I148" s="2">
        <v>0</v>
      </c>
      <c r="J148" s="2">
        <v>0</v>
      </c>
      <c r="IJ148" s="2"/>
    </row>
    <row r="149" spans="1:244" x14ac:dyDescent="0.25">
      <c r="A149" s="23" t="s">
        <v>2096</v>
      </c>
      <c r="D149" s="273">
        <v>20000</v>
      </c>
      <c r="E149" s="2"/>
      <c r="F149" s="2"/>
      <c r="H149" s="2"/>
      <c r="I149" s="2"/>
      <c r="J149" s="2"/>
      <c r="IJ149" s="2"/>
    </row>
    <row r="150" spans="1:244" x14ac:dyDescent="0.25">
      <c r="E150" s="2"/>
      <c r="F150" s="2"/>
      <c r="H150" s="2"/>
      <c r="I150" s="2"/>
      <c r="J150" s="2"/>
      <c r="IJ150" s="2"/>
    </row>
    <row r="151" spans="1:244" ht="13.8" x14ac:dyDescent="0.3">
      <c r="A151" s="276" t="s">
        <v>266</v>
      </c>
      <c r="D151" s="38"/>
      <c r="E151" s="2">
        <v>6059.99</v>
      </c>
      <c r="F151" s="2">
        <v>0</v>
      </c>
      <c r="G151" s="2">
        <v>0</v>
      </c>
      <c r="H151" s="2">
        <v>0</v>
      </c>
      <c r="I151" s="2">
        <v>0</v>
      </c>
      <c r="J151" s="2">
        <v>0</v>
      </c>
      <c r="IJ151" s="2"/>
    </row>
    <row r="152" spans="1:244" ht="15" x14ac:dyDescent="0.4">
      <c r="A152" s="273" t="s">
        <v>1878</v>
      </c>
      <c r="D152" s="2">
        <v>0</v>
      </c>
      <c r="E152" s="11"/>
      <c r="F152" s="2"/>
      <c r="H152" s="2"/>
      <c r="I152" s="2"/>
      <c r="J152" s="2"/>
      <c r="IJ152" s="2"/>
    </row>
    <row r="153" spans="1:244" ht="15" x14ac:dyDescent="0.4">
      <c r="D153" s="2"/>
      <c r="E153" s="11"/>
      <c r="F153" s="2"/>
      <c r="H153" s="2"/>
      <c r="I153" s="2"/>
      <c r="J153" s="2"/>
      <c r="IJ153" s="2"/>
    </row>
    <row r="154" spans="1:244" ht="13.8" x14ac:dyDescent="0.3">
      <c r="A154" s="276" t="s">
        <v>2313</v>
      </c>
      <c r="D154" s="18"/>
      <c r="E154" s="2">
        <v>20000</v>
      </c>
      <c r="F154" s="2">
        <v>20000</v>
      </c>
      <c r="G154" s="2">
        <v>20000</v>
      </c>
      <c r="H154" s="2">
        <v>20000</v>
      </c>
      <c r="I154" s="2">
        <v>20000</v>
      </c>
      <c r="J154" s="2">
        <v>20000</v>
      </c>
      <c r="IJ154" s="2"/>
    </row>
    <row r="155" spans="1:244" ht="15" x14ac:dyDescent="0.4">
      <c r="D155" s="2"/>
      <c r="E155" s="11"/>
      <c r="F155" s="2"/>
      <c r="H155" s="2"/>
      <c r="I155" s="2"/>
      <c r="J155" s="2"/>
      <c r="IJ155" s="2"/>
    </row>
    <row r="156" spans="1:244" ht="15" x14ac:dyDescent="0.4">
      <c r="A156" s="276" t="s">
        <v>1753</v>
      </c>
      <c r="D156" s="18"/>
      <c r="E156" s="11">
        <v>0</v>
      </c>
      <c r="F156" s="11">
        <v>0</v>
      </c>
      <c r="G156" s="11">
        <v>0</v>
      </c>
      <c r="H156" s="11">
        <v>0</v>
      </c>
      <c r="I156" s="11">
        <v>0</v>
      </c>
      <c r="J156" s="11">
        <v>0</v>
      </c>
      <c r="IJ156" s="11"/>
    </row>
    <row r="157" spans="1:244" ht="15" x14ac:dyDescent="0.4">
      <c r="D157" s="2"/>
      <c r="E157" s="11"/>
      <c r="F157" s="2"/>
      <c r="H157" s="2"/>
      <c r="I157" s="2"/>
      <c r="J157" s="2"/>
      <c r="IJ157" s="2"/>
    </row>
    <row r="158" spans="1:244" ht="15" x14ac:dyDescent="0.4">
      <c r="D158" s="2"/>
      <c r="E158" s="11"/>
      <c r="F158" s="2"/>
      <c r="H158" s="2"/>
      <c r="I158" s="2"/>
      <c r="J158" s="2"/>
      <c r="IJ158" s="2"/>
    </row>
    <row r="159" spans="1:244" ht="13.8" x14ac:dyDescent="0.3">
      <c r="A159" s="60" t="s">
        <v>396</v>
      </c>
      <c r="D159" s="2"/>
      <c r="E159" s="2"/>
      <c r="F159" s="2"/>
      <c r="H159" s="2"/>
      <c r="I159" s="2"/>
      <c r="J159" s="2"/>
      <c r="IJ159" s="2"/>
    </row>
    <row r="160" spans="1:244" x14ac:dyDescent="0.25">
      <c r="A160" s="20" t="s">
        <v>1332</v>
      </c>
      <c r="D160" s="2"/>
      <c r="E160" s="2">
        <f t="shared" ref="E160:J160" si="0">SUM(E6:E156)</f>
        <v>467784.67000000004</v>
      </c>
      <c r="F160" s="2">
        <f t="shared" si="0"/>
        <v>528316</v>
      </c>
      <c r="G160" s="2">
        <f t="shared" si="0"/>
        <v>506979</v>
      </c>
      <c r="H160" s="2">
        <f t="shared" si="0"/>
        <v>508733</v>
      </c>
      <c r="I160" s="2">
        <f t="shared" si="0"/>
        <v>520408</v>
      </c>
      <c r="J160" s="2">
        <f t="shared" si="0"/>
        <v>520408</v>
      </c>
      <c r="IJ160" s="2"/>
    </row>
    <row r="161" spans="1:244" x14ac:dyDescent="0.25">
      <c r="A161" s="20"/>
      <c r="D161" s="2"/>
      <c r="E161" s="2"/>
      <c r="F161" s="2"/>
      <c r="H161" s="2"/>
      <c r="I161" s="2"/>
      <c r="J161" s="2"/>
      <c r="IJ161" s="2"/>
    </row>
    <row r="162" spans="1:244" x14ac:dyDescent="0.25">
      <c r="A162" s="20"/>
      <c r="D162" s="2"/>
      <c r="E162" s="2"/>
      <c r="F162" s="2"/>
      <c r="H162" s="2"/>
      <c r="I162" s="2"/>
      <c r="J162" s="2"/>
      <c r="IJ162" s="2"/>
    </row>
    <row r="163" spans="1:244" x14ac:dyDescent="0.25">
      <c r="A163" s="20"/>
      <c r="D163" s="2"/>
      <c r="E163" s="2"/>
      <c r="F163" s="2"/>
      <c r="H163" s="2"/>
      <c r="I163" s="2"/>
      <c r="J163" s="2"/>
      <c r="IJ163" s="2"/>
    </row>
    <row r="164" spans="1:244" x14ac:dyDescent="0.25">
      <c r="A164" s="273" t="s">
        <v>594</v>
      </c>
      <c r="E164" s="2">
        <f t="shared" ref="E164:J164" si="1">SUM(E6:E68)</f>
        <v>388344.68000000005</v>
      </c>
      <c r="F164" s="2">
        <f t="shared" si="1"/>
        <v>427765</v>
      </c>
      <c r="G164" s="2">
        <f t="shared" si="1"/>
        <v>429016</v>
      </c>
      <c r="H164" s="2">
        <f t="shared" si="1"/>
        <v>430770</v>
      </c>
      <c r="I164" s="2">
        <f t="shared" si="1"/>
        <v>442445</v>
      </c>
      <c r="J164" s="2">
        <f t="shared" si="1"/>
        <v>442445</v>
      </c>
      <c r="IJ164" s="2"/>
    </row>
    <row r="165" spans="1:244" x14ac:dyDescent="0.25">
      <c r="A165" s="273" t="s">
        <v>957</v>
      </c>
      <c r="E165" s="2">
        <f t="shared" ref="E165:J165" si="2">SUM(E70:E145)</f>
        <v>53380</v>
      </c>
      <c r="F165" s="2">
        <f t="shared" si="2"/>
        <v>60551</v>
      </c>
      <c r="G165" s="2">
        <f t="shared" si="2"/>
        <v>57963</v>
      </c>
      <c r="H165" s="2">
        <f t="shared" si="2"/>
        <v>57963</v>
      </c>
      <c r="I165" s="2">
        <f t="shared" si="2"/>
        <v>57963</v>
      </c>
      <c r="J165" s="2">
        <f t="shared" si="2"/>
        <v>57963</v>
      </c>
      <c r="IJ165" s="2"/>
    </row>
    <row r="166" spans="1:244" ht="15" x14ac:dyDescent="0.4">
      <c r="A166" s="273" t="s">
        <v>958</v>
      </c>
      <c r="E166" s="11">
        <f t="shared" ref="E166:J166" si="3">SUM(E148:E156)</f>
        <v>26059.989999999998</v>
      </c>
      <c r="F166" s="11">
        <f t="shared" si="3"/>
        <v>40000</v>
      </c>
      <c r="G166" s="11">
        <f t="shared" si="3"/>
        <v>20000</v>
      </c>
      <c r="H166" s="11">
        <f t="shared" si="3"/>
        <v>20000</v>
      </c>
      <c r="I166" s="11">
        <f t="shared" si="3"/>
        <v>20000</v>
      </c>
      <c r="J166" s="11">
        <f t="shared" si="3"/>
        <v>20000</v>
      </c>
      <c r="IJ166" s="11"/>
    </row>
    <row r="167" spans="1:244" x14ac:dyDescent="0.25">
      <c r="E167" s="2">
        <f t="shared" ref="E167:J167" si="4">SUM(E164:E166)</f>
        <v>467784.67000000004</v>
      </c>
      <c r="F167" s="2">
        <f t="shared" si="4"/>
        <v>528316</v>
      </c>
      <c r="G167" s="2">
        <f t="shared" si="4"/>
        <v>506979</v>
      </c>
      <c r="H167" s="2">
        <f t="shared" si="4"/>
        <v>508733</v>
      </c>
      <c r="I167" s="2">
        <f t="shared" si="4"/>
        <v>520408</v>
      </c>
      <c r="J167" s="2">
        <f t="shared" si="4"/>
        <v>520408</v>
      </c>
      <c r="IJ167" s="2"/>
    </row>
    <row r="168" spans="1:244" x14ac:dyDescent="0.25">
      <c r="E168" s="2"/>
      <c r="F168" s="2"/>
      <c r="H168" s="2"/>
      <c r="I168" s="2"/>
      <c r="J168" s="2"/>
      <c r="IJ168" s="2"/>
    </row>
    <row r="169" spans="1:244" x14ac:dyDescent="0.25">
      <c r="E169" s="2"/>
      <c r="F169" s="2"/>
      <c r="H169" s="2"/>
      <c r="I169" s="2"/>
      <c r="J169" s="2"/>
      <c r="IJ169" s="2"/>
    </row>
    <row r="170" spans="1:244" x14ac:dyDescent="0.25">
      <c r="E170" s="2"/>
      <c r="F170" s="2"/>
      <c r="H170" s="2"/>
      <c r="I170" s="2"/>
      <c r="J170" s="2"/>
      <c r="IJ170" s="2"/>
    </row>
    <row r="171" spans="1:244" x14ac:dyDescent="0.25">
      <c r="E171" s="2"/>
      <c r="F171" s="2"/>
      <c r="H171" s="2"/>
      <c r="I171" s="2"/>
      <c r="J171" s="2"/>
      <c r="IJ171" s="2"/>
    </row>
    <row r="172" spans="1:244" x14ac:dyDescent="0.25">
      <c r="E172" s="2"/>
      <c r="F172" s="2"/>
      <c r="H172" s="2"/>
      <c r="I172" s="2">
        <f>+I167-H167</f>
        <v>11675</v>
      </c>
      <c r="J172" s="2">
        <f>+J167-I167</f>
        <v>0</v>
      </c>
      <c r="IJ172" s="2"/>
    </row>
    <row r="173" spans="1:244" x14ac:dyDescent="0.25">
      <c r="E173" s="2"/>
      <c r="F173" s="2"/>
      <c r="H173" s="2"/>
      <c r="I173" s="2">
        <f>+I172-10574</f>
        <v>1101</v>
      </c>
      <c r="J173" s="2">
        <f>+J172-10574</f>
        <v>-10574</v>
      </c>
      <c r="IJ173" s="2"/>
    </row>
    <row r="174" spans="1:244" x14ac:dyDescent="0.25">
      <c r="E174" s="2"/>
      <c r="F174" s="2"/>
      <c r="H174" s="2"/>
      <c r="I174" s="2"/>
      <c r="J174" s="2"/>
      <c r="IJ174" s="2"/>
    </row>
    <row r="175" spans="1:244" x14ac:dyDescent="0.25">
      <c r="G175" s="273"/>
      <c r="J175" s="298"/>
      <c r="IJ175" s="2"/>
    </row>
    <row r="176" spans="1:244" x14ac:dyDescent="0.25">
      <c r="G176" s="273"/>
      <c r="J176" s="298"/>
      <c r="IJ176" s="2"/>
    </row>
    <row r="177" spans="7:244" x14ac:dyDescent="0.25">
      <c r="G177" s="273"/>
      <c r="J177" s="298"/>
      <c r="IJ177" s="2"/>
    </row>
    <row r="178" spans="7:244" x14ac:dyDescent="0.25">
      <c r="G178" s="273"/>
      <c r="J178" s="298"/>
      <c r="IJ178" s="2"/>
    </row>
    <row r="179" spans="7:244" x14ac:dyDescent="0.25">
      <c r="G179" s="273"/>
      <c r="J179" s="298"/>
      <c r="IJ179" s="2"/>
    </row>
    <row r="180" spans="7:244" x14ac:dyDescent="0.25">
      <c r="G180" s="273"/>
      <c r="J180" s="298"/>
      <c r="IJ180" s="2"/>
    </row>
    <row r="181" spans="7:244" x14ac:dyDescent="0.25">
      <c r="G181" s="273"/>
      <c r="J181" s="298"/>
      <c r="IJ181" s="2"/>
    </row>
    <row r="182" spans="7:244" x14ac:dyDescent="0.25">
      <c r="G182" s="273"/>
      <c r="J182" s="298"/>
      <c r="IJ182" s="2"/>
    </row>
    <row r="183" spans="7:244" x14ac:dyDescent="0.25">
      <c r="G183" s="273"/>
      <c r="J183" s="298"/>
      <c r="IJ183" s="2"/>
    </row>
    <row r="184" spans="7:244" x14ac:dyDescent="0.25">
      <c r="G184" s="273"/>
      <c r="J184" s="298"/>
      <c r="IJ184" s="2"/>
    </row>
    <row r="185" spans="7:244" x14ac:dyDescent="0.25">
      <c r="G185" s="273"/>
      <c r="J185" s="298"/>
    </row>
    <row r="186" spans="7:244" x14ac:dyDescent="0.25">
      <c r="G186" s="273"/>
      <c r="J186" s="298"/>
    </row>
    <row r="187" spans="7:244" x14ac:dyDescent="0.25">
      <c r="G187" s="273"/>
      <c r="J187" s="298"/>
    </row>
    <row r="188" spans="7:244" x14ac:dyDescent="0.25">
      <c r="G188" s="273"/>
      <c r="J188" s="298"/>
    </row>
    <row r="189" spans="7:244" x14ac:dyDescent="0.25">
      <c r="G189" s="273"/>
      <c r="J189" s="298"/>
    </row>
    <row r="190" spans="7:244" x14ac:dyDescent="0.25">
      <c r="G190" s="273"/>
      <c r="J190" s="298"/>
    </row>
    <row r="191" spans="7:244" x14ac:dyDescent="0.25">
      <c r="G191" s="273"/>
      <c r="J191" s="298"/>
    </row>
    <row r="192" spans="7:244" x14ac:dyDescent="0.25">
      <c r="G192" s="273"/>
      <c r="J192" s="298"/>
    </row>
    <row r="193" spans="7:10" x14ac:dyDescent="0.25">
      <c r="G193" s="273"/>
      <c r="J193" s="298"/>
    </row>
    <row r="194" spans="7:10" x14ac:dyDescent="0.25">
      <c r="G194" s="273"/>
      <c r="J194" s="298"/>
    </row>
    <row r="195" spans="7:10" x14ac:dyDescent="0.25">
      <c r="G195" s="273"/>
      <c r="J195" s="298"/>
    </row>
    <row r="196" spans="7:10" x14ac:dyDescent="0.25">
      <c r="G196" s="273"/>
      <c r="J196" s="298"/>
    </row>
    <row r="197" spans="7:10" x14ac:dyDescent="0.25">
      <c r="G197" s="273"/>
      <c r="J197" s="298"/>
    </row>
    <row r="198" spans="7:10" x14ac:dyDescent="0.25">
      <c r="G198" s="273"/>
      <c r="J198" s="298"/>
    </row>
    <row r="199" spans="7:10" x14ac:dyDescent="0.25">
      <c r="G199" s="273"/>
      <c r="J199" s="298"/>
    </row>
    <row r="200" spans="7:10" x14ac:dyDescent="0.25">
      <c r="G200" s="273"/>
    </row>
    <row r="201" spans="7:10" x14ac:dyDescent="0.25">
      <c r="G201" s="273"/>
    </row>
    <row r="202" spans="7:10" x14ac:dyDescent="0.25">
      <c r="G202" s="273"/>
    </row>
    <row r="203" spans="7:10" x14ac:dyDescent="0.25">
      <c r="G203" s="273"/>
    </row>
    <row r="204" spans="7:10" x14ac:dyDescent="0.25">
      <c r="G204" s="273"/>
    </row>
  </sheetData>
  <mergeCells count="1">
    <mergeCell ref="A1:J1"/>
  </mergeCells>
  <phoneticPr fontId="0" type="noConversion"/>
  <printOptions gridLines="1"/>
  <pageMargins left="0.75" right="0.16" top="0.51" bottom="0.22" header="0.5" footer="0"/>
  <pageSetup scale="90" fitToHeight="4" orientation="landscape" r:id="rId1"/>
  <headerFooter alignWithMargins="0"/>
  <rowBreaks count="2" manualBreakCount="2">
    <brk id="69" max="9" man="1"/>
    <brk id="153" max="9" man="1"/>
  </rowBreaks>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206"/>
  <sheetViews>
    <sheetView view="pageBreakPreview" zoomScaleNormal="100" zoomScaleSheetLayoutView="100" workbookViewId="0">
      <selection sqref="A1:J1"/>
    </sheetView>
  </sheetViews>
  <sheetFormatPr defaultColWidth="8.88671875" defaultRowHeight="13.2" x14ac:dyDescent="0.25"/>
  <cols>
    <col min="1" max="1" width="56.5546875" style="7" bestFit="1" customWidth="1"/>
    <col min="2" max="2" width="8.77734375" style="7" bestFit="1" customWidth="1"/>
    <col min="3" max="3" width="7.77734375" style="7" bestFit="1" customWidth="1"/>
    <col min="4" max="4" width="8.77734375" style="7" bestFit="1" customWidth="1"/>
    <col min="5" max="6" width="9" style="7" bestFit="1" customWidth="1"/>
    <col min="7" max="7" width="11.6640625" style="7" bestFit="1" customWidth="1"/>
    <col min="8" max="8" width="13.5546875" style="7" bestFit="1" customWidth="1"/>
    <col min="9" max="9" width="9.44140625" style="7" bestFit="1" customWidth="1"/>
    <col min="10" max="10" width="10.88671875" style="7" customWidth="1"/>
    <col min="11" max="11" width="13.88671875" style="7" bestFit="1" customWidth="1"/>
    <col min="12" max="16384" width="8.88671875" style="7"/>
  </cols>
  <sheetData>
    <row r="1" spans="1:14" x14ac:dyDescent="0.25">
      <c r="A1" s="307" t="str">
        <f>'SUMMARY BY FUND'!A1:J1</f>
        <v>2019-20 BUDGET</v>
      </c>
      <c r="B1" s="308"/>
      <c r="C1" s="308"/>
      <c r="D1" s="308"/>
      <c r="E1" s="308"/>
      <c r="F1" s="308"/>
      <c r="G1" s="308"/>
      <c r="H1" s="308"/>
      <c r="I1" s="308"/>
      <c r="J1" s="308"/>
    </row>
    <row r="2" spans="1:14" ht="17.399999999999999" x14ac:dyDescent="0.3">
      <c r="A2" s="180" t="s">
        <v>1947</v>
      </c>
      <c r="B2" s="180"/>
      <c r="C2" s="180"/>
      <c r="D2" s="180"/>
      <c r="E2" s="180"/>
      <c r="F2" s="180"/>
    </row>
    <row r="3" spans="1:14" x14ac:dyDescent="0.25">
      <c r="B3" s="2"/>
      <c r="C3" s="2"/>
      <c r="D3" s="2"/>
      <c r="E3" s="2"/>
      <c r="F3" s="2"/>
    </row>
    <row r="4" spans="1:14" x14ac:dyDescent="0.25">
      <c r="B4" s="2"/>
      <c r="C4" s="2"/>
      <c r="D4" s="2"/>
      <c r="E4" s="195" t="s">
        <v>233</v>
      </c>
      <c r="F4" s="195" t="s">
        <v>234</v>
      </c>
      <c r="G4" s="195" t="s">
        <v>70</v>
      </c>
      <c r="H4" s="195" t="s">
        <v>409</v>
      </c>
      <c r="I4" s="16" t="s">
        <v>314</v>
      </c>
      <c r="J4" s="16" t="s">
        <v>345</v>
      </c>
    </row>
    <row r="5" spans="1:14" ht="15" x14ac:dyDescent="0.4">
      <c r="B5" s="2"/>
      <c r="C5" s="2"/>
      <c r="D5" s="2"/>
      <c r="E5" s="225" t="s">
        <v>1794</v>
      </c>
      <c r="F5" s="225" t="s">
        <v>1970</v>
      </c>
      <c r="G5" s="225" t="s">
        <v>2129</v>
      </c>
      <c r="H5" s="225" t="s">
        <v>2129</v>
      </c>
      <c r="I5" s="225" t="s">
        <v>2129</v>
      </c>
      <c r="J5" s="225" t="s">
        <v>2129</v>
      </c>
    </row>
    <row r="6" spans="1:14" ht="13.8" x14ac:dyDescent="0.3">
      <c r="A6" s="10" t="s">
        <v>1045</v>
      </c>
      <c r="B6" s="2"/>
      <c r="C6" s="2"/>
      <c r="D6" s="2"/>
      <c r="E6" s="2">
        <v>75288.350000000006</v>
      </c>
      <c r="F6" s="2">
        <v>77910</v>
      </c>
      <c r="G6" s="2">
        <v>77910</v>
      </c>
      <c r="H6" s="2">
        <v>77910</v>
      </c>
      <c r="I6" s="2">
        <v>80242</v>
      </c>
      <c r="J6" s="2">
        <v>80242</v>
      </c>
    </row>
    <row r="7" spans="1:14" x14ac:dyDescent="0.25">
      <c r="A7" s="7" t="s">
        <v>1046</v>
      </c>
      <c r="B7" s="2">
        <v>52</v>
      </c>
      <c r="C7" s="2">
        <v>1514</v>
      </c>
      <c r="D7" s="2">
        <f>ROUND(B7*C7,0)</f>
        <v>78728</v>
      </c>
      <c r="E7" s="2"/>
      <c r="F7" s="2"/>
      <c r="G7" s="2"/>
      <c r="H7" s="2"/>
      <c r="I7" s="2"/>
      <c r="J7" s="2"/>
    </row>
    <row r="8" spans="1:14" ht="15" x14ac:dyDescent="0.4">
      <c r="A8" s="7" t="s">
        <v>973</v>
      </c>
      <c r="B8" s="2" t="s">
        <v>396</v>
      </c>
      <c r="C8" s="2" t="s">
        <v>396</v>
      </c>
      <c r="D8" s="11">
        <f>+C7</f>
        <v>1514</v>
      </c>
      <c r="E8" s="2"/>
      <c r="F8" s="2"/>
      <c r="G8" s="2"/>
      <c r="H8" s="2"/>
      <c r="I8" s="2"/>
      <c r="J8" s="2"/>
    </row>
    <row r="9" spans="1:14" x14ac:dyDescent="0.25">
      <c r="A9" s="7" t="s">
        <v>1247</v>
      </c>
      <c r="B9" s="2"/>
      <c r="C9" s="2"/>
      <c r="D9" s="2">
        <f>SUM(D7:D8)</f>
        <v>80242</v>
      </c>
      <c r="E9" s="2"/>
      <c r="F9" s="2"/>
      <c r="G9" s="2"/>
      <c r="H9" s="2"/>
      <c r="I9" s="2"/>
      <c r="J9" s="2"/>
    </row>
    <row r="10" spans="1:14" x14ac:dyDescent="0.25">
      <c r="B10" s="2"/>
      <c r="C10" s="2"/>
      <c r="D10" s="2"/>
      <c r="E10" s="2"/>
      <c r="F10" s="2"/>
      <c r="G10" s="2"/>
      <c r="H10" s="2"/>
      <c r="I10" s="2"/>
      <c r="J10" s="2"/>
    </row>
    <row r="11" spans="1:14" ht="13.8" x14ac:dyDescent="0.3">
      <c r="A11" s="10" t="s">
        <v>784</v>
      </c>
      <c r="B11" s="2"/>
      <c r="C11" s="2"/>
      <c r="D11" s="2"/>
      <c r="E11" s="2">
        <v>106859.12</v>
      </c>
      <c r="F11" s="2">
        <v>146768</v>
      </c>
      <c r="G11" s="2">
        <v>145832</v>
      </c>
      <c r="H11" s="2">
        <v>145832</v>
      </c>
      <c r="I11" s="2">
        <v>147543</v>
      </c>
      <c r="J11" s="2">
        <v>147543</v>
      </c>
    </row>
    <row r="12" spans="1:14" ht="14.4" x14ac:dyDescent="0.3">
      <c r="A12" s="7" t="s">
        <v>1097</v>
      </c>
      <c r="B12" s="2">
        <v>52</v>
      </c>
      <c r="C12" s="2">
        <v>798</v>
      </c>
      <c r="D12" s="2">
        <f>ROUND(B12*C12,0)</f>
        <v>41496</v>
      </c>
      <c r="E12" s="2"/>
      <c r="F12" s="2"/>
      <c r="G12" s="2"/>
      <c r="H12" s="2"/>
      <c r="I12" s="2"/>
      <c r="J12" s="2"/>
      <c r="K12" s="233"/>
      <c r="L12" s="233"/>
      <c r="M12" s="233"/>
      <c r="N12" s="233"/>
    </row>
    <row r="13" spans="1:14" ht="14.4" x14ac:dyDescent="0.3">
      <c r="A13" s="7" t="s">
        <v>1097</v>
      </c>
      <c r="B13" s="2">
        <v>52</v>
      </c>
      <c r="C13" s="2">
        <v>712</v>
      </c>
      <c r="D13" s="2">
        <f>ROUND(B13*C13,0)</f>
        <v>37024</v>
      </c>
      <c r="E13" s="2"/>
      <c r="F13" s="2"/>
      <c r="G13" s="2"/>
      <c r="H13" s="2"/>
      <c r="I13" s="2"/>
      <c r="J13" s="2"/>
      <c r="K13" s="233"/>
      <c r="L13" s="233"/>
      <c r="M13" s="233"/>
      <c r="N13" s="233"/>
    </row>
    <row r="14" spans="1:14" ht="14.4" x14ac:dyDescent="0.3">
      <c r="A14" s="7" t="s">
        <v>1097</v>
      </c>
      <c r="B14" s="2">
        <v>52</v>
      </c>
      <c r="C14" s="2">
        <v>649</v>
      </c>
      <c r="D14" s="2">
        <f>ROUND(B14*C14,0)</f>
        <v>33748</v>
      </c>
      <c r="E14" s="2"/>
      <c r="F14" s="2"/>
      <c r="G14" s="2"/>
      <c r="H14" s="2"/>
      <c r="I14" s="2"/>
      <c r="J14" s="2"/>
      <c r="K14" s="233"/>
      <c r="L14" s="233"/>
      <c r="M14" s="233"/>
      <c r="N14" s="233"/>
    </row>
    <row r="15" spans="1:14" s="213" customFormat="1" x14ac:dyDescent="0.25">
      <c r="A15" s="213" t="s">
        <v>1097</v>
      </c>
      <c r="B15" s="2">
        <v>52</v>
      </c>
      <c r="C15" s="2">
        <v>675</v>
      </c>
      <c r="D15" s="2">
        <f>ROUND(B15*C15,0)</f>
        <v>35100</v>
      </c>
      <c r="E15" s="2"/>
      <c r="F15" s="2"/>
      <c r="G15" s="2"/>
      <c r="H15" s="2"/>
      <c r="I15" s="2"/>
      <c r="J15" s="2"/>
    </row>
    <row r="16" spans="1:14" ht="15" x14ac:dyDescent="0.4">
      <c r="A16" s="7" t="s">
        <v>973</v>
      </c>
      <c r="B16" s="2" t="s">
        <v>396</v>
      </c>
      <c r="C16" s="2" t="s">
        <v>396</v>
      </c>
      <c r="D16" s="11">
        <v>175</v>
      </c>
      <c r="E16" s="2"/>
      <c r="F16" s="2"/>
      <c r="G16" s="2"/>
      <c r="H16" s="2"/>
      <c r="I16" s="2"/>
      <c r="J16" s="2"/>
    </row>
    <row r="17" spans="1:10" x14ac:dyDescent="0.25">
      <c r="A17" s="7" t="s">
        <v>1247</v>
      </c>
      <c r="B17" s="2"/>
      <c r="C17" s="2"/>
      <c r="D17" s="2">
        <f>SUM(D12:D16)</f>
        <v>147543</v>
      </c>
      <c r="E17" s="2"/>
      <c r="F17" s="2"/>
      <c r="G17" s="2"/>
      <c r="H17" s="2"/>
      <c r="I17" s="2"/>
      <c r="J17" s="2"/>
    </row>
    <row r="18" spans="1:10" x14ac:dyDescent="0.25">
      <c r="B18" s="2"/>
      <c r="C18" s="2"/>
      <c r="D18" s="2"/>
      <c r="E18" s="2"/>
      <c r="F18" s="2"/>
      <c r="G18" s="2"/>
      <c r="H18" s="2"/>
      <c r="I18" s="2"/>
      <c r="J18" s="2"/>
    </row>
    <row r="19" spans="1:10" ht="13.8" x14ac:dyDescent="0.3">
      <c r="A19" s="10" t="s">
        <v>548</v>
      </c>
      <c r="B19" s="2"/>
      <c r="C19" s="2"/>
      <c r="D19" s="2"/>
      <c r="E19" s="2">
        <v>58381.3</v>
      </c>
      <c r="F19" s="2">
        <v>60367</v>
      </c>
      <c r="G19" s="2">
        <v>60367</v>
      </c>
      <c r="H19" s="2">
        <v>60367</v>
      </c>
      <c r="I19" s="2">
        <v>62169</v>
      </c>
      <c r="J19" s="2">
        <v>62169</v>
      </c>
    </row>
    <row r="20" spans="1:10" x14ac:dyDescent="0.25">
      <c r="A20" s="7" t="s">
        <v>228</v>
      </c>
      <c r="B20" s="2">
        <v>52</v>
      </c>
      <c r="C20" s="2">
        <v>1173</v>
      </c>
      <c r="D20" s="2">
        <f>ROUND(B20*C20,0)</f>
        <v>60996</v>
      </c>
      <c r="E20" s="2"/>
      <c r="F20" s="2"/>
      <c r="G20" s="2"/>
      <c r="H20" s="2"/>
      <c r="I20" s="2"/>
      <c r="J20" s="2"/>
    </row>
    <row r="21" spans="1:10" ht="15" x14ac:dyDescent="0.4">
      <c r="A21" s="7" t="s">
        <v>973</v>
      </c>
      <c r="B21" s="2"/>
      <c r="C21" s="2"/>
      <c r="D21" s="11">
        <v>1173</v>
      </c>
      <c r="E21" s="2"/>
      <c r="F21" s="2"/>
      <c r="G21" s="2"/>
      <c r="H21" s="2"/>
      <c r="I21" s="2"/>
      <c r="J21" s="2"/>
    </row>
    <row r="22" spans="1:10" x14ac:dyDescent="0.25">
      <c r="A22" s="7" t="s">
        <v>1247</v>
      </c>
      <c r="B22" s="2"/>
      <c r="C22" s="2"/>
      <c r="D22" s="2">
        <f>SUM(D20:D21)</f>
        <v>62169</v>
      </c>
      <c r="E22" s="2"/>
      <c r="F22" s="2"/>
      <c r="G22" s="2"/>
      <c r="H22" s="2"/>
      <c r="I22" s="2"/>
      <c r="J22" s="2"/>
    </row>
    <row r="23" spans="1:10" x14ac:dyDescent="0.25">
      <c r="D23" s="2"/>
      <c r="E23" s="2"/>
      <c r="F23" s="2"/>
      <c r="G23" s="2"/>
      <c r="H23" s="2"/>
      <c r="I23" s="2"/>
      <c r="J23" s="2"/>
    </row>
    <row r="24" spans="1:10" ht="13.8" x14ac:dyDescent="0.3">
      <c r="A24" s="10" t="s">
        <v>1013</v>
      </c>
      <c r="D24" s="2"/>
      <c r="E24" s="2">
        <v>26177.19</v>
      </c>
      <c r="F24" s="2">
        <v>21275</v>
      </c>
      <c r="G24" s="2">
        <v>21275</v>
      </c>
      <c r="H24" s="2">
        <v>21275</v>
      </c>
      <c r="I24" s="2">
        <v>21839</v>
      </c>
      <c r="J24" s="2">
        <v>21839</v>
      </c>
    </row>
    <row r="25" spans="1:10" x14ac:dyDescent="0.25">
      <c r="A25" s="7" t="s">
        <v>1097</v>
      </c>
      <c r="B25" s="2">
        <v>1040</v>
      </c>
      <c r="C25" s="12">
        <v>20.18</v>
      </c>
      <c r="D25" s="2">
        <f>ROUND(B25*C25,0)</f>
        <v>20987</v>
      </c>
      <c r="E25" s="2"/>
      <c r="F25" s="2"/>
      <c r="G25" s="2"/>
      <c r="H25" s="2"/>
      <c r="I25" s="2"/>
      <c r="J25" s="2"/>
    </row>
    <row r="26" spans="1:10" x14ac:dyDescent="0.25">
      <c r="A26" s="7" t="s">
        <v>1097</v>
      </c>
      <c r="B26" s="2">
        <v>0</v>
      </c>
      <c r="C26" s="12">
        <v>14.75</v>
      </c>
      <c r="D26" s="2">
        <f>+B26*C26</f>
        <v>0</v>
      </c>
      <c r="E26" s="2"/>
      <c r="F26" s="2"/>
      <c r="G26" s="2"/>
      <c r="H26" s="2"/>
      <c r="I26" s="2"/>
      <c r="J26" s="2"/>
    </row>
    <row r="27" spans="1:10" x14ac:dyDescent="0.25">
      <c r="A27" s="7" t="s">
        <v>1431</v>
      </c>
      <c r="B27" s="2">
        <v>0</v>
      </c>
      <c r="C27" s="12">
        <v>18.55</v>
      </c>
      <c r="D27" s="2">
        <f>ROUND(B27*C27,0)</f>
        <v>0</v>
      </c>
      <c r="E27" s="2"/>
      <c r="F27" s="2"/>
      <c r="G27" s="2"/>
      <c r="H27" s="2"/>
      <c r="I27" s="2"/>
      <c r="J27" s="2"/>
    </row>
    <row r="28" spans="1:10" x14ac:dyDescent="0.25">
      <c r="A28" s="7" t="s">
        <v>1525</v>
      </c>
      <c r="B28" s="2">
        <v>80</v>
      </c>
      <c r="C28" s="12">
        <v>10.65</v>
      </c>
      <c r="D28" s="18">
        <f>ROUND(B28*C28,0)</f>
        <v>852</v>
      </c>
      <c r="E28" s="2"/>
      <c r="F28" s="2"/>
      <c r="G28" s="2"/>
      <c r="H28" s="2"/>
      <c r="I28" s="2"/>
      <c r="J28" s="2"/>
    </row>
    <row r="29" spans="1:10" x14ac:dyDescent="0.25">
      <c r="D29" s="2">
        <f>SUM(D25:D28)</f>
        <v>21839</v>
      </c>
      <c r="E29" s="2"/>
      <c r="F29" s="2"/>
      <c r="G29" s="2"/>
      <c r="H29" s="2"/>
      <c r="I29" s="2"/>
      <c r="J29" s="2"/>
    </row>
    <row r="30" spans="1:10" x14ac:dyDescent="0.25">
      <c r="D30" s="2"/>
      <c r="E30" s="2"/>
      <c r="F30" s="2"/>
      <c r="G30" s="2"/>
      <c r="H30" s="2"/>
      <c r="I30" s="2"/>
      <c r="J30" s="2"/>
    </row>
    <row r="31" spans="1:10" ht="13.8" x14ac:dyDescent="0.3">
      <c r="A31" s="10" t="s">
        <v>1014</v>
      </c>
      <c r="D31" s="2"/>
      <c r="E31" s="2">
        <v>1269.07</v>
      </c>
      <c r="F31" s="2">
        <v>1077</v>
      </c>
      <c r="G31" s="2">
        <v>1064</v>
      </c>
      <c r="H31" s="2">
        <v>1064</v>
      </c>
      <c r="I31" s="2">
        <v>1080</v>
      </c>
      <c r="J31" s="2">
        <v>1080</v>
      </c>
    </row>
    <row r="32" spans="1:10" x14ac:dyDescent="0.25">
      <c r="A32" s="7" t="s">
        <v>1089</v>
      </c>
      <c r="B32" s="2">
        <v>40</v>
      </c>
      <c r="C32" s="12">
        <f>SUM(C12:C14)/40/3*1.5</f>
        <v>26.987500000000001</v>
      </c>
      <c r="D32" s="2">
        <f>ROUND(C32*B32,0)</f>
        <v>1080</v>
      </c>
      <c r="E32" s="2"/>
      <c r="F32" s="2"/>
      <c r="G32" s="2"/>
      <c r="H32" s="2"/>
      <c r="I32" s="2"/>
      <c r="J32" s="2"/>
    </row>
    <row r="33" spans="1:10" s="221" customFormat="1" x14ac:dyDescent="0.25">
      <c r="B33" s="2"/>
      <c r="C33" s="12"/>
      <c r="D33" s="2"/>
      <c r="E33" s="2"/>
      <c r="F33" s="2"/>
      <c r="G33" s="2"/>
      <c r="H33" s="2"/>
      <c r="I33" s="2"/>
      <c r="J33" s="2"/>
    </row>
    <row r="34" spans="1:10" s="221" customFormat="1" ht="13.8" x14ac:dyDescent="0.3">
      <c r="A34" s="222" t="s">
        <v>417</v>
      </c>
      <c r="D34" s="2"/>
      <c r="E34" s="2">
        <v>15660.16</v>
      </c>
      <c r="F34" s="2">
        <v>18686</v>
      </c>
      <c r="G34" s="2">
        <v>18613</v>
      </c>
      <c r="H34" s="2">
        <v>18613</v>
      </c>
      <c r="I34" s="2">
        <v>18961</v>
      </c>
      <c r="J34" s="2">
        <v>18961</v>
      </c>
    </row>
    <row r="35" spans="1:10" s="221" customFormat="1" x14ac:dyDescent="0.25">
      <c r="A35" s="13" t="s">
        <v>2125</v>
      </c>
      <c r="B35" s="2">
        <f>+D9</f>
        <v>80242</v>
      </c>
      <c r="C35" s="14">
        <v>1.4500000000000001E-2</v>
      </c>
      <c r="D35" s="2">
        <f>ROUND(B35*C35,0)</f>
        <v>1164</v>
      </c>
      <c r="E35" s="2"/>
      <c r="F35" s="2"/>
      <c r="G35" s="2"/>
      <c r="H35" s="2"/>
      <c r="I35" s="2"/>
      <c r="J35" s="2"/>
    </row>
    <row r="36" spans="1:10" s="221" customFormat="1" x14ac:dyDescent="0.25">
      <c r="A36" s="13" t="s">
        <v>896</v>
      </c>
      <c r="B36" s="2">
        <f>+D17</f>
        <v>147543</v>
      </c>
      <c r="C36" s="14">
        <v>7.6499999999999999E-2</v>
      </c>
      <c r="D36" s="2">
        <f>ROUND(B36*C36,0)</f>
        <v>11287</v>
      </c>
      <c r="E36" s="2"/>
      <c r="F36" s="2"/>
      <c r="G36" s="2"/>
      <c r="H36" s="2"/>
      <c r="I36" s="2"/>
      <c r="J36" s="2"/>
    </row>
    <row r="37" spans="1:10" s="221" customFormat="1" x14ac:dyDescent="0.25">
      <c r="A37" s="13" t="s">
        <v>1468</v>
      </c>
      <c r="B37" s="2">
        <f>+D22</f>
        <v>62169</v>
      </c>
      <c r="C37" s="14">
        <v>7.6499999999999999E-2</v>
      </c>
      <c r="D37" s="2">
        <f>ROUND(B37*C37,0)</f>
        <v>4756</v>
      </c>
      <c r="E37" s="2"/>
      <c r="F37" s="2"/>
      <c r="G37" s="2"/>
      <c r="H37" s="2"/>
      <c r="I37" s="2"/>
      <c r="J37" s="2"/>
    </row>
    <row r="38" spans="1:10" s="221" customFormat="1" x14ac:dyDescent="0.25">
      <c r="A38" s="13" t="s">
        <v>184</v>
      </c>
      <c r="B38" s="2">
        <f>+D29</f>
        <v>21839</v>
      </c>
      <c r="C38" s="14">
        <v>7.6499999999999999E-2</v>
      </c>
      <c r="D38" s="2">
        <f>ROUND(B38*C38,0)</f>
        <v>1671</v>
      </c>
      <c r="E38" s="2"/>
      <c r="F38" s="2"/>
      <c r="G38" s="2"/>
      <c r="H38" s="2"/>
      <c r="I38" s="2"/>
      <c r="J38" s="2"/>
    </row>
    <row r="39" spans="1:10" s="221" customFormat="1" ht="15" x14ac:dyDescent="0.4">
      <c r="A39" s="13" t="s">
        <v>185</v>
      </c>
      <c r="B39" s="2">
        <f>+D32</f>
        <v>1080</v>
      </c>
      <c r="C39" s="14">
        <v>7.6499999999999999E-2</v>
      </c>
      <c r="D39" s="11">
        <f>ROUND(B39*C39,0)</f>
        <v>83</v>
      </c>
      <c r="E39" s="2"/>
      <c r="F39" s="2"/>
      <c r="G39" s="2"/>
      <c r="H39" s="2"/>
      <c r="I39" s="2"/>
      <c r="J39" s="2"/>
    </row>
    <row r="40" spans="1:10" s="221" customFormat="1" x14ac:dyDescent="0.25">
      <c r="A40" s="221" t="s">
        <v>1247</v>
      </c>
      <c r="B40" s="2" t="s">
        <v>396</v>
      </c>
      <c r="D40" s="2">
        <f>SUM(D35:D39)</f>
        <v>18961</v>
      </c>
      <c r="E40" s="2"/>
      <c r="F40" s="2"/>
      <c r="G40" s="2"/>
      <c r="H40" s="2"/>
      <c r="I40" s="2"/>
      <c r="J40" s="2"/>
    </row>
    <row r="41" spans="1:10" s="221" customFormat="1" x14ac:dyDescent="0.25">
      <c r="D41" s="2"/>
      <c r="E41" s="2"/>
      <c r="F41" s="2"/>
      <c r="G41" s="2"/>
      <c r="H41" s="2"/>
      <c r="I41" s="2"/>
      <c r="J41" s="2"/>
    </row>
    <row r="42" spans="1:10" s="221" customFormat="1" ht="13.8" x14ac:dyDescent="0.3">
      <c r="A42" s="15" t="s">
        <v>1446</v>
      </c>
      <c r="D42" s="2"/>
      <c r="E42" s="2">
        <v>27453.52</v>
      </c>
      <c r="F42" s="2">
        <v>34764</v>
      </c>
      <c r="G42" s="2">
        <v>31854</v>
      </c>
      <c r="H42" s="2">
        <v>31854</v>
      </c>
      <c r="I42" s="2">
        <v>32509</v>
      </c>
      <c r="J42" s="2">
        <v>32509</v>
      </c>
    </row>
    <row r="43" spans="1:10" s="221" customFormat="1" x14ac:dyDescent="0.25">
      <c r="A43" s="13" t="s">
        <v>182</v>
      </c>
      <c r="B43" s="2">
        <f>+D9</f>
        <v>80242</v>
      </c>
      <c r="C43" s="14">
        <v>0.11169999999999999</v>
      </c>
      <c r="D43" s="2">
        <f>ROUND(B43*C43,0)</f>
        <v>8963</v>
      </c>
      <c r="E43" s="2"/>
      <c r="F43" s="2"/>
      <c r="G43" s="2"/>
      <c r="H43" s="2"/>
      <c r="I43" s="2"/>
      <c r="J43" s="2"/>
    </row>
    <row r="44" spans="1:10" s="221" customFormat="1" x14ac:dyDescent="0.25">
      <c r="A44" s="13" t="s">
        <v>896</v>
      </c>
      <c r="B44" s="2">
        <f>+B36</f>
        <v>147543</v>
      </c>
      <c r="C44" s="14">
        <v>0.11169999999999999</v>
      </c>
      <c r="D44" s="2">
        <f>ROUND(B44*C44,0)</f>
        <v>16481</v>
      </c>
      <c r="E44" s="2"/>
      <c r="F44" s="2"/>
      <c r="G44" s="2"/>
      <c r="H44" s="2"/>
      <c r="I44" s="2"/>
      <c r="J44" s="2"/>
    </row>
    <row r="45" spans="1:10" s="221" customFormat="1" x14ac:dyDescent="0.25">
      <c r="A45" s="23">
        <v>8103</v>
      </c>
      <c r="B45" s="2">
        <f>+B37</f>
        <v>62169</v>
      </c>
      <c r="C45" s="14">
        <v>0.11169999999999999</v>
      </c>
      <c r="D45" s="2">
        <f>ROUND(B45*C45,0)</f>
        <v>6944</v>
      </c>
      <c r="E45" s="2"/>
      <c r="F45" s="2"/>
      <c r="G45" s="2"/>
      <c r="H45" s="2"/>
      <c r="I45" s="2"/>
      <c r="J45" s="2"/>
    </row>
    <row r="46" spans="1:10" s="221" customFormat="1" ht="15" x14ac:dyDescent="0.4">
      <c r="A46" s="13" t="s">
        <v>185</v>
      </c>
      <c r="B46" s="2">
        <f>+B39</f>
        <v>1080</v>
      </c>
      <c r="C46" s="14">
        <v>0.11169999999999999</v>
      </c>
      <c r="D46" s="11">
        <f>ROUND(B46*C46,0)</f>
        <v>121</v>
      </c>
      <c r="E46" s="2"/>
      <c r="F46" s="2"/>
      <c r="G46" s="2"/>
      <c r="H46" s="2"/>
      <c r="I46" s="2"/>
      <c r="J46" s="2"/>
    </row>
    <row r="47" spans="1:10" s="221" customFormat="1" x14ac:dyDescent="0.25">
      <c r="A47" s="221" t="s">
        <v>1247</v>
      </c>
      <c r="B47" s="2"/>
      <c r="D47" s="2">
        <f>SUM(D43:D46)</f>
        <v>32509</v>
      </c>
      <c r="E47" s="2"/>
      <c r="F47" s="2"/>
      <c r="G47" s="2"/>
      <c r="H47" s="2"/>
      <c r="I47" s="2"/>
      <c r="J47" s="2"/>
    </row>
    <row r="48" spans="1:10" s="221" customFormat="1" x14ac:dyDescent="0.25">
      <c r="D48" s="2"/>
      <c r="E48" s="2"/>
      <c r="F48" s="2"/>
      <c r="G48" s="2"/>
      <c r="H48" s="2"/>
      <c r="I48" s="2"/>
      <c r="J48" s="2"/>
    </row>
    <row r="49" spans="1:10" s="221" customFormat="1" ht="13.8" x14ac:dyDescent="0.3">
      <c r="A49" s="222" t="s">
        <v>1447</v>
      </c>
      <c r="D49" s="2"/>
      <c r="E49" s="2">
        <v>80914.63</v>
      </c>
      <c r="F49" s="2">
        <v>109800</v>
      </c>
      <c r="G49" s="2">
        <v>111600</v>
      </c>
      <c r="H49" s="2">
        <v>114150</v>
      </c>
      <c r="I49" s="2">
        <v>114150</v>
      </c>
      <c r="J49" s="2">
        <v>114150</v>
      </c>
    </row>
    <row r="50" spans="1:10" s="221" customFormat="1" x14ac:dyDescent="0.25">
      <c r="A50" s="221" t="s">
        <v>416</v>
      </c>
      <c r="B50" s="2">
        <v>6</v>
      </c>
      <c r="C50" s="2">
        <v>19025</v>
      </c>
      <c r="D50" s="2">
        <f>ROUND(B50*C50,0)</f>
        <v>114150</v>
      </c>
      <c r="E50" s="2"/>
      <c r="F50" s="2"/>
      <c r="G50" s="2"/>
      <c r="H50" s="2"/>
      <c r="I50" s="2"/>
      <c r="J50" s="2"/>
    </row>
    <row r="51" spans="1:10" s="221" customFormat="1" x14ac:dyDescent="0.25">
      <c r="D51" s="2"/>
      <c r="E51" s="2"/>
      <c r="F51" s="2"/>
      <c r="G51" s="2"/>
      <c r="H51" s="2"/>
      <c r="I51" s="2"/>
      <c r="J51" s="2"/>
    </row>
    <row r="52" spans="1:10" s="221" customFormat="1" ht="13.8" x14ac:dyDescent="0.3">
      <c r="A52" s="222" t="s">
        <v>1448</v>
      </c>
      <c r="D52" s="2"/>
      <c r="E52" s="2">
        <v>5772.14</v>
      </c>
      <c r="F52" s="2">
        <v>7020</v>
      </c>
      <c r="G52" s="2">
        <v>7209</v>
      </c>
      <c r="H52" s="2">
        <v>7290</v>
      </c>
      <c r="I52" s="2">
        <v>7290</v>
      </c>
      <c r="J52" s="2">
        <v>7290</v>
      </c>
    </row>
    <row r="53" spans="1:10" s="221" customFormat="1" x14ac:dyDescent="0.25">
      <c r="A53" s="221" t="s">
        <v>416</v>
      </c>
      <c r="B53" s="2">
        <v>6</v>
      </c>
      <c r="C53" s="2">
        <v>1350</v>
      </c>
      <c r="D53" s="2">
        <f>ROUND(B53*C53,0)</f>
        <v>8100</v>
      </c>
      <c r="E53" s="2"/>
      <c r="F53" s="2"/>
      <c r="G53" s="2"/>
      <c r="H53" s="2"/>
      <c r="I53" s="2"/>
      <c r="J53" s="2"/>
    </row>
    <row r="54" spans="1:10" s="221" customFormat="1" ht="15" x14ac:dyDescent="0.4">
      <c r="A54" s="221" t="s">
        <v>227</v>
      </c>
      <c r="B54" s="2"/>
      <c r="C54" s="2"/>
      <c r="D54" s="11">
        <f>+C53*-0.1*B53</f>
        <v>-810</v>
      </c>
      <c r="E54" s="2"/>
      <c r="F54" s="2"/>
      <c r="G54" s="2"/>
      <c r="H54" s="2"/>
      <c r="I54" s="2"/>
      <c r="J54" s="2"/>
    </row>
    <row r="55" spans="1:10" s="221" customFormat="1" x14ac:dyDescent="0.25">
      <c r="A55" s="221" t="s">
        <v>801</v>
      </c>
      <c r="B55" s="2"/>
      <c r="C55" s="2"/>
      <c r="D55" s="2">
        <f>SUM(D53:D54)</f>
        <v>7290</v>
      </c>
      <c r="E55" s="2"/>
      <c r="F55" s="2"/>
      <c r="G55" s="2"/>
      <c r="H55" s="2"/>
      <c r="I55" s="2"/>
      <c r="J55" s="2"/>
    </row>
    <row r="56" spans="1:10" s="221" customFormat="1" x14ac:dyDescent="0.25">
      <c r="B56" s="2"/>
      <c r="C56" s="2"/>
      <c r="D56" s="2"/>
      <c r="E56" s="2"/>
      <c r="F56" s="2"/>
      <c r="G56" s="2"/>
      <c r="H56" s="2"/>
      <c r="I56" s="2"/>
      <c r="J56" s="2"/>
    </row>
    <row r="57" spans="1:10" s="221" customFormat="1" ht="13.8" x14ac:dyDescent="0.3">
      <c r="A57" s="222" t="s">
        <v>1080</v>
      </c>
      <c r="D57" s="2"/>
      <c r="E57" s="2">
        <v>537.6</v>
      </c>
      <c r="F57" s="2">
        <v>810</v>
      </c>
      <c r="G57" s="2">
        <v>810</v>
      </c>
      <c r="H57" s="2">
        <v>810</v>
      </c>
      <c r="I57" s="2">
        <v>810</v>
      </c>
      <c r="J57" s="2">
        <v>810</v>
      </c>
    </row>
    <row r="58" spans="1:10" s="221" customFormat="1" hidden="1" x14ac:dyDescent="0.25">
      <c r="A58" s="221" t="s">
        <v>416</v>
      </c>
      <c r="B58" s="2">
        <v>6</v>
      </c>
      <c r="C58" s="2">
        <v>135</v>
      </c>
      <c r="D58" s="2">
        <f>ROUND(B58*C58,0)</f>
        <v>810</v>
      </c>
      <c r="E58" s="2"/>
      <c r="F58" s="2"/>
      <c r="G58" s="2"/>
      <c r="H58" s="2"/>
      <c r="I58" s="2"/>
      <c r="J58" s="2"/>
    </row>
    <row r="59" spans="1:10" s="221" customFormat="1" x14ac:dyDescent="0.25">
      <c r="D59" s="2"/>
      <c r="E59" s="2"/>
      <c r="F59" s="2"/>
      <c r="G59" s="2"/>
      <c r="H59" s="2"/>
      <c r="I59" s="2"/>
      <c r="J59" s="2"/>
    </row>
    <row r="60" spans="1:10" s="221" customFormat="1" ht="13.8" x14ac:dyDescent="0.3">
      <c r="A60" s="222" t="s">
        <v>1081</v>
      </c>
      <c r="D60" s="2"/>
      <c r="E60" s="2">
        <v>2106.7399999999998</v>
      </c>
      <c r="F60" s="2">
        <v>3780</v>
      </c>
      <c r="G60" s="2">
        <v>3600</v>
      </c>
      <c r="H60" s="2">
        <v>3600</v>
      </c>
      <c r="I60" s="2">
        <v>3600</v>
      </c>
      <c r="J60" s="2">
        <v>3600</v>
      </c>
    </row>
    <row r="61" spans="1:10" s="221" customFormat="1" hidden="1" x14ac:dyDescent="0.25">
      <c r="A61" s="221" t="s">
        <v>416</v>
      </c>
      <c r="B61" s="2">
        <v>6</v>
      </c>
      <c r="C61" s="2">
        <v>600</v>
      </c>
      <c r="D61" s="2">
        <f>ROUND(B61*C61,0)</f>
        <v>3600</v>
      </c>
      <c r="E61" s="2"/>
      <c r="F61" s="2"/>
      <c r="G61" s="2"/>
      <c r="H61" s="2"/>
      <c r="I61" s="2"/>
      <c r="J61" s="2"/>
    </row>
    <row r="62" spans="1:10" s="221" customFormat="1" x14ac:dyDescent="0.25">
      <c r="D62" s="2"/>
      <c r="E62" s="2"/>
      <c r="F62" s="2"/>
      <c r="G62" s="2"/>
      <c r="H62" s="2"/>
      <c r="I62" s="2"/>
      <c r="J62" s="2"/>
    </row>
    <row r="63" spans="1:10" s="221" customFormat="1" ht="13.8" x14ac:dyDescent="0.3">
      <c r="A63" s="222" t="s">
        <v>554</v>
      </c>
      <c r="D63" s="2"/>
      <c r="E63" s="2">
        <v>353.94</v>
      </c>
      <c r="F63" s="2">
        <v>493</v>
      </c>
      <c r="G63" s="2">
        <v>461</v>
      </c>
      <c r="H63" s="2">
        <v>461</v>
      </c>
      <c r="I63" s="2">
        <v>466</v>
      </c>
      <c r="J63" s="2">
        <v>466</v>
      </c>
    </row>
    <row r="64" spans="1:10" s="221" customFormat="1" x14ac:dyDescent="0.25">
      <c r="A64" s="13" t="s">
        <v>182</v>
      </c>
      <c r="B64" s="2">
        <f>+D9</f>
        <v>80242</v>
      </c>
      <c r="C64" s="14">
        <v>1.5E-3</v>
      </c>
      <c r="D64" s="2">
        <f>ROUND(B64*C64,0)</f>
        <v>120</v>
      </c>
      <c r="E64" s="2"/>
      <c r="F64" s="2"/>
      <c r="G64" s="2"/>
      <c r="H64" s="2"/>
      <c r="I64" s="2"/>
      <c r="J64" s="2"/>
    </row>
    <row r="65" spans="1:10" s="221" customFormat="1" x14ac:dyDescent="0.25">
      <c r="A65" s="13" t="s">
        <v>896</v>
      </c>
      <c r="B65" s="2">
        <f>+B44</f>
        <v>147543</v>
      </c>
      <c r="C65" s="14">
        <v>1.5E-3</v>
      </c>
      <c r="D65" s="2">
        <f>ROUND(B65*C65,0)-3</f>
        <v>218</v>
      </c>
      <c r="E65" s="2"/>
      <c r="F65" s="2"/>
      <c r="G65" s="2"/>
      <c r="H65" s="2"/>
      <c r="I65" s="2"/>
      <c r="J65" s="2"/>
    </row>
    <row r="66" spans="1:10" s="221" customFormat="1" x14ac:dyDescent="0.25">
      <c r="A66" s="13" t="s">
        <v>1468</v>
      </c>
      <c r="B66" s="2">
        <f>+B45</f>
        <v>62169</v>
      </c>
      <c r="C66" s="14">
        <v>1.5E-3</v>
      </c>
      <c r="D66" s="2">
        <f>ROUND(B66*C66,0)</f>
        <v>93</v>
      </c>
      <c r="E66" s="2"/>
      <c r="F66" s="2"/>
      <c r="G66" s="2"/>
      <c r="H66" s="2"/>
      <c r="I66" s="2"/>
      <c r="J66" s="2"/>
    </row>
    <row r="67" spans="1:10" s="221" customFormat="1" x14ac:dyDescent="0.25">
      <c r="A67" s="13" t="s">
        <v>184</v>
      </c>
      <c r="B67" s="2">
        <f>+B38</f>
        <v>21839</v>
      </c>
      <c r="C67" s="14">
        <v>1.5E-3</v>
      </c>
      <c r="D67" s="2">
        <f>ROUND(B67*C67,0)</f>
        <v>33</v>
      </c>
      <c r="E67" s="2"/>
      <c r="F67" s="2"/>
      <c r="G67" s="2"/>
      <c r="H67" s="2"/>
      <c r="I67" s="2"/>
      <c r="J67" s="2"/>
    </row>
    <row r="68" spans="1:10" s="221" customFormat="1" ht="15" x14ac:dyDescent="0.4">
      <c r="A68" s="13" t="s">
        <v>1983</v>
      </c>
      <c r="B68" s="2">
        <f>+B39</f>
        <v>1080</v>
      </c>
      <c r="C68" s="14">
        <v>1.5E-3</v>
      </c>
      <c r="D68" s="11">
        <f>ROUND(B68*C68,0)</f>
        <v>2</v>
      </c>
      <c r="E68" s="2"/>
      <c r="F68" s="2"/>
      <c r="G68" s="2"/>
      <c r="H68" s="2"/>
      <c r="I68" s="2"/>
      <c r="J68" s="2"/>
    </row>
    <row r="69" spans="1:10" s="221" customFormat="1" x14ac:dyDescent="0.25">
      <c r="A69" s="221" t="s">
        <v>1247</v>
      </c>
      <c r="D69" s="2">
        <f>SUM(D64:D68)</f>
        <v>466</v>
      </c>
      <c r="E69" s="2"/>
      <c r="F69" s="2"/>
      <c r="G69" s="2"/>
      <c r="H69" s="2"/>
      <c r="I69" s="2"/>
      <c r="J69" s="2"/>
    </row>
    <row r="70" spans="1:10" s="221" customFormat="1" x14ac:dyDescent="0.25">
      <c r="D70" s="2"/>
      <c r="E70" s="2"/>
      <c r="F70" s="2"/>
      <c r="G70" s="2"/>
      <c r="H70" s="2"/>
      <c r="I70" s="2"/>
      <c r="J70" s="2"/>
    </row>
    <row r="71" spans="1:10" s="221" customFormat="1" ht="13.8" x14ac:dyDescent="0.3">
      <c r="A71" s="222" t="s">
        <v>1499</v>
      </c>
      <c r="D71" s="2"/>
      <c r="E71" s="2">
        <v>121.96</v>
      </c>
      <c r="F71" s="2">
        <v>158</v>
      </c>
      <c r="G71" s="2">
        <v>182</v>
      </c>
      <c r="H71" s="2">
        <v>182</v>
      </c>
      <c r="I71" s="2">
        <v>182</v>
      </c>
      <c r="J71" s="2">
        <v>182</v>
      </c>
    </row>
    <row r="72" spans="1:10" s="221" customFormat="1" x14ac:dyDescent="0.25">
      <c r="A72" s="13" t="s">
        <v>2126</v>
      </c>
      <c r="B72" s="2">
        <v>0</v>
      </c>
      <c r="C72" s="2">
        <v>26</v>
      </c>
      <c r="D72" s="2">
        <f>ROUND(B72*C72,0)</f>
        <v>0</v>
      </c>
      <c r="E72" s="2"/>
      <c r="F72" s="2"/>
      <c r="G72" s="2"/>
      <c r="H72" s="2"/>
      <c r="I72" s="2"/>
      <c r="J72" s="2"/>
    </row>
    <row r="73" spans="1:10" s="221" customFormat="1" x14ac:dyDescent="0.25">
      <c r="A73" s="13" t="s">
        <v>896</v>
      </c>
      <c r="B73" s="2">
        <v>4</v>
      </c>
      <c r="C73" s="2">
        <v>26</v>
      </c>
      <c r="D73" s="2">
        <f>ROUND(B73*C73,0)</f>
        <v>104</v>
      </c>
      <c r="E73" s="2"/>
      <c r="F73" s="2"/>
      <c r="G73" s="2"/>
      <c r="H73" s="2"/>
      <c r="I73" s="2"/>
      <c r="J73" s="2"/>
    </row>
    <row r="74" spans="1:10" s="221" customFormat="1" x14ac:dyDescent="0.25">
      <c r="A74" s="13" t="s">
        <v>1468</v>
      </c>
      <c r="B74" s="2">
        <v>1</v>
      </c>
      <c r="C74" s="2">
        <v>26</v>
      </c>
      <c r="D74" s="2">
        <f>ROUND(B74*C74,0)</f>
        <v>26</v>
      </c>
      <c r="E74" s="2"/>
      <c r="F74" s="2"/>
      <c r="G74" s="2"/>
      <c r="H74" s="2"/>
      <c r="I74" s="2"/>
      <c r="J74" s="2"/>
    </row>
    <row r="75" spans="1:10" s="221" customFormat="1" x14ac:dyDescent="0.25">
      <c r="A75" s="13" t="s">
        <v>2127</v>
      </c>
      <c r="B75" s="2">
        <f>+D27</f>
        <v>0</v>
      </c>
      <c r="C75" s="14">
        <v>1.8E-3</v>
      </c>
      <c r="D75" s="2">
        <f>ROUND(B75*C75,0)</f>
        <v>0</v>
      </c>
      <c r="E75" s="2"/>
      <c r="F75" s="2"/>
      <c r="G75" s="2"/>
      <c r="H75" s="2"/>
      <c r="I75" s="2"/>
      <c r="J75" s="2"/>
    </row>
    <row r="76" spans="1:10" s="221" customFormat="1" x14ac:dyDescent="0.25">
      <c r="A76" s="13" t="s">
        <v>184</v>
      </c>
      <c r="B76" s="2">
        <v>2</v>
      </c>
      <c r="C76" s="2">
        <v>26</v>
      </c>
      <c r="D76" s="18">
        <f>ROUND(B76*C76,0)</f>
        <v>52</v>
      </c>
      <c r="E76" s="2"/>
      <c r="F76" s="2"/>
      <c r="G76" s="2"/>
      <c r="H76" s="2"/>
      <c r="I76" s="2"/>
      <c r="J76" s="2"/>
    </row>
    <row r="77" spans="1:10" s="221" customFormat="1" x14ac:dyDescent="0.25">
      <c r="A77" s="221" t="s">
        <v>1247</v>
      </c>
      <c r="D77" s="2">
        <f>SUM(D72:D76)</f>
        <v>182</v>
      </c>
      <c r="E77" s="2"/>
      <c r="F77" s="2"/>
      <c r="G77" s="2"/>
      <c r="H77" s="2"/>
      <c r="I77" s="2"/>
      <c r="J77" s="2"/>
    </row>
    <row r="78" spans="1:10" x14ac:dyDescent="0.25">
      <c r="D78" s="2"/>
      <c r="E78" s="2"/>
      <c r="F78" s="2"/>
      <c r="G78" s="2"/>
      <c r="H78" s="2"/>
      <c r="I78" s="2"/>
      <c r="J78" s="2"/>
    </row>
    <row r="79" spans="1:10" ht="13.8" x14ac:dyDescent="0.3">
      <c r="A79" s="238" t="s">
        <v>369</v>
      </c>
      <c r="B79" s="237"/>
      <c r="C79" s="237"/>
      <c r="D79" s="2"/>
      <c r="E79" s="2">
        <v>4555.21</v>
      </c>
      <c r="F79" s="2">
        <v>6050</v>
      </c>
      <c r="G79" s="2">
        <v>6050</v>
      </c>
      <c r="H79" s="2">
        <v>6050</v>
      </c>
      <c r="I79" s="2">
        <v>6050</v>
      </c>
      <c r="J79" s="2">
        <v>6050</v>
      </c>
    </row>
    <row r="80" spans="1:10" x14ac:dyDescent="0.25">
      <c r="A80" s="237" t="s">
        <v>370</v>
      </c>
      <c r="B80" s="237"/>
      <c r="C80" s="2"/>
      <c r="D80" s="2">
        <v>150</v>
      </c>
      <c r="E80" s="2"/>
      <c r="F80" s="2"/>
      <c r="G80" s="2"/>
      <c r="H80" s="2"/>
      <c r="I80" s="2"/>
      <c r="J80" s="2"/>
    </row>
    <row r="81" spans="1:10" x14ac:dyDescent="0.25">
      <c r="A81" s="237" t="s">
        <v>697</v>
      </c>
      <c r="B81" s="237"/>
      <c r="C81" s="2"/>
      <c r="D81" s="2">
        <v>500</v>
      </c>
      <c r="E81" s="2"/>
      <c r="F81" s="2"/>
      <c r="G81" s="2"/>
      <c r="H81" s="2"/>
      <c r="I81" s="2"/>
      <c r="J81" s="2"/>
    </row>
    <row r="82" spans="1:10" x14ac:dyDescent="0.25">
      <c r="A82" s="237" t="s">
        <v>1483</v>
      </c>
      <c r="B82" s="237"/>
      <c r="C82" s="2"/>
      <c r="D82" s="2">
        <v>2745</v>
      </c>
      <c r="E82" s="2"/>
      <c r="F82" s="2"/>
      <c r="G82" s="2"/>
      <c r="H82" s="2"/>
      <c r="I82" s="2"/>
      <c r="J82" s="2"/>
    </row>
    <row r="83" spans="1:10" x14ac:dyDescent="0.25">
      <c r="A83" s="237" t="s">
        <v>371</v>
      </c>
      <c r="B83" s="237"/>
      <c r="C83" s="2"/>
      <c r="D83" s="2">
        <v>1650</v>
      </c>
      <c r="E83" s="2"/>
      <c r="F83" s="2"/>
      <c r="G83" s="2"/>
      <c r="H83" s="2"/>
      <c r="I83" s="2"/>
      <c r="J83" s="2"/>
    </row>
    <row r="84" spans="1:10" x14ac:dyDescent="0.25">
      <c r="A84" s="237" t="s">
        <v>259</v>
      </c>
      <c r="B84" s="237"/>
      <c r="C84" s="2"/>
      <c r="D84" s="2">
        <v>250</v>
      </c>
      <c r="E84" s="2"/>
      <c r="F84" s="2"/>
      <c r="G84" s="2"/>
      <c r="H84" s="2"/>
      <c r="I84" s="2"/>
      <c r="J84" s="2"/>
    </row>
    <row r="85" spans="1:10" ht="15" x14ac:dyDescent="0.4">
      <c r="A85" s="237" t="s">
        <v>1057</v>
      </c>
      <c r="B85" s="237"/>
      <c r="C85" s="11"/>
      <c r="D85" s="11">
        <v>755</v>
      </c>
      <c r="E85" s="2"/>
      <c r="F85" s="2"/>
      <c r="G85" s="2"/>
      <c r="H85" s="2"/>
      <c r="I85" s="2"/>
      <c r="J85" s="2"/>
    </row>
    <row r="86" spans="1:10" x14ac:dyDescent="0.25">
      <c r="A86" s="237" t="s">
        <v>1247</v>
      </c>
      <c r="B86" s="237"/>
      <c r="C86" s="2"/>
      <c r="D86" s="2">
        <f>SUM(D80:D85)</f>
        <v>6050</v>
      </c>
      <c r="E86" s="2"/>
      <c r="F86" s="2"/>
      <c r="G86" s="2"/>
      <c r="H86" s="2"/>
      <c r="I86" s="2"/>
      <c r="J86" s="2"/>
    </row>
    <row r="87" spans="1:10" x14ac:dyDescent="0.25">
      <c r="A87" s="237"/>
      <c r="B87" s="237"/>
      <c r="C87" s="2"/>
      <c r="D87" s="2"/>
      <c r="E87" s="2"/>
      <c r="F87" s="2"/>
      <c r="G87" s="2"/>
      <c r="H87" s="2"/>
      <c r="I87" s="2"/>
      <c r="J87" s="2"/>
    </row>
    <row r="88" spans="1:10" ht="13.8" x14ac:dyDescent="0.3">
      <c r="A88" s="238" t="s">
        <v>372</v>
      </c>
      <c r="B88" s="237"/>
      <c r="C88" s="2"/>
      <c r="D88" s="2"/>
      <c r="E88" s="2">
        <v>2550.9299999999998</v>
      </c>
      <c r="F88" s="2">
        <v>3000</v>
      </c>
      <c r="G88" s="2">
        <v>3000</v>
      </c>
      <c r="H88" s="2">
        <v>3000</v>
      </c>
      <c r="I88" s="2">
        <v>3000</v>
      </c>
      <c r="J88" s="2">
        <v>3000</v>
      </c>
    </row>
    <row r="89" spans="1:10" x14ac:dyDescent="0.25">
      <c r="A89" s="237" t="s">
        <v>373</v>
      </c>
      <c r="B89" s="237"/>
      <c r="C89" s="2"/>
      <c r="D89" s="2">
        <v>3000</v>
      </c>
      <c r="E89" s="2"/>
      <c r="F89" s="2"/>
      <c r="G89" s="2"/>
      <c r="H89" s="2"/>
      <c r="I89" s="2"/>
      <c r="J89" s="2"/>
    </row>
    <row r="90" spans="1:10" x14ac:dyDescent="0.25">
      <c r="A90" s="237"/>
      <c r="B90" s="237"/>
      <c r="C90" s="2"/>
      <c r="D90" s="2"/>
      <c r="E90" s="2"/>
      <c r="F90" s="2"/>
      <c r="G90" s="2"/>
      <c r="H90" s="2"/>
      <c r="I90" s="2"/>
      <c r="J90" s="2"/>
    </row>
    <row r="91" spans="1:10" ht="13.8" x14ac:dyDescent="0.3">
      <c r="A91" s="238" t="s">
        <v>374</v>
      </c>
      <c r="B91" s="237"/>
      <c r="C91" s="2"/>
      <c r="D91" s="2"/>
      <c r="E91" s="2">
        <v>25726.05</v>
      </c>
      <c r="F91" s="2">
        <v>25000</v>
      </c>
      <c r="G91" s="2">
        <v>26000</v>
      </c>
      <c r="H91" s="2">
        <v>26000</v>
      </c>
      <c r="I91" s="2">
        <v>26000</v>
      </c>
      <c r="J91" s="2">
        <v>26000</v>
      </c>
    </row>
    <row r="92" spans="1:10" x14ac:dyDescent="0.25">
      <c r="A92" s="23" t="s">
        <v>1073</v>
      </c>
      <c r="B92" s="6"/>
      <c r="C92" s="2"/>
      <c r="D92" s="2" t="s">
        <v>396</v>
      </c>
      <c r="E92" s="2"/>
      <c r="F92" s="2"/>
      <c r="G92" s="2"/>
      <c r="H92" s="2"/>
      <c r="I92" s="2"/>
      <c r="J92" s="2"/>
    </row>
    <row r="93" spans="1:10" x14ac:dyDescent="0.25">
      <c r="A93" s="237" t="s">
        <v>1074</v>
      </c>
      <c r="B93" s="2"/>
      <c r="C93" s="2"/>
      <c r="D93" s="2">
        <v>25000</v>
      </c>
      <c r="E93" s="2"/>
      <c r="F93" s="2"/>
      <c r="G93" s="2"/>
      <c r="H93" s="2"/>
      <c r="I93" s="2"/>
      <c r="J93" s="2"/>
    </row>
    <row r="94" spans="1:10" x14ac:dyDescent="0.25">
      <c r="A94" s="237"/>
      <c r="B94" s="237"/>
      <c r="C94" s="2"/>
      <c r="D94" s="2"/>
      <c r="E94" s="2"/>
      <c r="F94" s="2"/>
      <c r="G94" s="2"/>
      <c r="H94" s="2"/>
      <c r="I94" s="2"/>
      <c r="J94" s="2"/>
    </row>
    <row r="95" spans="1:10" ht="13.8" x14ac:dyDescent="0.3">
      <c r="A95" s="238" t="s">
        <v>995</v>
      </c>
      <c r="B95" s="2"/>
      <c r="C95" s="8"/>
      <c r="D95" s="8" t="s">
        <v>396</v>
      </c>
      <c r="E95" s="2">
        <v>1696.83</v>
      </c>
      <c r="F95" s="2">
        <v>2046</v>
      </c>
      <c r="G95" s="2">
        <v>1900</v>
      </c>
      <c r="H95" s="2">
        <v>1900</v>
      </c>
      <c r="I95" s="2">
        <v>1900</v>
      </c>
      <c r="J95" s="2">
        <v>1900</v>
      </c>
    </row>
    <row r="96" spans="1:10" x14ac:dyDescent="0.25">
      <c r="A96" s="237" t="s">
        <v>959</v>
      </c>
      <c r="B96" s="2"/>
      <c r="C96" s="2"/>
      <c r="D96" s="2">
        <v>1900</v>
      </c>
      <c r="E96" s="2"/>
      <c r="F96" s="2"/>
      <c r="G96" s="2"/>
      <c r="H96" s="2"/>
      <c r="I96" s="2"/>
      <c r="J96" s="2"/>
    </row>
    <row r="97" spans="1:10" x14ac:dyDescent="0.25">
      <c r="A97" s="237"/>
      <c r="B97" s="2"/>
      <c r="C97" s="2"/>
      <c r="D97" s="2"/>
      <c r="E97" s="2"/>
      <c r="F97" s="2"/>
      <c r="G97" s="2"/>
      <c r="H97" s="2"/>
      <c r="I97" s="2"/>
      <c r="J97" s="2"/>
    </row>
    <row r="98" spans="1:10" ht="13.8" x14ac:dyDescent="0.3">
      <c r="A98" s="238" t="s">
        <v>996</v>
      </c>
      <c r="B98" s="237"/>
      <c r="C98" s="2"/>
      <c r="D98" s="2"/>
      <c r="E98" s="2">
        <v>295</v>
      </c>
      <c r="F98" s="2">
        <v>300</v>
      </c>
      <c r="G98" s="2">
        <v>300</v>
      </c>
      <c r="H98" s="2">
        <v>300</v>
      </c>
      <c r="I98" s="2">
        <v>300</v>
      </c>
      <c r="J98" s="2">
        <v>300</v>
      </c>
    </row>
    <row r="99" spans="1:10" x14ac:dyDescent="0.25">
      <c r="A99" s="6" t="s">
        <v>1264</v>
      </c>
      <c r="B99" s="6"/>
      <c r="C99" s="237"/>
      <c r="D99" s="2">
        <v>300</v>
      </c>
      <c r="E99" s="2"/>
      <c r="F99" s="2"/>
      <c r="G99" s="2"/>
      <c r="H99" s="2"/>
      <c r="I99" s="2"/>
      <c r="J99" s="2"/>
    </row>
    <row r="100" spans="1:10" x14ac:dyDescent="0.25">
      <c r="A100" s="237"/>
      <c r="B100" s="237"/>
      <c r="C100" s="2"/>
      <c r="D100" s="2"/>
      <c r="E100" s="2"/>
      <c r="F100" s="2"/>
      <c r="G100" s="2"/>
      <c r="H100" s="2"/>
      <c r="I100" s="2"/>
      <c r="J100" s="2"/>
    </row>
    <row r="101" spans="1:10" ht="13.8" x14ac:dyDescent="0.3">
      <c r="A101" s="17" t="s">
        <v>1316</v>
      </c>
      <c r="B101" s="237"/>
      <c r="C101" s="2"/>
      <c r="D101" s="2"/>
      <c r="E101" s="2">
        <v>2550.81</v>
      </c>
      <c r="F101" s="2">
        <v>2750</v>
      </c>
      <c r="G101" s="2">
        <v>2622</v>
      </c>
      <c r="H101" s="2">
        <v>2622</v>
      </c>
      <c r="I101" s="2">
        <v>2622</v>
      </c>
      <c r="J101" s="2">
        <v>2622</v>
      </c>
    </row>
    <row r="102" spans="1:10" x14ac:dyDescent="0.25">
      <c r="A102" s="237" t="s">
        <v>1317</v>
      </c>
      <c r="B102" s="237"/>
      <c r="C102" s="237"/>
      <c r="D102" s="237">
        <v>2622</v>
      </c>
      <c r="E102" s="2"/>
      <c r="F102" s="2"/>
      <c r="G102" s="2"/>
      <c r="H102" s="2"/>
      <c r="I102" s="2"/>
      <c r="J102" s="2"/>
    </row>
    <row r="103" spans="1:10" x14ac:dyDescent="0.25">
      <c r="A103" s="237"/>
      <c r="B103" s="237"/>
      <c r="C103" s="2"/>
      <c r="D103" s="2"/>
      <c r="E103" s="2"/>
      <c r="F103" s="2"/>
      <c r="G103" s="2"/>
      <c r="H103" s="2"/>
      <c r="I103" s="2"/>
      <c r="J103" s="2"/>
    </row>
    <row r="104" spans="1:10" ht="13.8" x14ac:dyDescent="0.3">
      <c r="A104" s="238" t="s">
        <v>1064</v>
      </c>
      <c r="B104" s="237"/>
      <c r="C104" s="8"/>
      <c r="D104" s="8"/>
      <c r="E104" s="2">
        <v>421.53</v>
      </c>
      <c r="F104" s="2">
        <v>660</v>
      </c>
      <c r="G104" s="2">
        <v>555</v>
      </c>
      <c r="H104" s="2">
        <v>555</v>
      </c>
      <c r="I104" s="2">
        <v>555</v>
      </c>
      <c r="J104" s="2">
        <v>555</v>
      </c>
    </row>
    <row r="105" spans="1:10" x14ac:dyDescent="0.25">
      <c r="A105" s="237" t="s">
        <v>1241</v>
      </c>
      <c r="B105" s="237"/>
      <c r="C105" s="2"/>
      <c r="D105" s="2">
        <v>0</v>
      </c>
      <c r="E105" s="2"/>
      <c r="F105" s="2"/>
      <c r="G105" s="2"/>
      <c r="H105" s="2"/>
      <c r="I105" s="2"/>
      <c r="J105" s="2"/>
    </row>
    <row r="106" spans="1:10" x14ac:dyDescent="0.25">
      <c r="A106" s="237" t="s">
        <v>846</v>
      </c>
      <c r="B106" s="237"/>
      <c r="C106" s="2"/>
      <c r="D106" s="2">
        <v>125</v>
      </c>
      <c r="E106" s="2"/>
      <c r="F106" s="2"/>
      <c r="G106" s="2"/>
      <c r="H106" s="2"/>
      <c r="I106" s="2"/>
      <c r="J106" s="2"/>
    </row>
    <row r="107" spans="1:10" x14ac:dyDescent="0.25">
      <c r="A107" s="237" t="s">
        <v>847</v>
      </c>
      <c r="B107" s="237"/>
      <c r="C107" s="2"/>
      <c r="D107" s="2">
        <v>125</v>
      </c>
      <c r="E107" s="2"/>
      <c r="F107" s="2"/>
      <c r="G107" s="2"/>
      <c r="H107" s="2"/>
      <c r="I107" s="2"/>
      <c r="J107" s="2"/>
    </row>
    <row r="108" spans="1:10" x14ac:dyDescent="0.25">
      <c r="A108" s="237" t="s">
        <v>848</v>
      </c>
      <c r="B108" s="237"/>
      <c r="C108" s="2"/>
      <c r="D108" s="2">
        <v>50</v>
      </c>
      <c r="E108" s="2"/>
      <c r="F108" s="2"/>
      <c r="G108" s="2"/>
      <c r="H108" s="2"/>
      <c r="I108" s="2"/>
      <c r="J108" s="2"/>
    </row>
    <row r="109" spans="1:10" x14ac:dyDescent="0.25">
      <c r="A109" s="237" t="s">
        <v>849</v>
      </c>
      <c r="B109" s="237"/>
      <c r="C109" s="2"/>
      <c r="D109" s="2">
        <v>90</v>
      </c>
      <c r="E109" s="2"/>
      <c r="F109" s="2"/>
      <c r="G109" s="2"/>
      <c r="H109" s="2"/>
      <c r="I109" s="2"/>
      <c r="J109" s="2"/>
    </row>
    <row r="110" spans="1:10" x14ac:dyDescent="0.25">
      <c r="A110" s="237" t="s">
        <v>1589</v>
      </c>
      <c r="B110" s="237"/>
      <c r="C110" s="2"/>
      <c r="D110" s="2">
        <v>105</v>
      </c>
      <c r="E110" s="2"/>
      <c r="F110" s="2"/>
      <c r="G110" s="2"/>
      <c r="H110" s="2"/>
      <c r="I110" s="2"/>
      <c r="J110" s="2"/>
    </row>
    <row r="111" spans="1:10" ht="15" x14ac:dyDescent="0.4">
      <c r="A111" s="237" t="s">
        <v>850</v>
      </c>
      <c r="B111" s="237"/>
      <c r="C111" s="11"/>
      <c r="D111" s="11">
        <v>60</v>
      </c>
      <c r="E111" s="2"/>
      <c r="F111" s="2"/>
      <c r="G111" s="2"/>
      <c r="H111" s="2"/>
      <c r="I111" s="2"/>
      <c r="J111" s="2"/>
    </row>
    <row r="112" spans="1:10" x14ac:dyDescent="0.25">
      <c r="A112" s="237" t="s">
        <v>1247</v>
      </c>
      <c r="B112" s="237"/>
      <c r="C112" s="2"/>
      <c r="D112" s="2">
        <f>SUM(D105:D111)</f>
        <v>555</v>
      </c>
      <c r="E112" s="2"/>
      <c r="F112" s="2"/>
      <c r="G112" s="2"/>
      <c r="H112" s="2"/>
      <c r="I112" s="2"/>
      <c r="J112" s="2"/>
    </row>
    <row r="113" spans="1:10" x14ac:dyDescent="0.25">
      <c r="A113" s="237"/>
      <c r="B113" s="237"/>
      <c r="C113" s="2"/>
      <c r="D113" s="2"/>
      <c r="E113" s="2"/>
      <c r="F113" s="2"/>
      <c r="G113" s="2"/>
      <c r="H113" s="2"/>
      <c r="I113" s="2"/>
      <c r="J113" s="2"/>
    </row>
    <row r="114" spans="1:10" ht="13.8" x14ac:dyDescent="0.3">
      <c r="A114" s="238" t="s">
        <v>467</v>
      </c>
      <c r="B114" s="237"/>
      <c r="C114" s="2"/>
      <c r="D114" s="2"/>
      <c r="E114" s="2">
        <v>14873.5</v>
      </c>
      <c r="F114" s="2">
        <v>14902</v>
      </c>
      <c r="G114" s="2">
        <v>14898</v>
      </c>
      <c r="H114" s="2">
        <v>14898</v>
      </c>
      <c r="I114" s="2">
        <v>14898</v>
      </c>
      <c r="J114" s="2">
        <v>14898</v>
      </c>
    </row>
    <row r="115" spans="1:10" x14ac:dyDescent="0.25">
      <c r="A115" s="237" t="s">
        <v>80</v>
      </c>
      <c r="B115" s="237"/>
      <c r="C115" s="237"/>
      <c r="D115" s="2">
        <v>6825</v>
      </c>
      <c r="E115" s="2"/>
      <c r="F115" s="2"/>
      <c r="G115" s="2"/>
      <c r="H115" s="2"/>
      <c r="I115" s="2"/>
      <c r="J115" s="2"/>
    </row>
    <row r="116" spans="1:10" x14ac:dyDescent="0.25">
      <c r="A116" s="237" t="s">
        <v>81</v>
      </c>
      <c r="B116" s="237"/>
      <c r="C116" s="237"/>
      <c r="D116" s="2">
        <v>6213</v>
      </c>
      <c r="E116" s="2"/>
      <c r="F116" s="2"/>
      <c r="G116" s="2"/>
      <c r="H116" s="2"/>
      <c r="I116" s="2"/>
      <c r="J116" s="2"/>
    </row>
    <row r="117" spans="1:10" x14ac:dyDescent="0.25">
      <c r="A117" s="237" t="s">
        <v>2164</v>
      </c>
      <c r="B117" s="237"/>
      <c r="C117" s="237"/>
      <c r="D117" s="2">
        <v>240</v>
      </c>
      <c r="E117" s="2"/>
      <c r="F117" s="2"/>
      <c r="G117" s="2"/>
      <c r="H117" s="2"/>
      <c r="I117" s="2"/>
      <c r="J117" s="2"/>
    </row>
    <row r="118" spans="1:10" x14ac:dyDescent="0.25">
      <c r="A118" s="237" t="s">
        <v>858</v>
      </c>
      <c r="B118" s="237"/>
      <c r="C118" s="237"/>
      <c r="D118" s="2">
        <v>870</v>
      </c>
      <c r="E118" s="2"/>
      <c r="F118" s="2"/>
      <c r="G118" s="2"/>
      <c r="H118" s="2"/>
      <c r="I118" s="2"/>
      <c r="J118" s="2"/>
    </row>
    <row r="119" spans="1:10" ht="15" x14ac:dyDescent="0.4">
      <c r="A119" s="237" t="s">
        <v>555</v>
      </c>
      <c r="B119" s="237"/>
      <c r="C119" s="237"/>
      <c r="D119" s="11">
        <v>750</v>
      </c>
      <c r="E119" s="2"/>
      <c r="F119" s="2"/>
      <c r="G119" s="2"/>
      <c r="H119" s="2"/>
      <c r="I119" s="2"/>
      <c r="J119" s="2"/>
    </row>
    <row r="120" spans="1:10" x14ac:dyDescent="0.25">
      <c r="A120" s="237" t="s">
        <v>1247</v>
      </c>
      <c r="B120" s="237"/>
      <c r="C120" s="237"/>
      <c r="D120" s="2">
        <f>SUM(D115:D119)</f>
        <v>14898</v>
      </c>
      <c r="E120" s="2"/>
      <c r="F120" s="2"/>
      <c r="G120" s="2"/>
      <c r="H120" s="2"/>
      <c r="I120" s="2"/>
      <c r="J120" s="2"/>
    </row>
    <row r="121" spans="1:10" x14ac:dyDescent="0.25">
      <c r="A121" s="237"/>
      <c r="B121" s="237"/>
      <c r="C121" s="2"/>
      <c r="D121" s="2"/>
      <c r="E121" s="2"/>
      <c r="F121" s="2"/>
      <c r="G121" s="2"/>
      <c r="H121" s="2"/>
      <c r="I121" s="2"/>
      <c r="J121" s="2"/>
    </row>
    <row r="122" spans="1:10" ht="13.8" x14ac:dyDescent="0.3">
      <c r="A122" s="238" t="s">
        <v>1452</v>
      </c>
      <c r="B122" s="237"/>
      <c r="C122" s="2"/>
      <c r="D122" s="2"/>
      <c r="E122" s="2">
        <v>1038</v>
      </c>
      <c r="F122" s="2">
        <v>2675</v>
      </c>
      <c r="G122" s="2">
        <v>2540</v>
      </c>
      <c r="H122" s="2">
        <v>2540</v>
      </c>
      <c r="I122" s="2">
        <v>2540</v>
      </c>
      <c r="J122" s="2">
        <v>2540</v>
      </c>
    </row>
    <row r="123" spans="1:10" x14ac:dyDescent="0.25">
      <c r="A123" s="237" t="s">
        <v>846</v>
      </c>
      <c r="B123" s="237"/>
      <c r="C123" s="237"/>
      <c r="D123" s="2">
        <v>880</v>
      </c>
      <c r="E123" s="2"/>
      <c r="F123" s="2"/>
      <c r="G123" s="2"/>
      <c r="H123" s="2"/>
      <c r="I123" s="2"/>
      <c r="J123" s="2"/>
    </row>
    <row r="124" spans="1:10" x14ac:dyDescent="0.25">
      <c r="A124" s="237" t="s">
        <v>847</v>
      </c>
      <c r="B124" s="237"/>
      <c r="C124" s="237"/>
      <c r="D124" s="2">
        <v>880</v>
      </c>
      <c r="E124" s="2"/>
      <c r="F124" s="2"/>
      <c r="G124" s="2"/>
      <c r="H124" s="2"/>
      <c r="I124" s="2"/>
      <c r="J124" s="2"/>
    </row>
    <row r="125" spans="1:10" x14ac:dyDescent="0.25">
      <c r="A125" s="237" t="s">
        <v>666</v>
      </c>
      <c r="B125" s="237"/>
      <c r="C125" s="237"/>
      <c r="D125" s="2">
        <v>280</v>
      </c>
      <c r="E125" s="2"/>
      <c r="F125" s="2"/>
      <c r="G125" s="2"/>
      <c r="H125" s="2"/>
      <c r="I125" s="2"/>
      <c r="J125" s="2"/>
    </row>
    <row r="126" spans="1:10" x14ac:dyDescent="0.25">
      <c r="A126" s="237" t="s">
        <v>701</v>
      </c>
      <c r="B126" s="237"/>
      <c r="C126" s="237"/>
      <c r="D126" s="2">
        <v>100</v>
      </c>
      <c r="E126" s="2"/>
      <c r="F126" s="2"/>
      <c r="G126" s="2"/>
      <c r="H126" s="2"/>
      <c r="I126" s="2"/>
      <c r="J126" s="2"/>
    </row>
    <row r="127" spans="1:10" ht="15" x14ac:dyDescent="0.4">
      <c r="A127" s="237" t="s">
        <v>2033</v>
      </c>
      <c r="B127" s="237"/>
      <c r="C127" s="237"/>
      <c r="D127" s="11">
        <v>400</v>
      </c>
      <c r="E127" s="2"/>
      <c r="F127" s="2"/>
      <c r="G127" s="2"/>
      <c r="H127" s="2"/>
      <c r="I127" s="2"/>
      <c r="J127" s="2"/>
    </row>
    <row r="128" spans="1:10" x14ac:dyDescent="0.25">
      <c r="A128" s="237" t="s">
        <v>1247</v>
      </c>
      <c r="B128" s="237"/>
      <c r="C128" s="237"/>
      <c r="D128" s="2">
        <f>SUM(D123:D127)</f>
        <v>2540</v>
      </c>
      <c r="E128" s="2"/>
      <c r="F128" s="2"/>
      <c r="G128" s="2"/>
      <c r="H128" s="2"/>
      <c r="I128" s="2"/>
      <c r="J128" s="2"/>
    </row>
    <row r="129" spans="1:10" x14ac:dyDescent="0.25">
      <c r="A129" s="237"/>
      <c r="B129" s="237"/>
      <c r="C129" s="2"/>
      <c r="D129" s="2"/>
      <c r="E129" s="2"/>
      <c r="F129" s="2"/>
      <c r="G129" s="2"/>
      <c r="H129" s="2"/>
      <c r="I129" s="2"/>
      <c r="J129" s="2"/>
    </row>
    <row r="130" spans="1:10" ht="13.8" x14ac:dyDescent="0.3">
      <c r="A130" s="238" t="s">
        <v>1453</v>
      </c>
      <c r="B130" s="237"/>
      <c r="C130" s="2"/>
      <c r="D130" s="2"/>
      <c r="E130" s="2">
        <v>10075.59</v>
      </c>
      <c r="F130" s="2">
        <v>12000</v>
      </c>
      <c r="G130" s="2">
        <v>12000</v>
      </c>
      <c r="H130" s="2">
        <v>12000</v>
      </c>
      <c r="I130" s="2">
        <v>12000</v>
      </c>
      <c r="J130" s="2">
        <v>12000</v>
      </c>
    </row>
    <row r="131" spans="1:10" x14ac:dyDescent="0.25">
      <c r="A131" s="237" t="s">
        <v>442</v>
      </c>
      <c r="B131" s="237"/>
      <c r="C131" s="2" t="s">
        <v>396</v>
      </c>
      <c r="D131" s="2"/>
      <c r="E131" s="2"/>
      <c r="F131" s="2"/>
      <c r="G131" s="2"/>
      <c r="H131" s="2"/>
      <c r="I131" s="2"/>
      <c r="J131" s="2"/>
    </row>
    <row r="132" spans="1:10" x14ac:dyDescent="0.25">
      <c r="A132" s="237" t="s">
        <v>678</v>
      </c>
      <c r="B132" s="237"/>
      <c r="C132" s="237"/>
      <c r="D132" s="2">
        <v>12000</v>
      </c>
      <c r="E132" s="2"/>
      <c r="F132" s="2"/>
      <c r="G132" s="2"/>
      <c r="H132" s="2"/>
      <c r="I132" s="2"/>
      <c r="J132" s="2"/>
    </row>
    <row r="133" spans="1:10" x14ac:dyDescent="0.25">
      <c r="A133" s="237"/>
      <c r="B133" s="237"/>
      <c r="C133" s="237"/>
      <c r="D133" s="2"/>
      <c r="E133" s="2"/>
      <c r="F133" s="2"/>
      <c r="G133" s="2"/>
      <c r="H133" s="2"/>
      <c r="I133" s="2"/>
      <c r="J133" s="2"/>
    </row>
    <row r="134" spans="1:10" ht="13.8" x14ac:dyDescent="0.3">
      <c r="A134" s="238" t="s">
        <v>679</v>
      </c>
      <c r="B134" s="237"/>
      <c r="C134" s="237"/>
      <c r="D134" s="2"/>
      <c r="E134" s="2"/>
      <c r="F134" s="2"/>
      <c r="G134" s="2"/>
      <c r="H134" s="2"/>
      <c r="I134" s="2"/>
      <c r="J134" s="2"/>
    </row>
    <row r="135" spans="1:10" x14ac:dyDescent="0.25">
      <c r="A135" s="237" t="s">
        <v>218</v>
      </c>
      <c r="B135" s="237"/>
      <c r="C135" s="237"/>
      <c r="D135" s="2"/>
      <c r="E135" s="2"/>
      <c r="F135" s="2"/>
      <c r="G135" s="2"/>
      <c r="H135" s="2"/>
      <c r="I135" s="2"/>
      <c r="J135" s="2"/>
    </row>
    <row r="136" spans="1:10" x14ac:dyDescent="0.25">
      <c r="A136" s="237"/>
      <c r="B136" s="237"/>
      <c r="C136" s="237"/>
      <c r="D136" s="2"/>
      <c r="E136" s="2"/>
      <c r="F136" s="2"/>
      <c r="G136" s="2"/>
      <c r="H136" s="2"/>
      <c r="I136" s="2"/>
      <c r="J136" s="2"/>
    </row>
    <row r="137" spans="1:10" ht="13.8" x14ac:dyDescent="0.3">
      <c r="A137" s="238" t="s">
        <v>1072</v>
      </c>
      <c r="B137" s="237"/>
      <c r="C137" s="237"/>
      <c r="D137" s="2"/>
      <c r="E137" s="2">
        <v>739.09</v>
      </c>
      <c r="F137" s="2">
        <v>835</v>
      </c>
      <c r="G137" s="2">
        <v>863</v>
      </c>
      <c r="H137" s="2">
        <v>863</v>
      </c>
      <c r="I137" s="2">
        <v>863</v>
      </c>
      <c r="J137" s="2">
        <v>863</v>
      </c>
    </row>
    <row r="138" spans="1:10" s="224" customFormat="1" x14ac:dyDescent="0.25">
      <c r="A138" s="237" t="s">
        <v>680</v>
      </c>
      <c r="B138" s="237"/>
      <c r="C138" s="237"/>
      <c r="D138" s="2">
        <v>835</v>
      </c>
      <c r="E138" s="2"/>
      <c r="F138" s="237"/>
      <c r="G138" s="237"/>
      <c r="H138" s="247"/>
      <c r="I138" s="295"/>
      <c r="J138" s="298"/>
    </row>
    <row r="139" spans="1:10" s="224" customFormat="1" x14ac:dyDescent="0.25">
      <c r="A139" s="237"/>
      <c r="B139" s="237"/>
      <c r="C139" s="237"/>
      <c r="D139" s="2"/>
      <c r="E139" s="2"/>
      <c r="F139" s="237"/>
      <c r="G139" s="237"/>
      <c r="H139" s="247"/>
      <c r="I139" s="295"/>
      <c r="J139" s="298"/>
    </row>
    <row r="140" spans="1:10" s="224" customFormat="1" ht="13.8" x14ac:dyDescent="0.3">
      <c r="A140" s="238" t="s">
        <v>2134</v>
      </c>
      <c r="B140" s="237"/>
      <c r="C140" s="237"/>
      <c r="D140" s="2"/>
      <c r="E140" s="2">
        <v>32</v>
      </c>
      <c r="F140" s="2">
        <v>0</v>
      </c>
      <c r="G140" s="237">
        <v>0</v>
      </c>
      <c r="H140" s="247">
        <v>0</v>
      </c>
      <c r="I140" s="295">
        <v>0</v>
      </c>
      <c r="J140" s="298">
        <v>0</v>
      </c>
    </row>
    <row r="141" spans="1:10" x14ac:dyDescent="0.25">
      <c r="A141" s="237" t="s">
        <v>1057</v>
      </c>
      <c r="B141" s="237"/>
      <c r="C141" s="237"/>
      <c r="D141" s="2">
        <v>835</v>
      </c>
      <c r="E141" s="2"/>
      <c r="F141" s="237"/>
      <c r="G141" s="237"/>
      <c r="H141" s="247"/>
      <c r="I141" s="295"/>
      <c r="J141" s="298"/>
    </row>
    <row r="142" spans="1:10" x14ac:dyDescent="0.25">
      <c r="A142" s="237"/>
      <c r="B142" s="237"/>
      <c r="C142" s="237"/>
      <c r="D142" s="2"/>
      <c r="E142" s="2"/>
      <c r="F142" s="237"/>
      <c r="G142" s="237"/>
      <c r="H142" s="247"/>
      <c r="I142" s="295"/>
      <c r="J142" s="298"/>
    </row>
    <row r="143" spans="1:10" ht="15" x14ac:dyDescent="0.4">
      <c r="A143" s="238" t="s">
        <v>642</v>
      </c>
      <c r="B143" s="237"/>
      <c r="C143" s="237"/>
      <c r="D143" s="8" t="s">
        <v>396</v>
      </c>
      <c r="E143" s="11">
        <v>4850</v>
      </c>
      <c r="F143" s="18">
        <v>20690</v>
      </c>
      <c r="G143" s="11">
        <v>2000</v>
      </c>
      <c r="H143" s="11">
        <v>2000</v>
      </c>
      <c r="I143" s="11">
        <v>2000</v>
      </c>
      <c r="J143" s="11">
        <v>2000</v>
      </c>
    </row>
    <row r="144" spans="1:10" ht="15" x14ac:dyDescent="0.4">
      <c r="A144" s="237" t="s">
        <v>859</v>
      </c>
      <c r="B144" s="237"/>
      <c r="C144" s="237">
        <v>2000</v>
      </c>
      <c r="D144" s="237">
        <v>2000</v>
      </c>
      <c r="E144" s="11"/>
      <c r="F144" s="2"/>
      <c r="G144" s="2"/>
      <c r="H144" s="2"/>
      <c r="I144" s="2"/>
      <c r="J144" s="2"/>
    </row>
    <row r="145" spans="1:10" x14ac:dyDescent="0.25">
      <c r="A145" s="23" t="s">
        <v>2034</v>
      </c>
      <c r="B145" s="237"/>
      <c r="C145" s="28">
        <f>-34710+53400</f>
        <v>18690</v>
      </c>
      <c r="D145" s="28"/>
      <c r="E145" s="2"/>
      <c r="F145" s="2"/>
      <c r="G145" s="2"/>
      <c r="H145" s="2"/>
      <c r="I145" s="2"/>
      <c r="J145" s="2"/>
    </row>
    <row r="146" spans="1:10" ht="13.8" x14ac:dyDescent="0.3">
      <c r="A146" s="60" t="s">
        <v>396</v>
      </c>
      <c r="B146" s="237"/>
      <c r="C146" s="2">
        <f>SUM(C144:C145)</f>
        <v>20690</v>
      </c>
      <c r="D146" s="2">
        <f>SUM(D144:D145)</f>
        <v>2000</v>
      </c>
      <c r="E146" s="2"/>
      <c r="F146" s="2"/>
      <c r="G146" s="2"/>
      <c r="H146" s="2"/>
      <c r="I146" s="2"/>
      <c r="J146" s="2"/>
    </row>
    <row r="147" spans="1:10" s="237" customFormat="1" ht="13.8" x14ac:dyDescent="0.3">
      <c r="A147" s="60"/>
      <c r="C147" s="2"/>
      <c r="D147" s="2"/>
      <c r="E147" s="2"/>
      <c r="F147" s="2"/>
      <c r="G147" s="2"/>
      <c r="H147" s="2"/>
      <c r="I147" s="2"/>
      <c r="J147" s="2"/>
    </row>
    <row r="148" spans="1:10" s="237" customFormat="1" x14ac:dyDescent="0.25">
      <c r="A148" s="237" t="s">
        <v>1332</v>
      </c>
      <c r="C148" s="2"/>
      <c r="D148" s="2"/>
      <c r="E148" s="2">
        <f t="shared" ref="E148:J148" si="0">SUM(E1:E147)</f>
        <v>470300.26000000013</v>
      </c>
      <c r="F148" s="2">
        <f t="shared" si="0"/>
        <v>573816</v>
      </c>
      <c r="G148" s="2">
        <f t="shared" si="0"/>
        <v>553505</v>
      </c>
      <c r="H148" s="2">
        <f t="shared" si="0"/>
        <v>556136</v>
      </c>
      <c r="I148" s="2">
        <f t="shared" si="0"/>
        <v>563569</v>
      </c>
      <c r="J148" s="2">
        <f t="shared" si="0"/>
        <v>563569</v>
      </c>
    </row>
    <row r="149" spans="1:10" x14ac:dyDescent="0.25">
      <c r="A149" s="202"/>
      <c r="B149" s="202"/>
      <c r="C149" s="202"/>
      <c r="D149" s="202"/>
      <c r="E149" s="202"/>
      <c r="F149" s="202"/>
      <c r="G149" s="202"/>
      <c r="H149" s="247"/>
      <c r="I149" s="295"/>
      <c r="J149" s="298"/>
    </row>
    <row r="150" spans="1:10" x14ac:dyDescent="0.25">
      <c r="A150" s="202" t="s">
        <v>594</v>
      </c>
      <c r="B150" s="202"/>
      <c r="C150" s="202"/>
      <c r="D150" s="202"/>
      <c r="E150" s="2">
        <f t="shared" ref="E150:J150" si="1">SUM(E5:E78)</f>
        <v>400895.72000000003</v>
      </c>
      <c r="F150" s="2">
        <f t="shared" si="1"/>
        <v>482908</v>
      </c>
      <c r="G150" s="2">
        <f t="shared" si="1"/>
        <v>480777</v>
      </c>
      <c r="H150" s="2">
        <f t="shared" si="1"/>
        <v>483408</v>
      </c>
      <c r="I150" s="2">
        <f t="shared" si="1"/>
        <v>490841</v>
      </c>
      <c r="J150" s="2">
        <f t="shared" si="1"/>
        <v>490841</v>
      </c>
    </row>
    <row r="151" spans="1:10" x14ac:dyDescent="0.25">
      <c r="A151" s="202" t="s">
        <v>957</v>
      </c>
      <c r="B151" s="202"/>
      <c r="C151" s="202"/>
      <c r="D151" s="202"/>
      <c r="E151" s="2">
        <f t="shared" ref="E151:J151" si="2">SUM(E79:E141)</f>
        <v>64554.539999999994</v>
      </c>
      <c r="F151" s="2">
        <f t="shared" si="2"/>
        <v>70218</v>
      </c>
      <c r="G151" s="2">
        <f t="shared" si="2"/>
        <v>70728</v>
      </c>
      <c r="H151" s="2">
        <f t="shared" si="2"/>
        <v>70728</v>
      </c>
      <c r="I151" s="2">
        <f t="shared" si="2"/>
        <v>70728</v>
      </c>
      <c r="J151" s="2">
        <f t="shared" si="2"/>
        <v>70728</v>
      </c>
    </row>
    <row r="152" spans="1:10" ht="15" x14ac:dyDescent="0.4">
      <c r="A152" s="202" t="s">
        <v>958</v>
      </c>
      <c r="B152" s="202"/>
      <c r="C152" s="202"/>
      <c r="D152" s="202"/>
      <c r="E152" s="11">
        <f t="shared" ref="E152:J152" si="3">SUM(E142:E143)</f>
        <v>4850</v>
      </c>
      <c r="F152" s="11">
        <f t="shared" si="3"/>
        <v>20690</v>
      </c>
      <c r="G152" s="11">
        <f t="shared" si="3"/>
        <v>2000</v>
      </c>
      <c r="H152" s="11">
        <f t="shared" si="3"/>
        <v>2000</v>
      </c>
      <c r="I152" s="11">
        <f t="shared" si="3"/>
        <v>2000</v>
      </c>
      <c r="J152" s="11">
        <f t="shared" si="3"/>
        <v>2000</v>
      </c>
    </row>
    <row r="153" spans="1:10" x14ac:dyDescent="0.25">
      <c r="A153" s="202" t="s">
        <v>1247</v>
      </c>
      <c r="B153" s="202"/>
      <c r="C153" s="202"/>
      <c r="D153" s="202"/>
      <c r="E153" s="2">
        <f t="shared" ref="E153:J153" si="4">SUM(E150:E152)</f>
        <v>470300.26</v>
      </c>
      <c r="F153" s="2">
        <f t="shared" si="4"/>
        <v>573816</v>
      </c>
      <c r="G153" s="2">
        <f t="shared" si="4"/>
        <v>553505</v>
      </c>
      <c r="H153" s="2">
        <f t="shared" si="4"/>
        <v>556136</v>
      </c>
      <c r="I153" s="2">
        <f t="shared" si="4"/>
        <v>563569</v>
      </c>
      <c r="J153" s="2">
        <f t="shared" si="4"/>
        <v>563569</v>
      </c>
    </row>
    <row r="154" spans="1:10" x14ac:dyDescent="0.25">
      <c r="H154" s="247"/>
      <c r="I154" s="295"/>
      <c r="J154" s="298"/>
    </row>
    <row r="155" spans="1:10" x14ac:dyDescent="0.25">
      <c r="H155" s="247"/>
      <c r="I155" s="2">
        <f>+I153-H153</f>
        <v>7433</v>
      </c>
      <c r="J155" s="2">
        <f>+J153-I153</f>
        <v>0</v>
      </c>
    </row>
    <row r="156" spans="1:10" x14ac:dyDescent="0.25">
      <c r="H156" s="247"/>
      <c r="I156" s="2">
        <f>+I155-10620</f>
        <v>-3187</v>
      </c>
      <c r="J156" s="2">
        <f>+J155-10620</f>
        <v>-10620</v>
      </c>
    </row>
    <row r="157" spans="1:10" x14ac:dyDescent="0.25">
      <c r="H157" s="247"/>
      <c r="I157" s="295"/>
      <c r="J157" s="298"/>
    </row>
    <row r="158" spans="1:10" x14ac:dyDescent="0.25">
      <c r="H158" s="247"/>
      <c r="I158" s="295"/>
      <c r="J158" s="298"/>
    </row>
    <row r="159" spans="1:10" x14ac:dyDescent="0.25">
      <c r="H159" s="247"/>
      <c r="I159" s="295"/>
      <c r="J159" s="298"/>
    </row>
    <row r="160" spans="1:10" x14ac:dyDescent="0.25">
      <c r="H160" s="247"/>
      <c r="I160" s="295"/>
      <c r="J160" s="298"/>
    </row>
    <row r="161" spans="8:10" x14ac:dyDescent="0.25">
      <c r="H161" s="247"/>
      <c r="I161" s="295"/>
      <c r="J161" s="298"/>
    </row>
    <row r="162" spans="8:10" x14ac:dyDescent="0.25">
      <c r="H162" s="247"/>
      <c r="I162" s="295"/>
      <c r="J162" s="298"/>
    </row>
    <row r="163" spans="8:10" x14ac:dyDescent="0.25">
      <c r="H163" s="247"/>
      <c r="I163" s="295"/>
      <c r="J163" s="298"/>
    </row>
    <row r="164" spans="8:10" x14ac:dyDescent="0.25">
      <c r="H164" s="247"/>
      <c r="I164" s="295"/>
      <c r="J164" s="298"/>
    </row>
    <row r="165" spans="8:10" x14ac:dyDescent="0.25">
      <c r="H165" s="247"/>
      <c r="I165" s="295"/>
      <c r="J165" s="298"/>
    </row>
    <row r="166" spans="8:10" x14ac:dyDescent="0.25">
      <c r="H166" s="247"/>
      <c r="I166" s="295"/>
      <c r="J166" s="298"/>
    </row>
    <row r="167" spans="8:10" x14ac:dyDescent="0.25">
      <c r="H167" s="247"/>
      <c r="I167" s="295"/>
      <c r="J167" s="298"/>
    </row>
    <row r="168" spans="8:10" x14ac:dyDescent="0.25">
      <c r="H168" s="247"/>
      <c r="I168" s="295"/>
      <c r="J168" s="298"/>
    </row>
    <row r="169" spans="8:10" x14ac:dyDescent="0.25">
      <c r="H169" s="247"/>
      <c r="I169" s="295"/>
      <c r="J169" s="298"/>
    </row>
    <row r="170" spans="8:10" x14ac:dyDescent="0.25">
      <c r="H170" s="247"/>
      <c r="I170" s="295"/>
      <c r="J170" s="298"/>
    </row>
    <row r="171" spans="8:10" x14ac:dyDescent="0.25">
      <c r="H171" s="247"/>
      <c r="I171" s="295"/>
      <c r="J171" s="298"/>
    </row>
    <row r="172" spans="8:10" x14ac:dyDescent="0.25">
      <c r="H172" s="247"/>
      <c r="I172" s="295"/>
      <c r="J172" s="298"/>
    </row>
    <row r="173" spans="8:10" x14ac:dyDescent="0.25">
      <c r="H173" s="247"/>
      <c r="I173" s="295"/>
      <c r="J173" s="298"/>
    </row>
    <row r="174" spans="8:10" x14ac:dyDescent="0.25">
      <c r="H174" s="247"/>
      <c r="I174" s="295"/>
      <c r="J174" s="298"/>
    </row>
    <row r="175" spans="8:10" x14ac:dyDescent="0.25">
      <c r="H175" s="247"/>
      <c r="J175" s="298"/>
    </row>
    <row r="176" spans="8:10" x14ac:dyDescent="0.25">
      <c r="H176" s="247"/>
      <c r="J176" s="298"/>
    </row>
    <row r="177" spans="8:10" x14ac:dyDescent="0.25">
      <c r="H177" s="247"/>
      <c r="J177" s="298"/>
    </row>
    <row r="178" spans="8:10" x14ac:dyDescent="0.25">
      <c r="H178" s="247"/>
      <c r="J178" s="298"/>
    </row>
    <row r="179" spans="8:10" x14ac:dyDescent="0.25">
      <c r="H179" s="247"/>
      <c r="J179" s="298"/>
    </row>
    <row r="180" spans="8:10" x14ac:dyDescent="0.25">
      <c r="H180" s="247"/>
      <c r="J180" s="298"/>
    </row>
    <row r="181" spans="8:10" x14ac:dyDescent="0.25">
      <c r="H181" s="247"/>
      <c r="J181" s="298"/>
    </row>
    <row r="182" spans="8:10" x14ac:dyDescent="0.25">
      <c r="H182" s="247"/>
      <c r="J182" s="298"/>
    </row>
    <row r="183" spans="8:10" x14ac:dyDescent="0.25">
      <c r="H183" s="247"/>
      <c r="J183" s="298"/>
    </row>
    <row r="184" spans="8:10" x14ac:dyDescent="0.25">
      <c r="H184" s="247"/>
      <c r="J184" s="298"/>
    </row>
    <row r="185" spans="8:10" x14ac:dyDescent="0.25">
      <c r="H185" s="247"/>
      <c r="J185" s="298"/>
    </row>
    <row r="186" spans="8:10" x14ac:dyDescent="0.25">
      <c r="H186" s="247"/>
      <c r="J186" s="298"/>
    </row>
    <row r="187" spans="8:10" x14ac:dyDescent="0.25">
      <c r="H187" s="247"/>
      <c r="J187" s="298"/>
    </row>
    <row r="188" spans="8:10" x14ac:dyDescent="0.25">
      <c r="H188" s="247"/>
      <c r="J188" s="298"/>
    </row>
    <row r="189" spans="8:10" x14ac:dyDescent="0.25">
      <c r="H189" s="247"/>
      <c r="J189" s="298"/>
    </row>
    <row r="190" spans="8:10" x14ac:dyDescent="0.25">
      <c r="H190" s="247"/>
      <c r="J190" s="298"/>
    </row>
    <row r="191" spans="8:10" x14ac:dyDescent="0.25">
      <c r="H191" s="247"/>
      <c r="J191" s="298"/>
    </row>
    <row r="192" spans="8:10" x14ac:dyDescent="0.25">
      <c r="H192" s="247"/>
      <c r="J192" s="298"/>
    </row>
    <row r="193" spans="8:10" x14ac:dyDescent="0.25">
      <c r="H193" s="205"/>
      <c r="J193" s="298"/>
    </row>
    <row r="194" spans="8:10" x14ac:dyDescent="0.25">
      <c r="H194" s="205"/>
      <c r="J194" s="298"/>
    </row>
    <row r="195" spans="8:10" x14ac:dyDescent="0.25">
      <c r="J195" s="298"/>
    </row>
    <row r="196" spans="8:10" x14ac:dyDescent="0.25">
      <c r="J196" s="298"/>
    </row>
    <row r="197" spans="8:10" x14ac:dyDescent="0.25">
      <c r="J197" s="298"/>
    </row>
    <row r="198" spans="8:10" x14ac:dyDescent="0.25">
      <c r="J198" s="298"/>
    </row>
    <row r="199" spans="8:10" x14ac:dyDescent="0.25">
      <c r="J199" s="298"/>
    </row>
    <row r="200" spans="8:10" x14ac:dyDescent="0.25">
      <c r="J200" s="223"/>
    </row>
    <row r="201" spans="8:10" x14ac:dyDescent="0.25">
      <c r="J201" s="223"/>
    </row>
    <row r="202" spans="8:10" x14ac:dyDescent="0.25">
      <c r="J202" s="223"/>
    </row>
    <row r="203" spans="8:10" x14ac:dyDescent="0.25">
      <c r="J203" s="223"/>
    </row>
    <row r="204" spans="8:10" x14ac:dyDescent="0.25">
      <c r="J204" s="223"/>
    </row>
    <row r="205" spans="8:10" x14ac:dyDescent="0.25">
      <c r="J205" s="223"/>
    </row>
    <row r="206" spans="8:10" x14ac:dyDescent="0.25">
      <c r="J206" s="223"/>
    </row>
  </sheetData>
  <mergeCells count="1">
    <mergeCell ref="A1:J1"/>
  </mergeCells>
  <phoneticPr fontId="0" type="noConversion"/>
  <printOptions gridLines="1"/>
  <pageMargins left="0.75" right="0.16" top="0.51" bottom="0.22" header="0.5" footer="0"/>
  <pageSetup scale="90" fitToHeight="5" orientation="landscape" r:id="rId1"/>
  <headerFooter alignWithMargins="0"/>
  <rowBreaks count="1" manualBreakCount="1">
    <brk id="113" max="9"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112"/>
  <sheetViews>
    <sheetView view="pageBreakPreview" zoomScaleNormal="100" zoomScaleSheetLayoutView="100" workbookViewId="0">
      <selection sqref="A1:J1"/>
    </sheetView>
  </sheetViews>
  <sheetFormatPr defaultColWidth="8.88671875" defaultRowHeight="13.2" x14ac:dyDescent="0.25"/>
  <cols>
    <col min="1" max="1" width="64.5546875" style="280" bestFit="1" customWidth="1"/>
    <col min="2" max="2" width="7.77734375" style="280" bestFit="1" customWidth="1"/>
    <col min="3" max="4" width="9" style="280" bestFit="1" customWidth="1"/>
    <col min="5" max="5" width="9.5546875" style="280" bestFit="1" customWidth="1"/>
    <col min="6" max="7" width="9" style="280" bestFit="1" customWidth="1"/>
    <col min="8" max="8" width="11.6640625" style="280" bestFit="1" customWidth="1"/>
    <col min="9" max="9" width="13.5546875" style="280" bestFit="1" customWidth="1"/>
    <col min="10" max="10" width="9.44140625" style="280" bestFit="1" customWidth="1"/>
    <col min="11" max="11" width="9" style="280" bestFit="1" customWidth="1"/>
    <col min="12" max="12" width="0" style="280" hidden="1" customWidth="1"/>
    <col min="13" max="16384" width="8.88671875" style="280"/>
  </cols>
  <sheetData>
    <row r="1" spans="1:11" x14ac:dyDescent="0.25">
      <c r="A1" s="307" t="str">
        <f>'SUMMARY BY FUND'!A1:J1</f>
        <v>2019-20 BUDGET</v>
      </c>
      <c r="B1" s="308"/>
      <c r="C1" s="308"/>
      <c r="D1" s="308"/>
      <c r="E1" s="308"/>
      <c r="F1" s="308"/>
      <c r="G1" s="308"/>
      <c r="H1" s="308"/>
      <c r="I1" s="308"/>
      <c r="J1" s="308"/>
    </row>
    <row r="2" spans="1:11" ht="17.399999999999999" x14ac:dyDescent="0.3">
      <c r="A2" s="180" t="s">
        <v>1948</v>
      </c>
      <c r="B2" s="180"/>
      <c r="C2" s="180"/>
      <c r="D2" s="180"/>
      <c r="E2" s="180"/>
      <c r="F2" s="180"/>
      <c r="G2" s="180"/>
    </row>
    <row r="3" spans="1:11" x14ac:dyDescent="0.25">
      <c r="B3" s="2"/>
      <c r="C3" s="2"/>
      <c r="D3" s="2"/>
      <c r="E3" s="2"/>
      <c r="F3" s="2"/>
      <c r="G3" s="2"/>
    </row>
    <row r="4" spans="1:11" x14ac:dyDescent="0.25">
      <c r="B4" s="2"/>
      <c r="C4" s="2"/>
      <c r="D4" s="2"/>
      <c r="E4" s="2"/>
      <c r="F4" s="195" t="s">
        <v>233</v>
      </c>
      <c r="G4" s="195" t="s">
        <v>234</v>
      </c>
      <c r="H4" s="195" t="s">
        <v>70</v>
      </c>
      <c r="I4" s="195" t="s">
        <v>409</v>
      </c>
      <c r="J4" s="16" t="s">
        <v>314</v>
      </c>
      <c r="K4" s="16" t="s">
        <v>345</v>
      </c>
    </row>
    <row r="5" spans="1:11" ht="15" x14ac:dyDescent="0.4">
      <c r="B5" s="2"/>
      <c r="C5" s="2"/>
      <c r="D5" s="2"/>
      <c r="E5" s="2"/>
      <c r="F5" s="281" t="s">
        <v>1794</v>
      </c>
      <c r="G5" s="281" t="s">
        <v>1970</v>
      </c>
      <c r="H5" s="281" t="s">
        <v>2129</v>
      </c>
      <c r="I5" s="281" t="s">
        <v>2129</v>
      </c>
      <c r="J5" s="281" t="s">
        <v>2129</v>
      </c>
      <c r="K5" s="281" t="s">
        <v>2129</v>
      </c>
    </row>
    <row r="6" spans="1:11" ht="13.8" x14ac:dyDescent="0.3">
      <c r="A6" s="282" t="s">
        <v>643</v>
      </c>
      <c r="B6" s="2"/>
      <c r="C6" s="2"/>
      <c r="D6" s="2"/>
      <c r="E6" s="2"/>
      <c r="F6" s="2">
        <v>38226.9</v>
      </c>
      <c r="G6" s="2">
        <v>39996</v>
      </c>
      <c r="H6" s="2">
        <v>39996</v>
      </c>
      <c r="I6" s="2">
        <v>39996</v>
      </c>
      <c r="J6" s="2">
        <v>41161</v>
      </c>
      <c r="K6" s="2">
        <v>41161</v>
      </c>
    </row>
    <row r="7" spans="1:11" x14ac:dyDescent="0.25">
      <c r="A7" s="280" t="s">
        <v>2326</v>
      </c>
      <c r="B7" s="2"/>
      <c r="C7" s="2">
        <v>1456</v>
      </c>
      <c r="D7" s="12">
        <v>27.28</v>
      </c>
      <c r="E7" s="2">
        <f>+D7*C7</f>
        <v>39719.68</v>
      </c>
      <c r="F7" s="2"/>
      <c r="G7" s="2"/>
      <c r="H7" s="2"/>
      <c r="I7" s="2"/>
      <c r="J7" s="2"/>
      <c r="K7" s="2"/>
    </row>
    <row r="8" spans="1:11" ht="15" x14ac:dyDescent="0.4">
      <c r="A8" s="280" t="s">
        <v>1729</v>
      </c>
      <c r="B8" s="2"/>
      <c r="C8" s="2"/>
      <c r="D8" s="12"/>
      <c r="E8" s="11">
        <v>1441</v>
      </c>
      <c r="F8" s="2"/>
      <c r="G8" s="2"/>
      <c r="H8" s="2"/>
      <c r="I8" s="2"/>
      <c r="J8" s="2"/>
      <c r="K8" s="2"/>
    </row>
    <row r="9" spans="1:11" x14ac:dyDescent="0.25">
      <c r="B9" s="2"/>
      <c r="C9" s="2"/>
      <c r="D9" s="12"/>
      <c r="E9" s="2">
        <f>SUM(E7:E8)</f>
        <v>41160.68</v>
      </c>
      <c r="F9" s="2"/>
      <c r="G9" s="2"/>
      <c r="H9" s="2"/>
      <c r="I9" s="2"/>
      <c r="J9" s="2"/>
      <c r="K9" s="2"/>
    </row>
    <row r="10" spans="1:11" x14ac:dyDescent="0.25">
      <c r="B10" s="2"/>
      <c r="C10" s="2"/>
      <c r="D10" s="12"/>
      <c r="E10" s="2"/>
      <c r="F10" s="2"/>
      <c r="G10" s="2"/>
      <c r="H10" s="2"/>
      <c r="I10" s="2"/>
      <c r="J10" s="2"/>
      <c r="K10" s="2"/>
    </row>
    <row r="11" spans="1:11" ht="13.8" x14ac:dyDescent="0.3">
      <c r="A11" s="282" t="s">
        <v>687</v>
      </c>
      <c r="E11" s="2"/>
      <c r="F11" s="2">
        <v>2924.37</v>
      </c>
      <c r="G11" s="2">
        <v>3060</v>
      </c>
      <c r="H11" s="2">
        <v>3060</v>
      </c>
      <c r="I11" s="2">
        <v>3060</v>
      </c>
      <c r="J11" s="2">
        <v>3149</v>
      </c>
      <c r="K11" s="2">
        <v>3149</v>
      </c>
    </row>
    <row r="12" spans="1:11" x14ac:dyDescent="0.25">
      <c r="A12" s="280" t="s">
        <v>688</v>
      </c>
      <c r="B12" s="2"/>
      <c r="C12" s="2">
        <f>+E9</f>
        <v>41160.68</v>
      </c>
      <c r="D12" s="14">
        <v>7.6499999999999999E-2</v>
      </c>
      <c r="E12" s="2">
        <f>ROUND(D12*C12,0)</f>
        <v>3149</v>
      </c>
      <c r="F12" s="2"/>
      <c r="G12" s="2"/>
      <c r="H12" s="2"/>
      <c r="I12" s="2"/>
      <c r="J12" s="2"/>
      <c r="K12" s="2"/>
    </row>
    <row r="13" spans="1:11" x14ac:dyDescent="0.25">
      <c r="E13" s="2"/>
      <c r="F13" s="2"/>
      <c r="G13" s="2"/>
      <c r="H13" s="2"/>
      <c r="I13" s="2"/>
      <c r="J13" s="2"/>
      <c r="K13" s="2"/>
    </row>
    <row r="14" spans="1:11" ht="13.8" x14ac:dyDescent="0.3">
      <c r="A14" s="282" t="s">
        <v>689</v>
      </c>
      <c r="E14" s="2"/>
      <c r="F14" s="2">
        <v>50</v>
      </c>
      <c r="G14" s="2">
        <v>64</v>
      </c>
      <c r="H14" s="2">
        <v>60</v>
      </c>
      <c r="I14" s="2">
        <v>60</v>
      </c>
      <c r="J14" s="2">
        <v>62</v>
      </c>
      <c r="K14" s="2">
        <v>62</v>
      </c>
    </row>
    <row r="15" spans="1:11" x14ac:dyDescent="0.25">
      <c r="A15" s="280" t="s">
        <v>688</v>
      </c>
      <c r="B15" s="2"/>
      <c r="C15" s="2">
        <f>+E9</f>
        <v>41160.68</v>
      </c>
      <c r="D15" s="14">
        <v>1.5E-3</v>
      </c>
      <c r="E15" s="2">
        <f>ROUND(D15*C15,0)</f>
        <v>62</v>
      </c>
      <c r="F15" s="2"/>
      <c r="G15" s="2"/>
      <c r="H15" s="2"/>
      <c r="I15" s="2"/>
      <c r="J15" s="2"/>
      <c r="K15" s="2"/>
    </row>
    <row r="16" spans="1:11" x14ac:dyDescent="0.25">
      <c r="E16" s="2"/>
      <c r="F16" s="2"/>
      <c r="G16" s="2"/>
      <c r="H16" s="2"/>
      <c r="I16" s="2"/>
      <c r="J16" s="2"/>
      <c r="K16" s="2"/>
    </row>
    <row r="17" spans="1:11" ht="13.8" x14ac:dyDescent="0.3">
      <c r="A17" s="282" t="s">
        <v>690</v>
      </c>
      <c r="E17" s="2"/>
      <c r="F17" s="2">
        <v>25.2</v>
      </c>
      <c r="G17" s="2">
        <v>26</v>
      </c>
      <c r="H17" s="2">
        <v>26</v>
      </c>
      <c r="I17" s="2">
        <v>26</v>
      </c>
      <c r="J17" s="2">
        <v>26</v>
      </c>
      <c r="K17" s="2">
        <v>26</v>
      </c>
    </row>
    <row r="18" spans="1:11" x14ac:dyDescent="0.25">
      <c r="A18" s="280" t="s">
        <v>688</v>
      </c>
      <c r="B18" s="2" t="s">
        <v>396</v>
      </c>
      <c r="C18" s="2" t="s">
        <v>396</v>
      </c>
      <c r="D18" s="14" t="s">
        <v>396</v>
      </c>
      <c r="E18" s="2">
        <v>26</v>
      </c>
      <c r="F18" s="2"/>
      <c r="G18" s="2"/>
      <c r="H18" s="2"/>
      <c r="I18" s="2"/>
      <c r="J18" s="2"/>
      <c r="K18" s="2"/>
    </row>
    <row r="19" spans="1:11" x14ac:dyDescent="0.25">
      <c r="E19" s="2"/>
      <c r="F19" s="2"/>
      <c r="G19" s="2"/>
      <c r="H19" s="2"/>
      <c r="I19" s="2"/>
      <c r="J19" s="2"/>
      <c r="K19" s="2"/>
    </row>
    <row r="20" spans="1:11" ht="15" x14ac:dyDescent="0.4">
      <c r="A20" s="282" t="s">
        <v>691</v>
      </c>
      <c r="C20" s="281" t="s">
        <v>1794</v>
      </c>
      <c r="D20" s="281" t="s">
        <v>1970</v>
      </c>
      <c r="E20" s="281" t="s">
        <v>2129</v>
      </c>
      <c r="F20" s="2">
        <v>190.08</v>
      </c>
      <c r="G20" s="2">
        <v>270</v>
      </c>
      <c r="H20" s="2">
        <v>270</v>
      </c>
      <c r="I20" s="2">
        <v>270</v>
      </c>
      <c r="J20" s="2">
        <v>270</v>
      </c>
      <c r="K20" s="2">
        <v>270</v>
      </c>
    </row>
    <row r="21" spans="1:11" x14ac:dyDescent="0.25">
      <c r="A21" s="280" t="s">
        <v>352</v>
      </c>
      <c r="C21" s="2">
        <v>270</v>
      </c>
      <c r="D21" s="2">
        <v>270</v>
      </c>
      <c r="E21" s="2">
        <v>270</v>
      </c>
      <c r="F21" s="2"/>
      <c r="G21" s="2"/>
      <c r="H21" s="2"/>
      <c r="I21" s="2"/>
      <c r="J21" s="2"/>
      <c r="K21" s="2"/>
    </row>
    <row r="22" spans="1:11" x14ac:dyDescent="0.25">
      <c r="C22" s="2"/>
      <c r="D22" s="2"/>
      <c r="E22" s="2"/>
      <c r="F22" s="2"/>
      <c r="G22" s="2"/>
      <c r="H22" s="2"/>
      <c r="I22" s="2"/>
      <c r="J22" s="2"/>
      <c r="K22" s="2"/>
    </row>
    <row r="23" spans="1:11" ht="15" x14ac:dyDescent="0.4">
      <c r="A23" s="282" t="s">
        <v>25</v>
      </c>
      <c r="C23" s="281" t="s">
        <v>1794</v>
      </c>
      <c r="D23" s="281" t="s">
        <v>1970</v>
      </c>
      <c r="E23" s="281" t="s">
        <v>2129</v>
      </c>
      <c r="F23" s="2">
        <v>40</v>
      </c>
      <c r="G23" s="2">
        <v>50</v>
      </c>
      <c r="H23" s="2">
        <v>50</v>
      </c>
      <c r="I23" s="2">
        <v>50</v>
      </c>
      <c r="J23" s="2">
        <v>50</v>
      </c>
      <c r="K23" s="2">
        <v>50</v>
      </c>
    </row>
    <row r="24" spans="1:11" x14ac:dyDescent="0.25">
      <c r="A24" s="280" t="s">
        <v>2161</v>
      </c>
      <c r="C24" s="2">
        <v>50</v>
      </c>
      <c r="D24" s="2">
        <v>50</v>
      </c>
      <c r="E24" s="2">
        <v>50</v>
      </c>
      <c r="F24" s="2"/>
      <c r="G24" s="2"/>
      <c r="H24" s="2"/>
      <c r="I24" s="2"/>
      <c r="J24" s="2"/>
      <c r="K24" s="2"/>
    </row>
    <row r="25" spans="1:11" x14ac:dyDescent="0.25">
      <c r="C25" s="2"/>
      <c r="D25" s="2"/>
      <c r="E25" s="2"/>
      <c r="F25" s="2"/>
      <c r="G25" s="2"/>
      <c r="H25" s="2"/>
      <c r="I25" s="2"/>
      <c r="J25" s="2"/>
      <c r="K25" s="2"/>
    </row>
    <row r="26" spans="1:11" ht="15" x14ac:dyDescent="0.4">
      <c r="A26" s="282" t="s">
        <v>979</v>
      </c>
      <c r="C26" s="281" t="s">
        <v>1794</v>
      </c>
      <c r="D26" s="281" t="s">
        <v>1970</v>
      </c>
      <c r="E26" s="281" t="s">
        <v>2129</v>
      </c>
      <c r="F26" s="2">
        <v>89.68</v>
      </c>
      <c r="G26" s="2">
        <v>100</v>
      </c>
      <c r="H26" s="2">
        <v>100</v>
      </c>
      <c r="I26" s="2">
        <v>100</v>
      </c>
      <c r="J26" s="2">
        <v>100</v>
      </c>
      <c r="K26" s="2">
        <v>100</v>
      </c>
    </row>
    <row r="27" spans="1:11" x14ac:dyDescent="0.25">
      <c r="A27" s="280" t="s">
        <v>980</v>
      </c>
      <c r="B27" s="2" t="s">
        <v>396</v>
      </c>
      <c r="C27" s="2">
        <v>125</v>
      </c>
      <c r="D27" s="2">
        <v>100</v>
      </c>
      <c r="E27" s="2"/>
      <c r="F27" s="2"/>
      <c r="G27" s="2"/>
      <c r="H27" s="2"/>
      <c r="I27" s="2"/>
      <c r="J27" s="2"/>
      <c r="K27" s="2"/>
    </row>
    <row r="28" spans="1:11" x14ac:dyDescent="0.25">
      <c r="B28" s="2"/>
      <c r="C28" s="2"/>
      <c r="D28" s="2"/>
      <c r="E28" s="2"/>
      <c r="F28" s="2"/>
      <c r="G28" s="2"/>
      <c r="H28" s="2"/>
      <c r="I28" s="2"/>
      <c r="J28" s="2"/>
      <c r="K28" s="2"/>
    </row>
    <row r="29" spans="1:11" ht="15" x14ac:dyDescent="0.4">
      <c r="A29" s="282" t="s">
        <v>466</v>
      </c>
      <c r="C29" s="281" t="s">
        <v>1794</v>
      </c>
      <c r="D29" s="281" t="s">
        <v>1970</v>
      </c>
      <c r="E29" s="281" t="s">
        <v>2129</v>
      </c>
      <c r="F29" s="2">
        <v>964.7</v>
      </c>
      <c r="G29" s="2">
        <v>1070</v>
      </c>
      <c r="H29" s="2">
        <v>1070</v>
      </c>
      <c r="I29" s="2">
        <v>1070</v>
      </c>
      <c r="J29" s="2">
        <v>1070</v>
      </c>
      <c r="K29" s="2">
        <v>1070</v>
      </c>
    </row>
    <row r="30" spans="1:11" x14ac:dyDescent="0.25">
      <c r="A30" s="280" t="s">
        <v>959</v>
      </c>
      <c r="C30" s="2">
        <v>600</v>
      </c>
      <c r="D30" s="2">
        <v>590</v>
      </c>
      <c r="E30" s="2"/>
      <c r="F30" s="2"/>
      <c r="G30" s="2"/>
      <c r="H30" s="2"/>
      <c r="I30" s="2"/>
      <c r="J30" s="2"/>
      <c r="K30" s="2"/>
    </row>
    <row r="31" spans="1:11" ht="15" x14ac:dyDescent="0.4">
      <c r="A31" s="280" t="s">
        <v>1008</v>
      </c>
      <c r="C31" s="11">
        <v>480</v>
      </c>
      <c r="D31" s="11">
        <v>480</v>
      </c>
      <c r="E31" s="11"/>
      <c r="F31" s="2"/>
      <c r="G31" s="2"/>
      <c r="H31" s="2"/>
      <c r="I31" s="2"/>
      <c r="J31" s="2"/>
      <c r="K31" s="2"/>
    </row>
    <row r="32" spans="1:11" x14ac:dyDescent="0.25">
      <c r="A32" s="280" t="s">
        <v>1247</v>
      </c>
      <c r="C32" s="2">
        <f>SUM(C30:C31)</f>
        <v>1080</v>
      </c>
      <c r="D32" s="2">
        <f>SUM(D30:D31)</f>
        <v>1070</v>
      </c>
      <c r="E32" s="2">
        <f>SUM(E30:E31)</f>
        <v>0</v>
      </c>
      <c r="F32" s="2"/>
      <c r="G32" s="2"/>
      <c r="H32" s="2"/>
      <c r="I32" s="2"/>
      <c r="J32" s="2"/>
      <c r="K32" s="2"/>
    </row>
    <row r="33" spans="1:11" x14ac:dyDescent="0.25">
      <c r="A33" s="280" t="s">
        <v>396</v>
      </c>
      <c r="C33" s="2" t="s">
        <v>396</v>
      </c>
      <c r="D33" s="2" t="s">
        <v>396</v>
      </c>
      <c r="E33" s="2" t="s">
        <v>396</v>
      </c>
      <c r="F33" s="2"/>
      <c r="G33" s="2"/>
      <c r="H33" s="2"/>
      <c r="I33" s="2"/>
      <c r="J33" s="2"/>
      <c r="K33" s="2"/>
    </row>
    <row r="34" spans="1:11" ht="15" x14ac:dyDescent="0.4">
      <c r="A34" s="282" t="s">
        <v>667</v>
      </c>
      <c r="C34" s="281" t="s">
        <v>1794</v>
      </c>
      <c r="D34" s="281" t="s">
        <v>1970</v>
      </c>
      <c r="E34" s="281" t="s">
        <v>2129</v>
      </c>
      <c r="F34" s="2">
        <v>50</v>
      </c>
      <c r="G34" s="2">
        <v>50</v>
      </c>
      <c r="H34" s="2">
        <v>50</v>
      </c>
      <c r="I34" s="2">
        <v>50</v>
      </c>
      <c r="J34" s="2">
        <v>50</v>
      </c>
      <c r="K34" s="2">
        <v>50</v>
      </c>
    </row>
    <row r="35" spans="1:11" x14ac:dyDescent="0.25">
      <c r="A35" s="280" t="s">
        <v>428</v>
      </c>
      <c r="B35" s="2" t="s">
        <v>396</v>
      </c>
      <c r="C35" s="2">
        <v>50</v>
      </c>
      <c r="D35" s="2">
        <v>50</v>
      </c>
      <c r="E35" s="2">
        <v>50</v>
      </c>
      <c r="F35" s="2"/>
      <c r="G35" s="2"/>
      <c r="H35" s="2"/>
      <c r="I35" s="2"/>
      <c r="J35" s="2"/>
      <c r="K35" s="2"/>
    </row>
    <row r="36" spans="1:11" x14ac:dyDescent="0.25">
      <c r="C36" s="2"/>
      <c r="D36" s="2"/>
      <c r="E36" s="2"/>
      <c r="F36" s="2"/>
      <c r="G36" s="2"/>
      <c r="H36" s="2"/>
      <c r="I36" s="2"/>
      <c r="J36" s="2"/>
      <c r="K36" s="2"/>
    </row>
    <row r="37" spans="1:11" ht="15" x14ac:dyDescent="0.4">
      <c r="A37" s="17" t="s">
        <v>1487</v>
      </c>
      <c r="C37" s="281" t="s">
        <v>1794</v>
      </c>
      <c r="D37" s="281" t="s">
        <v>1970</v>
      </c>
      <c r="E37" s="281" t="s">
        <v>2129</v>
      </c>
      <c r="F37" s="2">
        <v>347.44</v>
      </c>
      <c r="G37" s="2">
        <v>377</v>
      </c>
      <c r="H37" s="2">
        <v>360</v>
      </c>
      <c r="I37" s="2">
        <v>360</v>
      </c>
      <c r="J37" s="2">
        <v>360</v>
      </c>
      <c r="K37" s="2">
        <v>360</v>
      </c>
    </row>
    <row r="38" spans="1:11" x14ac:dyDescent="0.25">
      <c r="A38" s="280" t="s">
        <v>867</v>
      </c>
      <c r="C38" s="280">
        <v>519</v>
      </c>
      <c r="D38" s="280">
        <v>377</v>
      </c>
      <c r="E38" s="280">
        <v>360</v>
      </c>
      <c r="F38" s="2"/>
      <c r="G38" s="2"/>
      <c r="H38" s="2"/>
      <c r="I38" s="2"/>
      <c r="J38" s="2"/>
      <c r="K38" s="2"/>
    </row>
    <row r="39" spans="1:11" x14ac:dyDescent="0.25">
      <c r="C39" s="2"/>
      <c r="D39" s="2"/>
      <c r="E39" s="2"/>
      <c r="F39" s="2"/>
      <c r="G39" s="2"/>
      <c r="H39" s="2"/>
      <c r="I39" s="2"/>
      <c r="J39" s="2"/>
      <c r="K39" s="2"/>
    </row>
    <row r="40" spans="1:11" ht="15" x14ac:dyDescent="0.4">
      <c r="A40" s="282" t="s">
        <v>1488</v>
      </c>
      <c r="C40" s="281" t="s">
        <v>1794</v>
      </c>
      <c r="D40" s="281" t="s">
        <v>1970</v>
      </c>
      <c r="E40" s="281" t="s">
        <v>2129</v>
      </c>
      <c r="F40" s="2">
        <v>719.89</v>
      </c>
      <c r="G40" s="2">
        <v>527</v>
      </c>
      <c r="H40" s="2">
        <v>600</v>
      </c>
      <c r="I40" s="2">
        <v>600</v>
      </c>
      <c r="J40" s="2">
        <v>600</v>
      </c>
      <c r="K40" s="2">
        <v>600</v>
      </c>
    </row>
    <row r="41" spans="1:11" x14ac:dyDescent="0.25">
      <c r="A41" s="280" t="s">
        <v>301</v>
      </c>
      <c r="C41" s="2">
        <v>500</v>
      </c>
      <c r="D41" s="2">
        <v>527</v>
      </c>
      <c r="E41" s="2">
        <v>600</v>
      </c>
      <c r="F41" s="2"/>
      <c r="G41" s="2"/>
      <c r="H41" s="2"/>
      <c r="I41" s="2"/>
      <c r="J41" s="2"/>
      <c r="K41" s="2"/>
    </row>
    <row r="42" spans="1:11" x14ac:dyDescent="0.25">
      <c r="D42" s="2"/>
      <c r="E42" s="2"/>
      <c r="F42" s="2"/>
      <c r="G42" s="2"/>
      <c r="H42" s="2"/>
      <c r="I42" s="2"/>
      <c r="J42" s="2"/>
      <c r="K42" s="2"/>
    </row>
    <row r="43" spans="1:11" ht="13.8" x14ac:dyDescent="0.3">
      <c r="A43" s="282" t="s">
        <v>595</v>
      </c>
      <c r="D43" s="2"/>
      <c r="E43" s="2"/>
      <c r="F43" s="2">
        <v>1500</v>
      </c>
      <c r="G43" s="2">
        <v>1500</v>
      </c>
      <c r="H43" s="2">
        <v>1500</v>
      </c>
      <c r="I43" s="2">
        <v>1500</v>
      </c>
      <c r="J43" s="2">
        <v>1500</v>
      </c>
      <c r="K43" s="2">
        <v>1500</v>
      </c>
    </row>
    <row r="44" spans="1:11" x14ac:dyDescent="0.25">
      <c r="A44" s="23" t="s">
        <v>1665</v>
      </c>
      <c r="D44" s="2"/>
      <c r="E44" s="2">
        <v>1500</v>
      </c>
      <c r="F44" s="2"/>
      <c r="G44" s="2"/>
      <c r="H44" s="2"/>
      <c r="I44" s="2"/>
      <c r="J44" s="2"/>
      <c r="K44" s="2"/>
    </row>
    <row r="45" spans="1:11" x14ac:dyDescent="0.25">
      <c r="A45" s="23"/>
      <c r="D45" s="2"/>
      <c r="E45" s="2"/>
      <c r="F45" s="2"/>
      <c r="G45" s="2"/>
      <c r="H45" s="2"/>
      <c r="I45" s="2"/>
      <c r="J45" s="2"/>
      <c r="K45" s="2"/>
    </row>
    <row r="46" spans="1:11" ht="15" x14ac:dyDescent="0.4">
      <c r="A46" s="282" t="s">
        <v>511</v>
      </c>
      <c r="C46" s="281" t="s">
        <v>1794</v>
      </c>
      <c r="D46" s="281" t="s">
        <v>1970</v>
      </c>
      <c r="E46" s="281" t="s">
        <v>2129</v>
      </c>
      <c r="F46" s="2">
        <v>220</v>
      </c>
      <c r="G46" s="2">
        <v>220</v>
      </c>
      <c r="H46" s="2">
        <v>235</v>
      </c>
      <c r="I46" s="2">
        <v>235</v>
      </c>
      <c r="J46" s="2">
        <v>235</v>
      </c>
      <c r="K46" s="2">
        <v>235</v>
      </c>
    </row>
    <row r="47" spans="1:11" x14ac:dyDescent="0.25">
      <c r="A47" s="280" t="s">
        <v>485</v>
      </c>
      <c r="C47" s="2">
        <v>135</v>
      </c>
      <c r="D47" s="2">
        <v>135</v>
      </c>
      <c r="E47" s="2">
        <v>150</v>
      </c>
      <c r="F47" s="2"/>
      <c r="G47" s="2"/>
      <c r="H47" s="2"/>
      <c r="I47" s="2"/>
      <c r="J47" s="2"/>
      <c r="K47" s="2"/>
    </row>
    <row r="48" spans="1:11" ht="15" x14ac:dyDescent="0.4">
      <c r="A48" s="280" t="s">
        <v>1586</v>
      </c>
      <c r="C48" s="11">
        <v>85</v>
      </c>
      <c r="D48" s="11">
        <v>85</v>
      </c>
      <c r="E48" s="11">
        <v>85</v>
      </c>
      <c r="F48" s="2"/>
      <c r="G48" s="2"/>
      <c r="H48" s="2"/>
      <c r="I48" s="2"/>
      <c r="J48" s="2"/>
      <c r="K48" s="2"/>
    </row>
    <row r="49" spans="1:11" x14ac:dyDescent="0.25">
      <c r="A49" s="280" t="s">
        <v>1247</v>
      </c>
      <c r="C49" s="2">
        <f>SUM(C47:C48)</f>
        <v>220</v>
      </c>
      <c r="D49" s="2">
        <f>SUM(D47:D48)</f>
        <v>220</v>
      </c>
      <c r="E49" s="2">
        <f>SUM(E47:E48)</f>
        <v>235</v>
      </c>
      <c r="F49" s="2"/>
      <c r="G49" s="2"/>
      <c r="H49" s="2"/>
      <c r="I49" s="2"/>
      <c r="J49" s="2"/>
      <c r="K49" s="2"/>
    </row>
    <row r="50" spans="1:11" x14ac:dyDescent="0.25">
      <c r="C50" s="2"/>
      <c r="D50" s="2"/>
      <c r="E50" s="2"/>
      <c r="F50" s="2"/>
      <c r="G50" s="2"/>
      <c r="H50" s="2"/>
      <c r="I50" s="2"/>
      <c r="J50" s="2"/>
      <c r="K50" s="2"/>
    </row>
    <row r="51" spans="1:11" ht="15" x14ac:dyDescent="0.4">
      <c r="A51" s="282" t="s">
        <v>512</v>
      </c>
      <c r="C51" s="281" t="s">
        <v>1794</v>
      </c>
      <c r="D51" s="281" t="s">
        <v>1970</v>
      </c>
      <c r="E51" s="281" t="s">
        <v>2129</v>
      </c>
      <c r="F51" s="2">
        <v>0</v>
      </c>
      <c r="G51" s="2">
        <v>17</v>
      </c>
      <c r="H51" s="2">
        <v>17</v>
      </c>
      <c r="I51" s="2">
        <v>17</v>
      </c>
      <c r="J51" s="2">
        <v>17</v>
      </c>
      <c r="K51" s="2">
        <v>17</v>
      </c>
    </row>
    <row r="52" spans="1:11" x14ac:dyDescent="0.25">
      <c r="A52" s="280" t="s">
        <v>300</v>
      </c>
      <c r="C52" s="2">
        <v>17</v>
      </c>
      <c r="D52" s="2">
        <v>17</v>
      </c>
      <c r="E52" s="2">
        <v>17</v>
      </c>
      <c r="F52" s="2"/>
      <c r="G52" s="2"/>
      <c r="H52" s="2"/>
      <c r="I52" s="2"/>
      <c r="J52" s="2"/>
      <c r="K52" s="2"/>
    </row>
    <row r="53" spans="1:11" x14ac:dyDescent="0.25">
      <c r="D53" s="2"/>
      <c r="E53" s="2"/>
      <c r="F53" s="2"/>
      <c r="G53" s="2"/>
      <c r="H53" s="2"/>
      <c r="I53" s="2"/>
      <c r="J53" s="2"/>
      <c r="K53" s="2"/>
    </row>
    <row r="54" spans="1:11" ht="13.8" x14ac:dyDescent="0.3">
      <c r="A54" s="282" t="s">
        <v>1748</v>
      </c>
      <c r="D54" s="2"/>
      <c r="E54" s="2"/>
      <c r="F54" s="2"/>
      <c r="G54" s="2"/>
      <c r="H54" s="2"/>
      <c r="I54" s="2"/>
      <c r="J54" s="2"/>
      <c r="K54" s="2"/>
    </row>
    <row r="55" spans="1:11" x14ac:dyDescent="0.25">
      <c r="D55" s="2"/>
      <c r="E55" s="2"/>
      <c r="F55" s="2"/>
      <c r="G55" s="2"/>
      <c r="H55" s="2"/>
      <c r="I55" s="2"/>
      <c r="J55" s="2"/>
      <c r="K55" s="2"/>
    </row>
    <row r="56" spans="1:11" ht="15" x14ac:dyDescent="0.4">
      <c r="D56" s="309" t="s">
        <v>2129</v>
      </c>
      <c r="E56" s="312"/>
      <c r="F56" s="2"/>
      <c r="G56" s="2"/>
      <c r="H56" s="2"/>
      <c r="I56" s="2"/>
      <c r="J56" s="2"/>
      <c r="K56" s="2"/>
    </row>
    <row r="57" spans="1:11" ht="13.8" x14ac:dyDescent="0.3">
      <c r="A57" s="282" t="s">
        <v>277</v>
      </c>
      <c r="B57" s="150" t="s">
        <v>1794</v>
      </c>
      <c r="C57" s="150" t="s">
        <v>1970</v>
      </c>
      <c r="D57" s="19" t="s">
        <v>247</v>
      </c>
      <c r="E57" s="19" t="s">
        <v>251</v>
      </c>
      <c r="F57" s="2">
        <v>74000</v>
      </c>
      <c r="G57" s="2">
        <v>75000</v>
      </c>
      <c r="H57" s="2">
        <f>+E75</f>
        <v>75833</v>
      </c>
      <c r="I57" s="2">
        <v>75833</v>
      </c>
      <c r="J57" s="2">
        <v>75833</v>
      </c>
      <c r="K57" s="2">
        <v>75833</v>
      </c>
    </row>
    <row r="58" spans="1:11" x14ac:dyDescent="0.25">
      <c r="A58" s="23" t="s">
        <v>2024</v>
      </c>
      <c r="B58" s="21" t="s">
        <v>2025</v>
      </c>
      <c r="C58" s="8">
        <v>1000</v>
      </c>
      <c r="D58" s="8" t="s">
        <v>2162</v>
      </c>
      <c r="E58" s="8">
        <v>0</v>
      </c>
      <c r="F58" s="2"/>
      <c r="G58" s="2"/>
      <c r="H58" s="2"/>
      <c r="I58" s="2"/>
      <c r="J58" s="2"/>
      <c r="K58" s="2"/>
    </row>
    <row r="59" spans="1:11" x14ac:dyDescent="0.25">
      <c r="A59" s="280" t="s">
        <v>830</v>
      </c>
      <c r="B59" s="2">
        <v>1000</v>
      </c>
      <c r="C59" s="2">
        <v>1000</v>
      </c>
      <c r="D59" s="2">
        <v>1000</v>
      </c>
      <c r="E59" s="2">
        <v>1000</v>
      </c>
      <c r="F59" s="2"/>
      <c r="G59" s="2"/>
      <c r="H59" s="2"/>
      <c r="I59" s="2"/>
      <c r="J59" s="2"/>
      <c r="K59" s="2"/>
    </row>
    <row r="60" spans="1:11" x14ac:dyDescent="0.25">
      <c r="A60" s="280" t="s">
        <v>1384</v>
      </c>
      <c r="B60" s="2">
        <v>1000</v>
      </c>
      <c r="C60" s="2">
        <v>1000</v>
      </c>
      <c r="D60" s="2">
        <v>1000</v>
      </c>
      <c r="E60" s="2">
        <v>1000</v>
      </c>
      <c r="F60" s="2"/>
      <c r="G60" s="2"/>
      <c r="H60" s="2"/>
      <c r="I60" s="2"/>
      <c r="J60" s="2"/>
      <c r="K60" s="2"/>
    </row>
    <row r="61" spans="1:11" x14ac:dyDescent="0.25">
      <c r="A61" s="280" t="s">
        <v>1337</v>
      </c>
      <c r="B61" s="2">
        <v>5100</v>
      </c>
      <c r="C61" s="2">
        <v>5500</v>
      </c>
      <c r="D61" s="2">
        <v>5500</v>
      </c>
      <c r="E61" s="2">
        <v>5500</v>
      </c>
      <c r="F61" s="2"/>
      <c r="G61" s="2"/>
      <c r="H61" s="2"/>
      <c r="I61" s="2"/>
      <c r="J61" s="2"/>
      <c r="K61" s="2"/>
    </row>
    <row r="62" spans="1:11" x14ac:dyDescent="0.25">
      <c r="A62" s="280" t="s">
        <v>1039</v>
      </c>
      <c r="B62" s="2">
        <v>3000</v>
      </c>
      <c r="C62" s="2">
        <v>3000</v>
      </c>
      <c r="D62" s="8" t="s">
        <v>2162</v>
      </c>
      <c r="E62" s="2">
        <v>0</v>
      </c>
      <c r="F62" s="2"/>
      <c r="G62" s="2"/>
      <c r="H62" s="2"/>
      <c r="I62" s="2"/>
      <c r="J62" s="2"/>
      <c r="K62" s="2"/>
    </row>
    <row r="63" spans="1:11" x14ac:dyDescent="0.25">
      <c r="A63" s="280" t="s">
        <v>2026</v>
      </c>
      <c r="B63" s="2">
        <v>3100</v>
      </c>
      <c r="C63" s="2">
        <v>3500</v>
      </c>
      <c r="D63" s="2">
        <v>3500</v>
      </c>
      <c r="E63" s="2">
        <v>3500</v>
      </c>
      <c r="F63" s="2"/>
      <c r="G63" s="2"/>
      <c r="H63" s="2"/>
      <c r="I63" s="2"/>
      <c r="J63" s="2"/>
      <c r="K63" s="2"/>
    </row>
    <row r="64" spans="1:11" x14ac:dyDescent="0.25">
      <c r="A64" s="280" t="s">
        <v>2163</v>
      </c>
      <c r="B64" s="2">
        <v>0</v>
      </c>
      <c r="C64" s="2">
        <v>0</v>
      </c>
      <c r="D64" s="2">
        <v>5000</v>
      </c>
      <c r="E64" s="2">
        <v>2500</v>
      </c>
      <c r="F64" s="2"/>
      <c r="G64" s="2"/>
      <c r="H64" s="2"/>
      <c r="I64" s="2"/>
      <c r="J64" s="2"/>
      <c r="K64" s="2"/>
    </row>
    <row r="65" spans="1:11" x14ac:dyDescent="0.25">
      <c r="A65" s="280" t="s">
        <v>91</v>
      </c>
      <c r="B65" s="2">
        <v>12350</v>
      </c>
      <c r="C65" s="2">
        <v>13517</v>
      </c>
      <c r="D65" s="2">
        <v>66080</v>
      </c>
      <c r="E65" s="2">
        <v>13517</v>
      </c>
      <c r="F65" s="2"/>
      <c r="G65" s="2"/>
      <c r="H65" s="2"/>
      <c r="I65" s="2"/>
      <c r="J65" s="2"/>
      <c r="K65" s="2"/>
    </row>
    <row r="66" spans="1:11" x14ac:dyDescent="0.25">
      <c r="A66" s="280" t="s">
        <v>924</v>
      </c>
      <c r="B66" s="2">
        <v>2000</v>
      </c>
      <c r="C66" s="2">
        <v>3667</v>
      </c>
      <c r="D66" s="2">
        <v>10000</v>
      </c>
      <c r="E66" s="2">
        <v>4500</v>
      </c>
      <c r="F66" s="2"/>
      <c r="G66" s="2"/>
      <c r="H66" s="2"/>
      <c r="I66" s="2"/>
      <c r="J66" s="2"/>
      <c r="K66" s="2"/>
    </row>
    <row r="67" spans="1:11" x14ac:dyDescent="0.25">
      <c r="A67" s="280" t="s">
        <v>925</v>
      </c>
      <c r="B67" s="2">
        <v>1000</v>
      </c>
      <c r="C67" s="2">
        <v>1000</v>
      </c>
      <c r="D67" s="2">
        <v>1000</v>
      </c>
      <c r="E67" s="2">
        <v>1000</v>
      </c>
      <c r="F67" s="2"/>
      <c r="G67" s="2"/>
      <c r="H67" s="2"/>
      <c r="I67" s="2"/>
      <c r="J67" s="2"/>
      <c r="K67" s="2"/>
    </row>
    <row r="68" spans="1:11" x14ac:dyDescent="0.25">
      <c r="A68" s="280" t="s">
        <v>1380</v>
      </c>
      <c r="B68" s="2">
        <v>15000</v>
      </c>
      <c r="C68" s="2">
        <v>15000</v>
      </c>
      <c r="D68" s="2">
        <v>15000</v>
      </c>
      <c r="E68" s="2">
        <v>15000</v>
      </c>
      <c r="F68" s="2"/>
      <c r="G68" s="2"/>
      <c r="H68" s="2"/>
      <c r="I68" s="2"/>
      <c r="J68" s="2"/>
      <c r="K68" s="2"/>
    </row>
    <row r="69" spans="1:11" x14ac:dyDescent="0.25">
      <c r="A69" s="280" t="s">
        <v>394</v>
      </c>
      <c r="B69" s="2">
        <v>3350</v>
      </c>
      <c r="C69" s="2">
        <v>2500</v>
      </c>
      <c r="D69" s="2">
        <v>5000</v>
      </c>
      <c r="E69" s="2">
        <v>4000</v>
      </c>
      <c r="F69" s="2"/>
      <c r="G69" s="2"/>
      <c r="H69" s="2"/>
      <c r="I69" s="2"/>
      <c r="J69" s="2"/>
      <c r="K69" s="2"/>
    </row>
    <row r="70" spans="1:11" x14ac:dyDescent="0.25">
      <c r="A70" s="280" t="s">
        <v>92</v>
      </c>
      <c r="B70" s="2">
        <v>5000</v>
      </c>
      <c r="C70" s="2">
        <v>5000</v>
      </c>
      <c r="D70" s="2">
        <v>5000</v>
      </c>
      <c r="E70" s="2">
        <v>5000</v>
      </c>
      <c r="F70" s="2"/>
      <c r="G70" s="2"/>
      <c r="H70" s="2"/>
      <c r="I70" s="2"/>
      <c r="J70" s="2"/>
      <c r="K70" s="2"/>
    </row>
    <row r="71" spans="1:11" x14ac:dyDescent="0.25">
      <c r="A71" s="280" t="s">
        <v>916</v>
      </c>
      <c r="B71" s="2">
        <v>5000</v>
      </c>
      <c r="C71" s="2">
        <v>5000</v>
      </c>
      <c r="D71" s="2">
        <v>5000</v>
      </c>
      <c r="E71" s="2">
        <v>5000</v>
      </c>
      <c r="F71" s="2"/>
      <c r="G71" s="2"/>
      <c r="H71" s="2"/>
      <c r="I71" s="2"/>
      <c r="J71" s="2"/>
      <c r="K71" s="2"/>
    </row>
    <row r="72" spans="1:11" x14ac:dyDescent="0.25">
      <c r="A72" s="280" t="s">
        <v>93</v>
      </c>
      <c r="B72" s="2">
        <v>1000</v>
      </c>
      <c r="C72" s="2">
        <v>1300</v>
      </c>
      <c r="D72" s="2">
        <v>2000</v>
      </c>
      <c r="E72" s="2">
        <v>1300</v>
      </c>
      <c r="F72" s="2"/>
      <c r="G72" s="2"/>
      <c r="H72" s="2"/>
      <c r="I72" s="2"/>
      <c r="J72" s="2"/>
      <c r="K72" s="2"/>
    </row>
    <row r="73" spans="1:11" x14ac:dyDescent="0.25">
      <c r="A73" s="280" t="s">
        <v>505</v>
      </c>
      <c r="B73" s="3">
        <v>3000</v>
      </c>
      <c r="C73" s="3">
        <v>3000</v>
      </c>
      <c r="D73" s="2">
        <v>3000</v>
      </c>
      <c r="E73" s="3">
        <v>3000</v>
      </c>
      <c r="F73" s="2"/>
      <c r="G73" s="2"/>
      <c r="H73" s="2"/>
      <c r="I73" s="2"/>
      <c r="J73" s="2"/>
      <c r="K73" s="2"/>
    </row>
    <row r="74" spans="1:11" ht="15" x14ac:dyDescent="0.4">
      <c r="A74" s="280" t="s">
        <v>917</v>
      </c>
      <c r="B74" s="31">
        <v>13100</v>
      </c>
      <c r="C74" s="31">
        <v>10016</v>
      </c>
      <c r="D74" s="11">
        <v>11100</v>
      </c>
      <c r="E74" s="31">
        <v>10016</v>
      </c>
      <c r="F74" s="2"/>
      <c r="G74" s="2"/>
      <c r="H74" s="2"/>
      <c r="I74" s="2"/>
      <c r="J74" s="2"/>
      <c r="K74" s="2"/>
    </row>
    <row r="75" spans="1:11" x14ac:dyDescent="0.25">
      <c r="A75" s="280" t="s">
        <v>1247</v>
      </c>
      <c r="B75" s="2">
        <f>SUM(B58:B74)</f>
        <v>74000</v>
      </c>
      <c r="C75" s="2">
        <f>SUM(C58:C74)</f>
        <v>75000</v>
      </c>
      <c r="D75" s="2">
        <f>SUM(D58:D74)</f>
        <v>139180</v>
      </c>
      <c r="E75" s="2">
        <f>SUM(E58:E74)</f>
        <v>75833</v>
      </c>
      <c r="F75" s="2"/>
      <c r="G75" s="2"/>
      <c r="H75" s="2"/>
      <c r="I75" s="2"/>
      <c r="J75" s="2"/>
      <c r="K75" s="2"/>
    </row>
    <row r="76" spans="1:11" x14ac:dyDescent="0.25">
      <c r="B76" s="2"/>
      <c r="C76" s="2"/>
      <c r="D76" s="2"/>
      <c r="E76" s="2"/>
      <c r="F76" s="2"/>
      <c r="G76" s="2"/>
      <c r="H76" s="2"/>
      <c r="I76" s="2"/>
      <c r="J76" s="2"/>
      <c r="K76" s="2"/>
    </row>
    <row r="77" spans="1:11" x14ac:dyDescent="0.25">
      <c r="A77" s="280" t="s">
        <v>963</v>
      </c>
      <c r="B77" s="2"/>
      <c r="C77" s="2"/>
      <c r="D77" s="2"/>
      <c r="E77" s="8"/>
      <c r="F77" s="2">
        <v>42682.239999999998</v>
      </c>
      <c r="G77" s="2">
        <v>30000</v>
      </c>
      <c r="H77" s="2">
        <v>32000</v>
      </c>
      <c r="I77" s="2">
        <v>32000</v>
      </c>
      <c r="J77" s="2">
        <v>32000</v>
      </c>
      <c r="K77" s="2">
        <v>32000</v>
      </c>
    </row>
    <row r="78" spans="1:11" x14ac:dyDescent="0.25">
      <c r="A78" s="280" t="s">
        <v>964</v>
      </c>
      <c r="B78" s="2"/>
      <c r="C78" s="2"/>
      <c r="D78" s="2"/>
      <c r="E78" s="8"/>
      <c r="F78" s="2">
        <v>812.96</v>
      </c>
      <c r="G78" s="2">
        <v>2000</v>
      </c>
      <c r="H78" s="2">
        <v>1000</v>
      </c>
      <c r="I78" s="2">
        <v>1000</v>
      </c>
      <c r="J78" s="2">
        <v>1000</v>
      </c>
      <c r="K78" s="2">
        <v>1000</v>
      </c>
    </row>
    <row r="79" spans="1:11" x14ac:dyDescent="0.25">
      <c r="A79" s="280" t="s">
        <v>736</v>
      </c>
      <c r="B79" s="2"/>
      <c r="C79" s="2"/>
      <c r="D79" s="2"/>
      <c r="E79" s="8"/>
      <c r="F79" s="2">
        <v>0</v>
      </c>
      <c r="G79" s="2">
        <v>200</v>
      </c>
      <c r="H79" s="2">
        <v>200</v>
      </c>
      <c r="I79" s="2">
        <v>200</v>
      </c>
      <c r="J79" s="2">
        <v>200</v>
      </c>
      <c r="K79" s="2">
        <v>200</v>
      </c>
    </row>
    <row r="80" spans="1:11" x14ac:dyDescent="0.25">
      <c r="A80" s="280" t="s">
        <v>737</v>
      </c>
      <c r="B80" s="2"/>
      <c r="C80" s="2"/>
      <c r="D80" s="2"/>
      <c r="E80" s="8"/>
      <c r="F80" s="2">
        <v>0</v>
      </c>
      <c r="G80" s="2">
        <v>900</v>
      </c>
      <c r="H80" s="2">
        <v>900</v>
      </c>
      <c r="I80" s="2">
        <v>900</v>
      </c>
      <c r="J80" s="2">
        <v>900</v>
      </c>
      <c r="K80" s="2">
        <v>900</v>
      </c>
    </row>
    <row r="81" spans="1:11" x14ac:dyDescent="0.25">
      <c r="A81" s="280" t="s">
        <v>965</v>
      </c>
      <c r="B81" s="2"/>
      <c r="C81" s="2"/>
      <c r="D81" s="2"/>
      <c r="E81" s="8"/>
      <c r="F81" s="2">
        <v>10</v>
      </c>
      <c r="G81" s="2">
        <v>50</v>
      </c>
      <c r="H81" s="2">
        <v>50</v>
      </c>
      <c r="I81" s="2">
        <v>50</v>
      </c>
      <c r="J81" s="2">
        <v>50</v>
      </c>
      <c r="K81" s="2">
        <v>50</v>
      </c>
    </row>
    <row r="82" spans="1:11" x14ac:dyDescent="0.25">
      <c r="A82" s="280" t="s">
        <v>966</v>
      </c>
      <c r="B82" s="2"/>
      <c r="C82" s="2"/>
      <c r="D82" s="2"/>
      <c r="E82" s="8"/>
      <c r="F82" s="2">
        <v>0</v>
      </c>
      <c r="G82" s="2">
        <v>50</v>
      </c>
      <c r="H82" s="2">
        <v>50</v>
      </c>
      <c r="I82" s="2">
        <v>50</v>
      </c>
      <c r="J82" s="2">
        <v>50</v>
      </c>
      <c r="K82" s="2">
        <v>50</v>
      </c>
    </row>
    <row r="83" spans="1:11" x14ac:dyDescent="0.25">
      <c r="A83" s="280" t="s">
        <v>967</v>
      </c>
      <c r="B83" s="2"/>
      <c r="C83" s="2"/>
      <c r="D83" s="2"/>
      <c r="E83" s="8"/>
      <c r="F83" s="2">
        <v>0</v>
      </c>
      <c r="G83" s="2">
        <v>300</v>
      </c>
      <c r="H83" s="2">
        <v>300</v>
      </c>
      <c r="I83" s="2">
        <v>300</v>
      </c>
      <c r="J83" s="2">
        <v>300</v>
      </c>
      <c r="K83" s="2">
        <v>300</v>
      </c>
    </row>
    <row r="84" spans="1:11" x14ac:dyDescent="0.25">
      <c r="A84" s="280" t="s">
        <v>968</v>
      </c>
      <c r="B84" s="2"/>
      <c r="C84" s="2"/>
      <c r="D84" s="2"/>
      <c r="E84" s="8"/>
      <c r="F84" s="2">
        <v>0</v>
      </c>
      <c r="G84" s="2">
        <v>1</v>
      </c>
      <c r="H84" s="2">
        <v>1</v>
      </c>
      <c r="I84" s="2">
        <v>1</v>
      </c>
      <c r="J84" s="2">
        <v>1</v>
      </c>
      <c r="K84" s="2">
        <v>1</v>
      </c>
    </row>
    <row r="85" spans="1:11" x14ac:dyDescent="0.25">
      <c r="A85" s="280" t="s">
        <v>1301</v>
      </c>
      <c r="B85" s="2"/>
      <c r="C85" s="2"/>
      <c r="D85" s="2"/>
      <c r="E85" s="8"/>
      <c r="F85" s="2">
        <v>0</v>
      </c>
      <c r="G85" s="2">
        <v>500</v>
      </c>
      <c r="H85" s="2">
        <v>500</v>
      </c>
      <c r="I85" s="2">
        <v>500</v>
      </c>
      <c r="J85" s="2">
        <v>500</v>
      </c>
      <c r="K85" s="2">
        <v>500</v>
      </c>
    </row>
    <row r="86" spans="1:11" x14ac:dyDescent="0.25">
      <c r="A86" s="280" t="s">
        <v>2114</v>
      </c>
      <c r="B86" s="2"/>
      <c r="C86" s="2"/>
      <c r="D86" s="2"/>
      <c r="E86" s="8"/>
      <c r="F86" s="2">
        <v>0</v>
      </c>
      <c r="G86" s="2">
        <v>500</v>
      </c>
      <c r="H86" s="2">
        <v>500</v>
      </c>
      <c r="I86" s="2">
        <v>500</v>
      </c>
      <c r="J86" s="2">
        <v>500</v>
      </c>
      <c r="K86" s="2">
        <v>500</v>
      </c>
    </row>
    <row r="87" spans="1:11" x14ac:dyDescent="0.25">
      <c r="A87" s="280" t="s">
        <v>745</v>
      </c>
      <c r="B87" s="2"/>
      <c r="C87" s="2"/>
      <c r="D87" s="2"/>
      <c r="E87" s="8"/>
      <c r="F87" s="2">
        <v>0</v>
      </c>
      <c r="G87" s="2">
        <v>1</v>
      </c>
      <c r="H87" s="2">
        <v>1</v>
      </c>
      <c r="I87" s="2">
        <v>1</v>
      </c>
      <c r="J87" s="2">
        <v>1</v>
      </c>
      <c r="K87" s="2">
        <v>1</v>
      </c>
    </row>
    <row r="88" spans="1:11" x14ac:dyDescent="0.25">
      <c r="A88" s="280" t="s">
        <v>267</v>
      </c>
      <c r="B88" s="2"/>
      <c r="C88" s="2"/>
      <c r="D88" s="2"/>
      <c r="E88" s="8"/>
      <c r="F88" s="2">
        <v>0</v>
      </c>
      <c r="G88" s="2">
        <v>1</v>
      </c>
      <c r="H88" s="2">
        <v>1</v>
      </c>
      <c r="I88" s="2">
        <v>1</v>
      </c>
      <c r="J88" s="2">
        <v>1</v>
      </c>
      <c r="K88" s="2">
        <v>1</v>
      </c>
    </row>
    <row r="89" spans="1:11" x14ac:dyDescent="0.25">
      <c r="A89" s="280" t="s">
        <v>268</v>
      </c>
      <c r="B89" s="2"/>
      <c r="C89" s="2"/>
      <c r="D89" s="2"/>
      <c r="E89" s="8"/>
      <c r="F89" s="2">
        <v>1000</v>
      </c>
      <c r="G89" s="2">
        <v>1000</v>
      </c>
      <c r="H89" s="2">
        <v>1000</v>
      </c>
      <c r="I89" s="2">
        <v>1000</v>
      </c>
      <c r="J89" s="2">
        <v>1000</v>
      </c>
      <c r="K89" s="2">
        <v>1000</v>
      </c>
    </row>
    <row r="90" spans="1:11" x14ac:dyDescent="0.25">
      <c r="A90" s="280" t="s">
        <v>1028</v>
      </c>
      <c r="B90" s="2"/>
      <c r="C90" s="2"/>
      <c r="D90" s="2"/>
      <c r="E90" s="8"/>
      <c r="F90" s="2">
        <v>0</v>
      </c>
      <c r="G90" s="2">
        <v>1000</v>
      </c>
      <c r="H90" s="2">
        <v>1000</v>
      </c>
      <c r="I90" s="2">
        <v>1000</v>
      </c>
      <c r="J90" s="2">
        <v>1000</v>
      </c>
      <c r="K90" s="2">
        <v>1000</v>
      </c>
    </row>
    <row r="91" spans="1:11" x14ac:dyDescent="0.25">
      <c r="A91" s="280" t="s">
        <v>1434</v>
      </c>
      <c r="B91" s="2"/>
      <c r="C91" s="2"/>
      <c r="D91" s="2"/>
      <c r="E91" s="8"/>
      <c r="F91" s="2">
        <v>400</v>
      </c>
      <c r="G91" s="2">
        <v>1</v>
      </c>
      <c r="H91" s="2">
        <v>1</v>
      </c>
      <c r="I91" s="2">
        <v>1</v>
      </c>
      <c r="J91" s="2">
        <v>1</v>
      </c>
      <c r="K91" s="2">
        <v>1</v>
      </c>
    </row>
    <row r="92" spans="1:11" ht="15" x14ac:dyDescent="0.4">
      <c r="A92" s="280" t="s">
        <v>673</v>
      </c>
      <c r="B92" s="11"/>
      <c r="C92" s="11"/>
      <c r="D92" s="11"/>
      <c r="E92" s="9"/>
      <c r="F92" s="11">
        <v>0</v>
      </c>
      <c r="G92" s="11">
        <v>1</v>
      </c>
      <c r="H92" s="11">
        <v>1</v>
      </c>
      <c r="I92" s="11">
        <v>1</v>
      </c>
      <c r="J92" s="11">
        <v>1</v>
      </c>
      <c r="K92" s="11">
        <v>1</v>
      </c>
    </row>
    <row r="93" spans="1:11" x14ac:dyDescent="0.25">
      <c r="A93" s="280" t="s">
        <v>396</v>
      </c>
      <c r="B93" s="2"/>
      <c r="C93" s="8"/>
      <c r="D93" s="8"/>
      <c r="E93" s="2"/>
      <c r="F93" s="2">
        <f t="shared" ref="F93:K93" si="0">SUM(F77:F92)</f>
        <v>44905.2</v>
      </c>
      <c r="G93" s="2">
        <f t="shared" si="0"/>
        <v>36505</v>
      </c>
      <c r="H93" s="2">
        <f t="shared" si="0"/>
        <v>37505</v>
      </c>
      <c r="I93" s="2">
        <f t="shared" si="0"/>
        <v>37505</v>
      </c>
      <c r="J93" s="2">
        <f t="shared" si="0"/>
        <v>37505</v>
      </c>
      <c r="K93" s="2">
        <f t="shared" si="0"/>
        <v>37505</v>
      </c>
    </row>
    <row r="94" spans="1:11" x14ac:dyDescent="0.25">
      <c r="B94" s="2"/>
      <c r="C94" s="8"/>
      <c r="D94" s="8"/>
      <c r="E94" s="2"/>
      <c r="F94" s="2"/>
      <c r="G94" s="2"/>
      <c r="H94" s="2"/>
      <c r="I94" s="2"/>
      <c r="J94" s="2"/>
      <c r="K94" s="2"/>
    </row>
    <row r="95" spans="1:11" x14ac:dyDescent="0.25">
      <c r="A95" s="280" t="s">
        <v>1332</v>
      </c>
      <c r="E95" s="2"/>
      <c r="F95" s="2">
        <f t="shared" ref="F95:K95" si="1">SUM(F6:F92)</f>
        <v>164253.46</v>
      </c>
      <c r="G95" s="2">
        <f t="shared" si="1"/>
        <v>158832</v>
      </c>
      <c r="H95" s="2">
        <f t="shared" si="1"/>
        <v>160732</v>
      </c>
      <c r="I95" s="2">
        <f t="shared" si="1"/>
        <v>160732</v>
      </c>
      <c r="J95" s="2">
        <f t="shared" si="1"/>
        <v>161988</v>
      </c>
      <c r="K95" s="2">
        <f t="shared" si="1"/>
        <v>161988</v>
      </c>
    </row>
    <row r="96" spans="1:11" x14ac:dyDescent="0.25">
      <c r="J96" s="295"/>
      <c r="K96" s="298"/>
    </row>
    <row r="97" spans="1:11" x14ac:dyDescent="0.25">
      <c r="A97" s="280" t="s">
        <v>981</v>
      </c>
      <c r="F97" s="2">
        <f t="shared" ref="F97:K97" si="2">SUM(F6:F17)</f>
        <v>41226.47</v>
      </c>
      <c r="G97" s="2">
        <f t="shared" si="2"/>
        <v>43146</v>
      </c>
      <c r="H97" s="2">
        <f t="shared" si="2"/>
        <v>43142</v>
      </c>
      <c r="I97" s="2">
        <f t="shared" si="2"/>
        <v>43142</v>
      </c>
      <c r="J97" s="2">
        <f t="shared" si="2"/>
        <v>44398</v>
      </c>
      <c r="K97" s="2">
        <f t="shared" si="2"/>
        <v>44398</v>
      </c>
    </row>
    <row r="98" spans="1:11" x14ac:dyDescent="0.25">
      <c r="A98" s="280" t="s">
        <v>957</v>
      </c>
      <c r="F98" s="2">
        <f t="shared" ref="F98:K98" si="3">SUM(F57:F92)+SUM(F19:F53)</f>
        <v>123026.98999999999</v>
      </c>
      <c r="G98" s="2">
        <f t="shared" si="3"/>
        <v>115686</v>
      </c>
      <c r="H98" s="2">
        <f t="shared" si="3"/>
        <v>117590</v>
      </c>
      <c r="I98" s="2">
        <f t="shared" si="3"/>
        <v>117590</v>
      </c>
      <c r="J98" s="2">
        <f t="shared" si="3"/>
        <v>117590</v>
      </c>
      <c r="K98" s="2">
        <f t="shared" si="3"/>
        <v>117590</v>
      </c>
    </row>
    <row r="99" spans="1:11" x14ac:dyDescent="0.25">
      <c r="A99" s="280" t="s">
        <v>958</v>
      </c>
      <c r="F99" s="18">
        <f t="shared" ref="F99:K99" si="4">+F54</f>
        <v>0</v>
      </c>
      <c r="G99" s="18">
        <f t="shared" si="4"/>
        <v>0</v>
      </c>
      <c r="H99" s="18">
        <f t="shared" si="4"/>
        <v>0</v>
      </c>
      <c r="I99" s="18">
        <f t="shared" si="4"/>
        <v>0</v>
      </c>
      <c r="J99" s="18">
        <f t="shared" si="4"/>
        <v>0</v>
      </c>
      <c r="K99" s="18">
        <f t="shared" si="4"/>
        <v>0</v>
      </c>
    </row>
    <row r="100" spans="1:11" x14ac:dyDescent="0.25">
      <c r="A100" s="280" t="s">
        <v>1247</v>
      </c>
      <c r="F100" s="2">
        <f t="shared" ref="F100:K100" si="5">SUM(F97:F99)</f>
        <v>164253.46</v>
      </c>
      <c r="G100" s="2">
        <f t="shared" si="5"/>
        <v>158832</v>
      </c>
      <c r="H100" s="2">
        <f t="shared" si="5"/>
        <v>160732</v>
      </c>
      <c r="I100" s="2">
        <f t="shared" si="5"/>
        <v>160732</v>
      </c>
      <c r="J100" s="2">
        <f t="shared" si="5"/>
        <v>161988</v>
      </c>
      <c r="K100" s="2">
        <f t="shared" si="5"/>
        <v>161988</v>
      </c>
    </row>
    <row r="101" spans="1:11" x14ac:dyDescent="0.25">
      <c r="J101" s="2">
        <f>+J100-I100</f>
        <v>1256</v>
      </c>
      <c r="K101" s="2">
        <f>+K100-J100</f>
        <v>0</v>
      </c>
    </row>
    <row r="102" spans="1:11" x14ac:dyDescent="0.25">
      <c r="J102" s="295"/>
    </row>
    <row r="103" spans="1:11" x14ac:dyDescent="0.25">
      <c r="J103" s="295"/>
    </row>
    <row r="104" spans="1:11" x14ac:dyDescent="0.25">
      <c r="J104" s="295"/>
    </row>
    <row r="105" spans="1:11" x14ac:dyDescent="0.25">
      <c r="J105" s="295"/>
    </row>
    <row r="106" spans="1:11" x14ac:dyDescent="0.25">
      <c r="J106" s="295"/>
    </row>
    <row r="107" spans="1:11" x14ac:dyDescent="0.25">
      <c r="J107" s="295"/>
    </row>
    <row r="108" spans="1:11" x14ac:dyDescent="0.25">
      <c r="J108" s="295"/>
    </row>
    <row r="109" spans="1:11" x14ac:dyDescent="0.25">
      <c r="J109" s="295"/>
    </row>
    <row r="110" spans="1:11" x14ac:dyDescent="0.25">
      <c r="J110" s="295"/>
    </row>
    <row r="111" spans="1:11" x14ac:dyDescent="0.25">
      <c r="J111" s="295"/>
    </row>
    <row r="112" spans="1:11" x14ac:dyDescent="0.25">
      <c r="J112" s="295"/>
    </row>
  </sheetData>
  <mergeCells count="2">
    <mergeCell ref="D56:E56"/>
    <mergeCell ref="A1:J1"/>
  </mergeCells>
  <phoneticPr fontId="0" type="noConversion"/>
  <printOptions gridLines="1"/>
  <pageMargins left="0.75" right="0.16" top="0.51" bottom="0.16" header="0.5" footer="0.5"/>
  <pageSetup scale="81" fitToHeight="3" orientation="landscape" r:id="rId1"/>
  <headerFooter alignWithMargins="0"/>
  <rowBreaks count="1" manualBreakCount="1">
    <brk id="53"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94"/>
  <sheetViews>
    <sheetView view="pageBreakPreview" zoomScaleNormal="100" zoomScaleSheetLayoutView="100" workbookViewId="0">
      <selection activeCell="I1" sqref="I1:I1048576"/>
    </sheetView>
  </sheetViews>
  <sheetFormatPr defaultColWidth="8.88671875" defaultRowHeight="13.2" x14ac:dyDescent="0.25"/>
  <cols>
    <col min="1" max="1" width="53.88671875" style="7" bestFit="1" customWidth="1"/>
    <col min="2" max="3" width="11.33203125" style="7" bestFit="1" customWidth="1"/>
    <col min="4" max="4" width="11.6640625" style="7" bestFit="1" customWidth="1"/>
    <col min="5" max="7" width="11.33203125" style="7" bestFit="1" customWidth="1"/>
    <col min="8" max="8" width="0" style="7" hidden="1" customWidth="1"/>
    <col min="9" max="16384" width="8.88671875" style="7"/>
  </cols>
  <sheetData>
    <row r="1" spans="1:8" x14ac:dyDescent="0.25">
      <c r="A1" s="307" t="str">
        <f>'SUMMARY BY FUND'!A1:J1</f>
        <v>2019-20 BUDGET</v>
      </c>
      <c r="B1" s="307"/>
      <c r="C1" s="307"/>
      <c r="D1" s="307"/>
      <c r="E1" s="307"/>
      <c r="F1" s="307"/>
      <c r="G1" s="307"/>
      <c r="H1" s="6"/>
    </row>
    <row r="2" spans="1:8" ht="17.399999999999999" x14ac:dyDescent="0.3">
      <c r="A2" s="180" t="s">
        <v>1949</v>
      </c>
      <c r="B2" s="180"/>
      <c r="C2" s="180"/>
      <c r="D2" s="180"/>
      <c r="E2" s="180"/>
      <c r="F2" s="180"/>
      <c r="G2" s="180"/>
    </row>
    <row r="3" spans="1:8" x14ac:dyDescent="0.25">
      <c r="B3" s="2"/>
      <c r="C3" s="2"/>
    </row>
    <row r="4" spans="1:8" x14ac:dyDescent="0.25">
      <c r="B4" s="195" t="s">
        <v>233</v>
      </c>
      <c r="C4" s="195" t="s">
        <v>234</v>
      </c>
      <c r="D4" s="195" t="s">
        <v>70</v>
      </c>
      <c r="E4" s="195" t="s">
        <v>409</v>
      </c>
      <c r="F4" s="16" t="s">
        <v>314</v>
      </c>
      <c r="G4" s="16" t="s">
        <v>345</v>
      </c>
    </row>
    <row r="5" spans="1:8" ht="15" x14ac:dyDescent="0.4">
      <c r="B5" s="225" t="s">
        <v>1794</v>
      </c>
      <c r="C5" s="225" t="s">
        <v>1970</v>
      </c>
      <c r="D5" s="225" t="s">
        <v>2129</v>
      </c>
      <c r="E5" s="225" t="s">
        <v>2129</v>
      </c>
      <c r="F5" s="225" t="s">
        <v>2129</v>
      </c>
      <c r="G5" s="225" t="s">
        <v>2129</v>
      </c>
    </row>
    <row r="6" spans="1:8" ht="13.8" x14ac:dyDescent="0.3">
      <c r="A6" s="10" t="s">
        <v>269</v>
      </c>
      <c r="B6" s="2">
        <v>0</v>
      </c>
      <c r="C6" s="2">
        <v>1</v>
      </c>
      <c r="D6" s="2">
        <v>1</v>
      </c>
      <c r="E6" s="2">
        <v>1</v>
      </c>
      <c r="F6" s="2">
        <v>1</v>
      </c>
      <c r="G6" s="2">
        <v>1</v>
      </c>
    </row>
    <row r="7" spans="1:8" x14ac:dyDescent="0.25">
      <c r="A7" s="7" t="s">
        <v>264</v>
      </c>
      <c r="B7" s="2"/>
      <c r="C7" s="2"/>
      <c r="D7" s="2"/>
      <c r="E7" s="2"/>
      <c r="F7" s="2"/>
      <c r="G7" s="2"/>
    </row>
    <row r="8" spans="1:8" x14ac:dyDescent="0.25">
      <c r="A8" s="7" t="s">
        <v>265</v>
      </c>
      <c r="B8" s="2"/>
      <c r="C8" s="2"/>
      <c r="D8" s="2"/>
      <c r="E8" s="2"/>
      <c r="F8" s="2"/>
      <c r="G8" s="2"/>
    </row>
    <row r="9" spans="1:8" x14ac:dyDescent="0.25">
      <c r="B9" s="2"/>
      <c r="C9" s="2"/>
      <c r="D9" s="2"/>
      <c r="E9" s="2"/>
      <c r="F9" s="2"/>
      <c r="G9" s="2"/>
    </row>
    <row r="10" spans="1:8" ht="13.8" x14ac:dyDescent="0.3">
      <c r="A10" s="10" t="s">
        <v>1121</v>
      </c>
      <c r="B10" s="2"/>
      <c r="C10" s="2">
        <v>0</v>
      </c>
      <c r="D10" s="2">
        <v>0</v>
      </c>
      <c r="E10" s="2">
        <v>0</v>
      </c>
      <c r="F10" s="2">
        <v>0</v>
      </c>
      <c r="G10" s="2">
        <v>0</v>
      </c>
    </row>
    <row r="11" spans="1:8" x14ac:dyDescent="0.25">
      <c r="A11" s="7" t="s">
        <v>805</v>
      </c>
      <c r="B11" s="2"/>
      <c r="C11" s="2"/>
      <c r="D11" s="2"/>
      <c r="E11" s="2"/>
      <c r="F11" s="2"/>
      <c r="G11" s="2"/>
    </row>
    <row r="12" spans="1:8" x14ac:dyDescent="0.25">
      <c r="B12" s="2"/>
      <c r="C12" s="2"/>
      <c r="D12" s="2"/>
      <c r="E12" s="2"/>
      <c r="F12" s="2"/>
      <c r="G12" s="2"/>
    </row>
    <row r="13" spans="1:8" ht="13.8" x14ac:dyDescent="0.3">
      <c r="A13" s="10" t="s">
        <v>660</v>
      </c>
      <c r="B13" s="2">
        <v>270000</v>
      </c>
      <c r="C13" s="2">
        <v>0</v>
      </c>
      <c r="D13" s="2">
        <v>0</v>
      </c>
      <c r="E13" s="2">
        <v>0</v>
      </c>
      <c r="F13" s="2">
        <v>0</v>
      </c>
      <c r="G13" s="2">
        <v>0</v>
      </c>
    </row>
    <row r="14" spans="1:8" x14ac:dyDescent="0.25">
      <c r="A14" s="7" t="s">
        <v>805</v>
      </c>
      <c r="B14" s="2"/>
      <c r="C14" s="2"/>
      <c r="D14" s="2"/>
      <c r="E14" s="2"/>
      <c r="F14" s="2"/>
      <c r="G14" s="2"/>
    </row>
    <row r="15" spans="1:8" x14ac:dyDescent="0.25">
      <c r="B15" s="2"/>
      <c r="C15" s="2"/>
      <c r="D15" s="2"/>
      <c r="E15" s="2"/>
      <c r="F15" s="2"/>
      <c r="G15" s="2"/>
    </row>
    <row r="16" spans="1:8" s="197" customFormat="1" ht="13.8" x14ac:dyDescent="0.3">
      <c r="A16" s="198" t="s">
        <v>1357</v>
      </c>
      <c r="B16" s="2">
        <v>33365</v>
      </c>
      <c r="C16" s="2">
        <v>27525</v>
      </c>
      <c r="D16" s="2">
        <v>10500</v>
      </c>
      <c r="E16" s="2">
        <v>10500</v>
      </c>
      <c r="F16" s="2">
        <v>10500</v>
      </c>
      <c r="G16" s="2">
        <v>10500</v>
      </c>
    </row>
    <row r="17" spans="1:7" s="197" customFormat="1" x14ac:dyDescent="0.25">
      <c r="A17" s="197" t="s">
        <v>37</v>
      </c>
      <c r="B17" s="2"/>
      <c r="C17" s="2"/>
      <c r="D17" s="2"/>
      <c r="E17" s="2"/>
      <c r="F17" s="2"/>
      <c r="G17" s="2"/>
    </row>
    <row r="18" spans="1:7" s="197" customFormat="1" x14ac:dyDescent="0.25">
      <c r="B18" s="2"/>
      <c r="C18" s="2"/>
      <c r="D18" s="2"/>
      <c r="E18" s="2"/>
      <c r="F18" s="2"/>
      <c r="G18" s="2"/>
    </row>
    <row r="19" spans="1:7" s="197" customFormat="1" ht="13.8" x14ac:dyDescent="0.3">
      <c r="A19" s="198" t="s">
        <v>1358</v>
      </c>
      <c r="B19" s="2"/>
      <c r="C19" s="2">
        <v>125000</v>
      </c>
      <c r="D19" s="2">
        <v>130000</v>
      </c>
      <c r="E19" s="2">
        <v>130000</v>
      </c>
      <c r="F19" s="2">
        <v>130000</v>
      </c>
      <c r="G19" s="2">
        <v>130000</v>
      </c>
    </row>
    <row r="20" spans="1:7" s="197" customFormat="1" x14ac:dyDescent="0.25">
      <c r="A20" s="197" t="s">
        <v>37</v>
      </c>
      <c r="B20" s="2"/>
      <c r="C20" s="2"/>
      <c r="D20" s="2"/>
      <c r="E20" s="2"/>
      <c r="F20" s="2"/>
      <c r="G20" s="2"/>
    </row>
    <row r="21" spans="1:7" s="197" customFormat="1" x14ac:dyDescent="0.25">
      <c r="B21" s="2"/>
      <c r="C21" s="2"/>
      <c r="D21" s="2"/>
      <c r="E21" s="2"/>
      <c r="F21" s="2"/>
      <c r="G21" s="2"/>
    </row>
    <row r="22" spans="1:7" ht="13.8" x14ac:dyDescent="0.3">
      <c r="A22" s="10" t="s">
        <v>1987</v>
      </c>
      <c r="B22" s="2"/>
      <c r="C22" s="2">
        <v>129225.59</v>
      </c>
      <c r="D22" s="2">
        <v>120765</v>
      </c>
      <c r="E22" s="2">
        <v>120765</v>
      </c>
      <c r="F22" s="2">
        <v>120765</v>
      </c>
      <c r="G22" s="2">
        <v>120765</v>
      </c>
    </row>
    <row r="23" spans="1:7" x14ac:dyDescent="0.25">
      <c r="A23" s="197" t="s">
        <v>1989</v>
      </c>
      <c r="B23" s="2"/>
      <c r="C23" s="2"/>
      <c r="E23" s="247"/>
      <c r="F23" s="295"/>
      <c r="G23" s="298"/>
    </row>
    <row r="24" spans="1:7" x14ac:dyDescent="0.25">
      <c r="B24" s="2"/>
      <c r="C24" s="2"/>
      <c r="D24" s="2"/>
      <c r="E24" s="2"/>
      <c r="F24" s="2"/>
      <c r="G24" s="2"/>
    </row>
    <row r="25" spans="1:7" ht="13.8" x14ac:dyDescent="0.3">
      <c r="A25" s="10" t="s">
        <v>1988</v>
      </c>
      <c r="B25" s="18">
        <v>120000</v>
      </c>
      <c r="C25" s="18">
        <v>158875</v>
      </c>
      <c r="D25" s="18">
        <v>155000</v>
      </c>
      <c r="E25" s="18">
        <v>155000</v>
      </c>
      <c r="F25" s="18">
        <v>155000</v>
      </c>
      <c r="G25" s="18">
        <v>155000</v>
      </c>
    </row>
    <row r="26" spans="1:7" x14ac:dyDescent="0.25">
      <c r="A26" s="7" t="s">
        <v>1989</v>
      </c>
      <c r="C26" s="190"/>
      <c r="E26" s="247"/>
      <c r="F26" s="295"/>
      <c r="G26" s="298"/>
    </row>
    <row r="27" spans="1:7" x14ac:dyDescent="0.25">
      <c r="A27" s="61"/>
      <c r="B27" s="61"/>
      <c r="C27" s="61"/>
      <c r="D27" s="61"/>
      <c r="E27" s="61"/>
      <c r="F27" s="61"/>
      <c r="G27" s="61"/>
    </row>
    <row r="28" spans="1:7" x14ac:dyDescent="0.25">
      <c r="A28" s="7" t="s">
        <v>1355</v>
      </c>
      <c r="B28" s="2">
        <f t="shared" ref="B28:G28" si="0">SUM(B6:B25)</f>
        <v>423365</v>
      </c>
      <c r="C28" s="2">
        <f t="shared" si="0"/>
        <v>440626.58999999997</v>
      </c>
      <c r="D28" s="2">
        <f t="shared" si="0"/>
        <v>416266</v>
      </c>
      <c r="E28" s="2">
        <f t="shared" si="0"/>
        <v>416266</v>
      </c>
      <c r="F28" s="2">
        <f t="shared" si="0"/>
        <v>416266</v>
      </c>
      <c r="G28" s="2">
        <f t="shared" si="0"/>
        <v>416266</v>
      </c>
    </row>
    <row r="29" spans="1:7" x14ac:dyDescent="0.25">
      <c r="B29" s="2"/>
      <c r="C29" s="2"/>
      <c r="D29" s="2"/>
      <c r="E29" s="2"/>
      <c r="F29" s="2"/>
      <c r="G29" s="2"/>
    </row>
    <row r="30" spans="1:7" x14ac:dyDescent="0.25">
      <c r="B30" s="2"/>
      <c r="C30" s="2"/>
      <c r="D30" s="2"/>
      <c r="E30" s="2"/>
      <c r="F30" s="2"/>
      <c r="G30" s="2"/>
    </row>
    <row r="31" spans="1:7" x14ac:dyDescent="0.25">
      <c r="A31" s="7" t="s">
        <v>1932</v>
      </c>
      <c r="B31" s="2">
        <f>+'25-welfare'!F95+'24-tax coll'!E148+'21-comm dev'!E160+'17-bldg &amp; grounds'!E149+'16-equip mntc'!E125+'15-library'!E255+'13-parks &amp; rec'!E258+'09-solid waste'!E216+'08-highway'!E353+'07-pub works'!E120+'06-code enforcement'!E163+'05-comm'!E141+'04-police'!E302+'03-fire'!E456+'02-assessing'!E117+'01-gen gov'!E272+B28+'15-library'!E256</f>
        <v>27816526.639999997</v>
      </c>
      <c r="C31" s="2">
        <f>+'25-welfare'!G95+'24-tax coll'!F148+'21-comm dev'!F160+'17-bldg &amp; grounds'!F149+'16-equip mntc'!F125+'15-library'!F255+'13-parks &amp; rec'!F258+'09-solid waste'!F216+'08-highway'!F353+'07-pub works'!F120+'06-code enforcement'!F163+'05-comm'!F141+'04-police'!F302+'03-fire'!F456+'02-assessing'!F117+'01-gen gov'!F272+C28+'15-library'!F256</f>
        <v>28602059.59</v>
      </c>
      <c r="D31" s="2">
        <f>+'25-welfare'!H95+'24-tax coll'!G148+'21-comm dev'!G160+'17-bldg &amp; grounds'!G149+'16-equip mntc'!G125+'15-library'!G255+'13-parks &amp; rec'!G258+'09-solid waste'!G216+'08-highway'!G353+'07-pub works'!G120+'06-code enforcement'!G163+'05-comm'!G141+'04-police'!G302+'03-fire'!G456+'02-assessing'!G117+'01-gen gov'!G272+D28+'15-library'!G256</f>
        <v>29488335.872619048</v>
      </c>
      <c r="E31" s="2">
        <f>+'25-welfare'!I95+'24-tax coll'!H148+'21-comm dev'!H160+'17-bldg &amp; grounds'!H149+'16-equip mntc'!H125+'15-library'!H255+'13-parks &amp; rec'!H258+'09-solid waste'!H216+'08-highway'!H353+'07-pub works'!H120+'06-code enforcement'!H163+'05-comm'!H141+'04-police'!H302+'03-fire'!H456+'02-assessing'!H117+'01-gen gov'!H272+E28+'15-library'!H256</f>
        <v>28677849.333333332</v>
      </c>
      <c r="F31" s="2">
        <f>+'25-welfare'!J95+'24-tax coll'!I148+'21-comm dev'!I160+'17-bldg &amp; grounds'!I149+'16-equip mntc'!I125+'15-library'!I255+'13-parks &amp; rec'!I258+'09-solid waste'!I216+'08-highway'!I353+'07-pub works'!I120+'06-code enforcement'!I163+'05-comm'!I141+'04-police'!I302+'03-fire'!I456+'02-assessing'!I117+'01-gen gov'!I272+F28+'15-library'!I256</f>
        <v>28749103.333333332</v>
      </c>
      <c r="G31" s="2">
        <f>+'25-welfare'!K95+'24-tax coll'!J148+'21-comm dev'!J160+'17-bldg &amp; grounds'!J149+'16-equip mntc'!J125+'15-library'!J255+'13-parks &amp; rec'!J258+'09-solid waste'!J216+'08-highway'!J353+'07-pub works'!J120+'06-code enforcement'!J163+'05-comm'!J141+'04-police'!J302+'03-fire'!J456+'02-assessing'!J117+'01-gen gov'!J272+G28+'15-library'!J256</f>
        <v>28922780</v>
      </c>
    </row>
    <row r="32" spans="1:7" x14ac:dyDescent="0.25">
      <c r="B32" s="2"/>
      <c r="C32" s="2"/>
      <c r="D32" s="2"/>
      <c r="E32" s="2"/>
      <c r="F32" s="2"/>
      <c r="G32" s="2"/>
    </row>
    <row r="33" spans="1:7" x14ac:dyDescent="0.25">
      <c r="A33" s="7" t="s">
        <v>594</v>
      </c>
      <c r="B33" s="2">
        <f>+'25-welfare'!F97+'24-tax coll'!E150+'21-comm dev'!E164+'17-bldg &amp; grounds'!E151+'16-equip mntc'!E128+'15-library'!E258+'13-parks &amp; rec'!E260+'09-solid waste'!E219+'08-highway'!E355+'07-pub works'!E122+'06-code enforcement'!E165+'05-comm'!E143+'04-police'!E304+'03-fire'!E458+'02-assessing'!E119+'01-gen gov'!E274</f>
        <v>17437921.25</v>
      </c>
      <c r="C33" s="2">
        <f>+'25-welfare'!G97+'24-tax coll'!F150+'21-comm dev'!F164+'17-bldg &amp; grounds'!F151+'16-equip mntc'!F128+'15-library'!F258+'13-parks &amp; rec'!F260+'09-solid waste'!F219+'08-highway'!F355+'07-pub works'!F122+'06-code enforcement'!F165+'05-comm'!F143+'04-police'!F304+'03-fire'!F458+'02-assessing'!F119+'01-gen gov'!F274</f>
        <v>19641211</v>
      </c>
      <c r="D33" s="2">
        <f>+'25-welfare'!H97+'24-tax coll'!G150+'21-comm dev'!G164+'17-bldg &amp; grounds'!G151+'16-equip mntc'!G128+'15-library'!G258+'13-parks &amp; rec'!G260+'09-solid waste'!G219+'08-highway'!G355+'07-pub works'!G122+'06-code enforcement'!G165+'05-comm'!G143+'04-police'!G304+'03-fire'!G458+'02-assessing'!G119+'01-gen gov'!G274</f>
        <v>20208194.772619046</v>
      </c>
      <c r="E33" s="2">
        <f>+'25-welfare'!I97+'24-tax coll'!H150+'21-comm dev'!H164+'17-bldg &amp; grounds'!H151+'16-equip mntc'!H128+'15-library'!H258+'13-parks &amp; rec'!H260+'09-solid waste'!H219+'08-highway'!H355+'07-pub works'!H122+'06-code enforcement'!H165+'05-comm'!H143+'04-police'!H304+'03-fire'!H458+'02-assessing'!H119+'01-gen gov'!H274</f>
        <v>19616258.333333332</v>
      </c>
      <c r="F33" s="2">
        <f>+'25-welfare'!J97+'24-tax coll'!I150+'21-comm dev'!I164+'17-bldg &amp; grounds'!I151+'16-equip mntc'!I128+'15-library'!I258+'13-parks &amp; rec'!I260+'09-solid waste'!I219+'08-highway'!I355+'07-pub works'!I122+'06-code enforcement'!I165+'05-comm'!I143+'04-police'!I304+'03-fire'!I458+'02-assessing'!I119+'01-gen gov'!I274</f>
        <v>19657971.333333332</v>
      </c>
      <c r="G33" s="2">
        <f>+'25-welfare'!K97+'24-tax coll'!J150+'21-comm dev'!J164+'17-bldg &amp; grounds'!J151+'16-equip mntc'!J128+'15-library'!J258+'13-parks &amp; rec'!J260+'09-solid waste'!J219+'08-highway'!J355+'07-pub works'!J122+'06-code enforcement'!J165+'05-comm'!J143+'04-police'!J304+'03-fire'!J458+'02-assessing'!J119+'01-gen gov'!J274</f>
        <v>19830866</v>
      </c>
    </row>
    <row r="34" spans="1:7" x14ac:dyDescent="0.25">
      <c r="A34" s="7" t="s">
        <v>957</v>
      </c>
      <c r="B34" s="2">
        <f>+'25-welfare'!F98+'24-tax coll'!E151+'21-comm dev'!E165+'17-bldg &amp; grounds'!E152+'16-equip mntc'!E129+'15-library'!E259+'13-parks &amp; rec'!E261+'09-solid waste'!E220+'08-highway'!E356+'07-pub works'!E123+'06-code enforcement'!E166+'05-comm'!E144+'04-police'!E305+'03-fire'!E459+'02-assessing'!E120+'01-gen gov'!E275</f>
        <v>4209503.53</v>
      </c>
      <c r="C34" s="2">
        <f>+'25-welfare'!G98+'24-tax coll'!F151+'21-comm dev'!F165+'17-bldg &amp; grounds'!F152+'16-equip mntc'!F129+'15-library'!F259+'13-parks &amp; rec'!F261+'09-solid waste'!F220+'08-highway'!F356+'07-pub works'!F123+'06-code enforcement'!F166+'05-comm'!F144+'04-police'!F305+'03-fire'!F459+'02-assessing'!F120+'01-gen gov'!F275</f>
        <v>4137225</v>
      </c>
      <c r="D34" s="2">
        <f>+'25-welfare'!H98+'24-tax coll'!G151+'21-comm dev'!G165+'17-bldg &amp; grounds'!G152+'16-equip mntc'!G129+'15-library'!G259+'13-parks &amp; rec'!G261+'09-solid waste'!G220+'08-highway'!G356+'07-pub works'!G123+'06-code enforcement'!G166+'05-comm'!G144+'04-police'!G305+'03-fire'!G459+'02-assessing'!G120+'01-gen gov'!G275</f>
        <v>4322589.0999999996</v>
      </c>
      <c r="E34" s="2">
        <f>+'25-welfare'!I98+'24-tax coll'!H151+'21-comm dev'!H165+'17-bldg &amp; grounds'!H152+'16-equip mntc'!H129+'15-library'!H259+'13-parks &amp; rec'!H261+'09-solid waste'!H220+'08-highway'!H356+'07-pub works'!H123+'06-code enforcement'!H166+'05-comm'!H144+'04-police'!H305+'03-fire'!H459+'02-assessing'!H120+'01-gen gov'!H275</f>
        <v>4324789</v>
      </c>
      <c r="F34" s="2">
        <f>+'25-welfare'!J98+'24-tax coll'!I151+'21-comm dev'!I165+'17-bldg &amp; grounds'!I152+'16-equip mntc'!I129+'15-library'!I259+'13-parks &amp; rec'!I261+'09-solid waste'!I220+'08-highway'!I356+'07-pub works'!I123+'06-code enforcement'!I166+'05-comm'!I144+'04-police'!I305+'03-fire'!I459+'02-assessing'!I120+'01-gen gov'!I275</f>
        <v>4282330</v>
      </c>
      <c r="G34" s="2">
        <f>+'25-welfare'!K98+'24-tax coll'!J151+'21-comm dev'!J165+'17-bldg &amp; grounds'!J152+'16-equip mntc'!J129+'15-library'!J259+'13-parks &amp; rec'!J261+'09-solid waste'!J220+'08-highway'!J356+'07-pub works'!J123+'06-code enforcement'!J166+'05-comm'!J144+'04-police'!J305+'03-fire'!J459+'02-assessing'!J120+'01-gen gov'!J275</f>
        <v>4283112</v>
      </c>
    </row>
    <row r="35" spans="1:7" x14ac:dyDescent="0.25">
      <c r="A35" s="7" t="s">
        <v>958</v>
      </c>
      <c r="B35" s="2">
        <f>+'25-welfare'!F99+'24-tax coll'!E152+'21-comm dev'!E166+'17-bldg &amp; grounds'!E153+'16-equip mntc'!E130+'15-library'!E260+'13-parks &amp; rec'!E262+'09-solid waste'!E221+'08-highway'!E357+'07-pub works'!E124+'06-code enforcement'!E167+'05-comm'!E145+'04-police'!E306+'03-fire'!E460+'02-assessing'!E121+'01-gen gov'!E276</f>
        <v>5745736.8600000003</v>
      </c>
      <c r="C35" s="2">
        <f>+'25-welfare'!G99+'24-tax coll'!F152+'21-comm dev'!F166+'17-bldg &amp; grounds'!F153+'16-equip mntc'!F130+'15-library'!F260+'13-parks &amp; rec'!F262+'09-solid waste'!F221+'08-highway'!F357+'07-pub works'!F124+'06-code enforcement'!F167+'05-comm'!F145+'04-police'!F306+'03-fire'!F460+'02-assessing'!F121+'01-gen gov'!F276</f>
        <v>4382997</v>
      </c>
      <c r="D35" s="2">
        <f>+'25-welfare'!H99+'24-tax coll'!G152+'21-comm dev'!G166+'17-bldg &amp; grounds'!G153+'16-equip mntc'!G130+'15-library'!G260+'13-parks &amp; rec'!G262+'09-solid waste'!G221+'08-highway'!G357+'07-pub works'!G124+'06-code enforcement'!G167+'05-comm'!G145+'04-police'!G306+'03-fire'!G460+'02-assessing'!G121+'01-gen gov'!G276</f>
        <v>4541286</v>
      </c>
      <c r="E35" s="2">
        <f>+'25-welfare'!I99+'24-tax coll'!H152+'21-comm dev'!H166+'17-bldg &amp; grounds'!H153+'16-equip mntc'!H130+'15-library'!H260+'13-parks &amp; rec'!H262+'09-solid waste'!H221+'08-highway'!H357+'07-pub works'!H124+'06-code enforcement'!H167+'05-comm'!H145+'04-police'!H306+'03-fire'!H460+'02-assessing'!H121+'01-gen gov'!H276</f>
        <v>4320536</v>
      </c>
      <c r="F35" s="2">
        <f>+'25-welfare'!J99+'24-tax coll'!I152+'21-comm dev'!I166+'17-bldg &amp; grounds'!I153+'16-equip mntc'!I130+'15-library'!I260+'13-parks &amp; rec'!I262+'09-solid waste'!I221+'08-highway'!I357+'07-pub works'!I124+'06-code enforcement'!I167+'05-comm'!I145+'04-police'!I306+'03-fire'!I460+'02-assessing'!I121+'01-gen gov'!I276</f>
        <v>4392536</v>
      </c>
      <c r="G35" s="2">
        <f>+'25-welfare'!K99+'24-tax coll'!J152+'21-comm dev'!J166+'17-bldg &amp; grounds'!J153+'16-equip mntc'!J130+'15-library'!J260+'13-parks &amp; rec'!J262+'09-solid waste'!J221+'08-highway'!J357+'07-pub works'!J124+'06-code enforcement'!J167+'05-comm'!J145+'04-police'!J306+'03-fire'!J460+'02-assessing'!J121+'01-gen gov'!J276</f>
        <v>4392536</v>
      </c>
    </row>
    <row r="36" spans="1:7" ht="15" x14ac:dyDescent="0.4">
      <c r="A36" s="7" t="s">
        <v>1140</v>
      </c>
      <c r="B36" s="11">
        <f t="shared" ref="B36:G36" si="1">+B28</f>
        <v>423365</v>
      </c>
      <c r="C36" s="11">
        <f t="shared" si="1"/>
        <v>440626.58999999997</v>
      </c>
      <c r="D36" s="11">
        <f t="shared" si="1"/>
        <v>416266</v>
      </c>
      <c r="E36" s="11">
        <f t="shared" si="1"/>
        <v>416266</v>
      </c>
      <c r="F36" s="11">
        <f t="shared" si="1"/>
        <v>416266</v>
      </c>
      <c r="G36" s="11">
        <f t="shared" si="1"/>
        <v>416266</v>
      </c>
    </row>
    <row r="37" spans="1:7" x14ac:dyDescent="0.25">
      <c r="A37" s="7" t="s">
        <v>1247</v>
      </c>
      <c r="B37" s="2">
        <f t="shared" ref="B37:G37" si="2">SUM(B33:B36)</f>
        <v>27816526.640000001</v>
      </c>
      <c r="C37" s="2">
        <f t="shared" si="2"/>
        <v>28602059.59</v>
      </c>
      <c r="D37" s="2">
        <f t="shared" si="2"/>
        <v>29488335.872619048</v>
      </c>
      <c r="E37" s="2">
        <f t="shared" si="2"/>
        <v>28677849.333333332</v>
      </c>
      <c r="F37" s="2">
        <f t="shared" si="2"/>
        <v>28749103.333333332</v>
      </c>
      <c r="G37" s="2">
        <f t="shared" si="2"/>
        <v>28922780</v>
      </c>
    </row>
    <row r="38" spans="1:7" x14ac:dyDescent="0.25">
      <c r="B38" s="2"/>
      <c r="C38" s="2"/>
      <c r="D38" s="2"/>
      <c r="E38" s="2"/>
      <c r="F38" s="2"/>
      <c r="G38" s="2"/>
    </row>
    <row r="39" spans="1:7" x14ac:dyDescent="0.25">
      <c r="A39" s="307" t="str">
        <f>'SUMMARY BY FUND'!A1:J1</f>
        <v>2019-20 BUDGET</v>
      </c>
      <c r="B39" s="307"/>
      <c r="C39" s="307"/>
      <c r="D39" s="307"/>
      <c r="E39" s="307"/>
      <c r="F39" s="307"/>
      <c r="G39" s="307"/>
    </row>
    <row r="40" spans="1:7" ht="17.399999999999999" x14ac:dyDescent="0.3">
      <c r="A40" s="180" t="s">
        <v>1950</v>
      </c>
      <c r="B40" s="180"/>
      <c r="C40" s="180"/>
      <c r="D40" s="180"/>
      <c r="E40" s="180"/>
      <c r="F40" s="180"/>
      <c r="G40" s="180"/>
    </row>
    <row r="41" spans="1:7" x14ac:dyDescent="0.25">
      <c r="B41" s="2"/>
      <c r="C41" s="2"/>
    </row>
    <row r="42" spans="1:7" x14ac:dyDescent="0.25">
      <c r="B42" s="195" t="s">
        <v>233</v>
      </c>
      <c r="C42" s="195" t="s">
        <v>234</v>
      </c>
      <c r="D42" s="195" t="s">
        <v>70</v>
      </c>
      <c r="E42" s="195" t="s">
        <v>409</v>
      </c>
      <c r="F42" s="16" t="s">
        <v>314</v>
      </c>
      <c r="G42" s="16" t="s">
        <v>345</v>
      </c>
    </row>
    <row r="43" spans="1:7" ht="15" x14ac:dyDescent="0.4">
      <c r="B43" s="225" t="s">
        <v>1794</v>
      </c>
      <c r="C43" s="225" t="s">
        <v>1970</v>
      </c>
      <c r="D43" s="225" t="s">
        <v>2129</v>
      </c>
      <c r="E43" s="225" t="s">
        <v>2129</v>
      </c>
      <c r="F43" s="225" t="s">
        <v>2129</v>
      </c>
      <c r="G43" s="225" t="s">
        <v>2129</v>
      </c>
    </row>
    <row r="44" spans="1:7" ht="13.8" x14ac:dyDescent="0.3">
      <c r="A44" s="10" t="s">
        <v>1397</v>
      </c>
      <c r="B44" s="2">
        <v>4331.84</v>
      </c>
      <c r="C44" s="2">
        <v>3249</v>
      </c>
      <c r="D44" s="2">
        <v>2166</v>
      </c>
      <c r="E44" s="2">
        <v>2166</v>
      </c>
      <c r="F44" s="2">
        <v>2166</v>
      </c>
      <c r="G44" s="2">
        <v>2166</v>
      </c>
    </row>
    <row r="45" spans="1:7" x14ac:dyDescent="0.25">
      <c r="A45" s="23" t="s">
        <v>124</v>
      </c>
      <c r="B45" s="2"/>
      <c r="C45" s="2"/>
      <c r="D45" s="2"/>
      <c r="E45" s="2"/>
      <c r="F45" s="2"/>
      <c r="G45" s="2"/>
    </row>
    <row r="46" spans="1:7" x14ac:dyDescent="0.25">
      <c r="B46" s="2"/>
      <c r="C46" s="2"/>
      <c r="D46" s="2"/>
      <c r="E46" s="2"/>
      <c r="F46" s="2"/>
      <c r="G46" s="2"/>
    </row>
    <row r="47" spans="1:7" ht="13.8" x14ac:dyDescent="0.3">
      <c r="A47" s="10" t="s">
        <v>1398</v>
      </c>
      <c r="B47" s="2">
        <v>55822.64</v>
      </c>
      <c r="C47" s="2">
        <v>55823</v>
      </c>
      <c r="D47" s="2">
        <v>55823</v>
      </c>
      <c r="E47" s="2">
        <v>55823</v>
      </c>
      <c r="F47" s="2">
        <v>55823</v>
      </c>
      <c r="G47" s="2">
        <v>55823</v>
      </c>
    </row>
    <row r="48" spans="1:7" x14ac:dyDescent="0.25">
      <c r="A48" s="23" t="s">
        <v>124</v>
      </c>
      <c r="B48" s="2"/>
      <c r="C48" s="2"/>
      <c r="D48" s="2"/>
      <c r="E48" s="2"/>
      <c r="F48" s="2"/>
      <c r="G48" s="2"/>
    </row>
    <row r="49" spans="1:7" ht="13.8" x14ac:dyDescent="0.3">
      <c r="A49" s="10"/>
      <c r="B49" s="2"/>
      <c r="C49" s="2"/>
      <c r="D49" s="2"/>
      <c r="E49" s="2"/>
      <c r="F49" s="2"/>
      <c r="G49" s="2"/>
    </row>
    <row r="50" spans="1:7" ht="13.8" x14ac:dyDescent="0.3">
      <c r="A50" s="10" t="s">
        <v>1275</v>
      </c>
      <c r="B50" s="2">
        <v>22394.82</v>
      </c>
      <c r="C50" s="2">
        <v>17916</v>
      </c>
      <c r="D50" s="2">
        <v>13437</v>
      </c>
      <c r="E50" s="2">
        <v>13437</v>
      </c>
      <c r="F50" s="2">
        <v>13437</v>
      </c>
      <c r="G50" s="2">
        <v>13437</v>
      </c>
    </row>
    <row r="51" spans="1:7" x14ac:dyDescent="0.25">
      <c r="A51" s="23" t="s">
        <v>123</v>
      </c>
      <c r="B51" s="2"/>
      <c r="C51" s="2"/>
      <c r="D51" s="2"/>
      <c r="E51" s="2"/>
      <c r="F51" s="2"/>
      <c r="G51" s="2"/>
    </row>
    <row r="52" spans="1:7" x14ac:dyDescent="0.25">
      <c r="B52" s="2"/>
      <c r="C52" s="2"/>
      <c r="D52" s="2"/>
      <c r="E52" s="2"/>
      <c r="F52" s="2"/>
      <c r="G52" s="2"/>
    </row>
    <row r="53" spans="1:7" ht="13.8" x14ac:dyDescent="0.3">
      <c r="A53" s="10" t="s">
        <v>1276</v>
      </c>
      <c r="B53" s="2">
        <v>263468.42</v>
      </c>
      <c r="C53" s="2">
        <v>263468</v>
      </c>
      <c r="D53" s="2">
        <v>263468</v>
      </c>
      <c r="E53" s="2">
        <v>263468</v>
      </c>
      <c r="F53" s="2">
        <v>263468</v>
      </c>
      <c r="G53" s="2">
        <v>263468</v>
      </c>
    </row>
    <row r="54" spans="1:7" x14ac:dyDescent="0.25">
      <c r="A54" s="23" t="s">
        <v>122</v>
      </c>
      <c r="B54" s="2"/>
      <c r="C54" s="2"/>
      <c r="D54" s="2"/>
      <c r="E54" s="2"/>
      <c r="F54" s="2"/>
      <c r="G54" s="2"/>
    </row>
    <row r="55" spans="1:7" ht="13.8" x14ac:dyDescent="0.3">
      <c r="A55" s="10"/>
      <c r="B55" s="2"/>
      <c r="C55" s="2"/>
      <c r="D55" s="2"/>
      <c r="E55" s="2"/>
      <c r="F55" s="2"/>
      <c r="G55" s="2"/>
    </row>
    <row r="56" spans="1:7" ht="13.8" x14ac:dyDescent="0.3">
      <c r="A56" s="10" t="s">
        <v>1804</v>
      </c>
      <c r="B56" s="2">
        <v>132125.66</v>
      </c>
      <c r="C56" s="2">
        <v>141291</v>
      </c>
      <c r="D56" s="2">
        <v>132126</v>
      </c>
      <c r="E56" s="2">
        <v>132126</v>
      </c>
      <c r="F56" s="2">
        <v>132126</v>
      </c>
      <c r="G56" s="2">
        <v>132126</v>
      </c>
    </row>
    <row r="57" spans="1:7" x14ac:dyDescent="0.25">
      <c r="A57" s="23" t="s">
        <v>1758</v>
      </c>
      <c r="B57" s="2"/>
      <c r="C57" s="2"/>
      <c r="D57" s="2"/>
      <c r="E57" s="2"/>
      <c r="F57" s="2"/>
      <c r="G57" s="2"/>
    </row>
    <row r="58" spans="1:7" ht="13.8" x14ac:dyDescent="0.3">
      <c r="A58" s="10"/>
      <c r="B58" s="2"/>
      <c r="C58" s="2"/>
      <c r="D58" s="2"/>
      <c r="E58" s="2"/>
      <c r="F58" s="2"/>
      <c r="G58" s="2"/>
    </row>
    <row r="59" spans="1:7" ht="13.8" x14ac:dyDescent="0.3">
      <c r="A59" s="10" t="s">
        <v>1805</v>
      </c>
      <c r="B59" s="2">
        <v>141291</v>
      </c>
      <c r="C59" s="2">
        <v>206408</v>
      </c>
      <c r="D59" s="2">
        <v>141291</v>
      </c>
      <c r="E59" s="2">
        <v>141291</v>
      </c>
      <c r="F59" s="2">
        <v>141291</v>
      </c>
      <c r="G59" s="2">
        <v>141291</v>
      </c>
    </row>
    <row r="60" spans="1:7" x14ac:dyDescent="0.25">
      <c r="A60" s="23" t="s">
        <v>1759</v>
      </c>
      <c r="B60" s="2"/>
      <c r="C60" s="2"/>
      <c r="D60" s="2"/>
      <c r="E60" s="2"/>
      <c r="F60" s="2"/>
      <c r="G60" s="2"/>
    </row>
    <row r="61" spans="1:7" ht="13.8" x14ac:dyDescent="0.3">
      <c r="A61" s="10"/>
      <c r="B61" s="2"/>
      <c r="C61" s="2"/>
      <c r="D61" s="2"/>
      <c r="E61" s="2"/>
      <c r="F61" s="2"/>
      <c r="G61" s="2"/>
    </row>
    <row r="62" spans="1:7" ht="15" x14ac:dyDescent="0.4">
      <c r="A62" s="10" t="s">
        <v>1806</v>
      </c>
      <c r="B62" s="11">
        <v>206408.1</v>
      </c>
      <c r="C62" s="11">
        <v>125172</v>
      </c>
      <c r="D62" s="11">
        <v>118218</v>
      </c>
      <c r="E62" s="11">
        <v>118218</v>
      </c>
      <c r="F62" s="11">
        <v>118218</v>
      </c>
      <c r="G62" s="11">
        <v>118218</v>
      </c>
    </row>
    <row r="63" spans="1:7" x14ac:dyDescent="0.25">
      <c r="A63" s="23" t="s">
        <v>1760</v>
      </c>
      <c r="B63" s="2"/>
      <c r="C63" s="2"/>
      <c r="D63" s="2"/>
      <c r="E63" s="2"/>
      <c r="F63" s="2"/>
      <c r="G63" s="2"/>
    </row>
    <row r="64" spans="1:7" ht="13.8" x14ac:dyDescent="0.3">
      <c r="A64" s="10"/>
      <c r="B64" s="2"/>
      <c r="C64" s="2"/>
      <c r="D64" s="2"/>
      <c r="E64" s="2"/>
      <c r="F64" s="2"/>
      <c r="G64" s="2"/>
    </row>
    <row r="65" spans="1:8" x14ac:dyDescent="0.25">
      <c r="B65" s="2"/>
      <c r="C65" s="2"/>
      <c r="D65" s="2"/>
      <c r="E65" s="2"/>
      <c r="F65" s="2"/>
      <c r="G65" s="2"/>
    </row>
    <row r="66" spans="1:8" x14ac:dyDescent="0.25">
      <c r="A66" s="7" t="s">
        <v>249</v>
      </c>
      <c r="B66" s="2">
        <f t="shared" ref="B66:G66" si="3">SUM(B44:B64)</f>
        <v>825842.48</v>
      </c>
      <c r="C66" s="2">
        <f t="shared" si="3"/>
        <v>813327</v>
      </c>
      <c r="D66" s="2">
        <f t="shared" si="3"/>
        <v>726529</v>
      </c>
      <c r="E66" s="2">
        <f t="shared" si="3"/>
        <v>726529</v>
      </c>
      <c r="F66" s="2">
        <f t="shared" si="3"/>
        <v>726529</v>
      </c>
      <c r="G66" s="2">
        <f t="shared" si="3"/>
        <v>726529</v>
      </c>
    </row>
    <row r="67" spans="1:8" x14ac:dyDescent="0.25">
      <c r="B67" s="2"/>
      <c r="C67" s="2"/>
      <c r="D67" s="2"/>
      <c r="E67" s="2"/>
      <c r="F67" s="2"/>
      <c r="G67" s="2"/>
    </row>
    <row r="68" spans="1:8" x14ac:dyDescent="0.25">
      <c r="A68" s="7" t="s">
        <v>1355</v>
      </c>
      <c r="B68" s="2">
        <f t="shared" ref="B68:G68" si="4">+B28</f>
        <v>423365</v>
      </c>
      <c r="C68" s="2">
        <f t="shared" si="4"/>
        <v>440626.58999999997</v>
      </c>
      <c r="D68" s="2">
        <f t="shared" si="4"/>
        <v>416266</v>
      </c>
      <c r="E68" s="2">
        <f t="shared" si="4"/>
        <v>416266</v>
      </c>
      <c r="F68" s="2">
        <f t="shared" si="4"/>
        <v>416266</v>
      </c>
      <c r="G68" s="2">
        <f t="shared" si="4"/>
        <v>416266</v>
      </c>
      <c r="H68" s="2" t="e">
        <f>#N/A</f>
        <v>#N/A</v>
      </c>
    </row>
    <row r="69" spans="1:8" ht="15" x14ac:dyDescent="0.4">
      <c r="A69" s="7" t="s">
        <v>249</v>
      </c>
      <c r="B69" s="11">
        <f t="shared" ref="B69:G69" si="5">+B66</f>
        <v>825842.48</v>
      </c>
      <c r="C69" s="11">
        <f t="shared" si="5"/>
        <v>813327</v>
      </c>
      <c r="D69" s="11">
        <f t="shared" si="5"/>
        <v>726529</v>
      </c>
      <c r="E69" s="11">
        <f t="shared" si="5"/>
        <v>726529</v>
      </c>
      <c r="F69" s="11">
        <f t="shared" si="5"/>
        <v>726529</v>
      </c>
      <c r="G69" s="11">
        <f t="shared" si="5"/>
        <v>726529</v>
      </c>
      <c r="H69" s="11" t="e">
        <f>#N/A</f>
        <v>#N/A</v>
      </c>
    </row>
    <row r="70" spans="1:8" x14ac:dyDescent="0.25">
      <c r="A70" s="7" t="s">
        <v>1247</v>
      </c>
      <c r="B70" s="2">
        <f t="shared" ref="B70:G70" si="6">SUM(B68:B69)</f>
        <v>1249207.48</v>
      </c>
      <c r="C70" s="2">
        <f t="shared" si="6"/>
        <v>1253953.5899999999</v>
      </c>
      <c r="D70" s="2">
        <f t="shared" si="6"/>
        <v>1142795</v>
      </c>
      <c r="E70" s="2">
        <f t="shared" si="6"/>
        <v>1142795</v>
      </c>
      <c r="F70" s="2">
        <f t="shared" si="6"/>
        <v>1142795</v>
      </c>
      <c r="G70" s="2">
        <f t="shared" si="6"/>
        <v>1142795</v>
      </c>
      <c r="H70" s="2" t="e">
        <f>#N/A</f>
        <v>#N/A</v>
      </c>
    </row>
    <row r="71" spans="1:8" x14ac:dyDescent="0.25">
      <c r="G71" s="298"/>
    </row>
    <row r="72" spans="1:8" x14ac:dyDescent="0.25">
      <c r="G72" s="298"/>
    </row>
    <row r="73" spans="1:8" x14ac:dyDescent="0.25">
      <c r="G73" s="298"/>
    </row>
    <row r="74" spans="1:8" x14ac:dyDescent="0.25">
      <c r="G74" s="298"/>
    </row>
    <row r="75" spans="1:8" x14ac:dyDescent="0.25">
      <c r="G75" s="298"/>
    </row>
    <row r="76" spans="1:8" x14ac:dyDescent="0.25">
      <c r="G76" s="298"/>
    </row>
    <row r="77" spans="1:8" x14ac:dyDescent="0.25">
      <c r="G77" s="298"/>
    </row>
    <row r="78" spans="1:8" x14ac:dyDescent="0.25">
      <c r="G78" s="298"/>
    </row>
    <row r="79" spans="1:8" x14ac:dyDescent="0.25">
      <c r="G79" s="298"/>
    </row>
    <row r="80" spans="1:8" x14ac:dyDescent="0.25">
      <c r="G80" s="298"/>
    </row>
    <row r="81" spans="7:7" x14ac:dyDescent="0.25">
      <c r="G81" s="298"/>
    </row>
    <row r="82" spans="7:7" x14ac:dyDescent="0.25">
      <c r="G82" s="298"/>
    </row>
    <row r="83" spans="7:7" x14ac:dyDescent="0.25">
      <c r="G83" s="298"/>
    </row>
    <row r="84" spans="7:7" x14ac:dyDescent="0.25">
      <c r="G84" s="298"/>
    </row>
    <row r="85" spans="7:7" x14ac:dyDescent="0.25">
      <c r="G85" s="298"/>
    </row>
    <row r="86" spans="7:7" x14ac:dyDescent="0.25">
      <c r="G86" s="298"/>
    </row>
    <row r="87" spans="7:7" x14ac:dyDescent="0.25">
      <c r="G87" s="298"/>
    </row>
    <row r="88" spans="7:7" x14ac:dyDescent="0.25">
      <c r="G88" s="298"/>
    </row>
    <row r="89" spans="7:7" x14ac:dyDescent="0.25">
      <c r="G89" s="298"/>
    </row>
    <row r="90" spans="7:7" x14ac:dyDescent="0.25">
      <c r="G90" s="298"/>
    </row>
    <row r="91" spans="7:7" x14ac:dyDescent="0.25">
      <c r="G91" s="298"/>
    </row>
    <row r="92" spans="7:7" x14ac:dyDescent="0.25">
      <c r="G92" s="298"/>
    </row>
    <row r="93" spans="7:7" x14ac:dyDescent="0.25">
      <c r="G93" s="298"/>
    </row>
    <row r="94" spans="7:7" x14ac:dyDescent="0.25">
      <c r="G94" s="298"/>
    </row>
  </sheetData>
  <mergeCells count="2">
    <mergeCell ref="A39:G39"/>
    <mergeCell ref="A1:G1"/>
  </mergeCells>
  <phoneticPr fontId="0" type="noConversion"/>
  <printOptions gridLines="1"/>
  <pageMargins left="0.75" right="0.16" top="0.51" bottom="0.22" header="0.5" footer="0"/>
  <pageSetup fitToHeight="2" orientation="landscape" r:id="rId1"/>
  <headerFooter alignWithMargins="0"/>
  <rowBreaks count="1" manualBreakCount="1">
    <brk id="37"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79"/>
  <sheetViews>
    <sheetView tabSelected="1" zoomScaleNormal="100" zoomScaleSheetLayoutView="100" workbookViewId="0">
      <selection sqref="A1:J1"/>
    </sheetView>
  </sheetViews>
  <sheetFormatPr defaultColWidth="8.88671875" defaultRowHeight="13.2" x14ac:dyDescent="0.25"/>
  <cols>
    <col min="1" max="1" width="15.88671875" style="7" bestFit="1" customWidth="1"/>
    <col min="2" max="2" width="32.6640625" style="7" bestFit="1" customWidth="1"/>
    <col min="3" max="3" width="12.6640625" style="7" customWidth="1"/>
    <col min="4" max="4" width="12.6640625" style="7" bestFit="1" customWidth="1"/>
    <col min="5" max="5" width="12.6640625" style="2" bestFit="1" customWidth="1"/>
    <col min="6" max="6" width="13.5546875" style="2" bestFit="1" customWidth="1"/>
    <col min="7" max="7" width="11.21875" style="2" bestFit="1" customWidth="1"/>
    <col min="8" max="8" width="11.88671875" style="7" bestFit="1" customWidth="1"/>
    <col min="9" max="9" width="11.21875" style="7" bestFit="1" customWidth="1"/>
    <col min="10" max="10" width="12.6640625" style="7" customWidth="1"/>
    <col min="11" max="11" width="8.88671875" style="7"/>
    <col min="12" max="12" width="11.33203125" style="7" bestFit="1" customWidth="1"/>
    <col min="13" max="16384" width="8.88671875" style="7"/>
  </cols>
  <sheetData>
    <row r="1" spans="1:12" x14ac:dyDescent="0.25">
      <c r="A1" s="307" t="s">
        <v>2128</v>
      </c>
      <c r="B1" s="308"/>
      <c r="C1" s="308"/>
      <c r="D1" s="308"/>
      <c r="E1" s="308"/>
      <c r="F1" s="308"/>
      <c r="G1" s="308"/>
      <c r="H1" s="308"/>
      <c r="I1" s="308"/>
      <c r="J1" s="308"/>
    </row>
    <row r="2" spans="1:12" x14ac:dyDescent="0.25">
      <c r="C2" s="21"/>
      <c r="D2" s="21"/>
      <c r="E2" s="16"/>
      <c r="F2" s="16"/>
      <c r="G2" s="16"/>
      <c r="H2" s="21"/>
    </row>
    <row r="3" spans="1:12" ht="15" x14ac:dyDescent="0.4">
      <c r="C3" s="16" t="s">
        <v>233</v>
      </c>
      <c r="D3" s="16" t="s">
        <v>2327</v>
      </c>
      <c r="E3" s="16" t="s">
        <v>70</v>
      </c>
      <c r="F3" s="16" t="s">
        <v>409</v>
      </c>
      <c r="G3" s="16" t="s">
        <v>314</v>
      </c>
      <c r="H3" s="16" t="s">
        <v>345</v>
      </c>
      <c r="I3" s="309" t="s">
        <v>547</v>
      </c>
      <c r="J3" s="309"/>
    </row>
    <row r="4" spans="1:12" ht="15" x14ac:dyDescent="0.4">
      <c r="A4" s="38" t="s">
        <v>932</v>
      </c>
      <c r="B4" s="6" t="s">
        <v>396</v>
      </c>
      <c r="C4" s="225" t="s">
        <v>1794</v>
      </c>
      <c r="D4" s="225" t="s">
        <v>1970</v>
      </c>
      <c r="E4" s="191" t="s">
        <v>2129</v>
      </c>
      <c r="F4" s="225" t="s">
        <v>2129</v>
      </c>
      <c r="G4" s="225" t="s">
        <v>2129</v>
      </c>
      <c r="H4" s="225" t="s">
        <v>2129</v>
      </c>
      <c r="I4" s="191" t="s">
        <v>661</v>
      </c>
      <c r="J4" s="194" t="s">
        <v>662</v>
      </c>
    </row>
    <row r="5" spans="1:12" x14ac:dyDescent="0.25">
      <c r="A5" s="36" t="s">
        <v>663</v>
      </c>
      <c r="B5" s="7" t="s">
        <v>664</v>
      </c>
      <c r="C5" s="2">
        <f>+'01-gen gov'!E272</f>
        <v>2020480.5799999996</v>
      </c>
      <c r="D5" s="2">
        <f>+'01-gen gov'!F272-'01-gen gov'!F255+300</f>
        <v>1988969</v>
      </c>
      <c r="E5" s="2">
        <f>+'01-gen gov'!G272-'01-gen gov'!G255+300</f>
        <v>1811677</v>
      </c>
      <c r="F5" s="2">
        <f>+'01-gen gov'!H272-55000</f>
        <v>1818978</v>
      </c>
      <c r="G5" s="2">
        <f>+'01-gen gov'!I272-55000</f>
        <v>1855840</v>
      </c>
      <c r="H5" s="2">
        <f>+'01-gen gov'!J272</f>
        <v>1910840</v>
      </c>
      <c r="I5" s="2">
        <f t="shared" ref="I5:I21" si="0">+H5-D5</f>
        <v>-78129</v>
      </c>
      <c r="J5" s="12">
        <f t="shared" ref="J5:J21" si="1">ROUND((I5/D5)*100,2)</f>
        <v>-3.93</v>
      </c>
      <c r="L5" s="2"/>
    </row>
    <row r="6" spans="1:12" x14ac:dyDescent="0.25">
      <c r="A6" s="127" t="s">
        <v>665</v>
      </c>
      <c r="B6" s="128" t="s">
        <v>460</v>
      </c>
      <c r="C6" s="129">
        <f>+'02-assessing'!E117</f>
        <v>308216.79000000004</v>
      </c>
      <c r="D6" s="129">
        <f>+'02-assessing'!F117-15000</f>
        <v>312876</v>
      </c>
      <c r="E6" s="129">
        <f>+'02-assessing'!G117-15000</f>
        <v>316383</v>
      </c>
      <c r="F6" s="129">
        <f>+'02-assessing'!H117-15000</f>
        <v>317359</v>
      </c>
      <c r="G6" s="129">
        <f>+'02-assessing'!I117-15000</f>
        <v>323207</v>
      </c>
      <c r="H6" s="129">
        <f>+'02-assessing'!J117</f>
        <v>338207</v>
      </c>
      <c r="I6" s="129">
        <f t="shared" si="0"/>
        <v>25331</v>
      </c>
      <c r="J6" s="130">
        <f t="shared" si="1"/>
        <v>8.1</v>
      </c>
      <c r="L6" s="2"/>
    </row>
    <row r="7" spans="1:12" x14ac:dyDescent="0.25">
      <c r="A7" s="36" t="s">
        <v>461</v>
      </c>
      <c r="B7" s="7" t="s">
        <v>462</v>
      </c>
      <c r="C7" s="2">
        <f>+'03-fire'!E456</f>
        <v>6085010.0599999996</v>
      </c>
      <c r="D7" s="2">
        <f>+'03-fire'!F456-80000-250000-434000</f>
        <v>6091456</v>
      </c>
      <c r="E7" s="2">
        <f>+'03-fire'!G456-80000-250000-47000</f>
        <v>6774946.2726190472</v>
      </c>
      <c r="F7" s="2">
        <f>+'03-fire'!H456-80000-250000-47000</f>
        <v>6264517.333333333</v>
      </c>
      <c r="G7" s="2">
        <f>+'03-fire'!I456-80000-250000-47000</f>
        <v>6225075.333333333</v>
      </c>
      <c r="H7" s="2">
        <f>+'03-fire'!J456</f>
        <v>6714194</v>
      </c>
      <c r="I7" s="2">
        <f t="shared" si="0"/>
        <v>622738</v>
      </c>
      <c r="J7" s="12">
        <f t="shared" si="1"/>
        <v>10.220000000000001</v>
      </c>
      <c r="L7" s="2"/>
    </row>
    <row r="8" spans="1:12" x14ac:dyDescent="0.25">
      <c r="A8" s="127" t="s">
        <v>463</v>
      </c>
      <c r="B8" s="128" t="s">
        <v>464</v>
      </c>
      <c r="C8" s="129">
        <f>+'04-police'!E307</f>
        <v>5588897.1500000004</v>
      </c>
      <c r="D8" s="129">
        <f>+'04-police'!F307</f>
        <v>6418759</v>
      </c>
      <c r="E8" s="129">
        <f>+'04-police'!G307</f>
        <v>6625710</v>
      </c>
      <c r="F8" s="129">
        <f>+'04-police'!H307</f>
        <v>6438102</v>
      </c>
      <c r="G8" s="129">
        <f>+'04-police'!I307</f>
        <v>6413989</v>
      </c>
      <c r="H8" s="129">
        <f>+'04-police'!J307</f>
        <v>6425817</v>
      </c>
      <c r="I8" s="129">
        <f t="shared" si="0"/>
        <v>7058</v>
      </c>
      <c r="J8" s="130">
        <f t="shared" si="1"/>
        <v>0.11</v>
      </c>
      <c r="L8" s="2"/>
    </row>
    <row r="9" spans="1:12" x14ac:dyDescent="0.25">
      <c r="A9" s="36" t="s">
        <v>1408</v>
      </c>
      <c r="B9" s="7" t="s">
        <v>1409</v>
      </c>
      <c r="C9" s="2">
        <f>+'05-comm'!E141</f>
        <v>1416452.6099999999</v>
      </c>
      <c r="D9" s="2">
        <f>+'05-comm'!F141-125000</f>
        <v>784885</v>
      </c>
      <c r="E9" s="2">
        <f>+'05-comm'!G141-125000</f>
        <v>805301</v>
      </c>
      <c r="F9" s="2">
        <f>+'05-comm'!H141-125000</f>
        <v>807085</v>
      </c>
      <c r="G9" s="2">
        <f>+'05-comm'!I141-125000</f>
        <v>802585</v>
      </c>
      <c r="H9" s="2">
        <f>+'05-comm'!J141</f>
        <v>936654</v>
      </c>
      <c r="I9" s="2">
        <f t="shared" si="0"/>
        <v>151769</v>
      </c>
      <c r="J9" s="12">
        <f t="shared" si="1"/>
        <v>19.34</v>
      </c>
      <c r="L9" s="2"/>
    </row>
    <row r="10" spans="1:12" x14ac:dyDescent="0.25">
      <c r="A10" s="127" t="s">
        <v>942</v>
      </c>
      <c r="B10" s="128" t="s">
        <v>441</v>
      </c>
      <c r="C10" s="129">
        <f>+'06-code enforcement'!E163</f>
        <v>341083.93000000005</v>
      </c>
      <c r="D10" s="129">
        <f>+'06-code enforcement'!F163</f>
        <v>392304</v>
      </c>
      <c r="E10" s="129">
        <f>+'06-code enforcement'!G163</f>
        <v>396945</v>
      </c>
      <c r="F10" s="129">
        <f>+'06-code enforcement'!H163</f>
        <v>383260</v>
      </c>
      <c r="G10" s="129">
        <f>+'06-code enforcement'!I163</f>
        <v>389606</v>
      </c>
      <c r="H10" s="129">
        <f>+'06-code enforcement'!J163</f>
        <v>389606</v>
      </c>
      <c r="I10" s="129">
        <f t="shared" si="0"/>
        <v>-2698</v>
      </c>
      <c r="J10" s="130">
        <f t="shared" si="1"/>
        <v>-0.69</v>
      </c>
      <c r="L10" s="2"/>
    </row>
    <row r="11" spans="1:12" x14ac:dyDescent="0.25">
      <c r="A11" s="36" t="s">
        <v>1410</v>
      </c>
      <c r="B11" s="7" t="s">
        <v>1411</v>
      </c>
      <c r="C11" s="2">
        <f>+'07-pub works'!E120</f>
        <v>417717.43</v>
      </c>
      <c r="D11" s="2">
        <f>+'07-pub works'!F120</f>
        <v>399574</v>
      </c>
      <c r="E11" s="2">
        <f>+'07-pub works'!G120</f>
        <v>400002</v>
      </c>
      <c r="F11" s="2">
        <f>+'07-pub works'!H120</f>
        <v>401317</v>
      </c>
      <c r="G11" s="2">
        <f>+'07-pub works'!I120</f>
        <v>411507</v>
      </c>
      <c r="H11" s="2">
        <f>+'07-pub works'!J120</f>
        <v>411507</v>
      </c>
      <c r="I11" s="2">
        <f t="shared" si="0"/>
        <v>11933</v>
      </c>
      <c r="J11" s="12">
        <f t="shared" si="1"/>
        <v>2.99</v>
      </c>
      <c r="L11" s="2"/>
    </row>
    <row r="12" spans="1:12" x14ac:dyDescent="0.25">
      <c r="A12" s="127" t="s">
        <v>1412</v>
      </c>
      <c r="B12" s="128" t="s">
        <v>816</v>
      </c>
      <c r="C12" s="129">
        <f>+'08-highway'!E353</f>
        <v>6254628.9100000001</v>
      </c>
      <c r="D12" s="129">
        <f>+'08-highway'!F353-50000-400000-450000-5000</f>
        <v>4234287</v>
      </c>
      <c r="E12" s="129">
        <f>+'08-highway'!G353-'08-highway'!G317</f>
        <v>4647255</v>
      </c>
      <c r="F12" s="129">
        <f>+'08-highway'!H353-905000</f>
        <v>4606902</v>
      </c>
      <c r="G12" s="129">
        <f>+'08-highway'!I353-905000</f>
        <v>4648728</v>
      </c>
      <c r="H12" s="129">
        <f>+'08-highway'!J353</f>
        <v>5578094</v>
      </c>
      <c r="I12" s="129">
        <f t="shared" si="0"/>
        <v>1343807</v>
      </c>
      <c r="J12" s="130">
        <f t="shared" si="1"/>
        <v>31.74</v>
      </c>
      <c r="L12" s="2"/>
    </row>
    <row r="13" spans="1:12" x14ac:dyDescent="0.25">
      <c r="A13" s="36" t="s">
        <v>817</v>
      </c>
      <c r="B13" s="7" t="s">
        <v>976</v>
      </c>
      <c r="C13" s="2">
        <f>+'09-solid waste'!E216</f>
        <v>1608227.1600000001</v>
      </c>
      <c r="D13" s="2">
        <f>+'09-solid waste'!F216-125000</f>
        <v>1668611</v>
      </c>
      <c r="E13" s="2">
        <f>+'09-solid waste'!G216-125000</f>
        <v>1740320</v>
      </c>
      <c r="F13" s="2">
        <f>+'09-solid waste'!H216-125000</f>
        <v>1742951</v>
      </c>
      <c r="G13" s="2">
        <f>+'09-solid waste'!I216-125000</f>
        <v>1743489</v>
      </c>
      <c r="H13" s="2">
        <f>+'09-solid waste'!J216</f>
        <v>1877575</v>
      </c>
      <c r="I13" s="2">
        <f t="shared" si="0"/>
        <v>208964</v>
      </c>
      <c r="J13" s="12">
        <f t="shared" si="1"/>
        <v>12.52</v>
      </c>
      <c r="L13" s="2"/>
    </row>
    <row r="14" spans="1:12" x14ac:dyDescent="0.25">
      <c r="A14" s="127" t="s">
        <v>139</v>
      </c>
      <c r="B14" s="128" t="s">
        <v>1094</v>
      </c>
      <c r="C14" s="129">
        <f>+'13-parks &amp; rec'!E258</f>
        <v>447185.21</v>
      </c>
      <c r="D14" s="129">
        <f>+'13-parks &amp; rec'!F258</f>
        <v>459339</v>
      </c>
      <c r="E14" s="129">
        <f>+'13-parks &amp; rec'!G258</f>
        <v>547301</v>
      </c>
      <c r="F14" s="129">
        <f>+'13-parks &amp; rec'!H258</f>
        <v>557928</v>
      </c>
      <c r="G14" s="129">
        <f>+'13-parks &amp; rec'!I258</f>
        <v>573101</v>
      </c>
      <c r="H14" s="129">
        <f>+'13-parks &amp; rec'!J258</f>
        <v>573101</v>
      </c>
      <c r="I14" s="129">
        <f t="shared" si="0"/>
        <v>113762</v>
      </c>
      <c r="J14" s="130">
        <f t="shared" si="1"/>
        <v>24.77</v>
      </c>
      <c r="L14" s="2"/>
    </row>
    <row r="15" spans="1:12" x14ac:dyDescent="0.25">
      <c r="A15" s="36" t="s">
        <v>1095</v>
      </c>
      <c r="B15" s="7" t="s">
        <v>1096</v>
      </c>
      <c r="C15" s="2">
        <f>+'15-library'!E250-C27</f>
        <v>1117195.0500000003</v>
      </c>
      <c r="D15" s="2">
        <f>+'15-library'!F250-D27-75000</f>
        <v>1110308</v>
      </c>
      <c r="E15" s="2">
        <f>+'15-library'!G250-E27-75000</f>
        <v>1211593.6000000001</v>
      </c>
      <c r="F15" s="2">
        <f>+'15-library'!H250-F27-75000</f>
        <v>1211594</v>
      </c>
      <c r="G15" s="2">
        <f>+'15-library'!I250-G27-75000</f>
        <v>1211594</v>
      </c>
      <c r="H15" s="2">
        <f>+'15-library'!J250-H27</f>
        <v>1286594</v>
      </c>
      <c r="I15" s="2">
        <f t="shared" si="0"/>
        <v>176286</v>
      </c>
      <c r="J15" s="12">
        <f t="shared" si="1"/>
        <v>15.88</v>
      </c>
      <c r="L15" s="2"/>
    </row>
    <row r="16" spans="1:12" x14ac:dyDescent="0.25">
      <c r="A16" s="127" t="s">
        <v>304</v>
      </c>
      <c r="B16" s="128" t="s">
        <v>305</v>
      </c>
      <c r="C16" s="129">
        <f>+'16-equip mntc'!E125</f>
        <v>398475.03</v>
      </c>
      <c r="D16" s="129">
        <f>+'16-equip mntc'!F125</f>
        <v>458204</v>
      </c>
      <c r="E16" s="129">
        <f>+'16-equip mntc'!G125</f>
        <v>457335</v>
      </c>
      <c r="F16" s="129">
        <f>+'16-equip mntc'!H125</f>
        <v>459527</v>
      </c>
      <c r="G16" s="129">
        <f>+'16-equip mntc'!I125</f>
        <v>459527</v>
      </c>
      <c r="H16" s="129">
        <f>+'16-equip mntc'!J125</f>
        <v>466736</v>
      </c>
      <c r="I16" s="129">
        <f t="shared" si="0"/>
        <v>8532</v>
      </c>
      <c r="J16" s="130">
        <f t="shared" si="1"/>
        <v>1.86</v>
      </c>
      <c r="L16" s="2"/>
    </row>
    <row r="17" spans="1:12" x14ac:dyDescent="0.25">
      <c r="A17" s="36" t="s">
        <v>306</v>
      </c>
      <c r="B17" s="7" t="s">
        <v>307</v>
      </c>
      <c r="C17" s="2">
        <f>+'17-bldg &amp; grounds'!E149</f>
        <v>282867.33999999997</v>
      </c>
      <c r="D17" s="2">
        <f>+'17-bldg &amp; grounds'!F149</f>
        <v>513397</v>
      </c>
      <c r="E17" s="2">
        <f>+'17-bldg &amp; grounds'!G149</f>
        <v>391085</v>
      </c>
      <c r="F17" s="2">
        <f>+'17-bldg &amp; grounds'!H149</f>
        <v>326462</v>
      </c>
      <c r="G17" s="2">
        <f>+'17-bldg &amp; grounds'!I149</f>
        <v>328624</v>
      </c>
      <c r="H17" s="2">
        <f>+'17-bldg &amp; grounds'!J149</f>
        <v>328624</v>
      </c>
      <c r="I17" s="2">
        <f t="shared" si="0"/>
        <v>-184773</v>
      </c>
      <c r="J17" s="12">
        <f t="shared" si="1"/>
        <v>-35.99</v>
      </c>
      <c r="L17" s="2"/>
    </row>
    <row r="18" spans="1:12" x14ac:dyDescent="0.25">
      <c r="A18" s="127" t="s">
        <v>308</v>
      </c>
      <c r="B18" s="128" t="s">
        <v>309</v>
      </c>
      <c r="C18" s="129">
        <f>+'21-comm dev'!E160</f>
        <v>467784.67000000004</v>
      </c>
      <c r="D18" s="129">
        <f>+'21-comm dev'!F160-20000</f>
        <v>508316</v>
      </c>
      <c r="E18" s="129">
        <f>+'21-comm dev'!G160-20000</f>
        <v>486979</v>
      </c>
      <c r="F18" s="129">
        <f>+'21-comm dev'!H160-20000</f>
        <v>488733</v>
      </c>
      <c r="G18" s="129">
        <f>+'21-comm dev'!I160-20000</f>
        <v>500408</v>
      </c>
      <c r="H18" s="129">
        <f>+'21-comm dev'!J160</f>
        <v>520408</v>
      </c>
      <c r="I18" s="129">
        <f t="shared" si="0"/>
        <v>12092</v>
      </c>
      <c r="J18" s="130">
        <f t="shared" si="1"/>
        <v>2.38</v>
      </c>
      <c r="L18" s="2"/>
    </row>
    <row r="19" spans="1:12" x14ac:dyDescent="0.25">
      <c r="A19" s="36" t="s">
        <v>310</v>
      </c>
      <c r="B19" s="7" t="s">
        <v>1046</v>
      </c>
      <c r="C19" s="2">
        <f>+'24-tax coll'!E148</f>
        <v>470300.26000000013</v>
      </c>
      <c r="D19" s="2">
        <f>+'24-tax coll'!F148</f>
        <v>573816</v>
      </c>
      <c r="E19" s="2">
        <f>+'24-tax coll'!G148</f>
        <v>553505</v>
      </c>
      <c r="F19" s="2">
        <f>+'24-tax coll'!H148</f>
        <v>556136</v>
      </c>
      <c r="G19" s="2">
        <f>+'24-tax coll'!I148</f>
        <v>563569</v>
      </c>
      <c r="H19" s="2">
        <f>+'24-tax coll'!J148</f>
        <v>563569</v>
      </c>
      <c r="I19" s="2">
        <f t="shared" si="0"/>
        <v>-10247</v>
      </c>
      <c r="J19" s="12">
        <f t="shared" si="1"/>
        <v>-1.79</v>
      </c>
      <c r="L19" s="2"/>
    </row>
    <row r="20" spans="1:12" x14ac:dyDescent="0.25">
      <c r="A20" s="127" t="s">
        <v>311</v>
      </c>
      <c r="B20" s="128" t="s">
        <v>312</v>
      </c>
      <c r="C20" s="129">
        <f>+'25-welfare'!F95</f>
        <v>164253.46</v>
      </c>
      <c r="D20" s="129">
        <f>+'25-welfare'!G95</f>
        <v>158832</v>
      </c>
      <c r="E20" s="129">
        <f>+'25-welfare'!H95</f>
        <v>160732</v>
      </c>
      <c r="F20" s="129">
        <f>+'25-welfare'!I95</f>
        <v>160732</v>
      </c>
      <c r="G20" s="129">
        <f>+'25-welfare'!J95</f>
        <v>161988</v>
      </c>
      <c r="H20" s="129">
        <f>+'25-welfare'!K95</f>
        <v>161988</v>
      </c>
      <c r="I20" s="129">
        <f t="shared" si="0"/>
        <v>3156</v>
      </c>
      <c r="J20" s="130">
        <f t="shared" si="1"/>
        <v>1.99</v>
      </c>
      <c r="L20" s="2"/>
    </row>
    <row r="21" spans="1:12" ht="15" x14ac:dyDescent="0.4">
      <c r="A21" s="36" t="s">
        <v>313</v>
      </c>
      <c r="B21" s="7" t="s">
        <v>1140</v>
      </c>
      <c r="C21" s="11">
        <f>+'27-debt svc'!B28</f>
        <v>423365</v>
      </c>
      <c r="D21" s="11">
        <f>+'27-debt svc'!C28</f>
        <v>440626.58999999997</v>
      </c>
      <c r="E21" s="11">
        <f>+'27-debt svc'!D28</f>
        <v>416266</v>
      </c>
      <c r="F21" s="11">
        <f>+'27-debt svc'!E28</f>
        <v>416266</v>
      </c>
      <c r="G21" s="11">
        <f>+'27-debt svc'!F28</f>
        <v>416266</v>
      </c>
      <c r="H21" s="11">
        <f>+'27-debt svc'!G28</f>
        <v>416266</v>
      </c>
      <c r="I21" s="11">
        <f t="shared" si="0"/>
        <v>-24360.589999999967</v>
      </c>
      <c r="J21" s="40">
        <f t="shared" si="1"/>
        <v>-5.53</v>
      </c>
      <c r="L21" s="2"/>
    </row>
    <row r="22" spans="1:12" x14ac:dyDescent="0.25">
      <c r="B22" s="7" t="s">
        <v>479</v>
      </c>
      <c r="C22" s="2">
        <f t="shared" ref="C22:H22" si="2">SUM(C5:C21)</f>
        <v>27812140.640000008</v>
      </c>
      <c r="D22" s="2">
        <f t="shared" si="2"/>
        <v>26514559.59</v>
      </c>
      <c r="E22" s="2">
        <f t="shared" si="2"/>
        <v>27743335.872619048</v>
      </c>
      <c r="F22" s="2">
        <f t="shared" si="2"/>
        <v>26957849.333333332</v>
      </c>
      <c r="G22" s="2">
        <f t="shared" si="2"/>
        <v>27029103.333333332</v>
      </c>
      <c r="H22" s="2">
        <f t="shared" si="2"/>
        <v>28899780</v>
      </c>
      <c r="I22" s="2">
        <f>SUM(I5:I21)</f>
        <v>2385220.41</v>
      </c>
      <c r="J22" s="84">
        <f>+I22/D22</f>
        <v>8.9958892279681277E-2</v>
      </c>
      <c r="L22" s="2"/>
    </row>
    <row r="23" spans="1:12" x14ac:dyDescent="0.25">
      <c r="C23" s="2"/>
      <c r="D23" s="2"/>
      <c r="H23" s="2"/>
      <c r="L23" s="2"/>
    </row>
    <row r="24" spans="1:12" x14ac:dyDescent="0.25">
      <c r="L24" s="2"/>
    </row>
    <row r="25" spans="1:12" x14ac:dyDescent="0.25">
      <c r="A25" s="131" t="s">
        <v>583</v>
      </c>
      <c r="B25" s="128" t="s">
        <v>550</v>
      </c>
      <c r="C25" s="129">
        <f>+'-other SPECIAL REVENUE FUNDING'!E9</f>
        <v>12989.380000000001</v>
      </c>
      <c r="D25" s="129">
        <f>+'-other SPECIAL REVENUE FUNDING'!F9</f>
        <v>10026</v>
      </c>
      <c r="E25" s="129">
        <f>+'-other SPECIAL REVENUE FUNDING'!G9</f>
        <v>10026</v>
      </c>
      <c r="F25" s="129">
        <f>+'-other SPECIAL REVENUE FUNDING'!H9</f>
        <v>10026</v>
      </c>
      <c r="G25" s="129">
        <f>+'-other SPECIAL REVENUE FUNDING'!I9</f>
        <v>10026</v>
      </c>
      <c r="H25" s="129">
        <f>+'-other SPECIAL REVENUE FUNDING'!J9</f>
        <v>10026</v>
      </c>
      <c r="I25" s="129">
        <f>+H25-D25</f>
        <v>0</v>
      </c>
      <c r="J25" s="130">
        <f t="shared" ref="J25:J30" si="3">ROUND((I25/D25)*100,2)</f>
        <v>0</v>
      </c>
      <c r="L25" s="2"/>
    </row>
    <row r="26" spans="1:12" x14ac:dyDescent="0.25">
      <c r="A26" s="30" t="s">
        <v>582</v>
      </c>
      <c r="B26" s="7" t="s">
        <v>549</v>
      </c>
      <c r="C26" s="2">
        <f>+'-other SPECIAL REVENUE FUNDING'!E12</f>
        <v>544362</v>
      </c>
      <c r="D26" s="2">
        <f>+'-other SPECIAL REVENUE FUNDING'!F12</f>
        <v>413886</v>
      </c>
      <c r="E26" s="2">
        <f>+'-other SPECIAL REVENUE FUNDING'!G12</f>
        <v>419699</v>
      </c>
      <c r="F26" s="2">
        <f>+'-other SPECIAL REVENUE FUNDING'!H12</f>
        <v>419699</v>
      </c>
      <c r="G26" s="2">
        <f>+'-other SPECIAL REVENUE FUNDING'!I12</f>
        <v>419699</v>
      </c>
      <c r="H26" s="2">
        <f>+'-other SPECIAL REVENUE FUNDING'!J12</f>
        <v>419699</v>
      </c>
      <c r="I26" s="2">
        <f>+H26-D26</f>
        <v>5813</v>
      </c>
      <c r="J26" s="12">
        <f t="shared" si="3"/>
        <v>1.4</v>
      </c>
      <c r="L26" s="2"/>
    </row>
    <row r="27" spans="1:12" x14ac:dyDescent="0.25">
      <c r="A27" s="131" t="s">
        <v>585</v>
      </c>
      <c r="B27" s="128" t="s">
        <v>586</v>
      </c>
      <c r="C27" s="129">
        <v>4386</v>
      </c>
      <c r="D27" s="129">
        <v>3500</v>
      </c>
      <c r="E27" s="129">
        <v>23000</v>
      </c>
      <c r="F27" s="129">
        <v>23000</v>
      </c>
      <c r="G27" s="129">
        <v>23000</v>
      </c>
      <c r="H27" s="129">
        <v>23000</v>
      </c>
      <c r="I27" s="129">
        <f>+H27-D27</f>
        <v>19500</v>
      </c>
      <c r="J27" s="130">
        <f t="shared" si="3"/>
        <v>557.14</v>
      </c>
      <c r="L27" s="2"/>
    </row>
    <row r="28" spans="1:12" s="188" customFormat="1" x14ac:dyDescent="0.25">
      <c r="A28" s="30" t="s">
        <v>1991</v>
      </c>
      <c r="B28" s="197" t="s">
        <v>1967</v>
      </c>
      <c r="C28" s="2">
        <f>+'45- capital Projects fund'!E12</f>
        <v>439646.28</v>
      </c>
      <c r="D28" s="2">
        <v>0</v>
      </c>
      <c r="E28" s="2">
        <v>0</v>
      </c>
      <c r="F28" s="2">
        <v>0</v>
      </c>
      <c r="G28" s="2">
        <v>0</v>
      </c>
      <c r="H28" s="2">
        <f>+'45- capital Projects fund'!J18</f>
        <v>0</v>
      </c>
      <c r="I28" s="2">
        <f>+H28-D28</f>
        <v>0</v>
      </c>
      <c r="J28" s="12">
        <v>0</v>
      </c>
      <c r="L28" s="2"/>
    </row>
    <row r="29" spans="1:12" ht="15" x14ac:dyDescent="0.4">
      <c r="A29" s="131" t="s">
        <v>584</v>
      </c>
      <c r="B29" s="128" t="s">
        <v>933</v>
      </c>
      <c r="C29" s="132">
        <f>+'-other SPECIAL REVENUE FUNDING'!E17</f>
        <v>0</v>
      </c>
      <c r="D29" s="132">
        <f>+'-other SPECIAL REVENUE FUNDING'!F17</f>
        <v>0</v>
      </c>
      <c r="E29" s="132">
        <f>+'-other SPECIAL REVENUE FUNDING'!G17</f>
        <v>0</v>
      </c>
      <c r="F29" s="132">
        <f>+'-other SPECIAL REVENUE FUNDING'!H17</f>
        <v>0</v>
      </c>
      <c r="G29" s="132">
        <f>+'-other SPECIAL REVENUE FUNDING'!I17</f>
        <v>0</v>
      </c>
      <c r="H29" s="132">
        <f>+'-other SPECIAL REVENUE FUNDING'!J17</f>
        <v>0</v>
      </c>
      <c r="I29" s="132">
        <f>+E29-D29</f>
        <v>0</v>
      </c>
      <c r="J29" s="152">
        <v>0</v>
      </c>
      <c r="L29" s="2"/>
    </row>
    <row r="30" spans="1:12" x14ac:dyDescent="0.25">
      <c r="B30" s="7" t="s">
        <v>1247</v>
      </c>
      <c r="C30" s="2">
        <f t="shared" ref="C30:I30" si="4">SUM(C22:C29)</f>
        <v>28813524.300000008</v>
      </c>
      <c r="D30" s="2">
        <f t="shared" si="4"/>
        <v>26941971.59</v>
      </c>
      <c r="E30" s="2">
        <f t="shared" si="4"/>
        <v>28196060.872619048</v>
      </c>
      <c r="F30" s="2">
        <f t="shared" si="4"/>
        <v>27410574.333333332</v>
      </c>
      <c r="G30" s="2">
        <f t="shared" si="4"/>
        <v>27481828.333333332</v>
      </c>
      <c r="H30" s="2">
        <f t="shared" si="4"/>
        <v>29352505</v>
      </c>
      <c r="I30" s="2">
        <f t="shared" si="4"/>
        <v>2410533.41</v>
      </c>
      <c r="J30" s="12">
        <f t="shared" si="3"/>
        <v>8.9499999999999993</v>
      </c>
      <c r="L30" s="2"/>
    </row>
    <row r="31" spans="1:12" x14ac:dyDescent="0.25">
      <c r="C31" s="2"/>
      <c r="D31" s="2"/>
      <c r="H31" s="2"/>
      <c r="I31" s="2"/>
      <c r="L31" s="2"/>
    </row>
    <row r="32" spans="1:12" x14ac:dyDescent="0.25">
      <c r="A32" s="36" t="s">
        <v>977</v>
      </c>
      <c r="B32" s="7" t="s">
        <v>978</v>
      </c>
      <c r="C32" s="2">
        <f>+'10-wastewater'!E330</f>
        <v>4169067.4750000006</v>
      </c>
      <c r="D32" s="2">
        <f>+'10-wastewater'!F330-300000</f>
        <v>3970268</v>
      </c>
      <c r="E32" s="2">
        <f>+'10-wastewater'!G330-350000</f>
        <v>4133158.6500000004</v>
      </c>
      <c r="F32" s="2">
        <f>+'10-wastewater'!H330-350000</f>
        <v>4127366.6500000004</v>
      </c>
      <c r="G32" s="2">
        <f>+'10-wastewater'!I330-350000</f>
        <v>4132692.6500000004</v>
      </c>
      <c r="H32" s="2">
        <f>+'10-wastewater'!J330</f>
        <v>4511719.6500000004</v>
      </c>
      <c r="I32" s="2">
        <f>+H32-D32</f>
        <v>541451.65000000037</v>
      </c>
      <c r="J32" s="12">
        <f>ROUND((I32/D32)*100,2)</f>
        <v>13.64</v>
      </c>
      <c r="L32" s="2"/>
    </row>
    <row r="33" spans="1:12" s="298" customFormat="1" x14ac:dyDescent="0.25">
      <c r="A33" s="127">
        <v>27</v>
      </c>
      <c r="B33" s="128" t="s">
        <v>1140</v>
      </c>
      <c r="C33" s="129">
        <f>+'27-debt svc'!B69</f>
        <v>825842.48</v>
      </c>
      <c r="D33" s="129">
        <f>+'27-debt svc'!C69</f>
        <v>813327</v>
      </c>
      <c r="E33" s="129">
        <f>+'27-debt svc'!D69</f>
        <v>726529</v>
      </c>
      <c r="F33" s="129">
        <f>+'27-debt svc'!E69</f>
        <v>726529</v>
      </c>
      <c r="G33" s="129">
        <f>+'27-debt svc'!F69</f>
        <v>726529</v>
      </c>
      <c r="H33" s="129">
        <f>+'27-debt svc'!G69</f>
        <v>726529</v>
      </c>
      <c r="I33" s="129">
        <f>+H33-D33</f>
        <v>-86798</v>
      </c>
      <c r="J33" s="130">
        <f>ROUND((I33/D33)*100,2)</f>
        <v>-10.67</v>
      </c>
      <c r="L33" s="2"/>
    </row>
    <row r="34" spans="1:12" s="298" customFormat="1" ht="15" x14ac:dyDescent="0.4">
      <c r="A34" s="36">
        <v>43</v>
      </c>
      <c r="B34" s="298" t="s">
        <v>2330</v>
      </c>
      <c r="C34" s="11">
        <v>0</v>
      </c>
      <c r="D34" s="11">
        <v>0</v>
      </c>
      <c r="E34" s="11">
        <v>0</v>
      </c>
      <c r="F34" s="11">
        <v>0</v>
      </c>
      <c r="G34" s="11">
        <v>0</v>
      </c>
      <c r="H34" s="11">
        <v>13100000</v>
      </c>
      <c r="I34" s="11">
        <v>13100000</v>
      </c>
      <c r="J34" s="40">
        <v>100</v>
      </c>
      <c r="L34" s="2"/>
    </row>
    <row r="35" spans="1:12" x14ac:dyDescent="0.25">
      <c r="A35" s="7" t="s">
        <v>396</v>
      </c>
      <c r="B35" s="7" t="s">
        <v>934</v>
      </c>
      <c r="C35" s="2">
        <f>SUM(C32:C34)</f>
        <v>4994909.9550000001</v>
      </c>
      <c r="D35" s="2">
        <f t="shared" ref="D35:I35" si="5">SUM(D32:D34)</f>
        <v>4783595</v>
      </c>
      <c r="E35" s="2">
        <f t="shared" si="5"/>
        <v>4859687.6500000004</v>
      </c>
      <c r="F35" s="2">
        <f t="shared" si="5"/>
        <v>4853895.6500000004</v>
      </c>
      <c r="G35" s="2">
        <f t="shared" si="5"/>
        <v>4859221.6500000004</v>
      </c>
      <c r="H35" s="2">
        <f t="shared" si="5"/>
        <v>18338248.649999999</v>
      </c>
      <c r="I35" s="2">
        <f t="shared" si="5"/>
        <v>13554653.65</v>
      </c>
      <c r="J35" s="12">
        <f>ROUND((I35/D35)*100,2)</f>
        <v>283.36</v>
      </c>
      <c r="L35" s="2"/>
    </row>
    <row r="36" spans="1:12" x14ac:dyDescent="0.25">
      <c r="C36" s="2"/>
      <c r="D36" s="2"/>
      <c r="H36" s="2"/>
      <c r="L36" s="2"/>
    </row>
    <row r="37" spans="1:12" x14ac:dyDescent="0.25">
      <c r="A37" s="127" t="s">
        <v>1118</v>
      </c>
      <c r="B37" s="128" t="s">
        <v>935</v>
      </c>
      <c r="C37" s="129">
        <f>+'32-Media'!E104</f>
        <v>213038.98000000004</v>
      </c>
      <c r="D37" s="129">
        <f>+'32-Media'!F104</f>
        <v>302512</v>
      </c>
      <c r="E37" s="129">
        <f>+'32-Media'!G104</f>
        <v>341715</v>
      </c>
      <c r="F37" s="129">
        <f>+'32-Media'!H104</f>
        <v>342592</v>
      </c>
      <c r="G37" s="129">
        <f>+'32-Media'!I104</f>
        <v>347259</v>
      </c>
      <c r="H37" s="129">
        <f>+'32-Media'!J104</f>
        <v>347259</v>
      </c>
      <c r="I37" s="129">
        <f>+H37-D37</f>
        <v>44747</v>
      </c>
      <c r="J37" s="130">
        <f>ROUND((I37/D37)*100,2)</f>
        <v>14.79</v>
      </c>
      <c r="L37" s="2"/>
    </row>
    <row r="38" spans="1:12" x14ac:dyDescent="0.25">
      <c r="C38" s="2"/>
      <c r="D38" s="2"/>
      <c r="H38" s="2"/>
      <c r="I38" s="2"/>
      <c r="J38" s="84" t="s">
        <v>396</v>
      </c>
      <c r="L38" s="2"/>
    </row>
    <row r="39" spans="1:12" ht="15" x14ac:dyDescent="0.4">
      <c r="A39" s="36" t="s">
        <v>1119</v>
      </c>
      <c r="B39" s="7" t="s">
        <v>936</v>
      </c>
      <c r="C39" s="11">
        <f>+'33-Fire Protection -other'!E12</f>
        <v>88384.47</v>
      </c>
      <c r="D39" s="11">
        <f>+'33-Fire Protection -other'!F12</f>
        <v>99811</v>
      </c>
      <c r="E39" s="11">
        <f>+'33-Fire Protection -other'!G12</f>
        <v>88384</v>
      </c>
      <c r="F39" s="11">
        <f>+'33-Fire Protection -other'!H12</f>
        <v>88384</v>
      </c>
      <c r="G39" s="11">
        <f>+'33-Fire Protection -other'!I12</f>
        <v>88384</v>
      </c>
      <c r="H39" s="11">
        <f>+'33-Fire Protection -other'!J12</f>
        <v>88384</v>
      </c>
      <c r="I39" s="11">
        <f>+H39-D39</f>
        <v>-11427</v>
      </c>
      <c r="J39" s="40">
        <f>ROUND((I39/D39)*100,2)</f>
        <v>-11.45</v>
      </c>
      <c r="L39" s="2"/>
    </row>
    <row r="40" spans="1:12" x14ac:dyDescent="0.25">
      <c r="C40" s="2"/>
      <c r="D40" s="2"/>
      <c r="H40" s="2"/>
      <c r="L40" s="2"/>
    </row>
    <row r="41" spans="1:12" x14ac:dyDescent="0.25">
      <c r="B41" s="7" t="s">
        <v>1352</v>
      </c>
      <c r="C41" s="2">
        <f t="shared" ref="C41:H41" si="6">SUM(C35:C39)+C30</f>
        <v>34109857.705000006</v>
      </c>
      <c r="D41" s="2">
        <f t="shared" si="6"/>
        <v>32127889.59</v>
      </c>
      <c r="E41" s="2">
        <f t="shared" si="6"/>
        <v>33485847.522619046</v>
      </c>
      <c r="F41" s="2">
        <f t="shared" si="6"/>
        <v>32695445.983333334</v>
      </c>
      <c r="G41" s="2">
        <f t="shared" si="6"/>
        <v>32776692.983333334</v>
      </c>
      <c r="H41" s="2">
        <f t="shared" si="6"/>
        <v>48126396.649999999</v>
      </c>
      <c r="I41" s="2">
        <f>SUM(I35:I39)+I30</f>
        <v>15998507.060000001</v>
      </c>
      <c r="J41" s="12">
        <f>ROUND((I41/D41)*100,2)</f>
        <v>49.8</v>
      </c>
      <c r="L41" s="2"/>
    </row>
    <row r="42" spans="1:12" x14ac:dyDescent="0.25">
      <c r="E42" s="7"/>
      <c r="F42" s="7"/>
      <c r="G42" s="7"/>
      <c r="L42" s="2"/>
    </row>
    <row r="43" spans="1:12" x14ac:dyDescent="0.25">
      <c r="A43" s="7" t="s">
        <v>937</v>
      </c>
      <c r="E43" s="7"/>
      <c r="F43" s="7"/>
      <c r="G43" s="7"/>
    </row>
    <row r="44" spans="1:12" x14ac:dyDescent="0.25">
      <c r="B44" s="7" t="s">
        <v>2325</v>
      </c>
      <c r="C44" s="2">
        <v>0</v>
      </c>
      <c r="D44" s="2">
        <v>1650000</v>
      </c>
      <c r="E44" s="2">
        <v>2025000</v>
      </c>
      <c r="F44" s="2">
        <v>2000000</v>
      </c>
      <c r="G44" s="2">
        <v>1650000</v>
      </c>
      <c r="H44" s="2">
        <v>0</v>
      </c>
      <c r="I44" s="2">
        <f>+G44-D44</f>
        <v>0</v>
      </c>
      <c r="J44" s="12">
        <v>0</v>
      </c>
    </row>
    <row r="45" spans="1:12" s="295" customFormat="1" x14ac:dyDescent="0.25">
      <c r="B45" s="295" t="s">
        <v>2324</v>
      </c>
      <c r="C45" s="2">
        <v>0</v>
      </c>
      <c r="D45" s="2">
        <v>300000</v>
      </c>
      <c r="E45" s="2">
        <v>0</v>
      </c>
      <c r="F45" s="2">
        <v>0</v>
      </c>
      <c r="G45" s="2">
        <v>350000</v>
      </c>
      <c r="H45" s="2">
        <v>0</v>
      </c>
      <c r="I45" s="2">
        <v>0</v>
      </c>
      <c r="J45" s="12"/>
    </row>
    <row r="46" spans="1:12" s="247" customFormat="1" x14ac:dyDescent="0.25">
      <c r="B46" s="247" t="s">
        <v>2300</v>
      </c>
      <c r="C46" s="2">
        <v>0</v>
      </c>
      <c r="D46" s="2">
        <v>0</v>
      </c>
      <c r="E46" s="2">
        <v>13100000</v>
      </c>
      <c r="F46" s="2">
        <v>13100000</v>
      </c>
      <c r="G46" s="2">
        <v>13100000</v>
      </c>
      <c r="H46" s="2">
        <v>0</v>
      </c>
      <c r="I46" s="2">
        <v>0</v>
      </c>
      <c r="J46" s="12">
        <v>0</v>
      </c>
    </row>
    <row r="47" spans="1:12" s="231" customFormat="1" x14ac:dyDescent="0.25">
      <c r="B47" s="231" t="s">
        <v>1822</v>
      </c>
      <c r="C47" s="2">
        <v>0</v>
      </c>
      <c r="D47" s="2">
        <v>0</v>
      </c>
      <c r="E47" s="2">
        <v>0</v>
      </c>
      <c r="F47" s="2">
        <v>0</v>
      </c>
      <c r="G47" s="2">
        <v>68421</v>
      </c>
      <c r="H47" s="2"/>
      <c r="I47" s="2">
        <f>+E47-D47</f>
        <v>0</v>
      </c>
      <c r="J47" s="12">
        <v>0</v>
      </c>
    </row>
    <row r="48" spans="1:12" s="231" customFormat="1" x14ac:dyDescent="0.25">
      <c r="B48" s="231" t="s">
        <v>2147</v>
      </c>
      <c r="C48" s="2">
        <v>0</v>
      </c>
      <c r="D48" s="2">
        <v>0</v>
      </c>
      <c r="E48" s="2">
        <v>0</v>
      </c>
      <c r="F48" s="2">
        <v>0</v>
      </c>
      <c r="G48" s="2">
        <v>51542</v>
      </c>
      <c r="H48" s="2"/>
      <c r="I48" s="2">
        <f>+E48-D48</f>
        <v>0</v>
      </c>
      <c r="J48" s="12">
        <v>0</v>
      </c>
    </row>
    <row r="49" spans="1:12" s="231" customFormat="1" x14ac:dyDescent="0.25">
      <c r="B49" s="231" t="s">
        <v>2148</v>
      </c>
      <c r="C49" s="2">
        <v>0</v>
      </c>
      <c r="D49" s="2">
        <v>0</v>
      </c>
      <c r="E49" s="2">
        <v>0</v>
      </c>
      <c r="F49" s="2">
        <v>0</v>
      </c>
      <c r="G49" s="2">
        <v>53411</v>
      </c>
      <c r="H49" s="2"/>
      <c r="I49" s="2">
        <f>+E49-D49</f>
        <v>0</v>
      </c>
      <c r="J49" s="12">
        <v>0</v>
      </c>
    </row>
    <row r="50" spans="1:12" s="231" customFormat="1" x14ac:dyDescent="0.25">
      <c r="B50" s="231" t="s">
        <v>2149</v>
      </c>
      <c r="C50" s="2">
        <v>0</v>
      </c>
      <c r="D50" s="2">
        <v>0</v>
      </c>
      <c r="E50" s="2">
        <v>0</v>
      </c>
      <c r="F50" s="2">
        <v>0</v>
      </c>
      <c r="G50" s="2">
        <v>11184</v>
      </c>
      <c r="H50" s="2"/>
      <c r="I50" s="2">
        <f>+E50-D50</f>
        <v>0</v>
      </c>
      <c r="J50" s="12">
        <v>0</v>
      </c>
    </row>
    <row r="51" spans="1:12" s="231" customFormat="1" x14ac:dyDescent="0.25">
      <c r="B51" s="231" t="s">
        <v>348</v>
      </c>
      <c r="C51" s="2">
        <v>0</v>
      </c>
      <c r="D51" s="2">
        <v>0</v>
      </c>
      <c r="E51" s="2">
        <v>0</v>
      </c>
      <c r="F51" s="2">
        <v>0</v>
      </c>
      <c r="G51" s="2">
        <v>18146</v>
      </c>
      <c r="H51" s="2"/>
      <c r="I51" s="2">
        <f>+E51-D51</f>
        <v>0</v>
      </c>
      <c r="J51" s="12">
        <v>0</v>
      </c>
    </row>
    <row r="52" spans="1:12" ht="15" x14ac:dyDescent="0.4">
      <c r="B52" s="196" t="s">
        <v>2146</v>
      </c>
      <c r="C52" s="18">
        <v>0</v>
      </c>
      <c r="D52" s="18">
        <v>434000</v>
      </c>
      <c r="E52" s="18">
        <v>47000</v>
      </c>
      <c r="F52" s="18">
        <v>47000</v>
      </c>
      <c r="G52" s="18">
        <v>47000</v>
      </c>
      <c r="H52" s="18">
        <v>0</v>
      </c>
      <c r="I52" s="11">
        <v>0</v>
      </c>
      <c r="J52" s="40">
        <v>0</v>
      </c>
    </row>
    <row r="53" spans="1:12" x14ac:dyDescent="0.25">
      <c r="E53" s="7"/>
      <c r="F53" s="7"/>
      <c r="G53" s="7"/>
      <c r="J53" s="214"/>
    </row>
    <row r="54" spans="1:12" x14ac:dyDescent="0.25">
      <c r="B54" s="7" t="s">
        <v>938</v>
      </c>
      <c r="C54" s="2">
        <f t="shared" ref="C54:I54" si="7">SUM(C44:C52)</f>
        <v>0</v>
      </c>
      <c r="D54" s="2">
        <f t="shared" si="7"/>
        <v>2384000</v>
      </c>
      <c r="E54" s="2">
        <f t="shared" si="7"/>
        <v>15172000</v>
      </c>
      <c r="F54" s="2">
        <f t="shared" si="7"/>
        <v>15147000</v>
      </c>
      <c r="G54" s="2">
        <f t="shared" si="7"/>
        <v>15349704</v>
      </c>
      <c r="H54" s="2">
        <f t="shared" si="7"/>
        <v>0</v>
      </c>
      <c r="I54" s="2">
        <f t="shared" si="7"/>
        <v>0</v>
      </c>
      <c r="J54" s="2">
        <f>SUM(J44:J52)</f>
        <v>0</v>
      </c>
    </row>
    <row r="55" spans="1:12" x14ac:dyDescent="0.25">
      <c r="E55" s="7"/>
      <c r="F55" s="7"/>
      <c r="G55" s="7"/>
    </row>
    <row r="56" spans="1:12" x14ac:dyDescent="0.25">
      <c r="A56" s="128"/>
      <c r="B56" s="128" t="s">
        <v>939</v>
      </c>
      <c r="C56" s="129">
        <f t="shared" ref="C56:I56" si="8">+C54+C41</f>
        <v>34109857.705000006</v>
      </c>
      <c r="D56" s="129">
        <f t="shared" si="8"/>
        <v>34511889.590000004</v>
      </c>
      <c r="E56" s="129">
        <f t="shared" si="8"/>
        <v>48657847.522619046</v>
      </c>
      <c r="F56" s="129">
        <f t="shared" si="8"/>
        <v>47842445.983333334</v>
      </c>
      <c r="G56" s="129">
        <f t="shared" si="8"/>
        <v>48126396.983333334</v>
      </c>
      <c r="H56" s="129">
        <f t="shared" si="8"/>
        <v>48126396.649999999</v>
      </c>
      <c r="I56" s="129">
        <f t="shared" si="8"/>
        <v>15998507.060000001</v>
      </c>
      <c r="J56" s="130"/>
      <c r="L56" s="2"/>
    </row>
    <row r="57" spans="1:12" x14ac:dyDescent="0.25">
      <c r="H57" s="2"/>
    </row>
    <row r="59" spans="1:12" x14ac:dyDescent="0.25">
      <c r="G59" s="2">
        <v>48126397</v>
      </c>
      <c r="H59" s="2">
        <f>+H56-G56</f>
        <v>-0.3333333358168602</v>
      </c>
    </row>
    <row r="60" spans="1:12" x14ac:dyDescent="0.25">
      <c r="G60" s="2">
        <f>+G56-G59</f>
        <v>-1.666666567325592E-2</v>
      </c>
    </row>
    <row r="61" spans="1:12" x14ac:dyDescent="0.25">
      <c r="C61" s="129">
        <v>34118874</v>
      </c>
      <c r="D61" s="129">
        <v>34511890</v>
      </c>
      <c r="E61" s="84"/>
    </row>
    <row r="62" spans="1:12" x14ac:dyDescent="0.25">
      <c r="C62" s="2">
        <f>+C56-C61</f>
        <v>-9016.2949999943376</v>
      </c>
      <c r="D62" s="2">
        <f>+D56-D61</f>
        <v>-0.40999999642372131</v>
      </c>
      <c r="H62" s="2"/>
    </row>
    <row r="64" spans="1:12" x14ac:dyDescent="0.25">
      <c r="B64" s="7" t="s">
        <v>1979</v>
      </c>
      <c r="C64" s="2">
        <v>-1751.08</v>
      </c>
      <c r="H64" s="2"/>
    </row>
    <row r="65" spans="2:3" x14ac:dyDescent="0.25">
      <c r="B65" s="7" t="s">
        <v>1981</v>
      </c>
      <c r="C65" s="2">
        <v>0</v>
      </c>
    </row>
    <row r="66" spans="2:3" ht="15" x14ac:dyDescent="0.4">
      <c r="B66" s="7" t="s">
        <v>1594</v>
      </c>
      <c r="C66" s="11">
        <v>-7266.5</v>
      </c>
    </row>
    <row r="67" spans="2:3" x14ac:dyDescent="0.25">
      <c r="C67" s="2">
        <f>SUM(C64:C66)</f>
        <v>-9017.58</v>
      </c>
    </row>
    <row r="68" spans="2:3" x14ac:dyDescent="0.25">
      <c r="C68" s="2"/>
    </row>
    <row r="69" spans="2:3" x14ac:dyDescent="0.25">
      <c r="B69" s="7" t="s">
        <v>1980</v>
      </c>
      <c r="C69" s="2">
        <f>C62-C67</f>
        <v>1.2850000056623685</v>
      </c>
    </row>
    <row r="74" spans="2:3" x14ac:dyDescent="0.25">
      <c r="C74" s="2"/>
    </row>
    <row r="79" spans="2:3" x14ac:dyDescent="0.25">
      <c r="C79" s="2"/>
    </row>
  </sheetData>
  <mergeCells count="2">
    <mergeCell ref="A1:J1"/>
    <mergeCell ref="I3:J3"/>
  </mergeCells>
  <phoneticPr fontId="5" type="noConversion"/>
  <printOptions horizontalCentered="1" gridLines="1"/>
  <pageMargins left="0.75" right="0.16" top="0.51" bottom="0.22" header="0.6" footer="0"/>
  <pageSetup scale="81" orientation="landscape" copies="15" r:id="rId1"/>
  <headerFooter alignWithMargins="0">
    <oddHeader>&amp;C&amp;"Arial,Bold"&amp;12Town of Merrimack</oddHeader>
  </headerFooter>
  <rowBreaks count="1" manualBreakCount="1">
    <brk id="56" max="16383" man="1"/>
  </row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J350"/>
  <sheetViews>
    <sheetView view="pageBreakPreview" zoomScaleNormal="100" zoomScaleSheetLayoutView="100" workbookViewId="0">
      <selection activeCell="K1" sqref="K1:K1048576"/>
    </sheetView>
  </sheetViews>
  <sheetFormatPr defaultColWidth="8.88671875" defaultRowHeight="13.2" x14ac:dyDescent="0.25"/>
  <cols>
    <col min="1" max="1" width="44.6640625" style="273" customWidth="1"/>
    <col min="2" max="2" width="8.88671875" style="273" bestFit="1" customWidth="1"/>
    <col min="3" max="3" width="12.21875" style="273" bestFit="1" customWidth="1"/>
    <col min="4" max="6" width="10.33203125" style="273" bestFit="1" customWidth="1"/>
    <col min="7" max="7" width="11.77734375" style="273" bestFit="1" customWidth="1"/>
    <col min="8" max="8" width="13.6640625" style="2" bestFit="1" customWidth="1"/>
    <col min="9" max="9" width="10.88671875" style="273" customWidth="1"/>
    <col min="10" max="10" width="10.21875" style="273" bestFit="1" customWidth="1"/>
    <col min="11" max="16384" width="8.88671875" style="273"/>
  </cols>
  <sheetData>
    <row r="1" spans="1:10" x14ac:dyDescent="0.25">
      <c r="A1" s="307" t="str">
        <f>'SUMMARY BY FUND'!A1:J1</f>
        <v>2019-20 BUDGET</v>
      </c>
      <c r="B1" s="308"/>
      <c r="C1" s="308"/>
      <c r="D1" s="308"/>
      <c r="E1" s="308"/>
      <c r="F1" s="308"/>
      <c r="G1" s="308"/>
      <c r="H1" s="308"/>
      <c r="I1" s="308"/>
      <c r="J1" s="308"/>
    </row>
    <row r="2" spans="1:10" ht="17.399999999999999" x14ac:dyDescent="0.3">
      <c r="A2" s="180" t="s">
        <v>1951</v>
      </c>
      <c r="B2" s="180"/>
      <c r="C2" s="180"/>
      <c r="D2" s="180"/>
      <c r="E2" s="180"/>
      <c r="F2" s="180"/>
    </row>
    <row r="3" spans="1:10" x14ac:dyDescent="0.25">
      <c r="B3" s="2"/>
      <c r="C3" s="2"/>
      <c r="D3" s="2"/>
      <c r="E3" s="2"/>
      <c r="F3" s="2"/>
    </row>
    <row r="4" spans="1:10" x14ac:dyDescent="0.25">
      <c r="B4" s="2"/>
      <c r="C4" s="2"/>
      <c r="D4" s="2"/>
      <c r="E4" s="16" t="s">
        <v>233</v>
      </c>
      <c r="F4" s="16" t="s">
        <v>234</v>
      </c>
      <c r="G4" s="16" t="s">
        <v>70</v>
      </c>
      <c r="H4" s="16" t="s">
        <v>409</v>
      </c>
      <c r="I4" s="16" t="s">
        <v>314</v>
      </c>
      <c r="J4" s="16" t="s">
        <v>345</v>
      </c>
    </row>
    <row r="5" spans="1:10" ht="15" x14ac:dyDescent="0.4">
      <c r="B5" s="2"/>
      <c r="C5" s="2"/>
      <c r="D5" s="2"/>
      <c r="E5" s="274" t="s">
        <v>1794</v>
      </c>
      <c r="F5" s="274" t="s">
        <v>1970</v>
      </c>
      <c r="G5" s="274" t="s">
        <v>2129</v>
      </c>
      <c r="H5" s="274" t="s">
        <v>2129</v>
      </c>
      <c r="I5" s="274" t="s">
        <v>2129</v>
      </c>
      <c r="J5" s="274" t="s">
        <v>2129</v>
      </c>
    </row>
    <row r="6" spans="1:10" ht="13.8" x14ac:dyDescent="0.3">
      <c r="A6" s="276" t="s">
        <v>793</v>
      </c>
      <c r="B6" s="2"/>
      <c r="C6" s="2"/>
      <c r="D6" s="2"/>
      <c r="E6" s="2">
        <v>51251.199999999997</v>
      </c>
      <c r="F6" s="2">
        <v>52780</v>
      </c>
      <c r="G6" s="48">
        <v>52780</v>
      </c>
      <c r="H6" s="48">
        <v>52780</v>
      </c>
      <c r="I6" s="48">
        <v>52780</v>
      </c>
      <c r="J6" s="48">
        <v>53820</v>
      </c>
    </row>
    <row r="7" spans="1:10" x14ac:dyDescent="0.25">
      <c r="A7" s="273" t="s">
        <v>436</v>
      </c>
      <c r="B7" s="2">
        <v>52</v>
      </c>
      <c r="C7" s="2">
        <v>1035</v>
      </c>
      <c r="D7" s="2">
        <f>ROUND(B7*C7,0)</f>
        <v>53820</v>
      </c>
      <c r="E7" s="2"/>
      <c r="F7" s="2"/>
      <c r="G7" s="48"/>
      <c r="H7" s="48"/>
      <c r="I7" s="48"/>
      <c r="J7" s="48"/>
    </row>
    <row r="8" spans="1:10" x14ac:dyDescent="0.25">
      <c r="B8" s="2"/>
      <c r="C8" s="2"/>
      <c r="D8" s="2"/>
      <c r="E8" s="2"/>
      <c r="F8" s="2"/>
      <c r="G8" s="48"/>
      <c r="H8" s="48"/>
      <c r="I8" s="48"/>
      <c r="J8" s="48"/>
    </row>
    <row r="9" spans="1:10" ht="13.8" x14ac:dyDescent="0.3">
      <c r="A9" s="276" t="s">
        <v>746</v>
      </c>
      <c r="B9" s="2"/>
      <c r="C9" s="2"/>
      <c r="D9" s="2"/>
      <c r="E9" s="2">
        <v>482259.75</v>
      </c>
      <c r="F9" s="2">
        <v>507000</v>
      </c>
      <c r="G9" s="48">
        <v>500230</v>
      </c>
      <c r="H9" s="48">
        <v>500230</v>
      </c>
      <c r="I9" s="48">
        <v>504629</v>
      </c>
      <c r="J9" s="48">
        <v>511549</v>
      </c>
    </row>
    <row r="10" spans="1:10" x14ac:dyDescent="0.25">
      <c r="A10" s="273" t="s">
        <v>2117</v>
      </c>
      <c r="B10" s="2">
        <v>52</v>
      </c>
      <c r="C10" s="2">
        <v>1757</v>
      </c>
      <c r="D10" s="2">
        <f t="shared" ref="D10:D16" si="0">ROUND(B10*C10,0)</f>
        <v>91364</v>
      </c>
      <c r="E10" s="2"/>
      <c r="F10" s="2"/>
      <c r="G10" s="48"/>
      <c r="H10" s="48"/>
      <c r="I10" s="48"/>
      <c r="J10" s="48"/>
    </row>
    <row r="11" spans="1:10" x14ac:dyDescent="0.25">
      <c r="A11" s="211" t="s">
        <v>747</v>
      </c>
      <c r="B11" s="2">
        <v>52</v>
      </c>
      <c r="C11" s="2">
        <v>1620</v>
      </c>
      <c r="D11" s="2">
        <f t="shared" si="0"/>
        <v>84240</v>
      </c>
      <c r="E11" s="2"/>
      <c r="F11" s="2"/>
      <c r="G11" s="48"/>
      <c r="H11" s="48"/>
      <c r="I11" s="48"/>
      <c r="J11" s="48"/>
    </row>
    <row r="12" spans="1:10" x14ac:dyDescent="0.25">
      <c r="A12" s="211" t="s">
        <v>1993</v>
      </c>
      <c r="B12" s="2">
        <v>52</v>
      </c>
      <c r="C12" s="2">
        <v>1314</v>
      </c>
      <c r="D12" s="2">
        <f t="shared" si="0"/>
        <v>68328</v>
      </c>
      <c r="E12" s="2"/>
      <c r="F12" s="2"/>
      <c r="G12" s="48"/>
      <c r="H12" s="48"/>
      <c r="I12" s="48"/>
      <c r="J12" s="48"/>
    </row>
    <row r="13" spans="1:10" x14ac:dyDescent="0.25">
      <c r="A13" s="211" t="s">
        <v>748</v>
      </c>
      <c r="B13" s="2">
        <v>52</v>
      </c>
      <c r="C13" s="2">
        <v>1311</v>
      </c>
      <c r="D13" s="2">
        <f t="shared" si="0"/>
        <v>68172</v>
      </c>
      <c r="E13" s="2"/>
      <c r="F13" s="2"/>
      <c r="G13" s="48"/>
      <c r="H13" s="48"/>
      <c r="I13" s="48"/>
      <c r="J13" s="48"/>
    </row>
    <row r="14" spans="1:10" x14ac:dyDescent="0.25">
      <c r="A14" s="211" t="s">
        <v>1994</v>
      </c>
      <c r="B14" s="2">
        <v>52</v>
      </c>
      <c r="C14" s="2">
        <v>1180</v>
      </c>
      <c r="D14" s="2">
        <f t="shared" si="0"/>
        <v>61360</v>
      </c>
      <c r="E14" s="2"/>
      <c r="F14" s="2"/>
      <c r="G14" s="48"/>
      <c r="H14" s="48"/>
      <c r="I14" s="48"/>
      <c r="J14" s="48"/>
    </row>
    <row r="15" spans="1:10" x14ac:dyDescent="0.25">
      <c r="A15" s="211" t="s">
        <v>241</v>
      </c>
      <c r="B15" s="2">
        <v>52</v>
      </c>
      <c r="C15" s="2">
        <v>1418</v>
      </c>
      <c r="D15" s="2">
        <f t="shared" si="0"/>
        <v>73736</v>
      </c>
      <c r="E15" s="2"/>
      <c r="F15" s="2"/>
      <c r="G15" s="48"/>
      <c r="H15" s="48"/>
      <c r="I15" s="48"/>
      <c r="J15" s="48"/>
    </row>
    <row r="16" spans="1:10" x14ac:dyDescent="0.25">
      <c r="A16" s="273" t="s">
        <v>1562</v>
      </c>
      <c r="B16" s="2">
        <v>52</v>
      </c>
      <c r="C16" s="2">
        <v>1165.5999999999999</v>
      </c>
      <c r="D16" s="2">
        <f t="shared" si="0"/>
        <v>60611</v>
      </c>
      <c r="E16" s="2"/>
      <c r="F16" s="2"/>
      <c r="G16" s="48"/>
      <c r="H16" s="48"/>
      <c r="I16" s="48"/>
      <c r="J16" s="48"/>
    </row>
    <row r="17" spans="1:10" ht="15" x14ac:dyDescent="0.4">
      <c r="A17" s="273" t="s">
        <v>973</v>
      </c>
      <c r="B17" s="2" t="s">
        <v>396</v>
      </c>
      <c r="C17" s="2" t="s">
        <v>396</v>
      </c>
      <c r="D17" s="11">
        <v>3738</v>
      </c>
      <c r="E17" s="2"/>
      <c r="F17" s="2"/>
      <c r="G17" s="48"/>
      <c r="H17" s="48"/>
      <c r="I17" s="48"/>
      <c r="J17" s="48"/>
    </row>
    <row r="18" spans="1:10" x14ac:dyDescent="0.25">
      <c r="A18" s="273" t="s">
        <v>1247</v>
      </c>
      <c r="B18" s="2"/>
      <c r="C18" s="2"/>
      <c r="D18" s="2">
        <f>SUM(D10:D17)</f>
        <v>511549</v>
      </c>
      <c r="E18" s="2"/>
      <c r="F18" s="2"/>
      <c r="G18" s="48"/>
      <c r="H18" s="48"/>
      <c r="I18" s="48"/>
      <c r="J18" s="48"/>
    </row>
    <row r="19" spans="1:10" x14ac:dyDescent="0.25">
      <c r="B19" s="2"/>
      <c r="C19" s="2"/>
      <c r="D19" s="2"/>
      <c r="E19" s="2"/>
      <c r="F19" s="2"/>
      <c r="G19" s="48"/>
      <c r="H19" s="48"/>
      <c r="I19" s="48"/>
      <c r="J19" s="48"/>
    </row>
    <row r="20" spans="1:10" ht="13.8" x14ac:dyDescent="0.3">
      <c r="A20" s="276" t="s">
        <v>1368</v>
      </c>
      <c r="B20" s="2"/>
      <c r="C20" s="2"/>
      <c r="D20" s="2"/>
      <c r="E20" s="2">
        <v>529405.27</v>
      </c>
      <c r="F20" s="2">
        <v>644553</v>
      </c>
      <c r="G20" s="2">
        <v>634725</v>
      </c>
      <c r="H20" s="2">
        <v>634725</v>
      </c>
      <c r="I20" s="2">
        <v>634725</v>
      </c>
      <c r="J20" s="2">
        <v>648453</v>
      </c>
    </row>
    <row r="21" spans="1:10" x14ac:dyDescent="0.25">
      <c r="E21" s="2"/>
      <c r="F21" s="2"/>
      <c r="G21" s="2"/>
      <c r="I21" s="2"/>
      <c r="J21" s="2"/>
    </row>
    <row r="22" spans="1:10" x14ac:dyDescent="0.25">
      <c r="A22" s="235" t="s">
        <v>1362</v>
      </c>
      <c r="B22" s="235">
        <v>52</v>
      </c>
      <c r="C22">
        <v>932</v>
      </c>
      <c r="D22" s="2">
        <f t="shared" ref="D22:D33" si="1">ROUND(B22*C22,0)</f>
        <v>48464</v>
      </c>
      <c r="E22" s="2"/>
      <c r="F22" s="2"/>
      <c r="G22" s="2"/>
      <c r="I22" s="2"/>
      <c r="J22" s="2"/>
    </row>
    <row r="23" spans="1:10" x14ac:dyDescent="0.25">
      <c r="A23" s="235" t="s">
        <v>1362</v>
      </c>
      <c r="B23" s="235">
        <v>52</v>
      </c>
      <c r="C23">
        <v>983</v>
      </c>
      <c r="D23" s="2">
        <f t="shared" si="1"/>
        <v>51116</v>
      </c>
      <c r="E23" s="2"/>
      <c r="F23" s="2"/>
      <c r="G23" s="2"/>
      <c r="I23" s="2"/>
      <c r="J23" s="2"/>
    </row>
    <row r="24" spans="1:10" x14ac:dyDescent="0.25">
      <c r="A24" s="235" t="s">
        <v>1362</v>
      </c>
      <c r="B24" s="235">
        <v>52</v>
      </c>
      <c r="C24">
        <v>931</v>
      </c>
      <c r="D24" s="2">
        <f t="shared" si="1"/>
        <v>48412</v>
      </c>
      <c r="E24" s="2"/>
      <c r="F24" s="2"/>
      <c r="G24" s="2"/>
      <c r="I24" s="2"/>
      <c r="J24" s="2"/>
    </row>
    <row r="25" spans="1:10" x14ac:dyDescent="0.25">
      <c r="A25" s="235" t="s">
        <v>1362</v>
      </c>
      <c r="B25" s="235">
        <v>52</v>
      </c>
      <c r="C25">
        <v>964</v>
      </c>
      <c r="D25" s="2">
        <f t="shared" si="1"/>
        <v>50128</v>
      </c>
      <c r="E25" s="2"/>
      <c r="F25" s="2"/>
      <c r="G25" s="2"/>
      <c r="I25" s="2"/>
      <c r="J25" s="2"/>
    </row>
    <row r="26" spans="1:10" x14ac:dyDescent="0.25">
      <c r="A26" s="235" t="s">
        <v>1899</v>
      </c>
      <c r="B26" s="235">
        <v>52</v>
      </c>
      <c r="C26">
        <v>968</v>
      </c>
      <c r="D26" s="2">
        <f t="shared" si="1"/>
        <v>50336</v>
      </c>
      <c r="E26" s="2"/>
      <c r="F26" s="2"/>
      <c r="G26" s="2"/>
      <c r="I26" s="2"/>
      <c r="J26" s="2"/>
    </row>
    <row r="27" spans="1:10" x14ac:dyDescent="0.25">
      <c r="A27" s="235" t="s">
        <v>1899</v>
      </c>
      <c r="B27" s="235">
        <v>52</v>
      </c>
      <c r="C27">
        <v>1052</v>
      </c>
      <c r="D27" s="2">
        <f t="shared" si="1"/>
        <v>54704</v>
      </c>
      <c r="E27" s="2"/>
      <c r="F27" s="2"/>
      <c r="G27" s="2"/>
      <c r="I27" s="2"/>
      <c r="J27" s="2"/>
    </row>
    <row r="28" spans="1:10" x14ac:dyDescent="0.25">
      <c r="A28" s="235" t="s">
        <v>1145</v>
      </c>
      <c r="B28" s="235">
        <v>52</v>
      </c>
      <c r="C28">
        <v>802</v>
      </c>
      <c r="D28" s="2">
        <f t="shared" si="1"/>
        <v>41704</v>
      </c>
      <c r="E28" s="2"/>
      <c r="F28" s="2"/>
      <c r="G28" s="2"/>
      <c r="I28" s="2"/>
      <c r="J28" s="2"/>
    </row>
    <row r="29" spans="1:10" x14ac:dyDescent="0.25">
      <c r="A29" s="235" t="s">
        <v>1899</v>
      </c>
      <c r="B29" s="235">
        <v>52</v>
      </c>
      <c r="C29">
        <v>968</v>
      </c>
      <c r="D29" s="2">
        <f t="shared" si="1"/>
        <v>50336</v>
      </c>
      <c r="E29" s="2"/>
      <c r="F29" s="2"/>
      <c r="G29" s="2"/>
      <c r="I29" s="2"/>
      <c r="J29" s="2"/>
    </row>
    <row r="30" spans="1:10" x14ac:dyDescent="0.25">
      <c r="A30" s="235" t="s">
        <v>1823</v>
      </c>
      <c r="B30" s="235">
        <v>52</v>
      </c>
      <c r="C30">
        <v>917</v>
      </c>
      <c r="D30" s="2">
        <f t="shared" si="1"/>
        <v>47684</v>
      </c>
      <c r="E30" s="2"/>
      <c r="F30" s="2"/>
      <c r="G30" s="2"/>
      <c r="I30" s="2"/>
      <c r="J30" s="2"/>
    </row>
    <row r="31" spans="1:10" x14ac:dyDescent="0.25">
      <c r="A31" s="235" t="s">
        <v>1823</v>
      </c>
      <c r="B31" s="235">
        <v>52</v>
      </c>
      <c r="C31">
        <v>849</v>
      </c>
      <c r="D31" s="2">
        <f t="shared" si="1"/>
        <v>44148</v>
      </c>
      <c r="E31" s="2"/>
      <c r="F31" s="2"/>
      <c r="G31" s="2"/>
      <c r="I31" s="2"/>
      <c r="J31" s="2"/>
    </row>
    <row r="32" spans="1:10" x14ac:dyDescent="0.25">
      <c r="A32" s="235" t="s">
        <v>1823</v>
      </c>
      <c r="B32" s="235">
        <v>52</v>
      </c>
      <c r="C32">
        <v>870</v>
      </c>
      <c r="D32" s="2">
        <f t="shared" si="1"/>
        <v>45240</v>
      </c>
      <c r="E32" s="2"/>
      <c r="F32" s="2"/>
      <c r="G32" s="2"/>
      <c r="I32" s="2"/>
      <c r="J32" s="2"/>
    </row>
    <row r="33" spans="1:10" x14ac:dyDescent="0.25">
      <c r="A33" s="235" t="s">
        <v>1824</v>
      </c>
      <c r="B33" s="235">
        <v>52</v>
      </c>
      <c r="C33">
        <v>968</v>
      </c>
      <c r="D33" s="2">
        <f t="shared" si="1"/>
        <v>50336</v>
      </c>
      <c r="E33" s="2"/>
      <c r="F33" s="2"/>
      <c r="G33" s="2"/>
      <c r="I33" s="2"/>
      <c r="J33" s="2"/>
    </row>
    <row r="34" spans="1:10" x14ac:dyDescent="0.25">
      <c r="A34" s="235" t="s">
        <v>2153</v>
      </c>
      <c r="B34" s="235">
        <v>52</v>
      </c>
      <c r="C34">
        <v>1052</v>
      </c>
      <c r="D34" s="2">
        <v>55193</v>
      </c>
      <c r="E34" s="2"/>
      <c r="F34" s="2"/>
      <c r="G34" s="2"/>
      <c r="I34" s="2"/>
      <c r="J34" s="2"/>
    </row>
    <row r="35" spans="1:10" x14ac:dyDescent="0.25">
      <c r="A35" s="273" t="s">
        <v>973</v>
      </c>
      <c r="B35" s="2"/>
      <c r="C35" s="2"/>
      <c r="D35" s="2">
        <v>1500</v>
      </c>
      <c r="E35" s="2"/>
      <c r="F35" s="2"/>
      <c r="G35" s="2"/>
      <c r="I35" s="2"/>
      <c r="J35" s="2"/>
    </row>
    <row r="36" spans="1:10" ht="15" x14ac:dyDescent="0.4">
      <c r="A36" s="273" t="s">
        <v>1146</v>
      </c>
      <c r="B36" s="2">
        <v>9152</v>
      </c>
      <c r="C36" s="12">
        <v>1</v>
      </c>
      <c r="D36" s="11">
        <f>ROUND(B36*C36,0)</f>
        <v>9152</v>
      </c>
      <c r="E36" s="2"/>
      <c r="F36" s="2"/>
      <c r="G36" s="2"/>
      <c r="I36" s="2"/>
      <c r="J36" s="2"/>
    </row>
    <row r="37" spans="1:10" x14ac:dyDescent="0.25">
      <c r="A37" s="273" t="s">
        <v>1247</v>
      </c>
      <c r="B37" s="2"/>
      <c r="C37" s="2"/>
      <c r="D37" s="2">
        <f>SUM(D22:D36)</f>
        <v>648453</v>
      </c>
      <c r="E37" s="2"/>
      <c r="F37" s="2"/>
      <c r="G37" s="2"/>
      <c r="I37" s="2"/>
      <c r="J37" s="2"/>
    </row>
    <row r="38" spans="1:10" x14ac:dyDescent="0.25">
      <c r="C38" s="69"/>
      <c r="D38" s="2"/>
      <c r="E38" s="2"/>
      <c r="F38" s="2"/>
      <c r="G38" s="2"/>
      <c r="I38" s="2"/>
      <c r="J38" s="2"/>
    </row>
    <row r="39" spans="1:10" ht="13.8" x14ac:dyDescent="0.3">
      <c r="A39" s="276" t="s">
        <v>1421</v>
      </c>
      <c r="B39" s="12"/>
      <c r="D39" s="2"/>
      <c r="E39" s="2">
        <v>8514.93</v>
      </c>
      <c r="F39" s="2">
        <v>9304</v>
      </c>
      <c r="G39" s="2">
        <v>9304</v>
      </c>
      <c r="H39" s="2">
        <v>9304</v>
      </c>
      <c r="I39" s="2">
        <v>9304</v>
      </c>
      <c r="J39" s="2">
        <v>9238</v>
      </c>
    </row>
    <row r="40" spans="1:10" x14ac:dyDescent="0.25">
      <c r="A40" s="273" t="s">
        <v>729</v>
      </c>
      <c r="B40" s="2" t="s">
        <v>396</v>
      </c>
      <c r="C40" s="12" t="s">
        <v>396</v>
      </c>
      <c r="D40" s="2" t="s">
        <v>396</v>
      </c>
      <c r="E40" s="2"/>
      <c r="F40" s="2"/>
      <c r="G40" s="2"/>
      <c r="I40" s="2"/>
      <c r="J40" s="2"/>
    </row>
    <row r="41" spans="1:10" x14ac:dyDescent="0.25">
      <c r="A41" s="273" t="s">
        <v>1222</v>
      </c>
      <c r="B41" s="2">
        <v>180</v>
      </c>
      <c r="C41" s="12">
        <f>SUM(C11:C15)/40/5*1.5</f>
        <v>51.322499999999991</v>
      </c>
      <c r="D41" s="2">
        <f>+C41*B41</f>
        <v>9238.0499999999993</v>
      </c>
      <c r="E41" s="2"/>
      <c r="F41" s="2"/>
      <c r="G41" s="2"/>
      <c r="I41" s="2"/>
      <c r="J41" s="2"/>
    </row>
    <row r="42" spans="1:10" x14ac:dyDescent="0.25">
      <c r="B42" s="2"/>
      <c r="C42" s="12"/>
      <c r="D42" s="2"/>
      <c r="E42" s="2"/>
      <c r="F42" s="2"/>
      <c r="G42" s="2"/>
      <c r="I42" s="2"/>
      <c r="J42" s="2"/>
    </row>
    <row r="43" spans="1:10" x14ac:dyDescent="0.25">
      <c r="A43" s="273" t="s">
        <v>396</v>
      </c>
      <c r="B43" s="2"/>
      <c r="C43" s="12"/>
      <c r="D43" s="2"/>
      <c r="E43" s="2"/>
      <c r="F43" s="2"/>
      <c r="G43" s="2"/>
      <c r="I43" s="2"/>
      <c r="J43" s="2"/>
    </row>
    <row r="44" spans="1:10" ht="13.8" x14ac:dyDescent="0.3">
      <c r="A44" s="276" t="s">
        <v>457</v>
      </c>
      <c r="D44" s="2"/>
      <c r="E44" s="2">
        <v>7393.77</v>
      </c>
      <c r="F44" s="2">
        <v>35841</v>
      </c>
      <c r="G44" s="2">
        <v>35841</v>
      </c>
      <c r="H44" s="2">
        <v>35841</v>
      </c>
      <c r="I44" s="2">
        <v>35841</v>
      </c>
      <c r="J44" s="2">
        <v>35841</v>
      </c>
    </row>
    <row r="45" spans="1:10" x14ac:dyDescent="0.25">
      <c r="A45" s="273" t="s">
        <v>60</v>
      </c>
      <c r="B45" s="2">
        <v>640</v>
      </c>
      <c r="C45" s="12">
        <v>12.22</v>
      </c>
      <c r="D45" s="2">
        <f>ROUND(B45*C45,0)</f>
        <v>7821</v>
      </c>
      <c r="E45" s="2"/>
      <c r="F45" s="2"/>
      <c r="G45" s="2"/>
      <c r="I45" s="2"/>
      <c r="J45" s="2"/>
    </row>
    <row r="46" spans="1:10" x14ac:dyDescent="0.25">
      <c r="A46" s="273" t="s">
        <v>2061</v>
      </c>
      <c r="B46" s="2">
        <v>880</v>
      </c>
      <c r="C46" s="12">
        <v>14</v>
      </c>
      <c r="D46" s="2">
        <f>+B46*C46</f>
        <v>12320</v>
      </c>
      <c r="E46" s="2"/>
      <c r="F46" s="2"/>
      <c r="G46" s="2"/>
      <c r="I46" s="2"/>
      <c r="J46" s="2"/>
    </row>
    <row r="47" spans="1:10" x14ac:dyDescent="0.25">
      <c r="A47" s="273" t="s">
        <v>2062</v>
      </c>
      <c r="B47" s="2"/>
      <c r="C47" s="12"/>
      <c r="D47" s="2"/>
      <c r="E47" s="2"/>
      <c r="F47" s="2"/>
      <c r="G47" s="2"/>
      <c r="I47" s="2"/>
      <c r="J47" s="2"/>
    </row>
    <row r="48" spans="1:10" ht="15" x14ac:dyDescent="0.4">
      <c r="A48" s="273" t="s">
        <v>2063</v>
      </c>
      <c r="B48" s="2">
        <v>1248</v>
      </c>
      <c r="C48" s="12">
        <v>12.58</v>
      </c>
      <c r="D48" s="31">
        <f>ROUND(B48*C48,0)</f>
        <v>15700</v>
      </c>
      <c r="E48" s="2"/>
      <c r="F48" s="2"/>
      <c r="G48" s="2"/>
      <c r="I48" s="2"/>
      <c r="J48" s="2"/>
    </row>
    <row r="49" spans="1:10" x14ac:dyDescent="0.25">
      <c r="B49" s="2"/>
      <c r="C49" s="12"/>
      <c r="D49" s="3">
        <f>SUM(D45:D48)</f>
        <v>35841</v>
      </c>
      <c r="E49" s="2"/>
      <c r="F49" s="2"/>
      <c r="G49" s="2"/>
      <c r="I49" s="2"/>
      <c r="J49" s="2"/>
    </row>
    <row r="50" spans="1:10" x14ac:dyDescent="0.25">
      <c r="B50" s="2"/>
      <c r="C50" s="12"/>
      <c r="D50" s="3"/>
      <c r="E50" s="2"/>
      <c r="F50" s="2"/>
      <c r="G50" s="2"/>
      <c r="I50" s="2"/>
      <c r="J50" s="2"/>
    </row>
    <row r="51" spans="1:10" ht="13.8" x14ac:dyDescent="0.3">
      <c r="A51" s="276" t="s">
        <v>997</v>
      </c>
      <c r="D51" s="2"/>
      <c r="E51" s="2">
        <v>71260.47</v>
      </c>
      <c r="F51" s="2">
        <v>74960</v>
      </c>
      <c r="G51" s="2">
        <v>73649</v>
      </c>
      <c r="H51" s="2">
        <v>73649</v>
      </c>
      <c r="I51" s="2">
        <v>73649</v>
      </c>
      <c r="J51" s="2">
        <v>75245</v>
      </c>
    </row>
    <row r="52" spans="1:10" x14ac:dyDescent="0.25">
      <c r="A52" s="273" t="s">
        <v>209</v>
      </c>
      <c r="B52" s="2" t="s">
        <v>396</v>
      </c>
      <c r="C52" s="12" t="s">
        <v>396</v>
      </c>
      <c r="D52" s="2" t="s">
        <v>396</v>
      </c>
      <c r="E52" s="2"/>
      <c r="F52" s="2"/>
      <c r="G52" s="2"/>
      <c r="I52" s="2"/>
      <c r="J52" s="2"/>
    </row>
    <row r="53" spans="1:10" x14ac:dyDescent="0.25">
      <c r="A53" s="273" t="s">
        <v>1563</v>
      </c>
      <c r="B53" s="2">
        <v>1893</v>
      </c>
      <c r="C53" s="12">
        <f>+SUM(C15:C34)/40/14*1.5</f>
        <v>39.748928571428571</v>
      </c>
      <c r="D53" s="2">
        <f>+C53*B53</f>
        <v>75244.721785714282</v>
      </c>
      <c r="E53" s="2"/>
      <c r="F53" s="2"/>
      <c r="G53" s="2"/>
      <c r="I53" s="2"/>
      <c r="J53" s="2"/>
    </row>
    <row r="54" spans="1:10" x14ac:dyDescent="0.25">
      <c r="B54" s="2"/>
      <c r="C54" s="12"/>
      <c r="D54" s="2"/>
      <c r="E54" s="2"/>
      <c r="F54" s="2"/>
      <c r="G54" s="2"/>
      <c r="I54" s="2"/>
      <c r="J54" s="2"/>
    </row>
    <row r="55" spans="1:10" ht="13.8" x14ac:dyDescent="0.3">
      <c r="A55" s="276" t="s">
        <v>659</v>
      </c>
      <c r="D55" s="2"/>
      <c r="E55" s="2">
        <v>91008.56</v>
      </c>
      <c r="F55" s="2">
        <v>101333</v>
      </c>
      <c r="G55" s="2">
        <v>99982</v>
      </c>
      <c r="H55" s="2">
        <v>99982</v>
      </c>
      <c r="I55" s="2">
        <v>100331</v>
      </c>
      <c r="J55" s="2">
        <v>102062</v>
      </c>
    </row>
    <row r="56" spans="1:10" x14ac:dyDescent="0.25">
      <c r="A56" s="13" t="s">
        <v>896</v>
      </c>
      <c r="B56" s="2">
        <f>+D7</f>
        <v>53820</v>
      </c>
      <c r="C56" s="14">
        <v>7.6499999999999999E-2</v>
      </c>
      <c r="D56" s="2">
        <f t="shared" ref="D56:D61" si="2">ROUND(B56*C56,0)</f>
        <v>4117</v>
      </c>
      <c r="E56" s="2"/>
      <c r="F56" s="2"/>
      <c r="G56" s="2"/>
      <c r="I56" s="2"/>
      <c r="J56" s="2"/>
    </row>
    <row r="57" spans="1:10" x14ac:dyDescent="0.25">
      <c r="A57" s="13" t="s">
        <v>1468</v>
      </c>
      <c r="B57" s="2">
        <f>+D18</f>
        <v>511549</v>
      </c>
      <c r="C57" s="14">
        <v>7.6499999999999999E-2</v>
      </c>
      <c r="D57" s="2">
        <f t="shared" si="2"/>
        <v>39133</v>
      </c>
      <c r="E57" s="2"/>
      <c r="F57" s="2"/>
      <c r="G57" s="2"/>
      <c r="I57" s="2"/>
      <c r="J57" s="2"/>
    </row>
    <row r="58" spans="1:10" x14ac:dyDescent="0.25">
      <c r="A58" s="13" t="s">
        <v>807</v>
      </c>
      <c r="B58" s="2">
        <f>+D37</f>
        <v>648453</v>
      </c>
      <c r="C58" s="14">
        <v>7.6499999999999999E-2</v>
      </c>
      <c r="D58" s="2">
        <f t="shared" si="2"/>
        <v>49607</v>
      </c>
      <c r="E58" s="2"/>
      <c r="F58" s="2"/>
      <c r="G58" s="2"/>
      <c r="I58" s="2"/>
      <c r="J58" s="2"/>
    </row>
    <row r="59" spans="1:10" x14ac:dyDescent="0.25">
      <c r="A59" s="13" t="s">
        <v>897</v>
      </c>
      <c r="B59" s="2">
        <f>+D41</f>
        <v>9238.0499999999993</v>
      </c>
      <c r="C59" s="14">
        <v>7.6499999999999999E-2</v>
      </c>
      <c r="D59" s="2">
        <f t="shared" si="2"/>
        <v>707</v>
      </c>
      <c r="E59" s="2"/>
      <c r="F59" s="2"/>
      <c r="G59" s="2"/>
      <c r="I59" s="2"/>
      <c r="J59" s="2"/>
    </row>
    <row r="60" spans="1:10" x14ac:dyDescent="0.25">
      <c r="A60" s="13" t="s">
        <v>184</v>
      </c>
      <c r="B60" s="2">
        <f>+D49</f>
        <v>35841</v>
      </c>
      <c r="C60" s="14">
        <v>7.6499999999999999E-2</v>
      </c>
      <c r="D60" s="2">
        <f t="shared" si="2"/>
        <v>2742</v>
      </c>
      <c r="E60" s="2"/>
      <c r="F60" s="2"/>
      <c r="G60" s="2"/>
      <c r="I60" s="2"/>
      <c r="J60" s="2"/>
    </row>
    <row r="61" spans="1:10" ht="15" x14ac:dyDescent="0.4">
      <c r="A61" s="13" t="s">
        <v>185</v>
      </c>
      <c r="B61" s="2">
        <f>+D53</f>
        <v>75244.721785714282</v>
      </c>
      <c r="C61" s="14">
        <v>7.6499999999999999E-2</v>
      </c>
      <c r="D61" s="11">
        <f t="shared" si="2"/>
        <v>5756</v>
      </c>
      <c r="E61" s="2"/>
      <c r="F61" s="2"/>
      <c r="G61" s="2"/>
      <c r="I61" s="2"/>
      <c r="J61" s="2"/>
    </row>
    <row r="62" spans="1:10" x14ac:dyDescent="0.25">
      <c r="A62" s="273" t="s">
        <v>1247</v>
      </c>
      <c r="D62" s="2">
        <f>SUM(D56:D61)</f>
        <v>102062</v>
      </c>
      <c r="E62" s="2"/>
      <c r="F62" s="2"/>
      <c r="G62" s="2"/>
      <c r="I62" s="2"/>
      <c r="J62" s="2"/>
    </row>
    <row r="63" spans="1:10" x14ac:dyDescent="0.25">
      <c r="D63" s="2"/>
      <c r="E63" s="2"/>
      <c r="F63" s="2"/>
      <c r="G63" s="2"/>
      <c r="I63" s="2"/>
      <c r="J63" s="2"/>
    </row>
    <row r="64" spans="1:10" ht="13.8" x14ac:dyDescent="0.3">
      <c r="A64" s="276" t="s">
        <v>1147</v>
      </c>
      <c r="D64" s="2"/>
      <c r="E64" s="2">
        <v>131163.65</v>
      </c>
      <c r="F64" s="2">
        <v>146662</v>
      </c>
      <c r="G64" s="2">
        <v>141983</v>
      </c>
      <c r="H64" s="2">
        <v>141983</v>
      </c>
      <c r="I64" s="2">
        <v>142493</v>
      </c>
      <c r="J64" s="2">
        <v>145021</v>
      </c>
    </row>
    <row r="65" spans="1:10" x14ac:dyDescent="0.25">
      <c r="A65" s="23">
        <v>8102</v>
      </c>
      <c r="B65" s="2">
        <f>+B56</f>
        <v>53820</v>
      </c>
      <c r="C65" s="14">
        <v>0.11169999999999999</v>
      </c>
      <c r="D65" s="2">
        <f>ROUND(B65*C65,0)</f>
        <v>6012</v>
      </c>
      <c r="E65" s="2"/>
      <c r="F65" s="2"/>
      <c r="G65" s="2"/>
      <c r="I65" s="2"/>
      <c r="J65" s="2"/>
    </row>
    <row r="66" spans="1:10" x14ac:dyDescent="0.25">
      <c r="A66" s="13" t="s">
        <v>1468</v>
      </c>
      <c r="B66" s="2">
        <f>+B57</f>
        <v>511549</v>
      </c>
      <c r="C66" s="14">
        <v>0.11169999999999999</v>
      </c>
      <c r="D66" s="2">
        <f>ROUND(B66*C66,0)</f>
        <v>57140</v>
      </c>
      <c r="E66" s="2"/>
      <c r="F66" s="2"/>
      <c r="G66" s="2"/>
      <c r="I66" s="2"/>
      <c r="J66" s="2"/>
    </row>
    <row r="67" spans="1:10" x14ac:dyDescent="0.25">
      <c r="A67" s="23">
        <v>8104</v>
      </c>
      <c r="B67" s="2">
        <f>+B58</f>
        <v>648453</v>
      </c>
      <c r="C67" s="14">
        <v>0.11169999999999999</v>
      </c>
      <c r="D67" s="2">
        <f>ROUND(B67*C67,0)</f>
        <v>72432</v>
      </c>
      <c r="E67" s="2"/>
      <c r="F67" s="2"/>
      <c r="G67" s="2"/>
      <c r="I67" s="2"/>
      <c r="J67" s="2"/>
    </row>
    <row r="68" spans="1:10" x14ac:dyDescent="0.25">
      <c r="A68" s="13" t="s">
        <v>897</v>
      </c>
      <c r="B68" s="2">
        <f>+B59</f>
        <v>9238.0499999999993</v>
      </c>
      <c r="C68" s="14">
        <v>0.11169999999999999</v>
      </c>
      <c r="D68" s="2">
        <f>ROUND(B68*C68,0)</f>
        <v>1032</v>
      </c>
      <c r="E68" s="2"/>
      <c r="F68" s="2"/>
      <c r="G68" s="2"/>
      <c r="I68" s="2"/>
      <c r="J68" s="2"/>
    </row>
    <row r="69" spans="1:10" ht="15" x14ac:dyDescent="0.4">
      <c r="A69" s="34" t="s">
        <v>185</v>
      </c>
      <c r="B69" s="2">
        <f>+B61</f>
        <v>75244.721785714282</v>
      </c>
      <c r="C69" s="14">
        <v>0.11169999999999999</v>
      </c>
      <c r="D69" s="11">
        <f>ROUND(B69*C69,0)</f>
        <v>8405</v>
      </c>
      <c r="E69" s="2"/>
      <c r="F69" s="2"/>
      <c r="G69" s="2"/>
      <c r="I69" s="2"/>
      <c r="J69" s="2"/>
    </row>
    <row r="70" spans="1:10" x14ac:dyDescent="0.25">
      <c r="A70" s="273" t="s">
        <v>1247</v>
      </c>
      <c r="D70" s="2">
        <f>SUM(D65:D69)</f>
        <v>145021</v>
      </c>
      <c r="E70" s="2"/>
      <c r="F70" s="2"/>
      <c r="G70" s="2"/>
      <c r="I70" s="2"/>
      <c r="J70" s="2"/>
    </row>
    <row r="71" spans="1:10" x14ac:dyDescent="0.25">
      <c r="D71" s="2"/>
      <c r="E71" s="2"/>
      <c r="F71" s="2"/>
      <c r="G71" s="2"/>
      <c r="I71" s="2"/>
      <c r="J71" s="2"/>
    </row>
    <row r="72" spans="1:10" ht="13.8" x14ac:dyDescent="0.3">
      <c r="A72" s="276" t="s">
        <v>669</v>
      </c>
      <c r="D72" s="2"/>
      <c r="E72" s="2">
        <v>336195.31</v>
      </c>
      <c r="F72" s="2">
        <v>384300</v>
      </c>
      <c r="G72" s="2">
        <v>390600</v>
      </c>
      <c r="H72" s="2">
        <v>399525</v>
      </c>
      <c r="I72" s="2">
        <v>399525</v>
      </c>
      <c r="J72" s="2">
        <v>399525</v>
      </c>
    </row>
    <row r="73" spans="1:10" x14ac:dyDescent="0.25">
      <c r="A73" s="273" t="s">
        <v>298</v>
      </c>
      <c r="B73" s="2">
        <v>14</v>
      </c>
      <c r="C73" s="2">
        <v>19025</v>
      </c>
      <c r="D73" s="2">
        <f>ROUND(B73*C73,0)</f>
        <v>266350</v>
      </c>
      <c r="E73" s="2"/>
      <c r="F73" s="2"/>
      <c r="G73" s="2"/>
      <c r="I73" s="2"/>
      <c r="J73" s="2"/>
    </row>
    <row r="74" spans="1:10" x14ac:dyDescent="0.25">
      <c r="A74" s="273" t="s">
        <v>299</v>
      </c>
      <c r="B74" s="2">
        <v>2</v>
      </c>
      <c r="C74" s="2">
        <v>19025</v>
      </c>
      <c r="D74" s="2">
        <f>ROUND(B74*C74,0)</f>
        <v>38050</v>
      </c>
      <c r="E74" s="2"/>
      <c r="F74" s="2"/>
      <c r="G74" s="2"/>
      <c r="I74" s="2"/>
      <c r="J74" s="2"/>
    </row>
    <row r="75" spans="1:10" ht="15" x14ac:dyDescent="0.4">
      <c r="A75" s="273" t="s">
        <v>347</v>
      </c>
      <c r="B75" s="2">
        <v>5</v>
      </c>
      <c r="C75" s="2">
        <v>19025</v>
      </c>
      <c r="D75" s="11">
        <f>ROUND(B75*C75,0)</f>
        <v>95125</v>
      </c>
      <c r="E75" s="2"/>
      <c r="F75" s="2"/>
      <c r="G75" s="2"/>
      <c r="I75" s="2"/>
      <c r="J75" s="2"/>
    </row>
    <row r="76" spans="1:10" x14ac:dyDescent="0.25">
      <c r="A76" s="273" t="s">
        <v>801</v>
      </c>
      <c r="B76" s="2"/>
      <c r="C76" s="2"/>
      <c r="D76" s="2">
        <f>SUM(D73:D75)</f>
        <v>399525</v>
      </c>
      <c r="E76" s="2"/>
      <c r="F76" s="2"/>
      <c r="G76" s="2"/>
      <c r="I76" s="2"/>
      <c r="J76" s="2"/>
    </row>
    <row r="77" spans="1:10" x14ac:dyDescent="0.25">
      <c r="D77" s="2"/>
      <c r="E77" s="2"/>
      <c r="F77" s="2"/>
      <c r="G77" s="2"/>
      <c r="I77" s="2"/>
      <c r="J77" s="2"/>
    </row>
    <row r="78" spans="1:10" ht="13.8" x14ac:dyDescent="0.3">
      <c r="A78" s="276" t="s">
        <v>670</v>
      </c>
      <c r="D78" s="2"/>
      <c r="E78" s="2">
        <v>23973.759999999998</v>
      </c>
      <c r="F78" s="2">
        <v>24570</v>
      </c>
      <c r="G78" s="2">
        <v>25232</v>
      </c>
      <c r="H78" s="2">
        <v>25515</v>
      </c>
      <c r="I78" s="2">
        <v>25515</v>
      </c>
      <c r="J78" s="2">
        <v>25515</v>
      </c>
    </row>
    <row r="79" spans="1:10" x14ac:dyDescent="0.25">
      <c r="A79" s="273" t="s">
        <v>298</v>
      </c>
      <c r="B79" s="2">
        <v>21</v>
      </c>
      <c r="C79" s="2">
        <v>1350</v>
      </c>
      <c r="D79" s="2">
        <f>+C79*B79</f>
        <v>28350</v>
      </c>
      <c r="E79" s="2"/>
      <c r="F79" s="2"/>
      <c r="G79" s="2"/>
      <c r="I79" s="2"/>
      <c r="J79" s="2"/>
    </row>
    <row r="80" spans="1:10" ht="15" x14ac:dyDescent="0.4">
      <c r="A80" s="273" t="s">
        <v>606</v>
      </c>
      <c r="B80" s="2"/>
      <c r="C80" s="2"/>
      <c r="D80" s="11">
        <f>D79*-0.1</f>
        <v>-2835</v>
      </c>
      <c r="E80" s="2"/>
      <c r="F80" s="2"/>
      <c r="G80" s="2"/>
      <c r="I80" s="2"/>
      <c r="J80" s="2"/>
    </row>
    <row r="81" spans="1:10" x14ac:dyDescent="0.25">
      <c r="A81" s="273" t="s">
        <v>801</v>
      </c>
      <c r="B81" s="2"/>
      <c r="C81" s="2"/>
      <c r="D81" s="2">
        <f>SUM(D79:D80)</f>
        <v>25515</v>
      </c>
      <c r="E81" s="2"/>
      <c r="F81" s="2"/>
      <c r="G81" s="2"/>
      <c r="I81" s="2"/>
      <c r="J81" s="2"/>
    </row>
    <row r="82" spans="1:10" x14ac:dyDescent="0.25">
      <c r="D82" s="2"/>
      <c r="E82" s="2"/>
      <c r="F82" s="2"/>
      <c r="G82" s="2"/>
      <c r="I82" s="2"/>
      <c r="J82" s="2"/>
    </row>
    <row r="83" spans="1:10" ht="13.8" x14ac:dyDescent="0.3">
      <c r="A83" s="276" t="s">
        <v>671</v>
      </c>
      <c r="D83" s="2"/>
      <c r="E83" s="2">
        <v>1490.41</v>
      </c>
      <c r="F83" s="2">
        <v>1435</v>
      </c>
      <c r="G83" s="2">
        <v>1435</v>
      </c>
      <c r="H83" s="2">
        <v>1435</v>
      </c>
      <c r="I83" s="2">
        <v>1435</v>
      </c>
      <c r="J83" s="2">
        <v>1435</v>
      </c>
    </row>
    <row r="84" spans="1:10" hidden="1" x14ac:dyDescent="0.25">
      <c r="A84" s="273" t="s">
        <v>223</v>
      </c>
      <c r="B84" s="2">
        <v>2</v>
      </c>
      <c r="C84" s="2">
        <v>135</v>
      </c>
      <c r="D84" s="2">
        <f>+C84*B84</f>
        <v>270</v>
      </c>
      <c r="E84" s="2"/>
      <c r="F84" s="2"/>
      <c r="G84" s="2"/>
      <c r="I84" s="2"/>
      <c r="J84" s="2"/>
    </row>
    <row r="85" spans="1:10" hidden="1" x14ac:dyDescent="0.25">
      <c r="A85" s="273" t="s">
        <v>346</v>
      </c>
      <c r="B85" s="2">
        <v>5</v>
      </c>
      <c r="C85" s="2">
        <v>135</v>
      </c>
      <c r="D85" s="2">
        <f>+C85*B85</f>
        <v>675</v>
      </c>
      <c r="E85" s="2"/>
      <c r="F85" s="2"/>
      <c r="G85" s="2"/>
      <c r="I85" s="2"/>
      <c r="J85" s="2"/>
    </row>
    <row r="86" spans="1:10" ht="15" hidden="1" x14ac:dyDescent="0.4">
      <c r="A86" s="273" t="s">
        <v>224</v>
      </c>
      <c r="B86" s="2">
        <v>14</v>
      </c>
      <c r="C86" s="2">
        <v>35</v>
      </c>
      <c r="D86" s="11">
        <f>+C86*B86</f>
        <v>490</v>
      </c>
      <c r="E86" s="2"/>
      <c r="F86" s="2"/>
      <c r="G86" s="2"/>
      <c r="I86" s="2"/>
      <c r="J86" s="2"/>
    </row>
    <row r="87" spans="1:10" hidden="1" x14ac:dyDescent="0.25">
      <c r="A87" s="273" t="s">
        <v>1247</v>
      </c>
      <c r="D87" s="2">
        <f>SUM(D84:D86)</f>
        <v>1435</v>
      </c>
      <c r="E87" s="2"/>
      <c r="F87" s="2"/>
      <c r="G87" s="2"/>
      <c r="I87" s="2"/>
      <c r="J87" s="2"/>
    </row>
    <row r="88" spans="1:10" x14ac:dyDescent="0.25">
      <c r="D88" s="2"/>
      <c r="E88" s="2"/>
      <c r="F88" s="2"/>
      <c r="G88" s="2"/>
      <c r="I88" s="2"/>
      <c r="J88" s="2"/>
    </row>
    <row r="89" spans="1:10" ht="13.8" x14ac:dyDescent="0.3">
      <c r="A89" s="276" t="s">
        <v>681</v>
      </c>
      <c r="D89" s="2"/>
      <c r="E89" s="2">
        <v>9778.77</v>
      </c>
      <c r="F89" s="2">
        <v>13230</v>
      </c>
      <c r="G89" s="2">
        <v>12600</v>
      </c>
      <c r="H89" s="2">
        <v>12600</v>
      </c>
      <c r="I89" s="2">
        <v>12600</v>
      </c>
      <c r="J89" s="2">
        <v>12600</v>
      </c>
    </row>
    <row r="90" spans="1:10" hidden="1" x14ac:dyDescent="0.25">
      <c r="A90" s="273" t="s">
        <v>223</v>
      </c>
      <c r="B90" s="2">
        <v>2</v>
      </c>
      <c r="C90" s="2">
        <v>600</v>
      </c>
      <c r="D90" s="2">
        <f>+C90*B90</f>
        <v>1200</v>
      </c>
      <c r="E90" s="2"/>
      <c r="F90" s="2"/>
      <c r="G90" s="2"/>
      <c r="I90" s="2"/>
      <c r="J90" s="2"/>
    </row>
    <row r="91" spans="1:10" ht="15" hidden="1" x14ac:dyDescent="0.4">
      <c r="A91" s="273" t="s">
        <v>1406</v>
      </c>
      <c r="B91" s="2">
        <v>19</v>
      </c>
      <c r="C91" s="2">
        <v>600</v>
      </c>
      <c r="D91" s="11">
        <f>+C91*B91</f>
        <v>11400</v>
      </c>
      <c r="E91" s="2"/>
      <c r="F91" s="2"/>
      <c r="G91" s="2"/>
      <c r="I91" s="2"/>
      <c r="J91" s="2"/>
    </row>
    <row r="92" spans="1:10" hidden="1" x14ac:dyDescent="0.25">
      <c r="A92" s="273" t="s">
        <v>1247</v>
      </c>
      <c r="D92" s="2">
        <f>SUM(D90:D91)</f>
        <v>12600</v>
      </c>
      <c r="E92" s="2"/>
      <c r="F92" s="2"/>
      <c r="G92" s="2"/>
      <c r="I92" s="2"/>
      <c r="J92" s="2"/>
    </row>
    <row r="93" spans="1:10" x14ac:dyDescent="0.25">
      <c r="D93" s="2"/>
      <c r="E93" s="2"/>
      <c r="F93" s="2"/>
      <c r="G93" s="2"/>
      <c r="I93" s="2"/>
      <c r="J93" s="2"/>
    </row>
    <row r="94" spans="1:10" ht="13.8" x14ac:dyDescent="0.3">
      <c r="A94" s="276" t="s">
        <v>284</v>
      </c>
      <c r="D94" s="2"/>
      <c r="E94" s="2">
        <v>14209.47</v>
      </c>
      <c r="F94" s="2">
        <v>18652</v>
      </c>
      <c r="G94" s="2">
        <v>18014</v>
      </c>
      <c r="H94" s="2">
        <v>18014</v>
      </c>
      <c r="I94" s="2">
        <v>18082</v>
      </c>
      <c r="J94" s="2">
        <v>18372</v>
      </c>
    </row>
    <row r="95" spans="1:10" x14ac:dyDescent="0.25">
      <c r="A95" s="13" t="s">
        <v>896</v>
      </c>
      <c r="B95" s="2">
        <f t="shared" ref="B95:B100" si="3">+B56</f>
        <v>53820</v>
      </c>
      <c r="C95" s="14">
        <v>1.5E-3</v>
      </c>
      <c r="D95" s="2">
        <f t="shared" ref="D95:D100" si="4">ROUND(B95*C95,0)</f>
        <v>81</v>
      </c>
      <c r="E95" s="2"/>
      <c r="F95" s="2"/>
      <c r="G95" s="2"/>
      <c r="I95" s="2"/>
      <c r="J95" s="2"/>
    </row>
    <row r="96" spans="1:10" x14ac:dyDescent="0.25">
      <c r="A96" s="13" t="s">
        <v>1468</v>
      </c>
      <c r="B96" s="2">
        <f t="shared" si="3"/>
        <v>511549</v>
      </c>
      <c r="C96" s="14">
        <v>1.43E-2</v>
      </c>
      <c r="D96" s="2">
        <f t="shared" si="4"/>
        <v>7315</v>
      </c>
      <c r="E96" s="2"/>
      <c r="F96" s="2"/>
      <c r="G96" s="2"/>
      <c r="I96" s="2"/>
      <c r="J96" s="2"/>
    </row>
    <row r="97" spans="1:10" x14ac:dyDescent="0.25">
      <c r="A97" s="13" t="s">
        <v>807</v>
      </c>
      <c r="B97" s="2">
        <f t="shared" si="3"/>
        <v>648453</v>
      </c>
      <c r="C97" s="14">
        <v>1.43E-2</v>
      </c>
      <c r="D97" s="2">
        <f t="shared" si="4"/>
        <v>9273</v>
      </c>
      <c r="E97" s="2"/>
      <c r="F97" s="2"/>
      <c r="G97" s="2"/>
      <c r="I97" s="2"/>
      <c r="J97" s="2"/>
    </row>
    <row r="98" spans="1:10" x14ac:dyDescent="0.25">
      <c r="A98" s="13" t="s">
        <v>1982</v>
      </c>
      <c r="B98" s="2">
        <f t="shared" si="3"/>
        <v>9238.0499999999993</v>
      </c>
      <c r="C98" s="14">
        <v>1.43E-2</v>
      </c>
      <c r="D98" s="2">
        <f t="shared" si="4"/>
        <v>132</v>
      </c>
      <c r="E98" s="2"/>
      <c r="F98" s="2"/>
      <c r="G98" s="2"/>
      <c r="I98" s="2"/>
      <c r="J98" s="2"/>
    </row>
    <row r="99" spans="1:10" x14ac:dyDescent="0.25">
      <c r="A99" s="13" t="s">
        <v>184</v>
      </c>
      <c r="B99" s="2">
        <f t="shared" si="3"/>
        <v>35841</v>
      </c>
      <c r="C99" s="14">
        <v>1.43E-2</v>
      </c>
      <c r="D99" s="2">
        <f t="shared" si="4"/>
        <v>513</v>
      </c>
      <c r="E99" s="2"/>
      <c r="F99" s="2"/>
      <c r="G99" s="2"/>
      <c r="I99" s="2"/>
      <c r="J99" s="2"/>
    </row>
    <row r="100" spans="1:10" ht="15" x14ac:dyDescent="0.4">
      <c r="A100" s="13" t="s">
        <v>1983</v>
      </c>
      <c r="B100" s="2">
        <f t="shared" si="3"/>
        <v>75244.721785714282</v>
      </c>
      <c r="C100" s="14">
        <v>1.43E-2</v>
      </c>
      <c r="D100" s="11">
        <f t="shared" si="4"/>
        <v>1076</v>
      </c>
      <c r="E100" s="2"/>
      <c r="F100" s="2"/>
      <c r="G100" s="2"/>
      <c r="I100" s="2"/>
      <c r="J100" s="2"/>
    </row>
    <row r="101" spans="1:10" x14ac:dyDescent="0.25">
      <c r="A101" s="273" t="s">
        <v>1247</v>
      </c>
      <c r="D101" s="2">
        <f>SUM(D95:D100)-18</f>
        <v>18372</v>
      </c>
      <c r="E101" s="2"/>
      <c r="F101" s="2"/>
      <c r="G101" s="2"/>
      <c r="I101" s="2"/>
      <c r="J101" s="2"/>
    </row>
    <row r="102" spans="1:10" x14ac:dyDescent="0.25">
      <c r="D102" s="2"/>
      <c r="E102" s="2"/>
      <c r="F102" s="2"/>
      <c r="G102" s="2"/>
      <c r="I102" s="2"/>
      <c r="J102" s="2"/>
    </row>
    <row r="103" spans="1:10" ht="13.8" x14ac:dyDescent="0.3">
      <c r="A103" s="276" t="s">
        <v>1443</v>
      </c>
      <c r="D103" s="2"/>
      <c r="E103" s="2">
        <v>557.33000000000004</v>
      </c>
      <c r="F103" s="2">
        <v>557</v>
      </c>
      <c r="G103" s="2">
        <v>557</v>
      </c>
      <c r="H103" s="2">
        <v>557</v>
      </c>
      <c r="I103" s="2">
        <v>557</v>
      </c>
      <c r="J103" s="2">
        <v>557</v>
      </c>
    </row>
    <row r="104" spans="1:10" hidden="1" x14ac:dyDescent="0.25">
      <c r="A104" s="13" t="s">
        <v>896</v>
      </c>
      <c r="B104" s="2">
        <v>1</v>
      </c>
      <c r="C104" s="2">
        <v>26</v>
      </c>
      <c r="D104" s="2">
        <f>+B104*C104</f>
        <v>26</v>
      </c>
      <c r="E104" s="2"/>
      <c r="F104" s="2"/>
      <c r="G104" s="2"/>
      <c r="I104" s="2"/>
      <c r="J104" s="2"/>
    </row>
    <row r="105" spans="1:10" hidden="1" x14ac:dyDescent="0.25">
      <c r="A105" s="13" t="s">
        <v>1468</v>
      </c>
      <c r="B105" s="2">
        <v>6</v>
      </c>
      <c r="C105" s="2">
        <v>26</v>
      </c>
      <c r="D105" s="2">
        <f>+B105*C105</f>
        <v>156</v>
      </c>
      <c r="E105" s="2"/>
      <c r="F105" s="2"/>
      <c r="G105" s="48"/>
      <c r="H105" s="48"/>
      <c r="I105" s="48"/>
      <c r="J105" s="48"/>
    </row>
    <row r="106" spans="1:10" hidden="1" x14ac:dyDescent="0.25">
      <c r="A106" s="13" t="s">
        <v>807</v>
      </c>
      <c r="B106" s="2">
        <v>13</v>
      </c>
      <c r="C106" s="2">
        <v>26</v>
      </c>
      <c r="D106" s="2">
        <f>+B106*C106</f>
        <v>338</v>
      </c>
      <c r="E106" s="2"/>
      <c r="F106" s="2"/>
      <c r="G106" s="48"/>
      <c r="H106" s="48"/>
      <c r="I106" s="48"/>
      <c r="J106" s="48"/>
    </row>
    <row r="107" spans="1:10" hidden="1" x14ac:dyDescent="0.25">
      <c r="A107" s="13" t="s">
        <v>184</v>
      </c>
      <c r="B107" s="2">
        <v>1</v>
      </c>
      <c r="C107" s="2">
        <v>26</v>
      </c>
      <c r="D107" s="2">
        <f>+B107*C107</f>
        <v>26</v>
      </c>
      <c r="E107" s="2"/>
      <c r="F107" s="2"/>
      <c r="G107" s="48"/>
      <c r="H107" s="48"/>
      <c r="I107" s="48"/>
      <c r="J107" s="48"/>
    </row>
    <row r="108" spans="1:10" ht="15" hidden="1" x14ac:dyDescent="0.4">
      <c r="A108" s="13" t="s">
        <v>184</v>
      </c>
      <c r="B108" s="2">
        <v>6080</v>
      </c>
      <c r="C108" s="14">
        <v>1.8E-3</v>
      </c>
      <c r="D108" s="11">
        <f>+B108*C108</f>
        <v>10.943999999999999</v>
      </c>
      <c r="E108" s="2"/>
      <c r="F108" s="2"/>
      <c r="G108" s="48"/>
      <c r="H108" s="48"/>
      <c r="I108" s="48"/>
      <c r="J108" s="48"/>
    </row>
    <row r="109" spans="1:10" hidden="1" x14ac:dyDescent="0.25">
      <c r="A109" s="273" t="s">
        <v>1247</v>
      </c>
      <c r="D109" s="2">
        <f>SUM(D104:D108)</f>
        <v>556.94399999999996</v>
      </c>
      <c r="E109" s="2"/>
      <c r="F109" s="2"/>
      <c r="G109" s="48"/>
      <c r="H109" s="48"/>
      <c r="I109" s="48"/>
      <c r="J109" s="48"/>
    </row>
    <row r="110" spans="1:10" x14ac:dyDescent="0.25">
      <c r="D110" s="2"/>
      <c r="E110" s="2"/>
      <c r="F110" s="2"/>
      <c r="G110" s="48"/>
      <c r="H110" s="48"/>
      <c r="I110" s="48"/>
      <c r="J110" s="48"/>
    </row>
    <row r="111" spans="1:10" ht="13.8" x14ac:dyDescent="0.3">
      <c r="A111" s="54" t="s">
        <v>87</v>
      </c>
      <c r="B111" s="2" t="s">
        <v>396</v>
      </c>
      <c r="C111" s="2"/>
      <c r="D111" s="2"/>
      <c r="E111" s="2">
        <v>4834.6400000000003</v>
      </c>
      <c r="F111" s="2">
        <v>3401</v>
      </c>
      <c r="G111" s="48">
        <v>4007</v>
      </c>
      <c r="H111" s="48">
        <v>4007</v>
      </c>
      <c r="I111" s="48">
        <v>4007</v>
      </c>
      <c r="J111" s="48">
        <v>4007</v>
      </c>
    </row>
    <row r="112" spans="1:10" x14ac:dyDescent="0.25">
      <c r="A112" s="2" t="s">
        <v>291</v>
      </c>
      <c r="B112" s="2"/>
      <c r="C112" s="2"/>
      <c r="D112" s="2"/>
      <c r="E112" s="2"/>
      <c r="F112" s="2"/>
      <c r="G112" s="48"/>
      <c r="H112" s="48"/>
      <c r="I112" s="48"/>
      <c r="J112" s="48"/>
    </row>
    <row r="113" spans="1:10" x14ac:dyDescent="0.25">
      <c r="A113" s="2" t="s">
        <v>1900</v>
      </c>
      <c r="B113" s="2"/>
      <c r="C113" s="2"/>
      <c r="D113" s="2">
        <v>0</v>
      </c>
      <c r="E113" s="2"/>
      <c r="F113" s="2"/>
      <c r="G113" s="48"/>
      <c r="H113" s="48"/>
      <c r="I113" s="48"/>
      <c r="J113" s="48"/>
    </row>
    <row r="114" spans="1:10" ht="15" x14ac:dyDescent="0.4">
      <c r="A114" s="2" t="s">
        <v>2154</v>
      </c>
      <c r="B114" s="2"/>
      <c r="C114" s="2"/>
      <c r="D114" s="11">
        <v>4007</v>
      </c>
      <c r="E114" s="2"/>
      <c r="F114" s="2"/>
      <c r="G114" s="48"/>
      <c r="H114" s="48"/>
      <c r="I114" s="48"/>
      <c r="J114" s="48"/>
    </row>
    <row r="115" spans="1:10" x14ac:dyDescent="0.25">
      <c r="A115" s="2" t="s">
        <v>252</v>
      </c>
      <c r="B115" s="2"/>
      <c r="C115" s="2"/>
      <c r="D115" s="2">
        <f>SUM(D113:D114)</f>
        <v>4007</v>
      </c>
      <c r="E115" s="2"/>
      <c r="F115" s="2"/>
      <c r="G115" s="48"/>
      <c r="H115" s="48"/>
      <c r="I115" s="48"/>
      <c r="J115" s="48"/>
    </row>
    <row r="116" spans="1:10" x14ac:dyDescent="0.25">
      <c r="D116" s="2"/>
      <c r="E116" s="2"/>
      <c r="F116" s="2"/>
      <c r="G116" s="48"/>
      <c r="H116" s="48"/>
      <c r="I116" s="48"/>
      <c r="J116" s="48"/>
    </row>
    <row r="117" spans="1:10" ht="13.8" x14ac:dyDescent="0.3">
      <c r="A117" s="54" t="s">
        <v>1797</v>
      </c>
      <c r="D117" s="2">
        <v>0</v>
      </c>
      <c r="E117" s="2"/>
      <c r="F117" s="2"/>
      <c r="G117" s="48"/>
      <c r="H117" s="48"/>
      <c r="I117" s="48"/>
      <c r="J117" s="48"/>
    </row>
    <row r="118" spans="1:10" x14ac:dyDescent="0.25">
      <c r="D118" s="2"/>
      <c r="E118" s="2"/>
      <c r="F118" s="2"/>
      <c r="G118" s="48"/>
      <c r="H118" s="48"/>
      <c r="I118" s="48"/>
      <c r="J118" s="48"/>
    </row>
    <row r="119" spans="1:10" ht="13.8" x14ac:dyDescent="0.3">
      <c r="A119" s="276" t="s">
        <v>1444</v>
      </c>
      <c r="D119" s="2"/>
      <c r="E119" s="2">
        <v>2355.5100000000002</v>
      </c>
      <c r="F119" s="2">
        <v>2500</v>
      </c>
      <c r="G119" s="48">
        <v>2500</v>
      </c>
      <c r="H119" s="48">
        <v>2500</v>
      </c>
      <c r="I119" s="48">
        <v>2500</v>
      </c>
      <c r="J119" s="48">
        <v>2500</v>
      </c>
    </row>
    <row r="120" spans="1:10" x14ac:dyDescent="0.25">
      <c r="A120" s="273" t="s">
        <v>1445</v>
      </c>
      <c r="D120" s="2" t="s">
        <v>396</v>
      </c>
      <c r="E120" s="2"/>
      <c r="F120" s="2"/>
      <c r="G120" s="48"/>
      <c r="H120" s="48"/>
      <c r="I120" s="48"/>
      <c r="J120" s="48"/>
    </row>
    <row r="121" spans="1:10" x14ac:dyDescent="0.25">
      <c r="A121" s="273" t="s">
        <v>1694</v>
      </c>
      <c r="C121" s="2"/>
      <c r="D121" s="2"/>
      <c r="E121" s="2"/>
      <c r="F121" s="2"/>
      <c r="G121" s="48"/>
      <c r="H121" s="48"/>
      <c r="I121" s="48"/>
      <c r="J121" s="48"/>
    </row>
    <row r="122" spans="1:10" x14ac:dyDescent="0.25">
      <c r="A122" s="273" t="s">
        <v>1247</v>
      </c>
      <c r="B122" s="2"/>
      <c r="C122" s="2"/>
      <c r="D122" s="2">
        <v>2500</v>
      </c>
      <c r="E122" s="2"/>
      <c r="F122" s="2"/>
      <c r="G122" s="48"/>
      <c r="H122" s="48"/>
      <c r="I122" s="48"/>
      <c r="J122" s="48"/>
    </row>
    <row r="123" spans="1:10" x14ac:dyDescent="0.25">
      <c r="C123" s="2" t="s">
        <v>396</v>
      </c>
      <c r="D123" s="2" t="s">
        <v>396</v>
      </c>
      <c r="E123" s="2"/>
      <c r="F123" s="2"/>
      <c r="G123" s="48"/>
      <c r="H123" s="48"/>
      <c r="I123" s="48"/>
      <c r="J123" s="48"/>
    </row>
    <row r="124" spans="1:10" ht="13.8" x14ac:dyDescent="0.3">
      <c r="A124" s="276" t="s">
        <v>340</v>
      </c>
      <c r="C124" s="2"/>
      <c r="D124" s="2"/>
      <c r="E124" s="2">
        <v>7431.85</v>
      </c>
      <c r="F124" s="2">
        <v>7900</v>
      </c>
      <c r="G124" s="48">
        <v>7900</v>
      </c>
      <c r="H124" s="48">
        <v>7900</v>
      </c>
      <c r="I124" s="48">
        <v>7900</v>
      </c>
      <c r="J124" s="48">
        <v>7900</v>
      </c>
    </row>
    <row r="125" spans="1:10" x14ac:dyDescent="0.25">
      <c r="A125" s="273" t="s">
        <v>837</v>
      </c>
      <c r="C125" s="2"/>
      <c r="D125" s="2">
        <v>2500</v>
      </c>
      <c r="E125" s="2"/>
      <c r="F125" s="2"/>
      <c r="G125" s="48"/>
      <c r="H125" s="48"/>
      <c r="I125" s="48"/>
      <c r="J125" s="48"/>
    </row>
    <row r="126" spans="1:10" ht="15" x14ac:dyDescent="0.4">
      <c r="A126" s="273" t="s">
        <v>341</v>
      </c>
      <c r="C126" s="11"/>
      <c r="D126" s="11">
        <v>5400</v>
      </c>
      <c r="E126" s="2"/>
      <c r="F126" s="2"/>
      <c r="G126" s="48"/>
      <c r="H126" s="48"/>
      <c r="I126" s="48"/>
      <c r="J126" s="48"/>
    </row>
    <row r="127" spans="1:10" x14ac:dyDescent="0.25">
      <c r="A127" s="273" t="s">
        <v>1247</v>
      </c>
      <c r="C127" s="2"/>
      <c r="D127" s="2">
        <v>7900</v>
      </c>
      <c r="E127" s="2"/>
      <c r="F127" s="2"/>
      <c r="G127" s="48"/>
      <c r="H127" s="48"/>
      <c r="I127" s="48"/>
      <c r="J127" s="48"/>
    </row>
    <row r="128" spans="1:10" x14ac:dyDescent="0.25">
      <c r="C128" s="18"/>
      <c r="D128" s="18"/>
      <c r="E128" s="2"/>
      <c r="F128" s="2"/>
      <c r="G128" s="48"/>
      <c r="H128" s="48"/>
      <c r="I128" s="48"/>
      <c r="J128" s="48"/>
    </row>
    <row r="129" spans="1:10" ht="13.8" x14ac:dyDescent="0.3">
      <c r="A129" s="276" t="s">
        <v>342</v>
      </c>
      <c r="C129" s="2"/>
      <c r="D129" s="2"/>
      <c r="E129" s="2">
        <v>4884.6099999999997</v>
      </c>
      <c r="F129" s="2">
        <v>5300</v>
      </c>
      <c r="G129" s="48">
        <v>5300</v>
      </c>
      <c r="H129" s="48">
        <v>5300</v>
      </c>
      <c r="I129" s="48">
        <v>5300</v>
      </c>
      <c r="J129" s="48">
        <v>5300</v>
      </c>
    </row>
    <row r="130" spans="1:10" x14ac:dyDescent="0.25">
      <c r="A130" s="6" t="s">
        <v>0</v>
      </c>
      <c r="B130" s="6"/>
      <c r="C130" s="2"/>
      <c r="D130" s="2">
        <v>600</v>
      </c>
      <c r="E130" s="2"/>
      <c r="F130" s="2"/>
      <c r="G130" s="48"/>
      <c r="H130" s="48"/>
      <c r="I130" s="48"/>
      <c r="J130" s="48"/>
    </row>
    <row r="131" spans="1:10" x14ac:dyDescent="0.25">
      <c r="A131" s="6" t="s">
        <v>1778</v>
      </c>
      <c r="B131" s="6"/>
      <c r="C131" s="2"/>
      <c r="D131" s="2">
        <v>1300</v>
      </c>
      <c r="E131" s="2"/>
      <c r="F131" s="2"/>
      <c r="G131" s="48"/>
      <c r="H131" s="48"/>
      <c r="I131" s="48"/>
      <c r="J131" s="48"/>
    </row>
    <row r="132" spans="1:10" x14ac:dyDescent="0.25">
      <c r="A132" s="6" t="s">
        <v>1695</v>
      </c>
      <c r="B132" s="6"/>
      <c r="C132" s="2"/>
      <c r="D132" s="2">
        <v>1900</v>
      </c>
      <c r="E132" s="2"/>
      <c r="F132" s="2"/>
      <c r="G132" s="48"/>
      <c r="H132" s="48"/>
      <c r="I132" s="48"/>
      <c r="J132" s="48"/>
    </row>
    <row r="133" spans="1:10" x14ac:dyDescent="0.25">
      <c r="A133" s="6" t="s">
        <v>1</v>
      </c>
      <c r="B133" s="6"/>
      <c r="C133" s="2"/>
      <c r="D133" s="2">
        <v>700</v>
      </c>
      <c r="E133" s="2"/>
      <c r="F133" s="2"/>
      <c r="G133" s="48"/>
      <c r="H133" s="48"/>
      <c r="I133" s="48"/>
      <c r="J133" s="48"/>
    </row>
    <row r="134" spans="1:10" ht="15" x14ac:dyDescent="0.4">
      <c r="A134" s="6" t="s">
        <v>1128</v>
      </c>
      <c r="B134" s="6"/>
      <c r="C134" s="11"/>
      <c r="D134" s="11">
        <v>800</v>
      </c>
      <c r="E134" s="2"/>
      <c r="F134" s="2"/>
      <c r="G134" s="48"/>
      <c r="H134" s="48"/>
      <c r="I134" s="48"/>
      <c r="J134" s="48"/>
    </row>
    <row r="135" spans="1:10" x14ac:dyDescent="0.25">
      <c r="A135" s="6" t="s">
        <v>1247</v>
      </c>
      <c r="B135" s="6"/>
      <c r="C135" s="2"/>
      <c r="D135" s="2">
        <f>SUM(D130:D134)</f>
        <v>5300</v>
      </c>
      <c r="E135" s="2"/>
      <c r="F135" s="2"/>
      <c r="G135" s="48"/>
      <c r="H135" s="48"/>
      <c r="I135" s="48"/>
      <c r="J135" s="48"/>
    </row>
    <row r="136" spans="1:10" x14ac:dyDescent="0.25">
      <c r="B136" s="2"/>
      <c r="C136" s="18"/>
      <c r="D136" s="18"/>
      <c r="E136" s="2"/>
      <c r="F136" s="2"/>
      <c r="G136" s="48"/>
      <c r="H136" s="48"/>
      <c r="I136" s="48"/>
      <c r="J136" s="48"/>
    </row>
    <row r="137" spans="1:10" ht="13.8" x14ac:dyDescent="0.3">
      <c r="A137" s="276" t="s">
        <v>1171</v>
      </c>
      <c r="D137" s="2" t="s">
        <v>396</v>
      </c>
      <c r="E137" s="2">
        <v>7949.02</v>
      </c>
      <c r="F137" s="2">
        <v>9492</v>
      </c>
      <c r="G137" s="48">
        <v>9492</v>
      </c>
      <c r="H137" s="48">
        <v>9492</v>
      </c>
      <c r="I137" s="48">
        <v>9492</v>
      </c>
      <c r="J137" s="48">
        <v>10752</v>
      </c>
    </row>
    <row r="138" spans="1:10" x14ac:dyDescent="0.25">
      <c r="A138" s="273" t="s">
        <v>47</v>
      </c>
      <c r="B138" s="2">
        <v>3</v>
      </c>
      <c r="C138" s="2">
        <v>255</v>
      </c>
      <c r="D138" s="2">
        <v>765</v>
      </c>
      <c r="E138" s="2"/>
      <c r="F138" s="2"/>
      <c r="G138" s="48"/>
      <c r="H138" s="48"/>
      <c r="I138" s="48"/>
      <c r="J138" s="48"/>
    </row>
    <row r="139" spans="1:10" x14ac:dyDescent="0.25">
      <c r="A139" s="273" t="s">
        <v>1068</v>
      </c>
      <c r="B139" s="2">
        <v>3</v>
      </c>
      <c r="C139" s="2">
        <v>200</v>
      </c>
      <c r="D139" s="2">
        <f>+C139*B139</f>
        <v>600</v>
      </c>
      <c r="E139" s="2"/>
      <c r="F139" s="2"/>
      <c r="G139" s="48"/>
      <c r="H139" s="48"/>
      <c r="I139" s="48"/>
      <c r="J139" s="48"/>
    </row>
    <row r="140" spans="1:10" x14ac:dyDescent="0.25">
      <c r="A140" s="273" t="s">
        <v>1172</v>
      </c>
      <c r="B140" s="2">
        <v>2</v>
      </c>
      <c r="C140" s="2">
        <v>350</v>
      </c>
      <c r="D140" s="2">
        <v>700</v>
      </c>
      <c r="E140" s="2"/>
      <c r="F140" s="2"/>
      <c r="G140" s="48"/>
      <c r="H140" s="48"/>
      <c r="I140" s="48"/>
      <c r="J140" s="48"/>
    </row>
    <row r="141" spans="1:10" x14ac:dyDescent="0.25">
      <c r="A141" s="273" t="s">
        <v>1000</v>
      </c>
      <c r="B141" s="2">
        <v>2</v>
      </c>
      <c r="C141" s="2">
        <v>75</v>
      </c>
      <c r="D141" s="2">
        <v>150</v>
      </c>
      <c r="E141" s="2"/>
      <c r="F141" s="2"/>
      <c r="G141" s="211"/>
      <c r="H141" s="211"/>
      <c r="I141" s="211"/>
      <c r="J141" s="211"/>
    </row>
    <row r="142" spans="1:10" x14ac:dyDescent="0.25">
      <c r="A142" s="273" t="s">
        <v>1259</v>
      </c>
      <c r="B142" s="2">
        <v>17</v>
      </c>
      <c r="C142" s="2">
        <v>260</v>
      </c>
      <c r="D142" s="2">
        <f>+C142*B142</f>
        <v>4420</v>
      </c>
      <c r="E142" s="2"/>
      <c r="F142" s="2"/>
      <c r="G142" s="211"/>
      <c r="H142" s="211"/>
      <c r="I142" s="211"/>
      <c r="J142" s="211"/>
    </row>
    <row r="143" spans="1:10" x14ac:dyDescent="0.25">
      <c r="A143" s="273" t="s">
        <v>1696</v>
      </c>
      <c r="B143" s="2">
        <v>1</v>
      </c>
      <c r="C143" s="137">
        <v>2.25</v>
      </c>
      <c r="D143" s="2">
        <v>117</v>
      </c>
      <c r="E143" s="2"/>
      <c r="F143" s="2"/>
      <c r="G143" s="211"/>
      <c r="H143" s="211"/>
      <c r="I143" s="211"/>
      <c r="J143" s="211"/>
    </row>
    <row r="144" spans="1:10" x14ac:dyDescent="0.25">
      <c r="A144" s="273" t="s">
        <v>1001</v>
      </c>
      <c r="B144" s="2">
        <v>2</v>
      </c>
      <c r="C144" s="2">
        <v>75</v>
      </c>
      <c r="D144" s="2">
        <v>150</v>
      </c>
      <c r="E144" s="2"/>
      <c r="F144" s="2"/>
      <c r="G144" s="211"/>
      <c r="H144" s="211"/>
      <c r="I144" s="211"/>
      <c r="J144" s="211"/>
    </row>
    <row r="145" spans="1:10" x14ac:dyDescent="0.25">
      <c r="A145" s="273" t="s">
        <v>905</v>
      </c>
      <c r="B145" s="2">
        <v>14</v>
      </c>
      <c r="C145" s="2">
        <v>275</v>
      </c>
      <c r="D145" s="35">
        <f>+B145*C145</f>
        <v>3850</v>
      </c>
      <c r="E145" s="2"/>
      <c r="F145" s="2"/>
      <c r="G145" s="48"/>
      <c r="H145" s="48"/>
      <c r="I145" s="48"/>
      <c r="J145" s="48"/>
    </row>
    <row r="146" spans="1:10" x14ac:dyDescent="0.25">
      <c r="A146" s="273" t="s">
        <v>1247</v>
      </c>
      <c r="D146" s="2">
        <f>SUM(D138:D145)</f>
        <v>10752</v>
      </c>
      <c r="E146" s="2"/>
      <c r="F146" s="2"/>
      <c r="H146" s="273"/>
      <c r="I146" s="295"/>
      <c r="J146" s="298"/>
    </row>
    <row r="147" spans="1:10" x14ac:dyDescent="0.25">
      <c r="D147" s="2"/>
      <c r="E147" s="2"/>
      <c r="F147" s="2"/>
      <c r="H147" s="273"/>
      <c r="I147" s="295"/>
      <c r="J147" s="298"/>
    </row>
    <row r="148" spans="1:10" ht="13.8" x14ac:dyDescent="0.3">
      <c r="A148" s="276" t="s">
        <v>367</v>
      </c>
      <c r="D148" s="2"/>
      <c r="E148" s="2">
        <v>28002.45</v>
      </c>
      <c r="F148" s="2">
        <v>28000</v>
      </c>
      <c r="G148" s="48">
        <v>28000</v>
      </c>
      <c r="H148" s="48">
        <v>28000</v>
      </c>
      <c r="I148" s="48">
        <v>28000</v>
      </c>
      <c r="J148" s="48">
        <v>28000</v>
      </c>
    </row>
    <row r="149" spans="1:10" x14ac:dyDescent="0.25">
      <c r="A149" s="273" t="s">
        <v>1697</v>
      </c>
      <c r="D149" s="2"/>
      <c r="E149" s="2"/>
      <c r="F149" s="2"/>
      <c r="G149" s="48"/>
      <c r="H149" s="48"/>
      <c r="I149" s="48"/>
      <c r="J149" s="48"/>
    </row>
    <row r="150" spans="1:10" x14ac:dyDescent="0.25">
      <c r="A150" s="273" t="s">
        <v>61</v>
      </c>
      <c r="C150" s="2"/>
      <c r="D150" s="2">
        <v>28000</v>
      </c>
      <c r="E150" s="2"/>
      <c r="F150" s="2"/>
      <c r="G150" s="48"/>
      <c r="H150" s="48"/>
      <c r="I150" s="48"/>
      <c r="J150" s="48"/>
    </row>
    <row r="151" spans="1:10" x14ac:dyDescent="0.25">
      <c r="C151" s="2"/>
      <c r="D151" s="2"/>
      <c r="E151" s="2"/>
      <c r="F151" s="2"/>
      <c r="G151" s="48"/>
      <c r="H151" s="48"/>
      <c r="I151" s="48"/>
      <c r="J151" s="48"/>
    </row>
    <row r="152" spans="1:10" ht="13.8" x14ac:dyDescent="0.3">
      <c r="A152" s="276" t="s">
        <v>368</v>
      </c>
      <c r="C152" s="2"/>
      <c r="D152" s="2"/>
      <c r="E152" s="2">
        <v>0</v>
      </c>
      <c r="F152" s="2">
        <v>3000</v>
      </c>
      <c r="G152" s="48">
        <v>3000</v>
      </c>
      <c r="H152" s="48">
        <v>3000</v>
      </c>
      <c r="I152" s="48">
        <v>3000</v>
      </c>
      <c r="J152" s="48">
        <v>3000</v>
      </c>
    </row>
    <row r="153" spans="1:10" x14ac:dyDescent="0.25">
      <c r="A153" s="273" t="s">
        <v>1354</v>
      </c>
      <c r="C153" s="2"/>
      <c r="D153" s="2">
        <v>3000</v>
      </c>
      <c r="E153" s="2"/>
      <c r="F153" s="2"/>
      <c r="G153" s="48"/>
      <c r="H153" s="48"/>
      <c r="I153" s="48"/>
      <c r="J153" s="48"/>
    </row>
    <row r="154" spans="1:10" x14ac:dyDescent="0.25">
      <c r="C154" s="2"/>
      <c r="D154" s="2"/>
      <c r="E154" s="2"/>
      <c r="F154" s="2"/>
      <c r="G154" s="48"/>
      <c r="H154" s="48"/>
      <c r="I154" s="48"/>
      <c r="J154" s="48"/>
    </row>
    <row r="155" spans="1:10" ht="13.8" x14ac:dyDescent="0.3">
      <c r="A155" s="276" t="s">
        <v>2135</v>
      </c>
      <c r="C155" s="2"/>
      <c r="D155" s="2"/>
      <c r="E155" s="2">
        <v>428.09</v>
      </c>
      <c r="F155" s="2">
        <v>0</v>
      </c>
      <c r="G155" s="48">
        <v>0</v>
      </c>
      <c r="H155" s="48">
        <v>0</v>
      </c>
      <c r="I155" s="48">
        <v>0</v>
      </c>
      <c r="J155" s="48">
        <v>0</v>
      </c>
    </row>
    <row r="156" spans="1:10" x14ac:dyDescent="0.25">
      <c r="C156" s="2"/>
      <c r="D156" s="2"/>
      <c r="E156" s="2"/>
      <c r="F156" s="2"/>
      <c r="G156" s="48"/>
      <c r="H156" s="48"/>
      <c r="I156" s="48"/>
      <c r="J156" s="48"/>
    </row>
    <row r="157" spans="1:10" ht="13.8" x14ac:dyDescent="0.3">
      <c r="A157" s="276" t="s">
        <v>862</v>
      </c>
      <c r="C157" s="2"/>
      <c r="D157" s="2"/>
      <c r="E157" s="2">
        <v>2157.67</v>
      </c>
      <c r="F157" s="2">
        <v>2100</v>
      </c>
      <c r="G157" s="48">
        <v>2150</v>
      </c>
      <c r="H157" s="48">
        <v>2150</v>
      </c>
      <c r="I157" s="48">
        <v>2150</v>
      </c>
      <c r="J157" s="48">
        <v>2150</v>
      </c>
    </row>
    <row r="158" spans="1:10" x14ac:dyDescent="0.25">
      <c r="A158" s="273" t="s">
        <v>1698</v>
      </c>
      <c r="C158" s="2"/>
      <c r="D158" s="2">
        <v>2150</v>
      </c>
      <c r="E158" s="2"/>
      <c r="F158" s="2"/>
      <c r="G158" s="48"/>
      <c r="H158" s="48"/>
      <c r="I158" s="48"/>
      <c r="J158" s="48"/>
    </row>
    <row r="159" spans="1:10" x14ac:dyDescent="0.25">
      <c r="C159" s="2"/>
      <c r="D159" s="2"/>
      <c r="E159" s="2"/>
      <c r="F159" s="2"/>
      <c r="G159" s="48"/>
      <c r="H159" s="48"/>
      <c r="I159" s="48"/>
      <c r="J159" s="48"/>
    </row>
    <row r="160" spans="1:10" ht="13.8" x14ac:dyDescent="0.3">
      <c r="A160" s="276" t="s">
        <v>353</v>
      </c>
      <c r="C160" s="2"/>
      <c r="D160" s="2"/>
      <c r="E160" s="2">
        <v>342940.81</v>
      </c>
      <c r="F160" s="2">
        <v>410000</v>
      </c>
      <c r="G160" s="48">
        <v>390000</v>
      </c>
      <c r="H160" s="48">
        <v>375000</v>
      </c>
      <c r="I160" s="48">
        <v>375000</v>
      </c>
      <c r="J160" s="48">
        <v>375000</v>
      </c>
    </row>
    <row r="161" spans="1:10" x14ac:dyDescent="0.25">
      <c r="A161" s="273" t="s">
        <v>354</v>
      </c>
      <c r="C161" s="2"/>
      <c r="D161" s="2">
        <f>246315+20000</f>
        <v>266315</v>
      </c>
      <c r="E161" s="2"/>
      <c r="F161" s="211"/>
      <c r="G161" s="211"/>
      <c r="H161" s="211"/>
      <c r="I161" s="211"/>
      <c r="J161" s="211"/>
    </row>
    <row r="162" spans="1:10" x14ac:dyDescent="0.25">
      <c r="A162" s="273" t="s">
        <v>1033</v>
      </c>
      <c r="C162" s="2"/>
      <c r="D162" s="2">
        <f>7950+3000</f>
        <v>10950</v>
      </c>
      <c r="E162" s="2"/>
      <c r="F162" s="2"/>
      <c r="G162" s="48"/>
      <c r="H162" s="48"/>
      <c r="I162" s="48"/>
      <c r="J162" s="48"/>
    </row>
    <row r="163" spans="1:10" x14ac:dyDescent="0.25">
      <c r="A163" s="273" t="s">
        <v>1034</v>
      </c>
      <c r="C163" s="2"/>
      <c r="D163" s="2">
        <f>4925+3000</f>
        <v>7925</v>
      </c>
      <c r="E163" s="2"/>
      <c r="F163" s="2"/>
      <c r="G163" s="48"/>
      <c r="H163" s="48"/>
      <c r="I163" s="48"/>
      <c r="J163" s="48"/>
    </row>
    <row r="164" spans="1:10" x14ac:dyDescent="0.25">
      <c r="A164" s="273" t="s">
        <v>750</v>
      </c>
      <c r="C164" s="2"/>
      <c r="D164" s="2">
        <v>2450</v>
      </c>
      <c r="E164" s="2"/>
      <c r="F164" s="2"/>
      <c r="G164" s="48"/>
      <c r="H164" s="48"/>
      <c r="I164" s="48"/>
      <c r="J164" s="48"/>
    </row>
    <row r="165" spans="1:10" x14ac:dyDescent="0.25">
      <c r="A165" s="273" t="s">
        <v>1123</v>
      </c>
      <c r="C165" s="2"/>
      <c r="D165" s="2">
        <v>1840</v>
      </c>
      <c r="E165" s="2"/>
      <c r="F165" s="2"/>
      <c r="G165" s="48"/>
      <c r="H165" s="48"/>
      <c r="I165" s="48"/>
      <c r="J165" s="48"/>
    </row>
    <row r="166" spans="1:10" x14ac:dyDescent="0.25">
      <c r="A166" s="273" t="s">
        <v>1538</v>
      </c>
      <c r="C166" s="2"/>
      <c r="D166" s="2">
        <v>1285</v>
      </c>
      <c r="E166" s="2"/>
      <c r="F166" s="2"/>
      <c r="G166" s="48"/>
      <c r="H166" s="48"/>
      <c r="I166" s="48"/>
      <c r="J166" s="48"/>
    </row>
    <row r="167" spans="1:10" x14ac:dyDescent="0.25">
      <c r="A167" s="273" t="s">
        <v>751</v>
      </c>
      <c r="C167" s="2"/>
      <c r="D167" s="2">
        <v>1135</v>
      </c>
      <c r="E167" s="2"/>
      <c r="F167" s="2"/>
      <c r="G167" s="48"/>
      <c r="H167" s="48"/>
      <c r="I167" s="48"/>
      <c r="J167" s="48"/>
    </row>
    <row r="168" spans="1:10" x14ac:dyDescent="0.25">
      <c r="A168" s="273" t="s">
        <v>1901</v>
      </c>
      <c r="C168" s="2"/>
      <c r="D168" s="2">
        <v>2090</v>
      </c>
      <c r="E168" s="2"/>
      <c r="F168" s="2"/>
      <c r="G168" s="48"/>
      <c r="H168" s="48"/>
      <c r="I168" s="48"/>
      <c r="J168" s="48"/>
    </row>
    <row r="169" spans="1:10" ht="15" x14ac:dyDescent="0.4">
      <c r="A169" s="273" t="s">
        <v>752</v>
      </c>
      <c r="C169" s="11"/>
      <c r="D169" s="11">
        <f>82010+10000</f>
        <v>92010</v>
      </c>
      <c r="E169" s="2"/>
      <c r="F169" s="2"/>
      <c r="G169" s="48"/>
      <c r="H169" s="48"/>
      <c r="I169" s="48"/>
      <c r="J169" s="48"/>
    </row>
    <row r="170" spans="1:10" x14ac:dyDescent="0.25">
      <c r="A170" s="273" t="s">
        <v>1247</v>
      </c>
      <c r="C170" s="2"/>
      <c r="D170" s="2">
        <f>SUM(D161:D169)</f>
        <v>386000</v>
      </c>
      <c r="E170" s="2"/>
      <c r="F170" s="2"/>
      <c r="G170" s="48"/>
      <c r="H170" s="48"/>
      <c r="I170" s="48"/>
      <c r="J170" s="48"/>
    </row>
    <row r="171" spans="1:10" x14ac:dyDescent="0.25">
      <c r="C171" s="2"/>
      <c r="D171" s="2"/>
      <c r="E171" s="2"/>
      <c r="F171" s="2"/>
      <c r="G171" s="48"/>
      <c r="H171" s="48"/>
      <c r="I171" s="48"/>
      <c r="J171" s="48"/>
    </row>
    <row r="172" spans="1:10" ht="13.8" x14ac:dyDescent="0.3">
      <c r="A172" s="276" t="s">
        <v>386</v>
      </c>
      <c r="C172" s="2"/>
      <c r="D172" s="2"/>
      <c r="E172" s="2">
        <v>60680.88</v>
      </c>
      <c r="F172" s="2">
        <v>55180</v>
      </c>
      <c r="G172" s="48">
        <v>59680</v>
      </c>
      <c r="H172" s="48">
        <v>59680</v>
      </c>
      <c r="I172" s="48">
        <v>59680</v>
      </c>
      <c r="J172" s="48">
        <v>59680</v>
      </c>
    </row>
    <row r="173" spans="1:10" x14ac:dyDescent="0.25">
      <c r="A173" s="273" t="s">
        <v>1902</v>
      </c>
      <c r="C173" s="2"/>
      <c r="D173" s="2">
        <v>15200</v>
      </c>
      <c r="E173" s="2"/>
      <c r="F173" s="2"/>
      <c r="G173" s="48"/>
      <c r="H173" s="48"/>
      <c r="I173" s="48"/>
      <c r="J173" s="48"/>
    </row>
    <row r="174" spans="1:10" x14ac:dyDescent="0.25">
      <c r="A174" s="273" t="s">
        <v>1903</v>
      </c>
      <c r="C174" s="2"/>
      <c r="D174" s="2">
        <v>12700</v>
      </c>
      <c r="E174" s="2"/>
      <c r="F174" s="2"/>
      <c r="G174" s="48"/>
      <c r="H174" s="48"/>
      <c r="I174" s="48"/>
      <c r="J174" s="48"/>
    </row>
    <row r="175" spans="1:10" x14ac:dyDescent="0.25">
      <c r="A175" s="273" t="s">
        <v>1212</v>
      </c>
      <c r="C175" s="2"/>
      <c r="D175" s="2">
        <v>1280</v>
      </c>
      <c r="E175" s="2"/>
      <c r="F175" s="2"/>
      <c r="G175" s="48"/>
      <c r="H175" s="48"/>
      <c r="I175" s="48"/>
      <c r="J175" s="48"/>
    </row>
    <row r="176" spans="1:10" ht="15" x14ac:dyDescent="0.4">
      <c r="A176" s="273" t="s">
        <v>1112</v>
      </c>
      <c r="C176" s="11"/>
      <c r="D176" s="11">
        <v>30500</v>
      </c>
      <c r="E176" s="2"/>
      <c r="F176" s="2"/>
      <c r="G176" s="48"/>
      <c r="H176" s="48"/>
      <c r="I176" s="48"/>
      <c r="J176" s="48"/>
    </row>
    <row r="177" spans="1:10" x14ac:dyDescent="0.25">
      <c r="A177" s="273" t="s">
        <v>1247</v>
      </c>
      <c r="C177" s="2"/>
      <c r="D177" s="2">
        <f>SUM(D173:D176)</f>
        <v>59680</v>
      </c>
      <c r="E177" s="2"/>
      <c r="F177" s="2"/>
      <c r="G177" s="48"/>
      <c r="H177" s="48"/>
      <c r="I177" s="48"/>
      <c r="J177" s="48"/>
    </row>
    <row r="178" spans="1:10" x14ac:dyDescent="0.25">
      <c r="D178" s="2"/>
      <c r="E178" s="2"/>
      <c r="F178" s="2"/>
      <c r="G178" s="48"/>
      <c r="H178" s="48"/>
      <c r="I178" s="48"/>
      <c r="J178" s="48"/>
    </row>
    <row r="179" spans="1:10" ht="13.8" x14ac:dyDescent="0.3">
      <c r="A179" s="276" t="s">
        <v>1113</v>
      </c>
      <c r="D179" s="2"/>
      <c r="E179" s="2">
        <v>1977.58</v>
      </c>
      <c r="F179" s="2">
        <v>3250</v>
      </c>
      <c r="G179" s="48">
        <v>3250</v>
      </c>
      <c r="H179" s="48">
        <v>3250</v>
      </c>
      <c r="I179" s="48">
        <v>3250</v>
      </c>
      <c r="J179" s="48">
        <v>3250</v>
      </c>
    </row>
    <row r="180" spans="1:10" x14ac:dyDescent="0.25">
      <c r="A180" s="273" t="s">
        <v>1034</v>
      </c>
      <c r="B180" s="2">
        <v>400</v>
      </c>
      <c r="C180" s="12">
        <v>3.25</v>
      </c>
      <c r="D180" s="2">
        <f>+C180*B180</f>
        <v>1300</v>
      </c>
      <c r="E180" s="2"/>
      <c r="F180" s="2"/>
      <c r="G180" s="48"/>
      <c r="H180" s="48"/>
      <c r="I180" s="48"/>
      <c r="J180" s="48"/>
    </row>
    <row r="181" spans="1:10" ht="15" x14ac:dyDescent="0.4">
      <c r="A181" s="273" t="s">
        <v>1114</v>
      </c>
      <c r="B181" s="2">
        <v>600</v>
      </c>
      <c r="C181" s="12">
        <v>3.25</v>
      </c>
      <c r="D181" s="11">
        <f>B181*C181</f>
        <v>1950</v>
      </c>
      <c r="E181" s="2"/>
      <c r="F181" s="2"/>
      <c r="G181" s="48"/>
      <c r="H181" s="48"/>
      <c r="I181" s="48"/>
      <c r="J181" s="48"/>
    </row>
    <row r="182" spans="1:10" x14ac:dyDescent="0.25">
      <c r="A182" s="273" t="s">
        <v>1247</v>
      </c>
      <c r="D182" s="2">
        <f>SUM(D180:D181)</f>
        <v>3250</v>
      </c>
      <c r="E182" s="2"/>
      <c r="F182" s="2"/>
      <c r="H182" s="273"/>
      <c r="I182" s="295"/>
      <c r="J182" s="298"/>
    </row>
    <row r="183" spans="1:10" x14ac:dyDescent="0.25">
      <c r="D183" s="2"/>
      <c r="E183" s="2"/>
      <c r="F183" s="2"/>
      <c r="H183" s="273"/>
      <c r="I183" s="295"/>
      <c r="J183" s="298"/>
    </row>
    <row r="184" spans="1:10" ht="13.8" x14ac:dyDescent="0.3">
      <c r="A184" s="15" t="s">
        <v>215</v>
      </c>
      <c r="D184" s="2"/>
      <c r="E184" s="2">
        <v>9219.25</v>
      </c>
      <c r="F184" s="2">
        <v>10479</v>
      </c>
      <c r="G184" s="48">
        <v>10479</v>
      </c>
      <c r="H184" s="48">
        <v>10479</v>
      </c>
      <c r="I184" s="48">
        <v>10479</v>
      </c>
      <c r="J184" s="48">
        <v>10479</v>
      </c>
    </row>
    <row r="185" spans="1:10" x14ac:dyDescent="0.25">
      <c r="A185" s="273" t="s">
        <v>1213</v>
      </c>
      <c r="C185" s="2"/>
      <c r="D185" s="2">
        <v>2200</v>
      </c>
      <c r="E185" s="2"/>
      <c r="F185" s="2"/>
      <c r="G185" s="48"/>
      <c r="H185" s="48"/>
      <c r="I185" s="48"/>
      <c r="J185" s="48"/>
    </row>
    <row r="186" spans="1:10" x14ac:dyDescent="0.25">
      <c r="A186" s="273" t="s">
        <v>1214</v>
      </c>
      <c r="C186" s="2"/>
      <c r="D186" s="2">
        <v>1950</v>
      </c>
      <c r="E186" s="2"/>
      <c r="F186" s="2"/>
      <c r="G186" s="48"/>
      <c r="H186" s="48"/>
      <c r="I186" s="48"/>
      <c r="J186" s="48"/>
    </row>
    <row r="187" spans="1:10" x14ac:dyDescent="0.25">
      <c r="A187" s="273" t="s">
        <v>1215</v>
      </c>
      <c r="C187" s="2"/>
      <c r="D187" s="2">
        <v>2000</v>
      </c>
      <c r="E187" s="2"/>
      <c r="F187" s="2"/>
      <c r="G187" s="48"/>
      <c r="H187" s="48"/>
      <c r="I187" s="48"/>
      <c r="J187" s="48"/>
    </row>
    <row r="188" spans="1:10" x14ac:dyDescent="0.25">
      <c r="A188" s="273" t="s">
        <v>1386</v>
      </c>
      <c r="C188" s="2"/>
      <c r="D188" s="2">
        <v>349</v>
      </c>
      <c r="E188" s="2"/>
      <c r="F188" s="2"/>
      <c r="G188" s="48"/>
      <c r="H188" s="48"/>
      <c r="I188" s="48"/>
      <c r="J188" s="48"/>
    </row>
    <row r="189" spans="1:10" x14ac:dyDescent="0.25">
      <c r="A189" s="273" t="s">
        <v>1216</v>
      </c>
      <c r="C189" s="2"/>
      <c r="D189" s="2">
        <v>1420</v>
      </c>
      <c r="E189" s="2"/>
      <c r="F189" s="2"/>
      <c r="G189" s="48"/>
      <c r="H189" s="48"/>
      <c r="I189" s="48"/>
      <c r="J189" s="48"/>
    </row>
    <row r="190" spans="1:10" x14ac:dyDescent="0.25">
      <c r="A190" s="273" t="s">
        <v>1564</v>
      </c>
      <c r="C190" s="2"/>
      <c r="D190" s="2">
        <v>1400</v>
      </c>
      <c r="E190" s="2"/>
      <c r="F190" s="2"/>
      <c r="G190" s="48"/>
      <c r="H190" s="48"/>
      <c r="I190" s="48"/>
      <c r="J190" s="48"/>
    </row>
    <row r="191" spans="1:10" ht="15" x14ac:dyDescent="0.4">
      <c r="A191" s="273" t="s">
        <v>1699</v>
      </c>
      <c r="C191" s="11"/>
      <c r="D191" s="11">
        <v>1160</v>
      </c>
      <c r="E191" s="2"/>
      <c r="F191" s="2"/>
      <c r="G191" s="48"/>
      <c r="H191" s="48"/>
      <c r="I191" s="48"/>
      <c r="J191" s="48"/>
    </row>
    <row r="192" spans="1:10" x14ac:dyDescent="0.25">
      <c r="A192" s="273" t="s">
        <v>1247</v>
      </c>
      <c r="C192" s="2"/>
      <c r="D192" s="2">
        <f>SUM(D185:D191)</f>
        <v>10479</v>
      </c>
      <c r="E192" s="2"/>
      <c r="F192" s="2"/>
      <c r="G192" s="48"/>
      <c r="H192" s="48"/>
      <c r="I192" s="48"/>
      <c r="J192" s="48"/>
    </row>
    <row r="193" spans="1:10" x14ac:dyDescent="0.25">
      <c r="C193" s="2"/>
      <c r="D193" s="2"/>
      <c r="E193" s="2"/>
      <c r="F193" s="2"/>
      <c r="G193" s="48"/>
      <c r="H193" s="48"/>
      <c r="I193" s="48"/>
      <c r="J193" s="48"/>
    </row>
    <row r="194" spans="1:10" ht="13.8" x14ac:dyDescent="0.3">
      <c r="A194" s="276" t="s">
        <v>358</v>
      </c>
      <c r="C194" s="2"/>
      <c r="D194" s="2"/>
      <c r="E194" s="2">
        <v>57479.23</v>
      </c>
      <c r="F194" s="2">
        <v>55000</v>
      </c>
      <c r="G194" s="48">
        <v>58000</v>
      </c>
      <c r="H194" s="48">
        <v>58000</v>
      </c>
      <c r="I194" s="48">
        <v>58000</v>
      </c>
      <c r="J194" s="48">
        <v>58000</v>
      </c>
    </row>
    <row r="195" spans="1:10" x14ac:dyDescent="0.25">
      <c r="A195" s="273" t="s">
        <v>2064</v>
      </c>
      <c r="C195" s="2"/>
      <c r="D195" s="2">
        <v>58000</v>
      </c>
      <c r="E195" s="2"/>
      <c r="F195" s="2"/>
      <c r="G195" s="48"/>
      <c r="H195" s="48"/>
      <c r="I195" s="48"/>
      <c r="J195" s="48"/>
    </row>
    <row r="196" spans="1:10" x14ac:dyDescent="0.25">
      <c r="D196" s="2"/>
      <c r="E196" s="2"/>
      <c r="F196" s="2"/>
      <c r="G196" s="48"/>
      <c r="H196" s="48"/>
      <c r="I196" s="48"/>
      <c r="J196" s="48"/>
    </row>
    <row r="197" spans="1:10" ht="13.8" x14ac:dyDescent="0.3">
      <c r="A197" s="276" t="s">
        <v>625</v>
      </c>
      <c r="D197" s="2"/>
      <c r="E197" s="2">
        <v>32486.16</v>
      </c>
      <c r="F197" s="2">
        <v>31963</v>
      </c>
      <c r="G197" s="48">
        <v>32457</v>
      </c>
      <c r="H197" s="48">
        <v>32457</v>
      </c>
      <c r="I197" s="48">
        <v>32457</v>
      </c>
      <c r="J197" s="48">
        <v>32457</v>
      </c>
    </row>
    <row r="198" spans="1:10" x14ac:dyDescent="0.25">
      <c r="A198" s="273" t="s">
        <v>1284</v>
      </c>
      <c r="B198" s="2">
        <v>3650</v>
      </c>
      <c r="C198" s="12">
        <v>2.58</v>
      </c>
      <c r="D198" s="2">
        <f>+C198*B198</f>
        <v>9417</v>
      </c>
      <c r="E198" s="2"/>
      <c r="F198" s="2"/>
      <c r="G198" s="48"/>
      <c r="H198" s="48"/>
      <c r="I198" s="48"/>
      <c r="J198" s="48"/>
    </row>
    <row r="199" spans="1:10" x14ac:dyDescent="0.25">
      <c r="A199" s="273" t="s">
        <v>1904</v>
      </c>
      <c r="B199" s="2">
        <v>7000</v>
      </c>
      <c r="C199" s="12">
        <v>2.88</v>
      </c>
      <c r="D199" s="2">
        <f>+C199*B199</f>
        <v>20160</v>
      </c>
      <c r="E199" s="2"/>
      <c r="F199" s="2"/>
      <c r="G199" s="48"/>
      <c r="H199" s="48"/>
      <c r="I199" s="48"/>
      <c r="J199" s="48"/>
    </row>
    <row r="200" spans="1:10" ht="15" x14ac:dyDescent="0.4">
      <c r="A200" s="273" t="s">
        <v>1360</v>
      </c>
      <c r="B200" s="2">
        <v>1000</v>
      </c>
      <c r="C200" s="12">
        <v>2.88</v>
      </c>
      <c r="D200" s="11">
        <f>+C200*B200</f>
        <v>2880</v>
      </c>
      <c r="E200" s="2"/>
      <c r="F200" s="2"/>
      <c r="G200" s="48"/>
      <c r="H200" s="48"/>
      <c r="I200" s="48"/>
      <c r="J200" s="48"/>
    </row>
    <row r="201" spans="1:10" x14ac:dyDescent="0.25">
      <c r="A201" s="273" t="s">
        <v>1247</v>
      </c>
      <c r="D201" s="2">
        <f>SUM(D198:D200)</f>
        <v>32457</v>
      </c>
      <c r="E201" s="2"/>
      <c r="F201" s="2"/>
      <c r="G201" s="48"/>
      <c r="H201" s="48"/>
      <c r="I201" s="48"/>
      <c r="J201" s="48"/>
    </row>
    <row r="202" spans="1:10" x14ac:dyDescent="0.25">
      <c r="D202" s="2"/>
      <c r="E202" s="2"/>
      <c r="F202" s="2"/>
      <c r="G202" s="48"/>
      <c r="H202" s="48"/>
      <c r="I202" s="48"/>
      <c r="J202" s="48"/>
    </row>
    <row r="203" spans="1:10" ht="13.8" x14ac:dyDescent="0.3">
      <c r="A203" s="276" t="s">
        <v>1426</v>
      </c>
      <c r="D203" s="2"/>
      <c r="E203" s="2">
        <v>10875.66</v>
      </c>
      <c r="F203" s="2">
        <v>8535</v>
      </c>
      <c r="G203" s="48">
        <v>11145</v>
      </c>
      <c r="H203" s="48">
        <v>11145</v>
      </c>
      <c r="I203" s="48">
        <v>11145</v>
      </c>
      <c r="J203" s="48">
        <v>11145</v>
      </c>
    </row>
    <row r="204" spans="1:10" x14ac:dyDescent="0.25">
      <c r="A204" s="273" t="s">
        <v>959</v>
      </c>
      <c r="C204" s="2"/>
      <c r="D204" s="2">
        <v>3100</v>
      </c>
      <c r="E204" s="2"/>
      <c r="F204" s="2"/>
      <c r="G204" s="48"/>
      <c r="H204" s="48"/>
      <c r="I204" s="48"/>
      <c r="J204" s="48"/>
    </row>
    <row r="205" spans="1:10" x14ac:dyDescent="0.25">
      <c r="A205" s="273" t="s">
        <v>2065</v>
      </c>
      <c r="C205" s="2"/>
      <c r="D205" s="2">
        <f>5100+1500</f>
        <v>6600</v>
      </c>
      <c r="E205" s="2"/>
      <c r="F205" s="2"/>
      <c r="G205" s="48"/>
      <c r="H205" s="48"/>
      <c r="I205" s="48"/>
      <c r="J205" s="48"/>
    </row>
    <row r="206" spans="1:10" x14ac:dyDescent="0.25">
      <c r="A206" s="273" t="s">
        <v>2139</v>
      </c>
      <c r="C206" s="2"/>
      <c r="D206" s="2">
        <v>1300</v>
      </c>
      <c r="E206" s="2"/>
      <c r="F206" s="2"/>
      <c r="G206" s="48"/>
      <c r="H206" s="48"/>
      <c r="I206" s="48"/>
      <c r="J206" s="48"/>
    </row>
    <row r="207" spans="1:10" ht="15" x14ac:dyDescent="0.4">
      <c r="A207" s="273" t="s">
        <v>170</v>
      </c>
      <c r="B207" s="2" t="s">
        <v>396</v>
      </c>
      <c r="C207" s="11">
        <v>136</v>
      </c>
      <c r="D207" s="11">
        <v>145</v>
      </c>
      <c r="E207" s="2"/>
      <c r="F207" s="2"/>
      <c r="G207" s="48"/>
      <c r="H207" s="48"/>
      <c r="I207" s="48"/>
      <c r="J207" s="48"/>
    </row>
    <row r="208" spans="1:10" x14ac:dyDescent="0.25">
      <c r="A208" s="273" t="s">
        <v>1247</v>
      </c>
      <c r="C208" s="2"/>
      <c r="D208" s="2">
        <f>SUM(D204:D207)</f>
        <v>11145</v>
      </c>
      <c r="E208" s="2"/>
      <c r="F208" s="2"/>
      <c r="G208" s="48"/>
      <c r="H208" s="48"/>
      <c r="I208" s="48"/>
      <c r="J208" s="48"/>
    </row>
    <row r="209" spans="1:10" x14ac:dyDescent="0.25">
      <c r="C209" s="2"/>
      <c r="D209" s="2"/>
      <c r="E209" s="2"/>
      <c r="F209" s="2"/>
      <c r="G209" s="48"/>
      <c r="H209" s="48"/>
      <c r="I209" s="48"/>
      <c r="J209" s="48"/>
    </row>
    <row r="210" spans="1:10" ht="13.8" x14ac:dyDescent="0.3">
      <c r="A210" s="276" t="s">
        <v>1092</v>
      </c>
      <c r="C210" s="8" t="s">
        <v>396</v>
      </c>
      <c r="D210" s="8" t="s">
        <v>396</v>
      </c>
      <c r="E210" s="2">
        <v>4559.57</v>
      </c>
      <c r="F210" s="2">
        <v>4918</v>
      </c>
      <c r="G210" s="2">
        <v>7918</v>
      </c>
      <c r="H210" s="2">
        <v>7918</v>
      </c>
      <c r="I210" s="2">
        <v>7918</v>
      </c>
      <c r="J210" s="2">
        <v>7918</v>
      </c>
    </row>
    <row r="211" spans="1:10" x14ac:dyDescent="0.25">
      <c r="A211" s="273" t="s">
        <v>343</v>
      </c>
      <c r="B211" s="2" t="s">
        <v>396</v>
      </c>
      <c r="C211" s="2"/>
      <c r="D211" s="2">
        <v>375</v>
      </c>
      <c r="E211" s="2"/>
      <c r="F211" s="2"/>
      <c r="G211" s="211"/>
      <c r="H211" s="211"/>
      <c r="I211" s="211"/>
      <c r="J211" s="211"/>
    </row>
    <row r="212" spans="1:10" x14ac:dyDescent="0.25">
      <c r="A212" s="273" t="s">
        <v>888</v>
      </c>
      <c r="B212" s="2"/>
      <c r="C212" s="2"/>
      <c r="D212" s="2">
        <f>2773+1500</f>
        <v>4273</v>
      </c>
      <c r="E212" s="2"/>
      <c r="F212" s="2"/>
      <c r="G212" s="211"/>
      <c r="H212" s="211"/>
      <c r="I212" s="211"/>
      <c r="J212" s="211"/>
    </row>
    <row r="213" spans="1:10" x14ac:dyDescent="0.25">
      <c r="A213" s="273" t="s">
        <v>171</v>
      </c>
      <c r="B213" s="2"/>
      <c r="C213" s="2"/>
      <c r="D213" s="2">
        <v>450</v>
      </c>
      <c r="E213" s="2"/>
      <c r="F213" s="2"/>
      <c r="G213" s="48"/>
      <c r="H213" s="48"/>
      <c r="I213" s="48"/>
      <c r="J213" s="48"/>
    </row>
    <row r="214" spans="1:10" x14ac:dyDescent="0.25">
      <c r="A214" s="273" t="s">
        <v>344</v>
      </c>
      <c r="B214" s="2"/>
      <c r="C214" s="2"/>
      <c r="D214" s="2">
        <v>900</v>
      </c>
      <c r="E214" s="2"/>
      <c r="F214" s="2"/>
      <c r="G214" s="48"/>
      <c r="H214" s="48"/>
      <c r="I214" s="48"/>
      <c r="J214" s="48"/>
    </row>
    <row r="215" spans="1:10" x14ac:dyDescent="0.25">
      <c r="A215" s="273" t="s">
        <v>2184</v>
      </c>
      <c r="B215" s="2"/>
      <c r="C215" s="2"/>
      <c r="D215" s="2">
        <v>1500</v>
      </c>
      <c r="E215" s="2"/>
      <c r="F215" s="2"/>
      <c r="G215" s="48"/>
      <c r="H215" s="48"/>
      <c r="I215" s="48"/>
      <c r="J215" s="48"/>
    </row>
    <row r="216" spans="1:10" ht="15" x14ac:dyDescent="0.4">
      <c r="A216" s="273" t="s">
        <v>889</v>
      </c>
      <c r="B216" s="2"/>
      <c r="C216" s="11"/>
      <c r="D216" s="11">
        <v>420</v>
      </c>
      <c r="E216" s="2"/>
      <c r="F216" s="2"/>
      <c r="G216" s="48"/>
      <c r="H216" s="48"/>
      <c r="I216" s="48"/>
      <c r="J216" s="48"/>
    </row>
    <row r="217" spans="1:10" x14ac:dyDescent="0.25">
      <c r="A217" s="273" t="s">
        <v>1247</v>
      </c>
      <c r="B217" s="2"/>
      <c r="C217" s="2"/>
      <c r="D217" s="2">
        <f>SUM(D211:D216)</f>
        <v>7918</v>
      </c>
      <c r="E217" s="2"/>
      <c r="F217" s="2"/>
      <c r="H217" s="273"/>
      <c r="I217" s="295"/>
      <c r="J217" s="298"/>
    </row>
    <row r="218" spans="1:10" x14ac:dyDescent="0.25">
      <c r="A218" s="273" t="s">
        <v>396</v>
      </c>
      <c r="C218" s="2" t="s">
        <v>396</v>
      </c>
      <c r="D218" s="2" t="s">
        <v>396</v>
      </c>
      <c r="E218" s="2"/>
      <c r="F218" s="2"/>
      <c r="H218" s="273"/>
      <c r="I218" s="295"/>
      <c r="J218" s="298"/>
    </row>
    <row r="219" spans="1:10" ht="13.8" x14ac:dyDescent="0.3">
      <c r="A219" s="17" t="s">
        <v>882</v>
      </c>
      <c r="C219" s="2"/>
      <c r="D219" s="2"/>
      <c r="E219" s="2">
        <v>55343.49</v>
      </c>
      <c r="F219" s="2">
        <v>60165</v>
      </c>
      <c r="G219" s="48">
        <v>57375</v>
      </c>
      <c r="H219" s="48">
        <v>57375</v>
      </c>
      <c r="I219" s="48">
        <v>57375</v>
      </c>
      <c r="J219" s="48">
        <v>57375</v>
      </c>
    </row>
    <row r="220" spans="1:10" x14ac:dyDescent="0.25">
      <c r="A220" s="273" t="s">
        <v>1674</v>
      </c>
      <c r="C220" s="2"/>
      <c r="D220" s="2">
        <v>57375</v>
      </c>
      <c r="E220" s="2"/>
      <c r="F220" s="2"/>
      <c r="H220" s="273"/>
      <c r="I220" s="295"/>
      <c r="J220" s="298"/>
    </row>
    <row r="221" spans="1:10" x14ac:dyDescent="0.25">
      <c r="C221" s="2"/>
      <c r="D221" s="2"/>
      <c r="E221" s="2"/>
      <c r="F221" s="2"/>
      <c r="G221" s="48"/>
      <c r="H221" s="48"/>
      <c r="I221" s="48"/>
      <c r="J221" s="48"/>
    </row>
    <row r="222" spans="1:10" x14ac:dyDescent="0.25">
      <c r="C222" s="2"/>
      <c r="D222" s="2"/>
      <c r="E222" s="2"/>
      <c r="F222" s="2"/>
      <c r="G222" s="48"/>
      <c r="H222" s="48"/>
      <c r="I222" s="48"/>
      <c r="J222" s="48"/>
    </row>
    <row r="223" spans="1:10" ht="13.8" x14ac:dyDescent="0.3">
      <c r="A223" s="276" t="s">
        <v>1055</v>
      </c>
      <c r="C223" s="2"/>
      <c r="D223" s="2"/>
      <c r="E223" s="2">
        <v>3753.3</v>
      </c>
      <c r="F223" s="2">
        <v>2500</v>
      </c>
      <c r="G223" s="48">
        <v>2500</v>
      </c>
      <c r="H223" s="48">
        <v>2500</v>
      </c>
      <c r="I223" s="48">
        <v>2500</v>
      </c>
      <c r="J223" s="48">
        <v>2500</v>
      </c>
    </row>
    <row r="224" spans="1:10" x14ac:dyDescent="0.25">
      <c r="A224" s="273" t="s">
        <v>1905</v>
      </c>
      <c r="C224" s="2" t="s">
        <v>396</v>
      </c>
      <c r="D224" s="2" t="s">
        <v>396</v>
      </c>
      <c r="E224" s="2"/>
      <c r="F224" s="2"/>
      <c r="G224" s="48"/>
      <c r="H224" s="48"/>
      <c r="I224" s="48"/>
      <c r="J224" s="48"/>
    </row>
    <row r="225" spans="1:10" x14ac:dyDescent="0.25">
      <c r="A225" s="273" t="s">
        <v>1700</v>
      </c>
      <c r="C225" s="2"/>
      <c r="D225" s="2">
        <v>2500</v>
      </c>
      <c r="E225" s="2"/>
      <c r="F225" s="2"/>
      <c r="G225" s="48"/>
      <c r="H225" s="48"/>
      <c r="I225" s="48"/>
      <c r="J225" s="48"/>
    </row>
    <row r="226" spans="1:10" x14ac:dyDescent="0.25">
      <c r="C226" s="2"/>
      <c r="D226" s="2"/>
      <c r="E226" s="2"/>
      <c r="F226" s="2"/>
      <c r="G226" s="48"/>
      <c r="H226" s="48"/>
      <c r="I226" s="48"/>
      <c r="J226" s="48"/>
    </row>
    <row r="227" spans="1:10" ht="13.8" x14ac:dyDescent="0.3">
      <c r="A227" s="276" t="s">
        <v>651</v>
      </c>
      <c r="B227" s="273" t="s">
        <v>62</v>
      </c>
      <c r="C227" s="2" t="s">
        <v>63</v>
      </c>
      <c r="D227" s="2" t="s">
        <v>64</v>
      </c>
      <c r="E227" s="2">
        <v>76263.03</v>
      </c>
      <c r="F227" s="2">
        <v>99250</v>
      </c>
      <c r="G227" s="48">
        <v>109423.65000000001</v>
      </c>
      <c r="H227" s="48">
        <v>109423.65000000001</v>
      </c>
      <c r="I227" s="48">
        <v>109423.65000000001</v>
      </c>
      <c r="J227" s="48">
        <v>109423.65000000001</v>
      </c>
    </row>
    <row r="228" spans="1:10" x14ac:dyDescent="0.25">
      <c r="A228" s="273" t="s">
        <v>65</v>
      </c>
      <c r="B228" s="273">
        <v>0.8</v>
      </c>
      <c r="C228" s="2">
        <v>30000</v>
      </c>
      <c r="D228" s="2">
        <v>26649</v>
      </c>
      <c r="E228" s="2"/>
      <c r="F228" s="2"/>
      <c r="H228" s="273"/>
      <c r="I228" s="295"/>
      <c r="J228" s="298"/>
    </row>
    <row r="229" spans="1:10" x14ac:dyDescent="0.25">
      <c r="A229" s="273" t="s">
        <v>66</v>
      </c>
      <c r="B229" s="273">
        <v>0.3</v>
      </c>
      <c r="C229" s="2">
        <v>15000</v>
      </c>
      <c r="D229" s="2">
        <v>4950</v>
      </c>
      <c r="E229" s="2"/>
      <c r="F229" s="2"/>
      <c r="G229" s="48"/>
      <c r="H229" s="48"/>
      <c r="I229" s="48"/>
      <c r="J229" s="48"/>
    </row>
    <row r="230" spans="1:10" x14ac:dyDescent="0.25">
      <c r="A230" s="273" t="s">
        <v>1049</v>
      </c>
      <c r="B230" s="273">
        <v>0.95</v>
      </c>
      <c r="C230" s="2">
        <v>14000</v>
      </c>
      <c r="D230" s="2">
        <v>14630</v>
      </c>
      <c r="E230" s="2"/>
      <c r="F230" s="2"/>
      <c r="G230" s="48"/>
      <c r="H230" s="48"/>
      <c r="I230" s="48"/>
      <c r="J230" s="48"/>
    </row>
    <row r="231" spans="1:10" x14ac:dyDescent="0.25">
      <c r="A231" s="273" t="s">
        <v>652</v>
      </c>
      <c r="B231" s="273">
        <v>0.15</v>
      </c>
      <c r="C231" s="2">
        <v>383000</v>
      </c>
      <c r="D231" s="2">
        <v>63195</v>
      </c>
      <c r="E231" s="2"/>
      <c r="F231" s="2"/>
      <c r="G231" s="48"/>
      <c r="H231" s="48"/>
      <c r="I231" s="48"/>
      <c r="J231" s="48"/>
    </row>
    <row r="232" spans="1:10" ht="15" x14ac:dyDescent="0.4">
      <c r="C232" s="11"/>
      <c r="D232" s="11">
        <f>B232*C232</f>
        <v>0</v>
      </c>
      <c r="E232" s="2"/>
      <c r="F232" s="2"/>
      <c r="G232" s="48"/>
      <c r="H232" s="48"/>
      <c r="I232" s="48"/>
      <c r="J232" s="48"/>
    </row>
    <row r="233" spans="1:10" x14ac:dyDescent="0.25">
      <c r="A233" s="273" t="s">
        <v>1247</v>
      </c>
      <c r="C233" s="2"/>
      <c r="D233" s="2">
        <f>SUM(D228:D232)</f>
        <v>109424</v>
      </c>
      <c r="E233" s="2"/>
      <c r="F233" s="2"/>
      <c r="G233" s="48"/>
      <c r="H233" s="48"/>
      <c r="I233" s="48"/>
      <c r="J233" s="48"/>
    </row>
    <row r="234" spans="1:10" x14ac:dyDescent="0.25">
      <c r="F234" s="2"/>
      <c r="H234" s="273"/>
      <c r="I234" s="295"/>
      <c r="J234" s="298"/>
    </row>
    <row r="235" spans="1:10" ht="15" x14ac:dyDescent="0.4">
      <c r="A235" s="276" t="s">
        <v>1190</v>
      </c>
      <c r="B235" s="273" t="s">
        <v>62</v>
      </c>
      <c r="C235" s="11" t="s">
        <v>1217</v>
      </c>
      <c r="D235" s="11"/>
      <c r="E235" s="2">
        <v>246745.29</v>
      </c>
      <c r="F235" s="2">
        <v>248000</v>
      </c>
      <c r="G235" s="48">
        <v>260402</v>
      </c>
      <c r="H235" s="48">
        <v>260402</v>
      </c>
      <c r="I235" s="48">
        <v>260402</v>
      </c>
      <c r="J235" s="48">
        <v>260402</v>
      </c>
    </row>
    <row r="236" spans="1:10" x14ac:dyDescent="0.25">
      <c r="A236" s="273" t="s">
        <v>1906</v>
      </c>
      <c r="B236" s="273">
        <v>13.5</v>
      </c>
      <c r="C236" s="2">
        <v>19289</v>
      </c>
      <c r="D236" s="2">
        <f>+C236*B236</f>
        <v>260401.5</v>
      </c>
      <c r="E236" s="2"/>
      <c r="F236" s="2"/>
      <c r="G236" s="48"/>
      <c r="H236" s="48"/>
      <c r="I236" s="48"/>
      <c r="J236" s="48"/>
    </row>
    <row r="237" spans="1:10" x14ac:dyDescent="0.25">
      <c r="C237" s="2"/>
      <c r="D237" s="2"/>
      <c r="E237" s="2"/>
      <c r="F237" s="2"/>
      <c r="G237" s="48"/>
      <c r="H237" s="48"/>
      <c r="I237" s="48"/>
      <c r="J237" s="48"/>
    </row>
    <row r="238" spans="1:10" ht="13.8" x14ac:dyDescent="0.3">
      <c r="A238" s="276" t="s">
        <v>1191</v>
      </c>
      <c r="C238" s="2"/>
      <c r="D238" s="2"/>
      <c r="E238" s="2">
        <v>27599.3</v>
      </c>
      <c r="F238" s="2">
        <v>16000</v>
      </c>
      <c r="G238" s="48">
        <v>12600</v>
      </c>
      <c r="H238" s="48">
        <v>12600</v>
      </c>
      <c r="I238" s="48">
        <v>12600</v>
      </c>
      <c r="J238" s="48">
        <v>12600</v>
      </c>
    </row>
    <row r="239" spans="1:10" x14ac:dyDescent="0.25">
      <c r="A239" s="273" t="s">
        <v>1286</v>
      </c>
      <c r="C239" s="2"/>
      <c r="D239" s="2">
        <v>2000</v>
      </c>
      <c r="E239" s="2"/>
      <c r="F239" s="211"/>
      <c r="G239" s="211"/>
      <c r="H239" s="211"/>
      <c r="I239" s="211"/>
      <c r="J239" s="211"/>
    </row>
    <row r="240" spans="1:10" x14ac:dyDescent="0.25">
      <c r="A240" s="273" t="s">
        <v>1287</v>
      </c>
      <c r="C240" s="2"/>
      <c r="D240" s="2">
        <v>3000</v>
      </c>
      <c r="E240" s="2"/>
      <c r="F240" s="2"/>
      <c r="G240" s="48"/>
      <c r="H240" s="48"/>
      <c r="I240" s="48"/>
      <c r="J240" s="48"/>
    </row>
    <row r="241" spans="1:10" ht="15" x14ac:dyDescent="0.4">
      <c r="A241" s="273" t="s">
        <v>1288</v>
      </c>
      <c r="C241" s="11"/>
      <c r="D241" s="2">
        <v>7600</v>
      </c>
      <c r="E241" s="2"/>
      <c r="F241" s="2"/>
      <c r="G241" s="48"/>
      <c r="H241" s="48"/>
      <c r="I241" s="48"/>
      <c r="J241" s="48"/>
    </row>
    <row r="242" spans="1:10" ht="15" x14ac:dyDescent="0.4">
      <c r="A242" s="13" t="s">
        <v>2185</v>
      </c>
      <c r="C242" s="11"/>
      <c r="D242" s="246" t="s">
        <v>2185</v>
      </c>
      <c r="E242" s="2"/>
      <c r="F242" s="2"/>
      <c r="G242" s="48"/>
      <c r="H242" s="48"/>
      <c r="I242" s="48"/>
      <c r="J242" s="48"/>
    </row>
    <row r="243" spans="1:10" x14ac:dyDescent="0.25">
      <c r="A243" s="273" t="s">
        <v>1247</v>
      </c>
      <c r="C243" s="2"/>
      <c r="D243" s="2">
        <f>SUM(D239:D242)</f>
        <v>12600</v>
      </c>
      <c r="E243" s="2"/>
      <c r="F243" s="2"/>
      <c r="G243" s="48"/>
      <c r="H243" s="48"/>
      <c r="I243" s="48"/>
      <c r="J243" s="48"/>
    </row>
    <row r="244" spans="1:10" x14ac:dyDescent="0.25">
      <c r="C244" s="2"/>
      <c r="D244" s="2"/>
      <c r="E244" s="2"/>
      <c r="F244" s="2"/>
      <c r="G244" s="48"/>
      <c r="H244" s="48"/>
      <c r="I244" s="48"/>
      <c r="J244" s="48"/>
    </row>
    <row r="245" spans="1:10" ht="13.8" x14ac:dyDescent="0.3">
      <c r="A245" s="276" t="s">
        <v>1289</v>
      </c>
      <c r="C245" s="2"/>
      <c r="D245" s="2"/>
      <c r="E245" s="2">
        <v>1272.45</v>
      </c>
      <c r="F245" s="2">
        <v>1200</v>
      </c>
      <c r="G245" s="48">
        <v>1200</v>
      </c>
      <c r="H245" s="48">
        <v>1200</v>
      </c>
      <c r="I245" s="48">
        <v>1200</v>
      </c>
      <c r="J245" s="48">
        <v>1200</v>
      </c>
    </row>
    <row r="246" spans="1:10" x14ac:dyDescent="0.25">
      <c r="A246" s="273" t="s">
        <v>1290</v>
      </c>
      <c r="C246" s="2"/>
      <c r="D246" s="2">
        <v>1200</v>
      </c>
      <c r="E246" s="2"/>
      <c r="F246" s="2"/>
      <c r="G246" s="48"/>
      <c r="H246" s="48"/>
      <c r="I246" s="48"/>
      <c r="J246" s="48"/>
    </row>
    <row r="247" spans="1:10" x14ac:dyDescent="0.25">
      <c r="C247" s="2"/>
      <c r="D247" s="2"/>
      <c r="E247" s="2"/>
      <c r="F247" s="2"/>
      <c r="G247" s="48"/>
      <c r="H247" s="48"/>
      <c r="I247" s="48"/>
      <c r="J247" s="48"/>
    </row>
    <row r="248" spans="1:10" ht="13.8" x14ac:dyDescent="0.3">
      <c r="A248" s="276" t="s">
        <v>674</v>
      </c>
      <c r="C248" s="211"/>
      <c r="D248" s="2"/>
      <c r="E248" s="2">
        <v>142919.92000000001</v>
      </c>
      <c r="F248" s="2">
        <v>128690</v>
      </c>
      <c r="G248" s="48">
        <v>176500</v>
      </c>
      <c r="H248" s="48">
        <v>176500</v>
      </c>
      <c r="I248" s="48">
        <v>176500</v>
      </c>
      <c r="J248" s="48">
        <v>176500</v>
      </c>
    </row>
    <row r="249" spans="1:10" x14ac:dyDescent="0.25">
      <c r="A249" s="273" t="s">
        <v>1701</v>
      </c>
      <c r="C249" s="211"/>
      <c r="D249" s="2">
        <v>20000</v>
      </c>
      <c r="E249" s="290" t="s">
        <v>2185</v>
      </c>
      <c r="F249" s="290" t="s">
        <v>2185</v>
      </c>
      <c r="G249" s="48"/>
      <c r="H249" s="48"/>
      <c r="I249" s="48"/>
      <c r="J249" s="48"/>
    </row>
    <row r="250" spans="1:10" x14ac:dyDescent="0.25">
      <c r="A250" s="273" t="s">
        <v>1218</v>
      </c>
      <c r="C250" s="211"/>
      <c r="D250" s="2">
        <v>30000</v>
      </c>
      <c r="E250" s="290" t="s">
        <v>2185</v>
      </c>
      <c r="F250" s="2"/>
      <c r="G250" s="48"/>
      <c r="H250" s="48"/>
      <c r="I250" s="48"/>
      <c r="J250" s="48"/>
    </row>
    <row r="251" spans="1:10" x14ac:dyDescent="0.25">
      <c r="A251" s="273" t="s">
        <v>1219</v>
      </c>
      <c r="C251" s="211"/>
      <c r="D251" s="2">
        <v>6000</v>
      </c>
      <c r="E251" s="2"/>
      <c r="F251" s="2"/>
      <c r="G251" s="48"/>
      <c r="H251" s="48"/>
      <c r="I251" s="48"/>
      <c r="J251" s="48"/>
    </row>
    <row r="252" spans="1:10" x14ac:dyDescent="0.25">
      <c r="A252" s="273" t="s">
        <v>971</v>
      </c>
      <c r="C252" s="211"/>
      <c r="D252" s="2">
        <v>18000</v>
      </c>
      <c r="E252" s="290" t="s">
        <v>2185</v>
      </c>
      <c r="F252" s="2"/>
      <c r="G252" s="48"/>
      <c r="H252" s="48"/>
      <c r="I252" s="48"/>
      <c r="J252" s="48"/>
    </row>
    <row r="253" spans="1:10" x14ac:dyDescent="0.25">
      <c r="A253" s="273" t="s">
        <v>67</v>
      </c>
      <c r="C253" s="211"/>
      <c r="D253" s="2">
        <v>15000</v>
      </c>
      <c r="E253" s="290" t="s">
        <v>2185</v>
      </c>
      <c r="F253" s="2"/>
      <c r="G253" s="48"/>
      <c r="H253" s="48"/>
      <c r="I253" s="48"/>
      <c r="J253" s="48"/>
    </row>
    <row r="254" spans="1:10" x14ac:dyDescent="0.25">
      <c r="A254" s="273" t="s">
        <v>1702</v>
      </c>
      <c r="C254" s="211"/>
      <c r="D254" s="2">
        <v>15000</v>
      </c>
      <c r="E254" s="290" t="s">
        <v>2185</v>
      </c>
      <c r="F254" s="2"/>
      <c r="G254" s="48"/>
      <c r="H254" s="48"/>
      <c r="I254" s="48"/>
      <c r="J254" s="48"/>
    </row>
    <row r="255" spans="1:10" x14ac:dyDescent="0.25">
      <c r="A255" s="273" t="s">
        <v>2066</v>
      </c>
      <c r="C255" s="211"/>
      <c r="D255" s="2">
        <v>14500</v>
      </c>
      <c r="E255" s="1"/>
      <c r="F255" s="2"/>
      <c r="G255" s="48"/>
      <c r="H255" s="48"/>
      <c r="I255" s="48"/>
      <c r="J255" s="48"/>
    </row>
    <row r="256" spans="1:10" x14ac:dyDescent="0.25">
      <c r="A256" s="273" t="s">
        <v>2186</v>
      </c>
      <c r="C256" s="211"/>
      <c r="D256" s="2">
        <f>20000*1.05</f>
        <v>21000</v>
      </c>
      <c r="E256" s="1"/>
      <c r="F256" s="2"/>
      <c r="G256" s="48"/>
      <c r="H256" s="48"/>
      <c r="I256" s="48"/>
      <c r="J256" s="48"/>
    </row>
    <row r="257" spans="1:10" x14ac:dyDescent="0.25">
      <c r="A257" s="273" t="s">
        <v>2067</v>
      </c>
      <c r="C257" s="211"/>
      <c r="D257" s="2">
        <v>21000</v>
      </c>
      <c r="E257" s="1"/>
      <c r="F257" s="2"/>
      <c r="G257" s="48"/>
      <c r="H257" s="48"/>
      <c r="I257" s="48"/>
      <c r="J257" s="48"/>
    </row>
    <row r="258" spans="1:10" ht="15" x14ac:dyDescent="0.4">
      <c r="A258" s="273" t="s">
        <v>1220</v>
      </c>
      <c r="C258" s="211"/>
      <c r="D258" s="11">
        <v>16000</v>
      </c>
      <c r="E258" s="2"/>
      <c r="F258" s="2"/>
      <c r="G258" s="48"/>
      <c r="H258" s="48"/>
      <c r="I258" s="48"/>
      <c r="J258" s="48"/>
    </row>
    <row r="259" spans="1:10" x14ac:dyDescent="0.25">
      <c r="A259" s="273" t="s">
        <v>1247</v>
      </c>
      <c r="C259" s="211"/>
      <c r="D259" s="2">
        <f>SUM(D249:D258)</f>
        <v>176500</v>
      </c>
      <c r="E259" s="2"/>
      <c r="F259" s="2"/>
      <c r="G259" s="48"/>
      <c r="H259" s="48"/>
      <c r="I259" s="48"/>
      <c r="J259" s="48"/>
    </row>
    <row r="260" spans="1:10" x14ac:dyDescent="0.25">
      <c r="C260" s="211"/>
      <c r="D260" s="2"/>
      <c r="E260" s="2"/>
      <c r="F260" s="2"/>
      <c r="G260" s="48"/>
      <c r="H260" s="48"/>
      <c r="I260" s="48"/>
      <c r="J260" s="48"/>
    </row>
    <row r="261" spans="1:10" ht="13.8" x14ac:dyDescent="0.3">
      <c r="A261" s="276" t="s">
        <v>988</v>
      </c>
      <c r="C261" s="2"/>
      <c r="D261" s="2"/>
      <c r="E261" s="2">
        <f>45887.12+54.29</f>
        <v>45941.41</v>
      </c>
      <c r="F261" s="2">
        <v>38000</v>
      </c>
      <c r="G261" s="2">
        <v>45000</v>
      </c>
      <c r="H261" s="2">
        <v>45000</v>
      </c>
      <c r="I261" s="2">
        <v>45000</v>
      </c>
      <c r="J261" s="2">
        <v>45000</v>
      </c>
    </row>
    <row r="262" spans="1:10" x14ac:dyDescent="0.25">
      <c r="A262" s="273" t="s">
        <v>2068</v>
      </c>
      <c r="C262" s="2"/>
      <c r="D262" s="2">
        <v>45000</v>
      </c>
      <c r="E262" s="2"/>
      <c r="F262" s="2"/>
      <c r="H262" s="273"/>
      <c r="I262" s="295"/>
      <c r="J262" s="298"/>
    </row>
    <row r="263" spans="1:10" x14ac:dyDescent="0.25">
      <c r="C263" s="2"/>
      <c r="D263" s="2"/>
      <c r="E263" s="2"/>
      <c r="F263" s="2"/>
      <c r="H263" s="273"/>
      <c r="I263" s="295"/>
      <c r="J263" s="298"/>
    </row>
    <row r="264" spans="1:10" ht="13.8" x14ac:dyDescent="0.3">
      <c r="A264" s="276" t="s">
        <v>989</v>
      </c>
      <c r="C264" s="211"/>
      <c r="D264" s="8" t="s">
        <v>396</v>
      </c>
      <c r="E264" s="2">
        <v>15985.47</v>
      </c>
      <c r="F264" s="2">
        <v>16128</v>
      </c>
      <c r="G264" s="245">
        <v>18383</v>
      </c>
      <c r="H264" s="245">
        <v>18383</v>
      </c>
      <c r="I264" s="245">
        <v>18383</v>
      </c>
      <c r="J264" s="245">
        <v>18383</v>
      </c>
    </row>
    <row r="265" spans="1:10" x14ac:dyDescent="0.25">
      <c r="A265" s="273" t="s">
        <v>990</v>
      </c>
      <c r="C265" s="211"/>
      <c r="D265" s="2">
        <v>650</v>
      </c>
      <c r="E265" s="2"/>
      <c r="F265" s="2"/>
      <c r="G265" s="48"/>
      <c r="H265" s="48"/>
      <c r="I265" s="48"/>
      <c r="J265" s="48"/>
    </row>
    <row r="266" spans="1:10" x14ac:dyDescent="0.25">
      <c r="A266" s="273" t="s">
        <v>991</v>
      </c>
      <c r="C266" s="211"/>
      <c r="D266" s="2">
        <v>1500</v>
      </c>
      <c r="E266" s="2"/>
      <c r="F266" s="2"/>
      <c r="G266" s="48"/>
      <c r="H266" s="48"/>
      <c r="I266" s="48"/>
      <c r="J266" s="48"/>
    </row>
    <row r="267" spans="1:10" x14ac:dyDescent="0.25">
      <c r="A267" s="273" t="s">
        <v>172</v>
      </c>
      <c r="C267" s="211"/>
      <c r="D267" s="2">
        <v>500</v>
      </c>
      <c r="E267" s="290" t="s">
        <v>2185</v>
      </c>
      <c r="F267" s="2"/>
      <c r="G267" s="48"/>
      <c r="H267" s="48"/>
      <c r="I267" s="48"/>
      <c r="J267" s="48"/>
    </row>
    <row r="268" spans="1:10" x14ac:dyDescent="0.25">
      <c r="A268" s="273" t="s">
        <v>1703</v>
      </c>
      <c r="C268" s="211"/>
      <c r="D268" s="2">
        <v>9264</v>
      </c>
      <c r="E268" s="290" t="s">
        <v>2185</v>
      </c>
      <c r="F268" s="2"/>
      <c r="G268" s="48"/>
      <c r="H268" s="48"/>
      <c r="I268" s="48"/>
      <c r="J268" s="48"/>
    </row>
    <row r="269" spans="1:10" x14ac:dyDescent="0.25">
      <c r="A269" s="273" t="s">
        <v>1704</v>
      </c>
      <c r="C269" s="211"/>
      <c r="D269" s="2">
        <v>2584</v>
      </c>
      <c r="E269" s="2"/>
      <c r="F269" s="2"/>
      <c r="G269" s="48"/>
      <c r="H269" s="48"/>
      <c r="I269" s="48"/>
      <c r="J269" s="48"/>
    </row>
    <row r="270" spans="1:10" x14ac:dyDescent="0.25">
      <c r="A270" s="273" t="s">
        <v>858</v>
      </c>
      <c r="C270" s="211"/>
      <c r="D270" s="2">
        <v>885</v>
      </c>
      <c r="E270" s="2"/>
      <c r="F270" s="2"/>
      <c r="G270" s="48"/>
      <c r="H270" s="48"/>
      <c r="I270" s="48"/>
      <c r="J270" s="48"/>
    </row>
    <row r="271" spans="1:10" x14ac:dyDescent="0.25">
      <c r="A271" s="273" t="s">
        <v>119</v>
      </c>
      <c r="C271" s="211"/>
      <c r="D271" s="3">
        <v>500</v>
      </c>
      <c r="E271" s="2"/>
      <c r="F271" s="2"/>
      <c r="G271" s="48"/>
      <c r="H271" s="48"/>
      <c r="I271" s="48"/>
      <c r="J271" s="48"/>
    </row>
    <row r="272" spans="1:10" ht="15" x14ac:dyDescent="0.4">
      <c r="A272" s="273" t="s">
        <v>1221</v>
      </c>
      <c r="C272" s="211"/>
      <c r="D272" s="11">
        <v>2500</v>
      </c>
      <c r="E272" s="2"/>
      <c r="F272" s="2"/>
      <c r="G272" s="48"/>
      <c r="H272" s="48"/>
      <c r="I272" s="48"/>
      <c r="J272" s="48"/>
    </row>
    <row r="273" spans="1:10" x14ac:dyDescent="0.25">
      <c r="A273" s="273" t="s">
        <v>1247</v>
      </c>
      <c r="C273" s="211"/>
      <c r="D273" s="2">
        <f>SUM(D265:D272)</f>
        <v>18383</v>
      </c>
      <c r="E273" s="2"/>
      <c r="F273" s="2"/>
      <c r="G273" s="48"/>
      <c r="H273" s="48"/>
      <c r="I273" s="48"/>
      <c r="J273" s="48"/>
    </row>
    <row r="274" spans="1:10" x14ac:dyDescent="0.25">
      <c r="C274" s="2"/>
      <c r="D274" s="2"/>
      <c r="E274" s="2"/>
      <c r="F274" s="2"/>
      <c r="G274" s="48"/>
      <c r="H274" s="48"/>
      <c r="I274" s="48"/>
      <c r="J274" s="48"/>
    </row>
    <row r="275" spans="1:10" ht="13.8" x14ac:dyDescent="0.3">
      <c r="A275" s="276" t="s">
        <v>459</v>
      </c>
      <c r="C275" s="2"/>
      <c r="D275" s="2"/>
      <c r="E275" s="2">
        <v>45465.62</v>
      </c>
      <c r="F275" s="2">
        <v>43464</v>
      </c>
      <c r="G275" s="48">
        <v>39564</v>
      </c>
      <c r="H275" s="48">
        <v>39564</v>
      </c>
      <c r="I275" s="48">
        <v>39564</v>
      </c>
      <c r="J275" s="48">
        <v>39564</v>
      </c>
    </row>
    <row r="276" spans="1:10" x14ac:dyDescent="0.25">
      <c r="A276" s="273" t="s">
        <v>2187</v>
      </c>
      <c r="C276" s="52" t="s">
        <v>2185</v>
      </c>
      <c r="D276" s="2">
        <v>25000</v>
      </c>
      <c r="E276" s="1"/>
      <c r="F276" s="1"/>
      <c r="G276" s="48"/>
      <c r="H276" s="48"/>
      <c r="I276" s="48"/>
      <c r="J276" s="48"/>
    </row>
    <row r="277" spans="1:10" ht="15" x14ac:dyDescent="0.4">
      <c r="A277" s="42" t="s">
        <v>1908</v>
      </c>
      <c r="C277" s="13" t="s">
        <v>2185</v>
      </c>
      <c r="D277" s="31">
        <v>14564</v>
      </c>
      <c r="E277" s="1"/>
      <c r="F277" s="252"/>
      <c r="G277" s="48"/>
      <c r="H277" s="48"/>
      <c r="I277" s="48"/>
      <c r="J277" s="48"/>
    </row>
    <row r="278" spans="1:10" x14ac:dyDescent="0.25">
      <c r="A278" s="42"/>
      <c r="C278" s="52" t="s">
        <v>2185</v>
      </c>
      <c r="D278" s="3">
        <f>SUM(D276:D277)</f>
        <v>39564</v>
      </c>
      <c r="E278" s="2"/>
      <c r="F278" s="48"/>
      <c r="G278" s="48"/>
      <c r="H278" s="48"/>
      <c r="I278" s="48"/>
      <c r="J278" s="48"/>
    </row>
    <row r="279" spans="1:10" ht="13.8" x14ac:dyDescent="0.3">
      <c r="A279" s="276" t="s">
        <v>894</v>
      </c>
      <c r="C279" s="8" t="s">
        <v>396</v>
      </c>
      <c r="D279" s="8" t="s">
        <v>396</v>
      </c>
      <c r="E279" s="2">
        <v>4608</v>
      </c>
      <c r="F279" s="2">
        <v>5000</v>
      </c>
      <c r="G279" s="48">
        <v>5000</v>
      </c>
      <c r="H279" s="48">
        <v>5000</v>
      </c>
      <c r="I279" s="48">
        <v>5000</v>
      </c>
      <c r="J279" s="48">
        <v>5000</v>
      </c>
    </row>
    <row r="280" spans="1:10" x14ac:dyDescent="0.25">
      <c r="A280" s="273" t="s">
        <v>1705</v>
      </c>
      <c r="C280" s="2"/>
      <c r="D280" s="2">
        <v>4000</v>
      </c>
      <c r="E280" s="2"/>
      <c r="F280" s="2"/>
      <c r="G280" s="48"/>
      <c r="H280" s="48"/>
      <c r="I280" s="48"/>
      <c r="J280" s="48"/>
    </row>
    <row r="281" spans="1:10" ht="15" x14ac:dyDescent="0.4">
      <c r="A281" s="273" t="s">
        <v>1279</v>
      </c>
      <c r="C281" s="11"/>
      <c r="D281" s="11">
        <v>1000</v>
      </c>
      <c r="E281" s="2"/>
      <c r="F281" s="2"/>
      <c r="G281" s="48"/>
      <c r="H281" s="48"/>
      <c r="I281" s="48"/>
      <c r="J281" s="48"/>
    </row>
    <row r="282" spans="1:10" x14ac:dyDescent="0.25">
      <c r="A282" s="273" t="s">
        <v>1247</v>
      </c>
      <c r="C282" s="2"/>
      <c r="D282" s="2">
        <v>5000</v>
      </c>
      <c r="E282" s="2"/>
      <c r="F282" s="2"/>
      <c r="G282" s="48"/>
      <c r="H282" s="48"/>
      <c r="I282" s="48"/>
      <c r="J282" s="48"/>
    </row>
    <row r="283" spans="1:10" x14ac:dyDescent="0.25">
      <c r="C283" s="2"/>
      <c r="D283" s="2"/>
      <c r="E283" s="2"/>
      <c r="F283" s="2"/>
      <c r="G283" s="48"/>
      <c r="H283" s="48"/>
      <c r="I283" s="48"/>
      <c r="J283" s="48"/>
    </row>
    <row r="284" spans="1:10" ht="13.8" x14ac:dyDescent="0.3">
      <c r="A284" s="276" t="s">
        <v>431</v>
      </c>
      <c r="C284" s="19"/>
      <c r="D284" s="19"/>
      <c r="E284" s="2">
        <v>312880.43</v>
      </c>
      <c r="F284" s="2">
        <v>328676</v>
      </c>
      <c r="G284" s="2">
        <v>375437</v>
      </c>
      <c r="H284" s="2">
        <v>375437</v>
      </c>
      <c r="I284" s="2">
        <v>375437</v>
      </c>
      <c r="J284" s="2">
        <v>375437</v>
      </c>
    </row>
    <row r="285" spans="1:10" x14ac:dyDescent="0.25">
      <c r="A285" s="273" t="s">
        <v>1706</v>
      </c>
      <c r="C285" s="2"/>
      <c r="D285" s="2">
        <v>329374</v>
      </c>
      <c r="E285" s="2"/>
      <c r="F285" s="2"/>
      <c r="G285" s="48"/>
      <c r="H285" s="48"/>
      <c r="I285" s="48"/>
      <c r="J285" s="48"/>
    </row>
    <row r="286" spans="1:10" x14ac:dyDescent="0.25">
      <c r="A286" s="273" t="s">
        <v>2321</v>
      </c>
      <c r="C286" s="2"/>
      <c r="D286" s="2">
        <v>30000</v>
      </c>
      <c r="E286" s="2"/>
      <c r="F286" s="2"/>
      <c r="G286" s="48"/>
      <c r="H286" s="48"/>
      <c r="I286" s="48"/>
      <c r="J286" s="48"/>
    </row>
    <row r="287" spans="1:10" x14ac:dyDescent="0.25">
      <c r="A287" s="273" t="s">
        <v>432</v>
      </c>
      <c r="C287" s="2"/>
      <c r="D287" s="2">
        <v>10000</v>
      </c>
      <c r="E287" s="2"/>
      <c r="F287" s="2"/>
      <c r="G287" s="48"/>
      <c r="H287" s="48"/>
      <c r="I287" s="48"/>
      <c r="J287" s="48"/>
    </row>
    <row r="288" spans="1:10" x14ac:dyDescent="0.25">
      <c r="A288" s="273" t="s">
        <v>1707</v>
      </c>
      <c r="C288" s="2"/>
      <c r="D288" s="2">
        <v>1100</v>
      </c>
      <c r="E288" s="2"/>
      <c r="F288" s="2"/>
      <c r="G288" s="48"/>
      <c r="H288" s="48"/>
      <c r="I288" s="48"/>
      <c r="J288" s="48"/>
    </row>
    <row r="289" spans="1:10" x14ac:dyDescent="0.25">
      <c r="A289" s="273" t="s">
        <v>1708</v>
      </c>
      <c r="C289" s="2"/>
      <c r="D289" s="2">
        <v>175</v>
      </c>
      <c r="E289" s="2"/>
      <c r="F289" s="2"/>
      <c r="G289" s="48"/>
      <c r="H289" s="48"/>
      <c r="I289" s="48"/>
      <c r="J289" s="48"/>
    </row>
    <row r="290" spans="1:10" x14ac:dyDescent="0.25">
      <c r="A290" s="273" t="s">
        <v>173</v>
      </c>
      <c r="C290" s="2"/>
      <c r="D290" s="2">
        <v>138</v>
      </c>
      <c r="E290" s="2"/>
      <c r="F290" s="2"/>
      <c r="G290" s="48"/>
      <c r="H290" s="48"/>
      <c r="I290" s="48"/>
      <c r="J290" s="48"/>
    </row>
    <row r="291" spans="1:10" x14ac:dyDescent="0.25">
      <c r="A291" s="273" t="s">
        <v>1779</v>
      </c>
      <c r="C291" s="2"/>
      <c r="D291" s="2">
        <v>3000</v>
      </c>
      <c r="E291" s="2"/>
      <c r="F291" s="2"/>
      <c r="G291" s="48"/>
      <c r="H291" s="48"/>
      <c r="I291" s="48"/>
      <c r="J291" s="48"/>
    </row>
    <row r="292" spans="1:10" ht="15" x14ac:dyDescent="0.4">
      <c r="A292" s="273" t="s">
        <v>592</v>
      </c>
      <c r="C292" s="11"/>
      <c r="D292" s="11">
        <v>1650</v>
      </c>
      <c r="E292" s="2"/>
      <c r="F292" s="2"/>
      <c r="G292" s="48"/>
      <c r="H292" s="48"/>
      <c r="I292" s="48"/>
      <c r="J292" s="48"/>
    </row>
    <row r="293" spans="1:10" x14ac:dyDescent="0.25">
      <c r="A293" s="273" t="s">
        <v>1247</v>
      </c>
      <c r="C293" s="2"/>
      <c r="D293" s="2">
        <f>SUM(D285:D292)</f>
        <v>375437</v>
      </c>
      <c r="E293" s="2"/>
      <c r="F293" s="2"/>
      <c r="G293" s="48"/>
      <c r="H293" s="48"/>
      <c r="I293" s="48"/>
      <c r="J293" s="48"/>
    </row>
    <row r="294" spans="1:10" x14ac:dyDescent="0.25">
      <c r="C294" s="2"/>
      <c r="D294" s="2"/>
      <c r="E294" s="2"/>
      <c r="F294" s="2"/>
      <c r="G294" s="48"/>
      <c r="H294" s="48"/>
      <c r="I294" s="48"/>
      <c r="J294" s="48"/>
    </row>
    <row r="295" spans="1:10" ht="13.8" x14ac:dyDescent="0.3">
      <c r="A295" s="276" t="s">
        <v>433</v>
      </c>
      <c r="C295" s="2"/>
      <c r="D295" s="2"/>
      <c r="E295" s="2">
        <v>7575.88</v>
      </c>
      <c r="F295" s="2">
        <v>8000</v>
      </c>
      <c r="G295" s="2">
        <v>8000</v>
      </c>
      <c r="H295" s="2">
        <v>8000</v>
      </c>
      <c r="I295" s="2">
        <v>8000</v>
      </c>
      <c r="J295" s="2">
        <v>8000</v>
      </c>
    </row>
    <row r="296" spans="1:10" x14ac:dyDescent="0.25">
      <c r="A296" s="23" t="s">
        <v>174</v>
      </c>
      <c r="C296" s="2"/>
      <c r="D296" s="2">
        <v>1000</v>
      </c>
      <c r="E296" s="2"/>
      <c r="F296" s="2"/>
      <c r="H296" s="273"/>
      <c r="I296" s="295"/>
      <c r="J296" s="298"/>
    </row>
    <row r="297" spans="1:10" x14ac:dyDescent="0.25">
      <c r="A297" s="273" t="s">
        <v>434</v>
      </c>
      <c r="C297" s="2"/>
      <c r="D297" s="2">
        <v>2000</v>
      </c>
      <c r="E297" s="2"/>
      <c r="F297" s="2"/>
      <c r="H297" s="273"/>
      <c r="I297" s="295"/>
      <c r="J297" s="298"/>
    </row>
    <row r="298" spans="1:10" ht="15" x14ac:dyDescent="0.4">
      <c r="A298" s="273" t="s">
        <v>1780</v>
      </c>
      <c r="C298" s="11"/>
      <c r="D298" s="11">
        <v>5000</v>
      </c>
      <c r="E298" s="2"/>
      <c r="F298" s="2"/>
      <c r="G298" s="48"/>
      <c r="H298" s="48"/>
      <c r="I298" s="48"/>
      <c r="J298" s="48"/>
    </row>
    <row r="299" spans="1:10" x14ac:dyDescent="0.25">
      <c r="A299" s="273" t="s">
        <v>1247</v>
      </c>
      <c r="C299" s="2"/>
      <c r="D299" s="2">
        <f>SUM(D296:D298)</f>
        <v>8000</v>
      </c>
      <c r="E299" s="2"/>
      <c r="F299" s="2"/>
      <c r="G299" s="48"/>
      <c r="H299" s="48"/>
      <c r="I299" s="48"/>
      <c r="J299" s="48"/>
    </row>
    <row r="300" spans="1:10" x14ac:dyDescent="0.25">
      <c r="C300" s="2"/>
      <c r="D300" s="2"/>
      <c r="E300" s="2"/>
      <c r="F300" s="2"/>
      <c r="G300" s="48"/>
      <c r="H300" s="48"/>
      <c r="I300" s="48"/>
      <c r="J300" s="48"/>
    </row>
    <row r="301" spans="1:10" ht="13.8" x14ac:dyDescent="0.3">
      <c r="A301" s="276" t="s">
        <v>395</v>
      </c>
      <c r="C301" s="2"/>
      <c r="D301" s="2"/>
      <c r="E301" s="2">
        <v>35.33</v>
      </c>
      <c r="F301" s="2">
        <v>500</v>
      </c>
      <c r="G301" s="48">
        <v>500</v>
      </c>
      <c r="H301" s="48">
        <v>500</v>
      </c>
      <c r="I301" s="48">
        <v>500</v>
      </c>
      <c r="J301" s="48">
        <v>500</v>
      </c>
    </row>
    <row r="302" spans="1:10" x14ac:dyDescent="0.25">
      <c r="A302" s="273" t="s">
        <v>788</v>
      </c>
      <c r="C302" s="2"/>
      <c r="D302" s="2">
        <v>500</v>
      </c>
      <c r="E302" s="2"/>
      <c r="F302" s="2"/>
      <c r="G302" s="48"/>
      <c r="H302" s="48"/>
      <c r="I302" s="48"/>
      <c r="J302" s="48"/>
    </row>
    <row r="303" spans="1:10" x14ac:dyDescent="0.25">
      <c r="C303" s="2"/>
      <c r="D303" s="2"/>
      <c r="E303" s="2"/>
      <c r="F303" s="2"/>
      <c r="G303" s="48"/>
      <c r="H303" s="48"/>
      <c r="I303" s="48"/>
      <c r="J303" s="48"/>
    </row>
    <row r="304" spans="1:10" ht="13.8" x14ac:dyDescent="0.3">
      <c r="A304" s="276" t="s">
        <v>789</v>
      </c>
      <c r="C304" s="2"/>
      <c r="D304" s="2"/>
      <c r="E304" s="2">
        <v>454.29</v>
      </c>
      <c r="F304" s="2">
        <v>500</v>
      </c>
      <c r="G304" s="48">
        <v>500</v>
      </c>
      <c r="H304" s="48">
        <v>500</v>
      </c>
      <c r="I304" s="48">
        <v>500</v>
      </c>
      <c r="J304" s="48">
        <v>500</v>
      </c>
    </row>
    <row r="305" spans="1:10" x14ac:dyDescent="0.25">
      <c r="A305" s="273" t="s">
        <v>1709</v>
      </c>
      <c r="C305" s="2"/>
      <c r="D305" s="2">
        <v>500</v>
      </c>
      <c r="E305" s="2"/>
      <c r="F305" s="2"/>
      <c r="G305" s="48"/>
      <c r="H305" s="48"/>
      <c r="I305" s="48"/>
      <c r="J305" s="48"/>
    </row>
    <row r="306" spans="1:10" x14ac:dyDescent="0.25">
      <c r="C306" s="2"/>
      <c r="D306" s="2"/>
      <c r="E306" s="2"/>
      <c r="F306" s="211"/>
      <c r="G306" s="211"/>
      <c r="H306" s="211"/>
      <c r="I306" s="211"/>
      <c r="J306" s="211"/>
    </row>
    <row r="307" spans="1:10" ht="13.8" x14ac:dyDescent="0.3">
      <c r="A307" s="276" t="s">
        <v>1974</v>
      </c>
      <c r="C307" s="19"/>
      <c r="D307" s="19"/>
      <c r="E307" s="2">
        <v>639.53</v>
      </c>
      <c r="F307" s="211">
        <v>0</v>
      </c>
      <c r="G307" s="211">
        <v>0</v>
      </c>
      <c r="H307" s="211">
        <v>0</v>
      </c>
      <c r="I307" s="211">
        <v>0</v>
      </c>
      <c r="J307" s="211">
        <v>0</v>
      </c>
    </row>
    <row r="308" spans="1:10" x14ac:dyDescent="0.25">
      <c r="C308" s="2"/>
      <c r="D308" s="2"/>
      <c r="E308" s="2"/>
      <c r="F308" s="2"/>
      <c r="G308" s="48"/>
      <c r="H308" s="48"/>
      <c r="I308" s="48"/>
      <c r="J308" s="48"/>
    </row>
    <row r="309" spans="1:10" ht="13.8" x14ac:dyDescent="0.3">
      <c r="A309" s="276" t="s">
        <v>242</v>
      </c>
      <c r="C309" s="19"/>
      <c r="D309" s="19"/>
      <c r="E309" s="2">
        <v>2814.3049999999998</v>
      </c>
      <c r="F309" s="2">
        <v>5000</v>
      </c>
      <c r="G309" s="48">
        <v>5000</v>
      </c>
      <c r="H309" s="48">
        <v>5000</v>
      </c>
      <c r="I309" s="48">
        <v>5000</v>
      </c>
      <c r="J309" s="48">
        <v>5000</v>
      </c>
    </row>
    <row r="310" spans="1:10" x14ac:dyDescent="0.25">
      <c r="A310" s="23" t="s">
        <v>1710</v>
      </c>
      <c r="C310" s="2"/>
      <c r="D310" s="2">
        <v>5000</v>
      </c>
      <c r="E310" s="2"/>
      <c r="F310" s="2"/>
      <c r="G310" s="48"/>
      <c r="H310" s="48"/>
      <c r="I310" s="48"/>
      <c r="J310" s="48"/>
    </row>
    <row r="311" spans="1:10" ht="15" x14ac:dyDescent="0.4">
      <c r="A311" s="23"/>
      <c r="C311" s="2"/>
      <c r="D311" s="31"/>
      <c r="E311" s="2"/>
      <c r="F311" s="2"/>
      <c r="G311" s="48"/>
      <c r="H311" s="48"/>
      <c r="I311" s="48"/>
      <c r="J311" s="48"/>
    </row>
    <row r="312" spans="1:10" ht="13.8" x14ac:dyDescent="0.3">
      <c r="A312" s="276" t="s">
        <v>1975</v>
      </c>
      <c r="C312" s="2"/>
      <c r="D312" s="2"/>
      <c r="E312" s="3"/>
      <c r="F312" s="3"/>
      <c r="G312" s="48"/>
      <c r="H312" s="48"/>
      <c r="I312" s="48"/>
      <c r="J312" s="48"/>
    </row>
    <row r="313" spans="1:10" ht="15" x14ac:dyDescent="0.4">
      <c r="A313" s="23"/>
      <c r="C313" s="2"/>
      <c r="D313" s="31"/>
      <c r="E313" s="2"/>
      <c r="F313" s="2"/>
      <c r="G313" s="48"/>
      <c r="H313" s="48"/>
      <c r="I313" s="48"/>
      <c r="J313" s="48"/>
    </row>
    <row r="314" spans="1:10" ht="13.8" x14ac:dyDescent="0.3">
      <c r="A314" s="276" t="s">
        <v>1011</v>
      </c>
      <c r="C314" s="2"/>
      <c r="D314" s="2"/>
      <c r="E314" s="3">
        <v>5763</v>
      </c>
      <c r="F314" s="3">
        <v>15000</v>
      </c>
      <c r="G314" s="48">
        <v>14000</v>
      </c>
      <c r="H314" s="48">
        <v>14000</v>
      </c>
      <c r="I314" s="48">
        <v>14000</v>
      </c>
      <c r="J314" s="48">
        <v>14000</v>
      </c>
    </row>
    <row r="315" spans="1:10" x14ac:dyDescent="0.25">
      <c r="A315" s="23" t="s">
        <v>2188</v>
      </c>
      <c r="C315" s="2"/>
      <c r="D315" s="2">
        <v>7000</v>
      </c>
      <c r="E315" s="3"/>
      <c r="F315" s="2"/>
      <c r="H315" s="273"/>
      <c r="I315" s="295"/>
      <c r="J315" s="298"/>
    </row>
    <row r="316" spans="1:10" ht="15" x14ac:dyDescent="0.4">
      <c r="A316" s="273" t="s">
        <v>2189</v>
      </c>
      <c r="C316" s="2"/>
      <c r="D316" s="35">
        <v>7000</v>
      </c>
      <c r="E316" s="3"/>
      <c r="F316" s="11"/>
      <c r="H316" s="273"/>
      <c r="I316" s="295"/>
      <c r="J316" s="298"/>
    </row>
    <row r="317" spans="1:10" ht="15" x14ac:dyDescent="0.4">
      <c r="C317" s="2"/>
      <c r="D317" s="2">
        <f>SUM(D315:D316)</f>
        <v>14000</v>
      </c>
      <c r="E317" s="3"/>
      <c r="F317" s="11"/>
      <c r="H317" s="273"/>
      <c r="I317" s="295"/>
      <c r="J317" s="298"/>
    </row>
    <row r="318" spans="1:10" ht="15" x14ac:dyDescent="0.4">
      <c r="C318" s="2"/>
      <c r="D318" s="2"/>
      <c r="E318" s="3"/>
      <c r="F318" s="11"/>
      <c r="H318" s="273"/>
      <c r="I318" s="295"/>
      <c r="J318" s="298"/>
    </row>
    <row r="319" spans="1:10" ht="13.8" x14ac:dyDescent="0.3">
      <c r="A319" s="276" t="s">
        <v>120</v>
      </c>
      <c r="E319" s="3">
        <v>300000</v>
      </c>
      <c r="F319" s="2">
        <v>300000</v>
      </c>
      <c r="G319" s="78">
        <v>350000</v>
      </c>
      <c r="H319" s="78">
        <v>350000</v>
      </c>
      <c r="I319" s="78">
        <v>350000</v>
      </c>
      <c r="J319" s="78">
        <v>350000</v>
      </c>
    </row>
    <row r="320" spans="1:10" x14ac:dyDescent="0.25">
      <c r="A320" s="273" t="s">
        <v>1711</v>
      </c>
      <c r="D320" s="2">
        <v>300000</v>
      </c>
      <c r="E320" s="2"/>
      <c r="F320" s="2"/>
      <c r="G320" s="48"/>
      <c r="H320" s="48"/>
      <c r="I320" s="48"/>
      <c r="J320" s="48"/>
    </row>
    <row r="321" spans="1:10" x14ac:dyDescent="0.25">
      <c r="D321" s="2"/>
      <c r="E321" s="2"/>
      <c r="F321" s="2"/>
      <c r="G321" s="48"/>
      <c r="H321" s="48"/>
      <c r="I321" s="48"/>
      <c r="J321" s="48"/>
    </row>
    <row r="322" spans="1:10" ht="15" x14ac:dyDescent="0.4">
      <c r="A322" s="276" t="s">
        <v>1323</v>
      </c>
      <c r="D322" s="2"/>
      <c r="E322" s="11">
        <v>536281.80000000005</v>
      </c>
      <c r="F322" s="18">
        <v>298000</v>
      </c>
      <c r="G322" s="149">
        <v>369564</v>
      </c>
      <c r="H322" s="149">
        <v>369564</v>
      </c>
      <c r="I322" s="149">
        <v>369564</v>
      </c>
      <c r="J322" s="149">
        <v>369564</v>
      </c>
    </row>
    <row r="323" spans="1:10" x14ac:dyDescent="0.25">
      <c r="A323" s="44"/>
      <c r="C323" s="45"/>
      <c r="E323" s="2"/>
      <c r="F323" s="48"/>
      <c r="G323" s="48"/>
      <c r="H323" s="48"/>
      <c r="I323" s="48"/>
      <c r="J323" s="48"/>
    </row>
    <row r="324" spans="1:10" x14ac:dyDescent="0.25">
      <c r="A324" s="42" t="s">
        <v>1907</v>
      </c>
      <c r="C324" s="3"/>
      <c r="D324" s="74">
        <v>25000</v>
      </c>
      <c r="E324" s="2"/>
      <c r="F324" s="48"/>
      <c r="G324" s="48"/>
      <c r="H324" s="48"/>
      <c r="I324" s="48"/>
      <c r="J324" s="48"/>
    </row>
    <row r="325" spans="1:10" ht="15" x14ac:dyDescent="0.4">
      <c r="A325" s="42" t="s">
        <v>2190</v>
      </c>
      <c r="C325" s="31"/>
      <c r="D325" s="8">
        <v>305000</v>
      </c>
      <c r="E325" s="2"/>
      <c r="F325" s="48"/>
      <c r="G325" s="48"/>
      <c r="H325" s="48"/>
      <c r="I325" s="48"/>
      <c r="J325" s="48"/>
    </row>
    <row r="326" spans="1:10" ht="15" x14ac:dyDescent="0.4">
      <c r="A326" s="42" t="s">
        <v>2191</v>
      </c>
      <c r="C326" s="31"/>
      <c r="D326" s="8">
        <v>25000</v>
      </c>
      <c r="E326" s="2"/>
      <c r="F326" s="48"/>
      <c r="G326" s="48"/>
      <c r="H326" s="48"/>
      <c r="I326" s="48"/>
      <c r="J326" s="48"/>
    </row>
    <row r="327" spans="1:10" ht="15" x14ac:dyDescent="0.4">
      <c r="A327" s="42" t="s">
        <v>2302</v>
      </c>
      <c r="C327" s="31"/>
      <c r="D327" s="9">
        <v>14564</v>
      </c>
      <c r="E327" s="2"/>
      <c r="F327" s="48"/>
      <c r="G327" s="48"/>
      <c r="H327" s="48"/>
      <c r="I327" s="48"/>
      <c r="J327" s="48"/>
    </row>
    <row r="328" spans="1:10" x14ac:dyDescent="0.25">
      <c r="A328" s="44" t="s">
        <v>1247</v>
      </c>
      <c r="C328" s="41"/>
      <c r="D328" s="2">
        <f>SUM(D324:D327)</f>
        <v>369564</v>
      </c>
      <c r="E328" s="2"/>
      <c r="F328" s="2"/>
      <c r="G328" s="2"/>
      <c r="I328" s="2"/>
      <c r="J328" s="2"/>
    </row>
    <row r="329" spans="1:10" x14ac:dyDescent="0.25">
      <c r="A329" s="44"/>
      <c r="C329" s="45"/>
      <c r="D329" s="2"/>
      <c r="E329" s="2"/>
      <c r="F329" s="2"/>
      <c r="G329" s="2"/>
      <c r="I329" s="2"/>
      <c r="J329" s="2"/>
    </row>
    <row r="330" spans="1:10" x14ac:dyDescent="0.25">
      <c r="A330" s="273" t="s">
        <v>1332</v>
      </c>
      <c r="D330" s="2"/>
      <c r="E330" s="2">
        <f t="shared" ref="E330:J330" si="5">SUM(E6:E328)</f>
        <v>4169067.4750000006</v>
      </c>
      <c r="F330" s="2">
        <f t="shared" si="5"/>
        <v>4270268</v>
      </c>
      <c r="G330" s="2">
        <f t="shared" si="5"/>
        <v>4483158.6500000004</v>
      </c>
      <c r="H330" s="2">
        <f t="shared" si="5"/>
        <v>4477366.6500000004</v>
      </c>
      <c r="I330" s="2">
        <f t="shared" si="5"/>
        <v>4482692.6500000004</v>
      </c>
      <c r="J330" s="2">
        <f t="shared" si="5"/>
        <v>4511719.6500000004</v>
      </c>
    </row>
    <row r="331" spans="1:10" x14ac:dyDescent="0.25">
      <c r="E331" s="2" t="s">
        <v>396</v>
      </c>
      <c r="F331" s="2" t="s">
        <v>396</v>
      </c>
      <c r="G331" s="2" t="s">
        <v>396</v>
      </c>
      <c r="H331" s="2" t="s">
        <v>396</v>
      </c>
      <c r="I331" s="2" t="s">
        <v>396</v>
      </c>
      <c r="J331" s="2" t="s">
        <v>396</v>
      </c>
    </row>
    <row r="332" spans="1:10" x14ac:dyDescent="0.25">
      <c r="A332" s="273" t="s">
        <v>594</v>
      </c>
      <c r="E332" s="2">
        <f t="shared" ref="E332:J332" si="6">SUM(E5:E117)</f>
        <v>1763297.2899999998</v>
      </c>
      <c r="F332" s="2">
        <f t="shared" si="6"/>
        <v>2018578</v>
      </c>
      <c r="G332" s="2">
        <f t="shared" si="6"/>
        <v>2000939</v>
      </c>
      <c r="H332" s="2">
        <f t="shared" si="6"/>
        <v>2010147</v>
      </c>
      <c r="I332" s="2">
        <f t="shared" si="6"/>
        <v>2015473</v>
      </c>
      <c r="J332" s="2">
        <f t="shared" si="6"/>
        <v>2043240</v>
      </c>
    </row>
    <row r="333" spans="1:10" x14ac:dyDescent="0.25">
      <c r="A333" s="273" t="s">
        <v>957</v>
      </c>
      <c r="E333" s="2">
        <f t="shared" ref="E333:J333" si="7">SUM(E119:E304)</f>
        <v>1560271.55</v>
      </c>
      <c r="F333" s="2">
        <f t="shared" si="7"/>
        <v>1633690</v>
      </c>
      <c r="G333" s="2">
        <f t="shared" si="7"/>
        <v>1743655.65</v>
      </c>
      <c r="H333" s="2">
        <f t="shared" si="7"/>
        <v>1728655.65</v>
      </c>
      <c r="I333" s="2">
        <f t="shared" si="7"/>
        <v>1728655.65</v>
      </c>
      <c r="J333" s="2">
        <f t="shared" si="7"/>
        <v>1729915.65</v>
      </c>
    </row>
    <row r="334" spans="1:10" ht="15" x14ac:dyDescent="0.4">
      <c r="A334" s="273" t="s">
        <v>958</v>
      </c>
      <c r="E334" s="11">
        <f t="shared" ref="E334:J334" si="8">SUM(E307:E328)</f>
        <v>845498.63500000001</v>
      </c>
      <c r="F334" s="11">
        <f t="shared" si="8"/>
        <v>618000</v>
      </c>
      <c r="G334" s="11">
        <f t="shared" si="8"/>
        <v>738564</v>
      </c>
      <c r="H334" s="11">
        <f t="shared" si="8"/>
        <v>738564</v>
      </c>
      <c r="I334" s="11">
        <f t="shared" si="8"/>
        <v>738564</v>
      </c>
      <c r="J334" s="11">
        <f t="shared" si="8"/>
        <v>738564</v>
      </c>
    </row>
    <row r="335" spans="1:10" x14ac:dyDescent="0.25">
      <c r="A335" s="273" t="s">
        <v>1247</v>
      </c>
      <c r="E335" s="2">
        <f t="shared" ref="E335:J335" si="9">SUM(E332:E334)</f>
        <v>4169067.4749999996</v>
      </c>
      <c r="F335" s="2">
        <f t="shared" si="9"/>
        <v>4270268</v>
      </c>
      <c r="G335" s="2">
        <f t="shared" si="9"/>
        <v>4483158.6500000004</v>
      </c>
      <c r="H335" s="2">
        <f t="shared" si="9"/>
        <v>4477366.6500000004</v>
      </c>
      <c r="I335" s="2">
        <f t="shared" si="9"/>
        <v>4482692.6500000004</v>
      </c>
      <c r="J335" s="2">
        <f t="shared" si="9"/>
        <v>4511719.6500000004</v>
      </c>
    </row>
    <row r="336" spans="1:10" x14ac:dyDescent="0.25">
      <c r="I336" s="2"/>
      <c r="J336" s="2"/>
    </row>
    <row r="337" spans="9:10" x14ac:dyDescent="0.25">
      <c r="I337" s="2"/>
      <c r="J337" s="2"/>
    </row>
    <row r="338" spans="9:10" x14ac:dyDescent="0.25">
      <c r="I338" s="2"/>
      <c r="J338" s="2"/>
    </row>
    <row r="339" spans="9:10" x14ac:dyDescent="0.25">
      <c r="I339" s="2"/>
      <c r="J339" s="2"/>
    </row>
    <row r="340" spans="9:10" x14ac:dyDescent="0.25">
      <c r="I340" s="2"/>
      <c r="J340" s="2"/>
    </row>
    <row r="341" spans="9:10" x14ac:dyDescent="0.25">
      <c r="I341" s="2"/>
      <c r="J341" s="2"/>
    </row>
    <row r="342" spans="9:10" x14ac:dyDescent="0.25">
      <c r="I342" s="2"/>
      <c r="J342" s="2"/>
    </row>
    <row r="343" spans="9:10" x14ac:dyDescent="0.25">
      <c r="I343" s="2"/>
      <c r="J343" s="2"/>
    </row>
    <row r="344" spans="9:10" x14ac:dyDescent="0.25">
      <c r="I344" s="2"/>
      <c r="J344" s="2"/>
    </row>
    <row r="345" spans="9:10" x14ac:dyDescent="0.25">
      <c r="I345" s="2"/>
    </row>
    <row r="346" spans="9:10" x14ac:dyDescent="0.25">
      <c r="I346" s="2"/>
    </row>
    <row r="347" spans="9:10" x14ac:dyDescent="0.25">
      <c r="I347" s="2"/>
    </row>
    <row r="348" spans="9:10" x14ac:dyDescent="0.25">
      <c r="I348" s="2"/>
    </row>
    <row r="349" spans="9:10" x14ac:dyDescent="0.25">
      <c r="I349" s="2"/>
    </row>
    <row r="350" spans="9:10" x14ac:dyDescent="0.25">
      <c r="I350" s="2"/>
    </row>
  </sheetData>
  <sortState ref="A22:E34">
    <sortCondition ref="A22:A34"/>
  </sortState>
  <mergeCells count="1">
    <mergeCell ref="A1:J1"/>
  </mergeCells>
  <phoneticPr fontId="0" type="noConversion"/>
  <printOptions gridLines="1"/>
  <pageMargins left="0.75" right="0" top="0.51" bottom="0.22" header="0.5" footer="0"/>
  <pageSetup scale="85" fitToHeight="17" orientation="landscape" r:id="rId1"/>
  <headerFooter alignWithMargins="0"/>
  <rowBreaks count="4" manualBreakCount="4">
    <brk id="50" max="9" man="1"/>
    <brk id="128" max="9" man="1"/>
    <brk id="171" max="9" man="1"/>
    <brk id="308" max="9" man="1"/>
  </rowBreaks>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L207"/>
  <sheetViews>
    <sheetView view="pageBreakPreview" topLeftCell="A6" zoomScaleNormal="100" zoomScaleSheetLayoutView="100" workbookViewId="0">
      <selection activeCell="AD26" sqref="AD26"/>
    </sheetView>
  </sheetViews>
  <sheetFormatPr defaultColWidth="8.88671875" defaultRowHeight="13.2" x14ac:dyDescent="0.25"/>
  <cols>
    <col min="1" max="1" width="41.5546875" style="7" bestFit="1" customWidth="1"/>
    <col min="2" max="2" width="9.88671875" style="7" customWidth="1"/>
    <col min="3" max="3" width="10.33203125" style="7" customWidth="1"/>
    <col min="4" max="4" width="10.5546875" style="7" customWidth="1"/>
    <col min="5" max="6" width="10.88671875" style="7" customWidth="1"/>
    <col min="7" max="7" width="10.88671875" style="2" customWidth="1"/>
    <col min="8" max="8" width="14" style="7" bestFit="1" customWidth="1"/>
    <col min="9" max="10" width="10.88671875" style="7" customWidth="1"/>
    <col min="11" max="16384" width="8.88671875" style="7"/>
  </cols>
  <sheetData>
    <row r="1" spans="1:10" x14ac:dyDescent="0.25">
      <c r="A1" s="307" t="str">
        <f>'SUMMARY BY FUND'!A1:J1</f>
        <v>2019-20 BUDGET</v>
      </c>
      <c r="B1" s="308"/>
      <c r="C1" s="308"/>
      <c r="D1" s="308"/>
      <c r="E1" s="308"/>
      <c r="F1" s="308"/>
      <c r="G1" s="308"/>
      <c r="H1" s="308"/>
      <c r="I1" s="308"/>
      <c r="J1" s="308"/>
    </row>
    <row r="2" spans="1:10" ht="17.399999999999999" x14ac:dyDescent="0.3">
      <c r="A2" s="180" t="s">
        <v>1952</v>
      </c>
      <c r="B2" s="180"/>
      <c r="C2" s="180"/>
      <c r="D2" s="180"/>
      <c r="E2" s="180"/>
      <c r="F2" s="180"/>
      <c r="G2" s="180"/>
      <c r="H2" s="180"/>
      <c r="I2" s="180"/>
      <c r="J2" s="180"/>
    </row>
    <row r="3" spans="1:10" x14ac:dyDescent="0.25">
      <c r="B3" s="2"/>
      <c r="C3" s="2"/>
      <c r="D3" s="2"/>
      <c r="E3" s="2"/>
      <c r="F3" s="2"/>
    </row>
    <row r="4" spans="1:10" x14ac:dyDescent="0.25">
      <c r="B4" s="2"/>
      <c r="C4" s="2"/>
      <c r="D4" s="2"/>
      <c r="E4" s="195" t="s">
        <v>233</v>
      </c>
      <c r="F4" s="195" t="s">
        <v>234</v>
      </c>
      <c r="G4" s="195" t="s">
        <v>70</v>
      </c>
      <c r="H4" s="195" t="s">
        <v>409</v>
      </c>
      <c r="I4" s="16" t="s">
        <v>314</v>
      </c>
      <c r="J4" s="16" t="s">
        <v>345</v>
      </c>
    </row>
    <row r="5" spans="1:10" ht="15" x14ac:dyDescent="0.4">
      <c r="B5" s="2"/>
      <c r="C5" s="2"/>
      <c r="D5" s="2"/>
      <c r="E5" s="225" t="s">
        <v>1794</v>
      </c>
      <c r="F5" s="225" t="s">
        <v>1970</v>
      </c>
      <c r="G5" s="225" t="s">
        <v>2129</v>
      </c>
      <c r="H5" s="225" t="s">
        <v>2129</v>
      </c>
      <c r="I5" s="225" t="s">
        <v>2129</v>
      </c>
      <c r="J5" s="225" t="s">
        <v>2129</v>
      </c>
    </row>
    <row r="6" spans="1:10" ht="13.8" x14ac:dyDescent="0.3">
      <c r="A6" s="10" t="s">
        <v>759</v>
      </c>
      <c r="B6" s="2"/>
      <c r="C6" s="2"/>
      <c r="D6" s="2"/>
      <c r="E6" s="2">
        <v>65106.35</v>
      </c>
      <c r="F6" s="2">
        <v>67081</v>
      </c>
      <c r="G6" s="2">
        <v>67081</v>
      </c>
      <c r="H6" s="2">
        <v>67081</v>
      </c>
      <c r="I6" s="2">
        <v>69057</v>
      </c>
      <c r="J6" s="2">
        <v>69057</v>
      </c>
    </row>
    <row r="7" spans="1:10" x14ac:dyDescent="0.25">
      <c r="A7" s="7" t="s">
        <v>757</v>
      </c>
      <c r="B7" s="2">
        <v>52</v>
      </c>
      <c r="C7" s="2">
        <v>1312</v>
      </c>
      <c r="D7" s="2">
        <f>ROUND(B7*C7,0)</f>
        <v>68224</v>
      </c>
      <c r="E7" s="2"/>
      <c r="F7" s="2"/>
      <c r="H7" s="2"/>
      <c r="I7" s="2"/>
      <c r="J7" s="2"/>
    </row>
    <row r="8" spans="1:10" x14ac:dyDescent="0.25">
      <c r="A8" s="7" t="s">
        <v>973</v>
      </c>
      <c r="B8" s="2"/>
      <c r="C8" s="2"/>
      <c r="D8" s="18">
        <v>833</v>
      </c>
      <c r="E8" s="2"/>
      <c r="F8" s="2"/>
      <c r="H8" s="2"/>
      <c r="I8" s="2"/>
      <c r="J8" s="2"/>
    </row>
    <row r="9" spans="1:10" x14ac:dyDescent="0.25">
      <c r="B9" s="2"/>
      <c r="C9" s="2"/>
      <c r="D9" s="2">
        <f>+D8+D7</f>
        <v>69057</v>
      </c>
      <c r="E9" s="2"/>
      <c r="F9" s="2"/>
      <c r="H9" s="2"/>
      <c r="I9" s="2"/>
      <c r="J9" s="2"/>
    </row>
    <row r="10" spans="1:10" x14ac:dyDescent="0.25">
      <c r="B10" s="2"/>
      <c r="C10" s="2"/>
      <c r="D10" s="2"/>
      <c r="E10" s="2"/>
      <c r="F10" s="2"/>
      <c r="H10" s="2"/>
      <c r="I10" s="2"/>
      <c r="J10" s="2"/>
    </row>
    <row r="11" spans="1:10" ht="13.8" x14ac:dyDescent="0.3">
      <c r="A11" s="10" t="s">
        <v>810</v>
      </c>
      <c r="E11" s="7">
        <v>41184</v>
      </c>
      <c r="F11" s="2">
        <v>42380</v>
      </c>
      <c r="G11" s="2">
        <v>42380</v>
      </c>
      <c r="H11" s="2">
        <v>42380</v>
      </c>
      <c r="I11" s="2">
        <v>43680</v>
      </c>
      <c r="J11" s="2">
        <v>43680</v>
      </c>
    </row>
    <row r="12" spans="1:10" x14ac:dyDescent="0.25">
      <c r="A12" s="7" t="s">
        <v>758</v>
      </c>
      <c r="B12" s="2">
        <v>52</v>
      </c>
      <c r="C12" s="2">
        <v>840</v>
      </c>
      <c r="D12" s="2">
        <f>ROUND(B12*C12,0)</f>
        <v>43680</v>
      </c>
      <c r="F12" s="2"/>
      <c r="H12" s="2"/>
      <c r="I12" s="2"/>
      <c r="J12" s="2"/>
    </row>
    <row r="13" spans="1:10" x14ac:dyDescent="0.25">
      <c r="D13" s="2"/>
      <c r="E13" s="2"/>
      <c r="F13" s="2"/>
      <c r="H13" s="2"/>
      <c r="I13" s="2"/>
      <c r="J13" s="2"/>
    </row>
    <row r="14" spans="1:10" ht="13.8" x14ac:dyDescent="0.3">
      <c r="A14" s="10" t="s">
        <v>760</v>
      </c>
      <c r="D14" s="2"/>
      <c r="E14" s="2">
        <f>16993.54+118.8</f>
        <v>17112.34</v>
      </c>
      <c r="F14" s="2">
        <v>25478</v>
      </c>
      <c r="G14" s="2">
        <v>25478</v>
      </c>
      <c r="H14" s="2">
        <v>25478</v>
      </c>
      <c r="I14" s="2">
        <v>26180</v>
      </c>
      <c r="J14" s="2">
        <v>26180</v>
      </c>
    </row>
    <row r="15" spans="1:10" x14ac:dyDescent="0.25">
      <c r="A15" s="7" t="s">
        <v>188</v>
      </c>
      <c r="B15" s="2">
        <v>1325</v>
      </c>
      <c r="C15" s="12">
        <v>18.57</v>
      </c>
      <c r="D15" s="2">
        <f>ROUND(B15*C15,0)</f>
        <v>24605</v>
      </c>
      <c r="E15" s="2"/>
      <c r="F15" s="2"/>
      <c r="H15" s="2"/>
      <c r="I15" s="2"/>
      <c r="J15" s="2"/>
    </row>
    <row r="16" spans="1:10" x14ac:dyDescent="0.25">
      <c r="A16" s="7" t="s">
        <v>187</v>
      </c>
      <c r="B16" s="2">
        <v>0</v>
      </c>
      <c r="C16" s="12">
        <v>0</v>
      </c>
      <c r="D16" s="18">
        <v>1575</v>
      </c>
      <c r="E16" s="2"/>
      <c r="F16" s="2"/>
      <c r="H16" s="2"/>
      <c r="I16" s="2"/>
      <c r="J16" s="2"/>
    </row>
    <row r="17" spans="1:10" x14ac:dyDescent="0.25">
      <c r="B17" s="2"/>
      <c r="C17" s="12"/>
      <c r="D17" s="2">
        <f>SUM(D15:D16)</f>
        <v>26180</v>
      </c>
      <c r="E17" s="2"/>
      <c r="F17" s="2"/>
      <c r="H17" s="2"/>
      <c r="I17" s="2"/>
      <c r="J17" s="2"/>
    </row>
    <row r="18" spans="1:10" x14ac:dyDescent="0.25">
      <c r="D18" s="2"/>
      <c r="E18" s="2"/>
      <c r="F18" s="2"/>
      <c r="H18" s="2"/>
      <c r="I18" s="2"/>
      <c r="J18" s="2"/>
    </row>
    <row r="19" spans="1:10" ht="13.8" x14ac:dyDescent="0.3">
      <c r="A19" s="10" t="s">
        <v>761</v>
      </c>
      <c r="D19" s="2"/>
      <c r="E19" s="2">
        <v>9434.09</v>
      </c>
      <c r="F19" s="2">
        <v>10323</v>
      </c>
      <c r="G19" s="2">
        <v>10323</v>
      </c>
      <c r="H19" s="2">
        <v>10323</v>
      </c>
      <c r="I19" s="2">
        <v>10628</v>
      </c>
      <c r="J19" s="2">
        <v>10628</v>
      </c>
    </row>
    <row r="20" spans="1:10" x14ac:dyDescent="0.25">
      <c r="A20" s="13" t="s">
        <v>1468</v>
      </c>
      <c r="B20" s="2">
        <f>+D9</f>
        <v>69057</v>
      </c>
      <c r="C20" s="14">
        <v>7.6499999999999999E-2</v>
      </c>
      <c r="D20" s="2">
        <f>ROUND(B20*C20,0)</f>
        <v>5283</v>
      </c>
      <c r="E20" s="2"/>
      <c r="F20" s="2"/>
      <c r="H20" s="2"/>
      <c r="I20" s="2"/>
      <c r="J20" s="2"/>
    </row>
    <row r="21" spans="1:10" x14ac:dyDescent="0.25">
      <c r="A21" s="13" t="s">
        <v>807</v>
      </c>
      <c r="B21" s="2">
        <f>+D12</f>
        <v>43680</v>
      </c>
      <c r="C21" s="14">
        <v>7.6499999999999999E-2</v>
      </c>
      <c r="D21" s="2">
        <f>ROUND(B21*C21,0)</f>
        <v>3342</v>
      </c>
      <c r="E21" s="2"/>
      <c r="F21" s="2"/>
      <c r="H21" s="2"/>
      <c r="I21" s="2"/>
      <c r="J21" s="2"/>
    </row>
    <row r="22" spans="1:10" ht="15" x14ac:dyDescent="0.4">
      <c r="A22" s="13" t="s">
        <v>184</v>
      </c>
      <c r="B22" s="2">
        <f>+D17</f>
        <v>26180</v>
      </c>
      <c r="C22" s="14">
        <v>7.6499999999999999E-2</v>
      </c>
      <c r="D22" s="11">
        <f>ROUND(B22*C22,0)</f>
        <v>2003</v>
      </c>
      <c r="E22" s="2"/>
      <c r="F22" s="2"/>
      <c r="H22" s="2"/>
      <c r="I22" s="2"/>
      <c r="J22" s="2"/>
    </row>
    <row r="23" spans="1:10" x14ac:dyDescent="0.25">
      <c r="A23" s="7" t="s">
        <v>416</v>
      </c>
      <c r="B23" s="2" t="s">
        <v>396</v>
      </c>
      <c r="D23" s="2">
        <f>SUM(D20:D22)</f>
        <v>10628</v>
      </c>
      <c r="E23" s="2"/>
      <c r="F23" s="2"/>
      <c r="H23" s="2"/>
      <c r="I23" s="2"/>
      <c r="J23" s="2"/>
    </row>
    <row r="24" spans="1:10" x14ac:dyDescent="0.25">
      <c r="D24" s="2"/>
      <c r="E24" s="2"/>
      <c r="F24" s="2"/>
      <c r="H24" s="2"/>
      <c r="I24" s="2"/>
      <c r="J24" s="2"/>
    </row>
    <row r="25" spans="1:10" ht="13.8" x14ac:dyDescent="0.3">
      <c r="A25" s="15" t="s">
        <v>1494</v>
      </c>
      <c r="D25" s="2"/>
      <c r="E25" s="2">
        <v>12019.26</v>
      </c>
      <c r="F25" s="2">
        <v>12458</v>
      </c>
      <c r="G25" s="2">
        <v>12227</v>
      </c>
      <c r="H25" s="2">
        <v>12227</v>
      </c>
      <c r="I25" s="2">
        <v>12593</v>
      </c>
      <c r="J25" s="2">
        <v>12593</v>
      </c>
    </row>
    <row r="26" spans="1:10" x14ac:dyDescent="0.25">
      <c r="A26" s="7" t="s">
        <v>416</v>
      </c>
      <c r="B26" s="2">
        <f>+D9+D12</f>
        <v>112737</v>
      </c>
      <c r="C26" s="14">
        <v>0.11169999999999999</v>
      </c>
      <c r="D26" s="2">
        <f>ROUND(B26*C26,0)</f>
        <v>12593</v>
      </c>
      <c r="E26" s="2"/>
      <c r="F26" s="2"/>
      <c r="H26" s="2"/>
      <c r="I26" s="2"/>
      <c r="J26" s="2"/>
    </row>
    <row r="27" spans="1:10" x14ac:dyDescent="0.25">
      <c r="D27" s="2"/>
      <c r="E27" s="2"/>
      <c r="F27" s="2"/>
      <c r="H27" s="2"/>
      <c r="I27" s="2"/>
      <c r="J27" s="2"/>
    </row>
    <row r="28" spans="1:10" ht="13.8" x14ac:dyDescent="0.3">
      <c r="A28" s="10" t="s">
        <v>1495</v>
      </c>
      <c r="D28" s="2"/>
      <c r="E28" s="2">
        <v>32926.519999999997</v>
      </c>
      <c r="F28" s="2">
        <v>36600</v>
      </c>
      <c r="G28" s="2">
        <v>37200</v>
      </c>
      <c r="H28" s="2">
        <v>38050</v>
      </c>
      <c r="I28" s="2">
        <v>38050</v>
      </c>
      <c r="J28" s="2">
        <v>38050</v>
      </c>
    </row>
    <row r="29" spans="1:10" x14ac:dyDescent="0.25">
      <c r="A29" s="7" t="s">
        <v>416</v>
      </c>
      <c r="B29" s="2">
        <v>2</v>
      </c>
      <c r="C29" s="2">
        <v>19025</v>
      </c>
      <c r="D29" s="2">
        <f>ROUND(B29*C29,0)</f>
        <v>38050</v>
      </c>
      <c r="E29" s="2"/>
      <c r="F29" s="2"/>
      <c r="H29" s="2"/>
      <c r="I29" s="2"/>
      <c r="J29" s="2"/>
    </row>
    <row r="30" spans="1:10" x14ac:dyDescent="0.25">
      <c r="D30" s="2"/>
      <c r="E30" s="2"/>
      <c r="F30" s="2"/>
      <c r="H30" s="2"/>
      <c r="I30" s="2"/>
      <c r="J30" s="2"/>
    </row>
    <row r="31" spans="1:10" ht="13.8" x14ac:dyDescent="0.3">
      <c r="A31" s="10" t="s">
        <v>1496</v>
      </c>
      <c r="D31" s="2"/>
      <c r="E31" s="2">
        <v>2348.3000000000002</v>
      </c>
      <c r="F31" s="2">
        <v>2340</v>
      </c>
      <c r="G31" s="2">
        <v>2403</v>
      </c>
      <c r="H31" s="2">
        <v>2430</v>
      </c>
      <c r="I31" s="2">
        <v>2430</v>
      </c>
      <c r="J31" s="2">
        <v>2430</v>
      </c>
    </row>
    <row r="32" spans="1:10" x14ac:dyDescent="0.25">
      <c r="A32" s="7" t="s">
        <v>416</v>
      </c>
      <c r="B32" s="2">
        <v>2</v>
      </c>
      <c r="C32" s="2">
        <v>1350</v>
      </c>
      <c r="D32" s="2">
        <f>ROUND(B32*C32,0)</f>
        <v>2700</v>
      </c>
      <c r="E32" s="2"/>
      <c r="F32" s="2"/>
      <c r="H32" s="2"/>
      <c r="I32" s="2"/>
      <c r="J32" s="2"/>
    </row>
    <row r="33" spans="1:10" ht="15" x14ac:dyDescent="0.4">
      <c r="A33" s="7" t="s">
        <v>227</v>
      </c>
      <c r="B33" s="2"/>
      <c r="C33" s="2"/>
      <c r="D33" s="11">
        <f>+C32*0.1*-B32</f>
        <v>-270</v>
      </c>
      <c r="E33" s="2"/>
      <c r="F33" s="2"/>
      <c r="H33" s="2"/>
      <c r="I33" s="2"/>
      <c r="J33" s="2"/>
    </row>
    <row r="34" spans="1:10" x14ac:dyDescent="0.25">
      <c r="A34" s="7" t="s">
        <v>801</v>
      </c>
      <c r="B34" s="2"/>
      <c r="C34" s="2"/>
      <c r="D34" s="2">
        <f>SUM(D32:D33)</f>
        <v>2430</v>
      </c>
      <c r="E34" s="2"/>
      <c r="F34" s="2"/>
      <c r="H34" s="2"/>
      <c r="I34" s="2"/>
      <c r="J34" s="2"/>
    </row>
    <row r="35" spans="1:10" x14ac:dyDescent="0.25">
      <c r="D35" s="2"/>
      <c r="E35" s="2"/>
      <c r="F35" s="2"/>
      <c r="H35" s="2"/>
      <c r="I35" s="2"/>
      <c r="J35" s="2"/>
    </row>
    <row r="36" spans="1:10" ht="13.8" x14ac:dyDescent="0.3">
      <c r="A36" s="10" t="s">
        <v>1497</v>
      </c>
      <c r="D36" s="2"/>
      <c r="E36" s="2">
        <v>230.76</v>
      </c>
      <c r="F36" s="2">
        <v>270</v>
      </c>
      <c r="G36" s="2">
        <v>270</v>
      </c>
      <c r="H36" s="2">
        <v>270</v>
      </c>
      <c r="I36" s="2">
        <v>270</v>
      </c>
      <c r="J36" s="2">
        <v>270</v>
      </c>
    </row>
    <row r="37" spans="1:10" hidden="1" x14ac:dyDescent="0.25">
      <c r="A37" s="7" t="s">
        <v>416</v>
      </c>
      <c r="B37" s="2">
        <v>2</v>
      </c>
      <c r="C37" s="2">
        <v>135</v>
      </c>
      <c r="D37" s="2">
        <f>ROUND(B37*C37,0)</f>
        <v>270</v>
      </c>
      <c r="E37" s="2"/>
      <c r="F37" s="2"/>
      <c r="H37" s="2"/>
      <c r="I37" s="2"/>
      <c r="J37" s="2"/>
    </row>
    <row r="38" spans="1:10" x14ac:dyDescent="0.25">
      <c r="D38" s="2"/>
      <c r="E38" s="2"/>
      <c r="F38" s="2"/>
      <c r="H38" s="2"/>
      <c r="I38" s="2"/>
      <c r="J38" s="2"/>
    </row>
    <row r="39" spans="1:10" ht="13.8" x14ac:dyDescent="0.3">
      <c r="A39" s="10" t="s">
        <v>1418</v>
      </c>
      <c r="D39" s="2"/>
      <c r="E39" s="2">
        <v>932.57</v>
      </c>
      <c r="F39" s="2">
        <v>1260</v>
      </c>
      <c r="G39" s="2">
        <v>1200</v>
      </c>
      <c r="H39" s="2">
        <v>1200</v>
      </c>
      <c r="I39" s="2">
        <v>1200</v>
      </c>
      <c r="J39" s="2">
        <v>1200</v>
      </c>
    </row>
    <row r="40" spans="1:10" hidden="1" x14ac:dyDescent="0.25">
      <c r="A40" s="7" t="s">
        <v>416</v>
      </c>
      <c r="B40" s="2">
        <v>2</v>
      </c>
      <c r="C40" s="2">
        <v>600</v>
      </c>
      <c r="D40" s="2">
        <f>ROUND(B40*C40,0)</f>
        <v>1200</v>
      </c>
      <c r="E40" s="2"/>
      <c r="F40" s="2"/>
      <c r="H40" s="2"/>
      <c r="I40" s="2"/>
      <c r="J40" s="2"/>
    </row>
    <row r="41" spans="1:10" x14ac:dyDescent="0.25">
      <c r="D41" s="2"/>
      <c r="E41" s="2"/>
      <c r="F41" s="2"/>
      <c r="H41" s="2"/>
      <c r="I41" s="2"/>
      <c r="J41" s="2"/>
    </row>
    <row r="42" spans="1:10" ht="13.8" x14ac:dyDescent="0.3">
      <c r="A42" s="10" t="s">
        <v>158</v>
      </c>
      <c r="D42" s="2"/>
      <c r="E42" s="2">
        <v>738</v>
      </c>
      <c r="F42" s="2">
        <v>999</v>
      </c>
      <c r="G42" s="2">
        <v>945</v>
      </c>
      <c r="H42" s="2">
        <v>945</v>
      </c>
      <c r="I42" s="2">
        <v>963</v>
      </c>
      <c r="J42" s="2">
        <v>963</v>
      </c>
    </row>
    <row r="43" spans="1:10" x14ac:dyDescent="0.25">
      <c r="A43" s="13" t="s">
        <v>1468</v>
      </c>
      <c r="B43" s="2">
        <f>+D9</f>
        <v>69057</v>
      </c>
      <c r="C43" s="14">
        <v>7.0000000000000001E-3</v>
      </c>
      <c r="D43" s="2">
        <f>ROUND(B43*C43,0)-9</f>
        <v>474</v>
      </c>
      <c r="E43" s="2"/>
      <c r="F43" s="2"/>
      <c r="H43" s="2"/>
      <c r="I43" s="2"/>
      <c r="J43" s="2"/>
    </row>
    <row r="44" spans="1:10" x14ac:dyDescent="0.25">
      <c r="A44" s="13" t="s">
        <v>807</v>
      </c>
      <c r="B44" s="2">
        <f>+D12</f>
        <v>43680</v>
      </c>
      <c r="C44" s="14">
        <v>7.0000000000000001E-3</v>
      </c>
      <c r="D44" s="2">
        <f>ROUND(B44*C44,0)</f>
        <v>306</v>
      </c>
      <c r="E44" s="2"/>
      <c r="F44" s="2"/>
      <c r="H44" s="2"/>
      <c r="I44" s="2"/>
      <c r="J44" s="2"/>
    </row>
    <row r="45" spans="1:10" ht="15" x14ac:dyDescent="0.4">
      <c r="A45" s="13" t="s">
        <v>184</v>
      </c>
      <c r="B45" s="2">
        <f>+B22</f>
        <v>26180</v>
      </c>
      <c r="C45" s="14">
        <v>7.0000000000000001E-3</v>
      </c>
      <c r="D45" s="11">
        <f>ROUND(B45*C45,0)</f>
        <v>183</v>
      </c>
      <c r="E45" s="2"/>
      <c r="F45" s="2"/>
      <c r="H45" s="2"/>
      <c r="I45" s="2"/>
      <c r="J45" s="2"/>
    </row>
    <row r="46" spans="1:10" x14ac:dyDescent="0.25">
      <c r="A46" s="7" t="s">
        <v>1247</v>
      </c>
      <c r="D46" s="2">
        <f>SUM(D43:D45)</f>
        <v>963</v>
      </c>
      <c r="E46" s="2"/>
      <c r="F46" s="2"/>
      <c r="H46" s="2"/>
      <c r="I46" s="2"/>
      <c r="J46" s="2"/>
    </row>
    <row r="47" spans="1:10" x14ac:dyDescent="0.25">
      <c r="D47" s="2"/>
      <c r="E47" s="2"/>
      <c r="F47" s="2"/>
      <c r="H47" s="2"/>
      <c r="I47" s="2"/>
      <c r="J47" s="2"/>
    </row>
    <row r="48" spans="1:10" ht="13.8" x14ac:dyDescent="0.3">
      <c r="A48" s="10" t="s">
        <v>159</v>
      </c>
      <c r="D48" s="2"/>
      <c r="E48" s="2">
        <v>64.69</v>
      </c>
      <c r="F48" s="2">
        <v>81</v>
      </c>
      <c r="G48" s="2">
        <v>81</v>
      </c>
      <c r="H48" s="2">
        <v>81</v>
      </c>
      <c r="I48" s="2">
        <v>81</v>
      </c>
      <c r="J48" s="2">
        <v>81</v>
      </c>
    </row>
    <row r="49" spans="1:10" hidden="1" x14ac:dyDescent="0.25">
      <c r="A49" s="13" t="s">
        <v>1468</v>
      </c>
      <c r="B49" s="2">
        <v>1</v>
      </c>
      <c r="C49" s="2">
        <v>26</v>
      </c>
      <c r="D49" s="2">
        <f>ROUND(B49*C49,0)</f>
        <v>26</v>
      </c>
      <c r="E49" s="2"/>
      <c r="F49" s="2"/>
      <c r="H49" s="2"/>
      <c r="I49" s="2"/>
      <c r="J49" s="2"/>
    </row>
    <row r="50" spans="1:10" hidden="1" x14ac:dyDescent="0.25">
      <c r="A50" s="13" t="s">
        <v>807</v>
      </c>
      <c r="B50" s="2">
        <v>1</v>
      </c>
      <c r="C50" s="2">
        <v>26</v>
      </c>
      <c r="D50" s="2">
        <f>ROUND(B50*C50,0)</f>
        <v>26</v>
      </c>
      <c r="E50" s="2"/>
      <c r="F50" s="2"/>
      <c r="H50" s="2"/>
      <c r="I50" s="2"/>
      <c r="J50" s="2"/>
    </row>
    <row r="51" spans="1:10" hidden="1" x14ac:dyDescent="0.25">
      <c r="A51" s="7" t="s">
        <v>1463</v>
      </c>
      <c r="B51" s="2">
        <f>+D16</f>
        <v>1575</v>
      </c>
      <c r="C51" s="14">
        <v>1.8E-3</v>
      </c>
      <c r="D51" s="2">
        <f>ROUND(B51*C51,0)</f>
        <v>3</v>
      </c>
      <c r="E51" s="2"/>
      <c r="F51" s="2"/>
      <c r="H51" s="2"/>
      <c r="I51" s="2"/>
      <c r="J51" s="2"/>
    </row>
    <row r="52" spans="1:10" hidden="1" x14ac:dyDescent="0.25">
      <c r="A52" s="13" t="s">
        <v>184</v>
      </c>
      <c r="B52" s="2">
        <v>1</v>
      </c>
      <c r="C52" s="2">
        <v>26</v>
      </c>
      <c r="D52" s="18">
        <f>ROUND(B52*C52,0)</f>
        <v>26</v>
      </c>
      <c r="E52" s="2"/>
      <c r="F52" s="2"/>
      <c r="H52" s="2"/>
      <c r="I52" s="2"/>
      <c r="J52" s="2"/>
    </row>
    <row r="53" spans="1:10" hidden="1" x14ac:dyDescent="0.25">
      <c r="A53" s="7" t="s">
        <v>1247</v>
      </c>
      <c r="D53" s="2">
        <f>SUM(D49:D52)</f>
        <v>81</v>
      </c>
      <c r="E53" s="2"/>
      <c r="F53" s="2"/>
      <c r="H53" s="2"/>
      <c r="I53" s="2"/>
      <c r="J53" s="2"/>
    </row>
    <row r="54" spans="1:10" s="187" customFormat="1" x14ac:dyDescent="0.25">
      <c r="D54" s="2"/>
      <c r="E54" s="2"/>
      <c r="F54" s="2"/>
      <c r="G54" s="2"/>
      <c r="H54" s="2"/>
      <c r="I54" s="2"/>
      <c r="J54" s="2"/>
    </row>
    <row r="55" spans="1:10" s="187" customFormat="1" ht="13.8" x14ac:dyDescent="0.3">
      <c r="A55" s="54" t="s">
        <v>1963</v>
      </c>
      <c r="D55" s="2">
        <v>0</v>
      </c>
      <c r="E55" s="2">
        <v>0</v>
      </c>
      <c r="F55" s="2">
        <v>0</v>
      </c>
      <c r="G55" s="48"/>
      <c r="H55" s="48"/>
      <c r="I55" s="48"/>
      <c r="J55" s="48"/>
    </row>
    <row r="56" spans="1:10" s="187" customFormat="1" ht="13.8" x14ac:dyDescent="0.3">
      <c r="A56" s="54"/>
      <c r="D56" s="2"/>
      <c r="E56" s="2"/>
      <c r="F56" s="2"/>
      <c r="G56" s="48"/>
      <c r="H56" s="48"/>
      <c r="I56" s="48"/>
      <c r="J56" s="48"/>
    </row>
    <row r="57" spans="1:10" x14ac:dyDescent="0.25">
      <c r="A57" s="81" t="s">
        <v>160</v>
      </c>
      <c r="B57" s="62"/>
      <c r="C57" s="62"/>
      <c r="D57" s="3">
        <v>2500</v>
      </c>
      <c r="E57" s="3">
        <v>31.14</v>
      </c>
      <c r="F57" s="3">
        <v>2500</v>
      </c>
      <c r="G57" s="3">
        <v>2500</v>
      </c>
      <c r="H57" s="3">
        <v>2500</v>
      </c>
      <c r="I57" s="3">
        <v>2500</v>
      </c>
      <c r="J57" s="3">
        <v>2500</v>
      </c>
    </row>
    <row r="58" spans="1:10" x14ac:dyDescent="0.25">
      <c r="A58" s="62"/>
      <c r="B58" s="62"/>
      <c r="C58" s="3"/>
      <c r="D58" s="3"/>
      <c r="E58" s="3"/>
      <c r="F58" s="3"/>
      <c r="G58" s="3"/>
      <c r="H58" s="3"/>
      <c r="I58" s="3"/>
      <c r="J58" s="3"/>
    </row>
    <row r="59" spans="1:10" x14ac:dyDescent="0.25">
      <c r="A59" s="81" t="s">
        <v>1233</v>
      </c>
      <c r="B59" s="62"/>
      <c r="C59" s="3"/>
      <c r="D59" s="3">
        <v>0</v>
      </c>
      <c r="E59" s="3">
        <v>0</v>
      </c>
      <c r="F59" s="3">
        <v>0</v>
      </c>
      <c r="G59" s="3">
        <v>0</v>
      </c>
      <c r="H59" s="3">
        <v>0</v>
      </c>
      <c r="I59" s="3">
        <v>0</v>
      </c>
      <c r="J59" s="3">
        <v>0</v>
      </c>
    </row>
    <row r="60" spans="1:10" x14ac:dyDescent="0.25">
      <c r="A60" s="62"/>
      <c r="B60" s="62"/>
      <c r="C60" s="3"/>
      <c r="D60" s="3"/>
      <c r="E60" s="3"/>
      <c r="F60" s="3"/>
      <c r="G60" s="3"/>
      <c r="H60" s="3"/>
      <c r="I60" s="3"/>
      <c r="J60" s="3"/>
    </row>
    <row r="61" spans="1:10" x14ac:dyDescent="0.25">
      <c r="A61" s="81" t="s">
        <v>1234</v>
      </c>
      <c r="B61" s="3"/>
      <c r="C61" s="74" t="s">
        <v>396</v>
      </c>
      <c r="D61" s="74"/>
      <c r="E61" s="3">
        <v>5094.95</v>
      </c>
      <c r="F61" s="3">
        <v>5000</v>
      </c>
      <c r="G61" s="3">
        <v>5140</v>
      </c>
      <c r="H61" s="3">
        <v>5140</v>
      </c>
      <c r="I61" s="3">
        <v>5140</v>
      </c>
      <c r="J61" s="3">
        <v>5140</v>
      </c>
    </row>
    <row r="62" spans="1:10" s="227" customFormat="1" x14ac:dyDescent="0.25">
      <c r="A62" s="227" t="s">
        <v>959</v>
      </c>
      <c r="B62" s="2"/>
      <c r="D62" s="2">
        <v>800</v>
      </c>
      <c r="E62" s="3"/>
      <c r="F62" s="3"/>
      <c r="G62" s="3"/>
      <c r="H62" s="3"/>
      <c r="I62" s="3"/>
      <c r="J62" s="3"/>
    </row>
    <row r="63" spans="1:10" s="227" customFormat="1" x14ac:dyDescent="0.25">
      <c r="A63" s="227" t="s">
        <v>2140</v>
      </c>
      <c r="B63" s="2"/>
      <c r="D63" s="2">
        <v>2300</v>
      </c>
      <c r="E63" s="3"/>
      <c r="F63" s="3"/>
      <c r="G63" s="3"/>
      <c r="H63" s="3"/>
      <c r="I63" s="3"/>
      <c r="J63" s="3"/>
    </row>
    <row r="64" spans="1:10" s="227" customFormat="1" ht="15" x14ac:dyDescent="0.4">
      <c r="A64" s="227" t="s">
        <v>214</v>
      </c>
      <c r="B64" s="2"/>
      <c r="D64" s="11">
        <f>(85*12)+(85*12)</f>
        <v>2040</v>
      </c>
      <c r="E64" s="3"/>
      <c r="F64" s="3"/>
      <c r="G64" s="3"/>
      <c r="H64" s="3"/>
      <c r="I64" s="3"/>
      <c r="J64" s="3"/>
    </row>
    <row r="65" spans="1:10" s="227" customFormat="1" x14ac:dyDescent="0.25">
      <c r="A65" s="227" t="s">
        <v>1247</v>
      </c>
      <c r="B65" s="2"/>
      <c r="D65" s="2">
        <f>SUM(D62:D64)</f>
        <v>5140</v>
      </c>
      <c r="E65" s="3"/>
      <c r="F65" s="3"/>
      <c r="G65" s="3"/>
      <c r="H65" s="3"/>
      <c r="I65" s="3"/>
      <c r="J65" s="3"/>
    </row>
    <row r="66" spans="1:10" x14ac:dyDescent="0.25">
      <c r="A66" s="62"/>
      <c r="B66" s="62"/>
      <c r="C66" s="3"/>
      <c r="D66" s="3"/>
      <c r="E66" s="3"/>
      <c r="F66" s="3"/>
      <c r="G66" s="3"/>
      <c r="H66" s="3"/>
      <c r="I66" s="3"/>
      <c r="J66" s="3"/>
    </row>
    <row r="67" spans="1:10" x14ac:dyDescent="0.25">
      <c r="A67" s="81" t="s">
        <v>1235</v>
      </c>
      <c r="B67" s="62"/>
      <c r="C67" s="3"/>
      <c r="D67" s="3">
        <v>3500</v>
      </c>
      <c r="E67" s="3">
        <v>1960.26</v>
      </c>
      <c r="F67" s="3">
        <v>3500</v>
      </c>
      <c r="G67" s="3">
        <v>3500</v>
      </c>
      <c r="H67" s="3">
        <v>3500</v>
      </c>
      <c r="I67" s="3">
        <v>3500</v>
      </c>
      <c r="J67" s="3">
        <v>3500</v>
      </c>
    </row>
    <row r="68" spans="1:10" x14ac:dyDescent="0.25">
      <c r="A68" s="62"/>
      <c r="B68" s="62"/>
      <c r="C68" s="3"/>
      <c r="D68" s="3"/>
      <c r="E68" s="3"/>
      <c r="F68" s="3"/>
      <c r="G68" s="3"/>
      <c r="H68" s="3"/>
      <c r="I68" s="3"/>
      <c r="J68" s="3"/>
    </row>
    <row r="69" spans="1:10" x14ac:dyDescent="0.25">
      <c r="A69" s="81" t="s">
        <v>1339</v>
      </c>
      <c r="B69" s="62"/>
      <c r="C69" s="3"/>
      <c r="D69" s="3">
        <v>0</v>
      </c>
      <c r="E69" s="3">
        <v>286.2</v>
      </c>
      <c r="F69" s="3">
        <v>0</v>
      </c>
      <c r="G69" s="3"/>
      <c r="H69" s="3"/>
      <c r="I69" s="3"/>
      <c r="J69" s="3"/>
    </row>
    <row r="70" spans="1:10" x14ac:dyDescent="0.25">
      <c r="A70" s="62"/>
      <c r="B70" s="62"/>
      <c r="C70" s="3"/>
      <c r="D70" s="3"/>
      <c r="E70" s="3"/>
      <c r="F70" s="3"/>
      <c r="G70" s="3"/>
      <c r="H70" s="3"/>
      <c r="I70" s="3"/>
      <c r="J70" s="3"/>
    </row>
    <row r="71" spans="1:10" x14ac:dyDescent="0.25">
      <c r="A71" s="82" t="s">
        <v>1236</v>
      </c>
      <c r="B71" s="62"/>
      <c r="C71" s="3"/>
      <c r="D71" s="3"/>
      <c r="E71" s="3">
        <v>1489.18</v>
      </c>
      <c r="F71" s="3">
        <v>1605</v>
      </c>
      <c r="G71" s="3">
        <v>1531</v>
      </c>
      <c r="H71" s="3">
        <v>1531</v>
      </c>
      <c r="I71" s="3">
        <v>1531</v>
      </c>
      <c r="J71" s="3">
        <v>1531</v>
      </c>
    </row>
    <row r="72" spans="1:10" x14ac:dyDescent="0.25">
      <c r="A72" s="62" t="s">
        <v>2141</v>
      </c>
      <c r="B72" s="62"/>
      <c r="C72" s="3"/>
      <c r="D72" s="230">
        <v>1531</v>
      </c>
      <c r="E72" s="3"/>
      <c r="F72" s="3"/>
      <c r="G72" s="3"/>
      <c r="H72" s="3"/>
      <c r="I72" s="3"/>
      <c r="J72" s="3"/>
    </row>
    <row r="73" spans="1:10" x14ac:dyDescent="0.25">
      <c r="A73" s="62"/>
      <c r="B73" s="62"/>
      <c r="C73" s="3"/>
      <c r="D73" s="3"/>
      <c r="E73" s="3"/>
      <c r="F73" s="3"/>
      <c r="G73" s="3"/>
      <c r="H73" s="3"/>
      <c r="I73" s="3"/>
      <c r="J73" s="3"/>
    </row>
    <row r="74" spans="1:10" x14ac:dyDescent="0.25">
      <c r="A74" s="81" t="s">
        <v>1237</v>
      </c>
      <c r="B74" s="62"/>
      <c r="C74" s="74" t="s">
        <v>396</v>
      </c>
      <c r="D74" s="74">
        <v>1500</v>
      </c>
      <c r="E74" s="3">
        <v>86.66</v>
      </c>
      <c r="F74" s="3">
        <v>1500</v>
      </c>
      <c r="G74" s="3">
        <v>1500</v>
      </c>
      <c r="H74" s="3">
        <v>1500</v>
      </c>
      <c r="I74" s="3">
        <v>1500</v>
      </c>
      <c r="J74" s="3">
        <v>1500</v>
      </c>
    </row>
    <row r="75" spans="1:10" x14ac:dyDescent="0.25">
      <c r="A75" s="62"/>
      <c r="B75" s="62"/>
      <c r="C75" s="3"/>
      <c r="D75" s="3"/>
      <c r="E75" s="3"/>
      <c r="F75" s="3"/>
      <c r="G75" s="3"/>
      <c r="H75" s="3"/>
      <c r="I75" s="3"/>
      <c r="J75" s="3"/>
    </row>
    <row r="76" spans="1:10" x14ac:dyDescent="0.25">
      <c r="A76" s="81" t="s">
        <v>1238</v>
      </c>
      <c r="B76" s="62"/>
      <c r="C76" s="3"/>
      <c r="D76" s="3">
        <v>2000</v>
      </c>
      <c r="E76" s="3">
        <v>0</v>
      </c>
      <c r="F76" s="3">
        <v>2000</v>
      </c>
      <c r="G76" s="3">
        <v>2000</v>
      </c>
      <c r="H76" s="3">
        <v>2000</v>
      </c>
      <c r="I76" s="3">
        <v>2000</v>
      </c>
      <c r="J76" s="3">
        <v>2000</v>
      </c>
    </row>
    <row r="77" spans="1:10" x14ac:dyDescent="0.25">
      <c r="A77" s="62"/>
      <c r="B77" s="62"/>
      <c r="C77" s="3"/>
      <c r="D77" s="3"/>
      <c r="E77" s="3"/>
      <c r="F77" s="3"/>
      <c r="G77" s="3"/>
      <c r="H77" s="3"/>
      <c r="I77" s="3"/>
      <c r="J77" s="3"/>
    </row>
    <row r="78" spans="1:10" x14ac:dyDescent="0.25">
      <c r="A78" s="81" t="s">
        <v>696</v>
      </c>
      <c r="B78" s="62"/>
      <c r="C78" s="3"/>
      <c r="D78" s="3">
        <v>5000</v>
      </c>
      <c r="E78" s="3">
        <v>0</v>
      </c>
      <c r="F78" s="3">
        <v>5000</v>
      </c>
      <c r="G78" s="3">
        <v>5000</v>
      </c>
      <c r="H78" s="3">
        <v>5000</v>
      </c>
      <c r="I78" s="3">
        <v>5000</v>
      </c>
      <c r="J78" s="3">
        <v>5000</v>
      </c>
    </row>
    <row r="79" spans="1:10" x14ac:dyDescent="0.25">
      <c r="A79" s="62"/>
      <c r="B79" s="62"/>
      <c r="C79" s="3"/>
      <c r="D79" s="3"/>
      <c r="E79" s="3"/>
      <c r="F79" s="3"/>
      <c r="G79" s="3"/>
      <c r="H79" s="3"/>
      <c r="I79" s="3"/>
      <c r="J79" s="3"/>
    </row>
    <row r="80" spans="1:10" x14ac:dyDescent="0.25">
      <c r="A80" s="81" t="s">
        <v>1239</v>
      </c>
      <c r="B80" s="62"/>
      <c r="C80" s="3"/>
      <c r="D80" s="3">
        <v>3000</v>
      </c>
      <c r="E80" s="3">
        <v>0</v>
      </c>
      <c r="F80" s="3">
        <v>3000</v>
      </c>
      <c r="G80" s="3">
        <v>3000</v>
      </c>
      <c r="H80" s="3">
        <v>3000</v>
      </c>
      <c r="I80" s="3">
        <v>3000</v>
      </c>
      <c r="J80" s="3">
        <v>3000</v>
      </c>
    </row>
    <row r="81" spans="1:12" x14ac:dyDescent="0.25">
      <c r="A81" s="62"/>
      <c r="B81" s="62"/>
      <c r="C81" s="3"/>
      <c r="D81" s="3"/>
      <c r="E81" s="3"/>
      <c r="F81" s="3"/>
      <c r="G81" s="3"/>
      <c r="H81" s="3"/>
      <c r="I81" s="3"/>
      <c r="J81" s="3"/>
    </row>
    <row r="82" spans="1:12" x14ac:dyDescent="0.25">
      <c r="A82" s="81" t="s">
        <v>161</v>
      </c>
      <c r="B82" s="62"/>
      <c r="C82" s="3"/>
      <c r="D82" s="3"/>
      <c r="E82" s="3">
        <v>21173</v>
      </c>
      <c r="F82" s="2">
        <v>18787</v>
      </c>
      <c r="G82" s="2">
        <v>22606</v>
      </c>
      <c r="H82" s="2">
        <v>22606</v>
      </c>
      <c r="I82" s="2">
        <v>22606</v>
      </c>
      <c r="J82" s="2">
        <v>22606</v>
      </c>
    </row>
    <row r="83" spans="1:12" x14ac:dyDescent="0.25">
      <c r="A83" s="42" t="s">
        <v>1338</v>
      </c>
      <c r="B83" s="62"/>
      <c r="C83" s="3"/>
      <c r="D83" s="3">
        <v>20606</v>
      </c>
      <c r="E83" s="3"/>
      <c r="F83" s="3"/>
      <c r="G83" s="3"/>
      <c r="H83" s="3"/>
      <c r="I83" s="3"/>
      <c r="J83" s="3"/>
    </row>
    <row r="84" spans="1:12" ht="15" x14ac:dyDescent="0.4">
      <c r="A84" s="42" t="s">
        <v>1341</v>
      </c>
      <c r="B84" s="62"/>
      <c r="C84" s="3"/>
      <c r="D84" s="31">
        <v>2000</v>
      </c>
      <c r="E84" s="3"/>
      <c r="F84" s="3"/>
      <c r="G84" s="3"/>
      <c r="H84" s="3"/>
      <c r="I84" s="3"/>
      <c r="J84" s="3"/>
    </row>
    <row r="85" spans="1:12" x14ac:dyDescent="0.25">
      <c r="A85" s="42"/>
      <c r="B85" s="62"/>
      <c r="C85" s="3"/>
      <c r="D85" s="3">
        <f>SUM(D83:D84)</f>
        <v>22606</v>
      </c>
      <c r="E85" s="3"/>
      <c r="F85" s="3"/>
      <c r="G85" s="3"/>
      <c r="H85" s="3"/>
      <c r="I85" s="3"/>
      <c r="J85" s="3"/>
    </row>
    <row r="86" spans="1:12" x14ac:dyDescent="0.25">
      <c r="A86" s="62"/>
      <c r="B86" s="62"/>
      <c r="C86" s="3"/>
      <c r="D86" s="3"/>
      <c r="E86" s="3"/>
      <c r="F86" s="3"/>
      <c r="G86" s="3"/>
      <c r="H86" s="3"/>
      <c r="I86" s="3"/>
      <c r="J86" s="3"/>
    </row>
    <row r="87" spans="1:12" x14ac:dyDescent="0.25">
      <c r="A87" s="81" t="s">
        <v>162</v>
      </c>
      <c r="B87" s="62"/>
      <c r="C87" s="3"/>
      <c r="D87" s="3">
        <v>250</v>
      </c>
      <c r="E87" s="3">
        <v>0</v>
      </c>
      <c r="F87" s="3">
        <v>250</v>
      </c>
      <c r="G87" s="3">
        <v>250</v>
      </c>
      <c r="H87" s="3">
        <v>250</v>
      </c>
      <c r="I87" s="3">
        <v>250</v>
      </c>
      <c r="J87" s="3">
        <v>250</v>
      </c>
    </row>
    <row r="88" spans="1:12" x14ac:dyDescent="0.25">
      <c r="A88" s="62"/>
      <c r="B88" s="62"/>
      <c r="C88" s="3"/>
      <c r="D88" s="3"/>
      <c r="E88" s="3"/>
      <c r="F88" s="3"/>
      <c r="G88" s="3"/>
      <c r="H88" s="3"/>
      <c r="I88" s="3"/>
      <c r="J88" s="3"/>
    </row>
    <row r="89" spans="1:12" x14ac:dyDescent="0.25">
      <c r="A89" s="81" t="s">
        <v>1340</v>
      </c>
      <c r="B89" s="62"/>
      <c r="C89" s="3"/>
      <c r="D89" s="3">
        <v>100</v>
      </c>
      <c r="E89" s="3">
        <v>0</v>
      </c>
      <c r="F89" s="3">
        <v>100</v>
      </c>
      <c r="G89" s="3">
        <v>100</v>
      </c>
      <c r="H89" s="3">
        <v>100</v>
      </c>
      <c r="I89" s="3">
        <v>100</v>
      </c>
      <c r="J89" s="3">
        <v>100</v>
      </c>
    </row>
    <row r="90" spans="1:12" x14ac:dyDescent="0.25">
      <c r="A90" s="62"/>
      <c r="B90" s="62"/>
      <c r="C90" s="3"/>
      <c r="D90" s="3"/>
      <c r="E90" s="3"/>
      <c r="F90" s="3"/>
      <c r="G90" s="3"/>
      <c r="H90" s="3"/>
      <c r="I90" s="3"/>
      <c r="J90" s="3"/>
    </row>
    <row r="91" spans="1:12" s="196" customFormat="1" x14ac:dyDescent="0.25">
      <c r="A91" s="81" t="s">
        <v>1976</v>
      </c>
      <c r="B91" s="62"/>
      <c r="C91" s="3"/>
      <c r="D91" s="3"/>
      <c r="E91" s="3">
        <v>0</v>
      </c>
      <c r="F91" s="3">
        <v>0</v>
      </c>
      <c r="G91" s="3"/>
      <c r="H91" s="3"/>
      <c r="I91" s="3"/>
      <c r="J91" s="3"/>
    </row>
    <row r="92" spans="1:12" s="196" customFormat="1" x14ac:dyDescent="0.25">
      <c r="A92" s="62"/>
      <c r="B92" s="62"/>
      <c r="C92" s="3"/>
      <c r="D92" s="3"/>
      <c r="E92" s="3"/>
      <c r="F92" s="3"/>
      <c r="G92" s="3"/>
      <c r="H92" s="3"/>
      <c r="I92" s="3"/>
      <c r="J92" s="3"/>
    </row>
    <row r="93" spans="1:12" ht="15" x14ac:dyDescent="0.4">
      <c r="A93" s="81" t="s">
        <v>163</v>
      </c>
      <c r="B93" s="228" t="s">
        <v>1794</v>
      </c>
      <c r="C93" s="228" t="s">
        <v>1970</v>
      </c>
      <c r="D93" s="80" t="s">
        <v>2129</v>
      </c>
      <c r="E93" s="31">
        <v>820.71</v>
      </c>
      <c r="F93" s="31">
        <v>60000</v>
      </c>
      <c r="G93" s="31">
        <v>95000</v>
      </c>
      <c r="H93" s="31">
        <v>95000</v>
      </c>
      <c r="I93" s="31">
        <v>95000</v>
      </c>
      <c r="J93" s="31">
        <v>95000</v>
      </c>
    </row>
    <row r="94" spans="1:12" x14ac:dyDescent="0.25">
      <c r="A94" s="83" t="s">
        <v>1134</v>
      </c>
      <c r="B94" s="134">
        <v>10000</v>
      </c>
      <c r="C94" s="134">
        <v>10000</v>
      </c>
      <c r="D94" s="134">
        <v>10000</v>
      </c>
      <c r="F94" s="2"/>
      <c r="H94" s="2"/>
      <c r="I94" s="2"/>
      <c r="J94" s="2"/>
      <c r="L94" s="186"/>
    </row>
    <row r="95" spans="1:12" x14ac:dyDescent="0.25">
      <c r="A95" s="83" t="s">
        <v>2303</v>
      </c>
      <c r="B95" s="134">
        <v>0</v>
      </c>
      <c r="C95" s="134">
        <v>0</v>
      </c>
      <c r="D95" s="134">
        <v>5000</v>
      </c>
      <c r="G95" s="7"/>
      <c r="H95" s="247"/>
      <c r="I95" s="295"/>
      <c r="J95" s="298"/>
      <c r="L95" s="186"/>
    </row>
    <row r="96" spans="1:12" x14ac:dyDescent="0.25">
      <c r="A96" s="83" t="s">
        <v>2304</v>
      </c>
      <c r="B96" s="134">
        <v>0</v>
      </c>
      <c r="C96" s="134">
        <v>0</v>
      </c>
      <c r="D96" s="134">
        <v>80000</v>
      </c>
      <c r="G96" s="7"/>
      <c r="H96" s="247"/>
      <c r="I96" s="295"/>
      <c r="J96" s="298"/>
      <c r="L96" s="186"/>
    </row>
    <row r="97" spans="1:12" x14ac:dyDescent="0.25">
      <c r="A97" s="83" t="s">
        <v>1827</v>
      </c>
      <c r="B97" s="134">
        <v>20000</v>
      </c>
      <c r="C97" s="134">
        <v>0</v>
      </c>
      <c r="D97" s="134"/>
      <c r="G97" s="7"/>
      <c r="H97" s="247"/>
      <c r="I97" s="295"/>
      <c r="J97" s="298"/>
      <c r="L97" s="186"/>
    </row>
    <row r="98" spans="1:12" x14ac:dyDescent="0.25">
      <c r="A98" s="83" t="s">
        <v>1828</v>
      </c>
      <c r="B98" s="134">
        <v>20000</v>
      </c>
      <c r="C98" s="134">
        <v>0</v>
      </c>
      <c r="D98" s="134"/>
      <c r="G98" s="7"/>
      <c r="H98" s="247"/>
      <c r="I98" s="295"/>
      <c r="J98" s="298"/>
      <c r="L98" s="186"/>
    </row>
    <row r="99" spans="1:12" s="202" customFormat="1" x14ac:dyDescent="0.25">
      <c r="A99" s="83" t="s">
        <v>2124</v>
      </c>
      <c r="B99" s="134">
        <v>0</v>
      </c>
      <c r="C99" s="134">
        <v>40000</v>
      </c>
      <c r="D99" s="134"/>
      <c r="H99" s="247"/>
      <c r="I99" s="295"/>
      <c r="J99" s="298"/>
    </row>
    <row r="100" spans="1:12" s="202" customFormat="1" x14ac:dyDescent="0.25">
      <c r="A100" s="83" t="s">
        <v>2032</v>
      </c>
      <c r="B100" s="134">
        <v>0</v>
      </c>
      <c r="C100" s="134">
        <v>10000</v>
      </c>
      <c r="D100" s="134"/>
      <c r="H100" s="247"/>
      <c r="I100" s="295"/>
      <c r="J100" s="298"/>
    </row>
    <row r="101" spans="1:12" x14ac:dyDescent="0.25">
      <c r="A101" s="83" t="s">
        <v>1652</v>
      </c>
      <c r="B101" s="135">
        <v>0</v>
      </c>
      <c r="C101" s="135">
        <v>0</v>
      </c>
      <c r="D101" s="135">
        <v>0</v>
      </c>
      <c r="F101" s="2"/>
      <c r="H101" s="2"/>
      <c r="I101" s="2"/>
      <c r="J101" s="2"/>
      <c r="L101" s="186"/>
    </row>
    <row r="102" spans="1:12" x14ac:dyDescent="0.25">
      <c r="B102" s="48">
        <f>SUM(B94:B101)</f>
        <v>50000</v>
      </c>
      <c r="C102" s="48">
        <f>SUM(C94:C101)</f>
        <v>60000</v>
      </c>
      <c r="D102" s="48">
        <f>SUM(D94:D101)</f>
        <v>95000</v>
      </c>
      <c r="F102" s="2"/>
      <c r="H102" s="2"/>
      <c r="I102" s="2"/>
      <c r="J102" s="2"/>
      <c r="L102" s="186"/>
    </row>
    <row r="103" spans="1:12" x14ac:dyDescent="0.25">
      <c r="F103" s="2"/>
      <c r="H103" s="2"/>
      <c r="I103" s="2"/>
      <c r="J103" s="2"/>
      <c r="L103" s="186"/>
    </row>
    <row r="104" spans="1:12" x14ac:dyDescent="0.25">
      <c r="A104" s="20" t="s">
        <v>1332</v>
      </c>
      <c r="D104" s="2"/>
      <c r="E104" s="2">
        <f t="shared" ref="E104:J104" si="0">SUM(E6:E93)</f>
        <v>213038.98000000004</v>
      </c>
      <c r="F104" s="2">
        <f t="shared" si="0"/>
        <v>302512</v>
      </c>
      <c r="G104" s="2">
        <f t="shared" si="0"/>
        <v>341715</v>
      </c>
      <c r="H104" s="2">
        <f t="shared" si="0"/>
        <v>342592</v>
      </c>
      <c r="I104" s="2">
        <f t="shared" si="0"/>
        <v>347259</v>
      </c>
      <c r="J104" s="2">
        <f t="shared" si="0"/>
        <v>347259</v>
      </c>
    </row>
    <row r="105" spans="1:12" x14ac:dyDescent="0.25">
      <c r="G105" s="7"/>
      <c r="H105" s="247"/>
      <c r="I105" s="295"/>
      <c r="J105" s="298"/>
    </row>
    <row r="106" spans="1:12" x14ac:dyDescent="0.25">
      <c r="A106" s="7" t="s">
        <v>594</v>
      </c>
      <c r="E106" s="2">
        <f t="shared" ref="E106:J106" si="1">SUM(E6:E55)</f>
        <v>182096.88</v>
      </c>
      <c r="F106" s="2">
        <f t="shared" si="1"/>
        <v>199270</v>
      </c>
      <c r="G106" s="2">
        <f t="shared" si="1"/>
        <v>199588</v>
      </c>
      <c r="H106" s="2">
        <f t="shared" si="1"/>
        <v>200465</v>
      </c>
      <c r="I106" s="2">
        <f t="shared" si="1"/>
        <v>205132</v>
      </c>
      <c r="J106" s="2">
        <f t="shared" si="1"/>
        <v>205132</v>
      </c>
    </row>
    <row r="107" spans="1:12" x14ac:dyDescent="0.25">
      <c r="A107" s="7" t="s">
        <v>957</v>
      </c>
      <c r="E107" s="2">
        <f t="shared" ref="E107:J107" si="2">SUM(E57:E89)</f>
        <v>30121.39</v>
      </c>
      <c r="F107" s="2">
        <f t="shared" si="2"/>
        <v>43242</v>
      </c>
      <c r="G107" s="2">
        <f t="shared" si="2"/>
        <v>47127</v>
      </c>
      <c r="H107" s="2">
        <f t="shared" si="2"/>
        <v>47127</v>
      </c>
      <c r="I107" s="2">
        <f t="shared" si="2"/>
        <v>47127</v>
      </c>
      <c r="J107" s="2">
        <f t="shared" si="2"/>
        <v>47127</v>
      </c>
    </row>
    <row r="108" spans="1:12" ht="15" x14ac:dyDescent="0.4">
      <c r="A108" s="7" t="s">
        <v>958</v>
      </c>
      <c r="E108" s="11">
        <f>SUM(E91:E102)</f>
        <v>820.71</v>
      </c>
      <c r="F108" s="11">
        <f>SUM(F91:F102)</f>
        <v>60000</v>
      </c>
      <c r="G108" s="11">
        <f>SUM(G93:G102)</f>
        <v>95000</v>
      </c>
      <c r="H108" s="11">
        <f>SUM(H93:H102)</f>
        <v>95000</v>
      </c>
      <c r="I108" s="11">
        <f>SUM(I93:I102)</f>
        <v>95000</v>
      </c>
      <c r="J108" s="11">
        <f>SUM(J93:J102)</f>
        <v>95000</v>
      </c>
    </row>
    <row r="109" spans="1:12" x14ac:dyDescent="0.25">
      <c r="A109" s="7" t="s">
        <v>1247</v>
      </c>
      <c r="E109" s="2">
        <f t="shared" ref="E109:J109" si="3">SUM(E106:E108)</f>
        <v>213038.98</v>
      </c>
      <c r="F109" s="2">
        <f t="shared" si="3"/>
        <v>302512</v>
      </c>
      <c r="G109" s="2">
        <f t="shared" si="3"/>
        <v>341715</v>
      </c>
      <c r="H109" s="2">
        <f t="shared" si="3"/>
        <v>342592</v>
      </c>
      <c r="I109" s="2">
        <f t="shared" si="3"/>
        <v>347259</v>
      </c>
      <c r="J109" s="2">
        <f t="shared" si="3"/>
        <v>347259</v>
      </c>
    </row>
    <row r="110" spans="1:12" x14ac:dyDescent="0.25">
      <c r="A110" s="62"/>
      <c r="E110" s="2"/>
      <c r="F110" s="2"/>
      <c r="H110" s="2"/>
      <c r="I110" s="2"/>
      <c r="J110" s="2"/>
    </row>
    <row r="111" spans="1:12" x14ac:dyDescent="0.25">
      <c r="A111" s="62"/>
      <c r="F111" s="2"/>
      <c r="H111" s="2"/>
      <c r="I111" s="2"/>
      <c r="J111" s="2"/>
    </row>
    <row r="112" spans="1:12" x14ac:dyDescent="0.25">
      <c r="A112" s="62"/>
      <c r="F112" s="2"/>
      <c r="H112" s="2"/>
      <c r="I112" s="2">
        <f>+I109-H109</f>
        <v>4667</v>
      </c>
      <c r="J112" s="2">
        <f>+J109-I109</f>
        <v>0</v>
      </c>
    </row>
    <row r="113" spans="1:10" x14ac:dyDescent="0.25">
      <c r="A113" s="62"/>
      <c r="F113" s="2"/>
      <c r="H113" s="2"/>
      <c r="I113" s="2">
        <f>+I112-4667</f>
        <v>0</v>
      </c>
      <c r="J113" s="2">
        <f>+J112-4667</f>
        <v>-4667</v>
      </c>
    </row>
    <row r="114" spans="1:10" x14ac:dyDescent="0.25">
      <c r="A114" s="62"/>
      <c r="F114" s="2"/>
      <c r="H114" s="2"/>
      <c r="I114" s="2"/>
      <c r="J114" s="2"/>
    </row>
    <row r="115" spans="1:10" x14ac:dyDescent="0.25">
      <c r="A115" s="62"/>
      <c r="F115" s="2"/>
      <c r="H115" s="2"/>
      <c r="I115" s="2"/>
      <c r="J115" s="2"/>
    </row>
    <row r="116" spans="1:10" x14ac:dyDescent="0.25">
      <c r="A116" s="62"/>
      <c r="F116" s="2"/>
      <c r="H116" s="2"/>
      <c r="I116" s="2"/>
      <c r="J116" s="2"/>
    </row>
    <row r="117" spans="1:10" x14ac:dyDescent="0.25">
      <c r="F117" s="2"/>
      <c r="H117" s="2"/>
      <c r="I117" s="2"/>
      <c r="J117" s="2"/>
    </row>
    <row r="118" spans="1:10" x14ac:dyDescent="0.25">
      <c r="F118" s="2"/>
      <c r="H118" s="2"/>
      <c r="I118" s="2"/>
      <c r="J118" s="2"/>
    </row>
    <row r="119" spans="1:10" x14ac:dyDescent="0.25">
      <c r="F119" s="2"/>
      <c r="H119" s="2"/>
      <c r="I119" s="2"/>
      <c r="J119" s="2"/>
    </row>
    <row r="120" spans="1:10" x14ac:dyDescent="0.25">
      <c r="F120" s="2"/>
      <c r="H120" s="2"/>
      <c r="I120" s="2"/>
      <c r="J120" s="2"/>
    </row>
    <row r="121" spans="1:10" x14ac:dyDescent="0.25">
      <c r="F121" s="2"/>
      <c r="H121" s="2"/>
      <c r="I121" s="2"/>
      <c r="J121" s="2"/>
    </row>
    <row r="122" spans="1:10" x14ac:dyDescent="0.25">
      <c r="F122" s="2"/>
      <c r="H122" s="2"/>
      <c r="I122" s="2"/>
      <c r="J122" s="2"/>
    </row>
    <row r="123" spans="1:10" x14ac:dyDescent="0.25">
      <c r="F123" s="2"/>
      <c r="H123" s="2"/>
      <c r="I123" s="2"/>
      <c r="J123" s="2"/>
    </row>
    <row r="124" spans="1:10" x14ac:dyDescent="0.25">
      <c r="F124" s="2"/>
      <c r="H124" s="2"/>
      <c r="I124" s="2"/>
      <c r="J124" s="2"/>
    </row>
    <row r="125" spans="1:10" x14ac:dyDescent="0.25">
      <c r="F125" s="2"/>
      <c r="H125" s="2"/>
      <c r="I125" s="2"/>
      <c r="J125" s="2"/>
    </row>
    <row r="126" spans="1:10" x14ac:dyDescent="0.25">
      <c r="F126" s="2"/>
      <c r="H126" s="2"/>
      <c r="I126" s="2"/>
      <c r="J126" s="2"/>
    </row>
    <row r="127" spans="1:10" x14ac:dyDescent="0.25">
      <c r="F127" s="2"/>
      <c r="H127" s="2"/>
      <c r="I127" s="2"/>
      <c r="J127" s="2"/>
    </row>
    <row r="128" spans="1:10" x14ac:dyDescent="0.25">
      <c r="F128" s="2"/>
      <c r="H128" s="2"/>
      <c r="I128" s="2"/>
      <c r="J128" s="2"/>
    </row>
    <row r="129" spans="6:10" x14ac:dyDescent="0.25">
      <c r="F129" s="2"/>
      <c r="H129" s="2"/>
      <c r="I129" s="2"/>
      <c r="J129" s="2"/>
    </row>
    <row r="130" spans="6:10" x14ac:dyDescent="0.25">
      <c r="F130" s="2"/>
      <c r="H130" s="2"/>
      <c r="I130" s="2"/>
      <c r="J130" s="2"/>
    </row>
    <row r="131" spans="6:10" x14ac:dyDescent="0.25">
      <c r="F131" s="2"/>
      <c r="H131" s="2"/>
      <c r="I131" s="2"/>
      <c r="J131" s="2"/>
    </row>
    <row r="132" spans="6:10" x14ac:dyDescent="0.25">
      <c r="F132" s="2"/>
      <c r="H132" s="2"/>
      <c r="I132" s="2"/>
      <c r="J132" s="2"/>
    </row>
    <row r="133" spans="6:10" x14ac:dyDescent="0.25">
      <c r="F133" s="2"/>
      <c r="H133" s="2"/>
      <c r="I133" s="2"/>
      <c r="J133" s="2"/>
    </row>
    <row r="134" spans="6:10" x14ac:dyDescent="0.25">
      <c r="F134" s="2"/>
      <c r="H134" s="2"/>
      <c r="I134" s="2"/>
      <c r="J134" s="2"/>
    </row>
    <row r="135" spans="6:10" x14ac:dyDescent="0.25">
      <c r="F135" s="2"/>
      <c r="H135" s="2"/>
      <c r="I135" s="2"/>
      <c r="J135" s="2"/>
    </row>
    <row r="136" spans="6:10" x14ac:dyDescent="0.25">
      <c r="F136" s="2"/>
      <c r="H136" s="2"/>
      <c r="I136" s="2"/>
      <c r="J136" s="2"/>
    </row>
    <row r="137" spans="6:10" x14ac:dyDescent="0.25">
      <c r="F137" s="2"/>
      <c r="H137" s="2"/>
      <c r="I137" s="2"/>
      <c r="J137" s="2"/>
    </row>
    <row r="138" spans="6:10" x14ac:dyDescent="0.25">
      <c r="F138" s="2"/>
      <c r="H138" s="2"/>
      <c r="I138" s="2"/>
      <c r="J138" s="2"/>
    </row>
    <row r="139" spans="6:10" x14ac:dyDescent="0.25">
      <c r="F139" s="2"/>
      <c r="H139" s="2"/>
      <c r="I139" s="2"/>
      <c r="J139" s="2"/>
    </row>
    <row r="140" spans="6:10" x14ac:dyDescent="0.25">
      <c r="F140" s="2"/>
      <c r="H140" s="2"/>
      <c r="I140" s="2"/>
      <c r="J140" s="2"/>
    </row>
    <row r="141" spans="6:10" x14ac:dyDescent="0.25">
      <c r="F141" s="2"/>
      <c r="H141" s="2"/>
      <c r="I141" s="2"/>
      <c r="J141" s="2"/>
    </row>
    <row r="142" spans="6:10" x14ac:dyDescent="0.25">
      <c r="F142" s="2"/>
      <c r="H142" s="2"/>
      <c r="I142" s="2"/>
      <c r="J142" s="2"/>
    </row>
    <row r="143" spans="6:10" x14ac:dyDescent="0.25">
      <c r="H143" s="2"/>
      <c r="J143" s="298"/>
    </row>
    <row r="144" spans="6:10" x14ac:dyDescent="0.25">
      <c r="H144" s="2"/>
      <c r="J144" s="298"/>
    </row>
    <row r="145" spans="8:10" x14ac:dyDescent="0.25">
      <c r="H145" s="2"/>
      <c r="J145" s="298"/>
    </row>
    <row r="146" spans="8:10" x14ac:dyDescent="0.25">
      <c r="H146" s="2"/>
      <c r="J146" s="298"/>
    </row>
    <row r="147" spans="8:10" x14ac:dyDescent="0.25">
      <c r="H147" s="2"/>
      <c r="J147" s="298"/>
    </row>
    <row r="148" spans="8:10" x14ac:dyDescent="0.25">
      <c r="H148" s="2"/>
      <c r="J148" s="298"/>
    </row>
    <row r="149" spans="8:10" x14ac:dyDescent="0.25">
      <c r="H149" s="2"/>
      <c r="J149" s="298"/>
    </row>
    <row r="150" spans="8:10" x14ac:dyDescent="0.25">
      <c r="H150" s="2"/>
      <c r="J150" s="298"/>
    </row>
    <row r="151" spans="8:10" x14ac:dyDescent="0.25">
      <c r="H151" s="2"/>
      <c r="J151" s="298"/>
    </row>
    <row r="152" spans="8:10" x14ac:dyDescent="0.25">
      <c r="H152" s="2"/>
      <c r="J152" s="298"/>
    </row>
    <row r="153" spans="8:10" x14ac:dyDescent="0.25">
      <c r="H153" s="2"/>
      <c r="J153" s="298"/>
    </row>
    <row r="154" spans="8:10" x14ac:dyDescent="0.25">
      <c r="H154" s="2"/>
      <c r="J154" s="298"/>
    </row>
    <row r="155" spans="8:10" x14ac:dyDescent="0.25">
      <c r="H155" s="2"/>
      <c r="J155" s="298"/>
    </row>
    <row r="156" spans="8:10" x14ac:dyDescent="0.25">
      <c r="J156" s="298"/>
    </row>
    <row r="157" spans="8:10" x14ac:dyDescent="0.25">
      <c r="J157" s="298"/>
    </row>
    <row r="158" spans="8:10" x14ac:dyDescent="0.25">
      <c r="J158" s="298"/>
    </row>
    <row r="159" spans="8:10" x14ac:dyDescent="0.25">
      <c r="J159" s="298"/>
    </row>
    <row r="160" spans="8:10" x14ac:dyDescent="0.25">
      <c r="J160" s="298"/>
    </row>
    <row r="161" spans="10:10" x14ac:dyDescent="0.25">
      <c r="J161" s="298"/>
    </row>
    <row r="162" spans="10:10" x14ac:dyDescent="0.25">
      <c r="J162" s="298"/>
    </row>
    <row r="163" spans="10:10" x14ac:dyDescent="0.25">
      <c r="J163" s="298"/>
    </row>
    <row r="164" spans="10:10" x14ac:dyDescent="0.25">
      <c r="J164" s="298"/>
    </row>
    <row r="165" spans="10:10" x14ac:dyDescent="0.25">
      <c r="J165" s="298"/>
    </row>
    <row r="166" spans="10:10" x14ac:dyDescent="0.25">
      <c r="J166" s="298"/>
    </row>
    <row r="167" spans="10:10" x14ac:dyDescent="0.25">
      <c r="J167" s="298"/>
    </row>
    <row r="168" spans="10:10" x14ac:dyDescent="0.25">
      <c r="J168" s="298"/>
    </row>
    <row r="169" spans="10:10" x14ac:dyDescent="0.25">
      <c r="J169" s="298"/>
    </row>
    <row r="170" spans="10:10" x14ac:dyDescent="0.25">
      <c r="J170" s="298"/>
    </row>
    <row r="171" spans="10:10" x14ac:dyDescent="0.25">
      <c r="J171" s="298"/>
    </row>
    <row r="172" spans="10:10" x14ac:dyDescent="0.25">
      <c r="J172" s="298"/>
    </row>
    <row r="173" spans="10:10" x14ac:dyDescent="0.25">
      <c r="J173" s="298"/>
    </row>
    <row r="174" spans="10:10" x14ac:dyDescent="0.25">
      <c r="J174" s="298"/>
    </row>
    <row r="175" spans="10:10" x14ac:dyDescent="0.25">
      <c r="J175" s="298"/>
    </row>
    <row r="176" spans="10:10" x14ac:dyDescent="0.25">
      <c r="J176" s="298"/>
    </row>
    <row r="177" spans="10:10" x14ac:dyDescent="0.25">
      <c r="J177" s="298"/>
    </row>
    <row r="178" spans="10:10" x14ac:dyDescent="0.25">
      <c r="J178" s="298"/>
    </row>
    <row r="179" spans="10:10" x14ac:dyDescent="0.25">
      <c r="J179" s="298"/>
    </row>
    <row r="180" spans="10:10" x14ac:dyDescent="0.25">
      <c r="J180" s="298"/>
    </row>
    <row r="181" spans="10:10" x14ac:dyDescent="0.25">
      <c r="J181" s="298"/>
    </row>
    <row r="182" spans="10:10" x14ac:dyDescent="0.25">
      <c r="J182" s="298"/>
    </row>
    <row r="183" spans="10:10" x14ac:dyDescent="0.25">
      <c r="J183" s="298"/>
    </row>
    <row r="184" spans="10:10" x14ac:dyDescent="0.25">
      <c r="J184" s="298"/>
    </row>
    <row r="185" spans="10:10" x14ac:dyDescent="0.25">
      <c r="J185" s="298"/>
    </row>
    <row r="186" spans="10:10" x14ac:dyDescent="0.25">
      <c r="J186" s="298"/>
    </row>
    <row r="187" spans="10:10" x14ac:dyDescent="0.25">
      <c r="J187" s="298"/>
    </row>
    <row r="188" spans="10:10" x14ac:dyDescent="0.25">
      <c r="J188" s="298"/>
    </row>
    <row r="189" spans="10:10" x14ac:dyDescent="0.25">
      <c r="J189" s="298"/>
    </row>
    <row r="190" spans="10:10" x14ac:dyDescent="0.25">
      <c r="J190" s="298"/>
    </row>
    <row r="191" spans="10:10" x14ac:dyDescent="0.25">
      <c r="J191" s="298"/>
    </row>
    <row r="192" spans="10:10" x14ac:dyDescent="0.25">
      <c r="J192" s="298"/>
    </row>
    <row r="193" spans="10:10" x14ac:dyDescent="0.25">
      <c r="J193" s="298"/>
    </row>
    <row r="194" spans="10:10" x14ac:dyDescent="0.25">
      <c r="J194" s="298"/>
    </row>
    <row r="195" spans="10:10" x14ac:dyDescent="0.25">
      <c r="J195" s="298"/>
    </row>
    <row r="196" spans="10:10" x14ac:dyDescent="0.25">
      <c r="J196" s="298"/>
    </row>
    <row r="197" spans="10:10" x14ac:dyDescent="0.25">
      <c r="J197" s="298"/>
    </row>
    <row r="198" spans="10:10" x14ac:dyDescent="0.25">
      <c r="J198" s="298"/>
    </row>
    <row r="199" spans="10:10" x14ac:dyDescent="0.25">
      <c r="J199" s="298"/>
    </row>
    <row r="200" spans="10:10" x14ac:dyDescent="0.25">
      <c r="J200" s="298"/>
    </row>
    <row r="201" spans="10:10" x14ac:dyDescent="0.25">
      <c r="J201" s="298"/>
    </row>
    <row r="202" spans="10:10" x14ac:dyDescent="0.25">
      <c r="J202" s="298"/>
    </row>
    <row r="203" spans="10:10" x14ac:dyDescent="0.25">
      <c r="J203" s="298"/>
    </row>
    <row r="204" spans="10:10" x14ac:dyDescent="0.25">
      <c r="J204" s="298"/>
    </row>
    <row r="205" spans="10:10" x14ac:dyDescent="0.25">
      <c r="J205" s="298"/>
    </row>
    <row r="206" spans="10:10" x14ac:dyDescent="0.25">
      <c r="J206" s="298"/>
    </row>
    <row r="207" spans="10:10" x14ac:dyDescent="0.25">
      <c r="J207" s="298"/>
    </row>
  </sheetData>
  <mergeCells count="1">
    <mergeCell ref="A1:J1"/>
  </mergeCells>
  <phoneticPr fontId="0" type="noConversion"/>
  <printOptions gridLines="1"/>
  <pageMargins left="0.75" right="0.16" top="0.51" bottom="0.22" header="0.5" footer="0"/>
  <pageSetup scale="85" fitToHeight="16"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J23"/>
  <sheetViews>
    <sheetView view="pageBreakPreview" zoomScaleNormal="100" zoomScaleSheetLayoutView="100" workbookViewId="0">
      <selection sqref="A1:J1"/>
    </sheetView>
  </sheetViews>
  <sheetFormatPr defaultColWidth="8.88671875" defaultRowHeight="13.2" x14ac:dyDescent="0.25"/>
  <cols>
    <col min="1" max="1" width="44.44140625" style="7" customWidth="1"/>
    <col min="2" max="3" width="9" style="7" bestFit="1" customWidth="1"/>
    <col min="4" max="4" width="11.6640625" style="7" bestFit="1" customWidth="1"/>
    <col min="5" max="7" width="10.88671875" style="7" customWidth="1"/>
    <col min="8" max="8" width="14.33203125" style="7" customWidth="1"/>
    <col min="9" max="10" width="10.88671875" style="7" customWidth="1"/>
    <col min="11" max="11" width="14.33203125" style="7" customWidth="1"/>
    <col min="12" max="16384" width="8.88671875" style="7"/>
  </cols>
  <sheetData>
    <row r="1" spans="1:10" x14ac:dyDescent="0.25">
      <c r="A1" s="307" t="str">
        <f>'SUMMARY BY FUND'!A1:J1</f>
        <v>2019-20 BUDGET</v>
      </c>
      <c r="B1" s="308"/>
      <c r="C1" s="308"/>
      <c r="D1" s="308"/>
      <c r="E1" s="308"/>
      <c r="F1" s="308"/>
      <c r="G1" s="308"/>
      <c r="H1" s="308"/>
      <c r="I1" s="308"/>
      <c r="J1" s="308"/>
    </row>
    <row r="2" spans="1:10" ht="17.399999999999999" x14ac:dyDescent="0.3">
      <c r="A2" s="180" t="s">
        <v>1953</v>
      </c>
      <c r="B2" s="180"/>
      <c r="C2" s="180"/>
      <c r="D2" s="180"/>
      <c r="E2" s="180"/>
      <c r="F2" s="180"/>
    </row>
    <row r="3" spans="1:10" x14ac:dyDescent="0.25">
      <c r="B3" s="8"/>
      <c r="C3" s="8"/>
      <c r="D3" s="8"/>
      <c r="E3" s="195" t="s">
        <v>233</v>
      </c>
      <c r="F3" s="195" t="s">
        <v>234</v>
      </c>
      <c r="G3" s="195" t="s">
        <v>70</v>
      </c>
      <c r="H3" s="195" t="s">
        <v>409</v>
      </c>
      <c r="I3" s="16" t="s">
        <v>314</v>
      </c>
      <c r="J3" s="16" t="s">
        <v>345</v>
      </c>
    </row>
    <row r="4" spans="1:10" ht="15" x14ac:dyDescent="0.4">
      <c r="B4" s="9"/>
      <c r="C4" s="9"/>
      <c r="D4" s="9"/>
      <c r="E4" s="225" t="s">
        <v>1794</v>
      </c>
      <c r="F4" s="225" t="s">
        <v>1970</v>
      </c>
      <c r="G4" s="225" t="s">
        <v>2129</v>
      </c>
      <c r="H4" s="225" t="s">
        <v>2129</v>
      </c>
      <c r="I4" s="225" t="s">
        <v>2129</v>
      </c>
      <c r="J4" s="225" t="s">
        <v>2129</v>
      </c>
    </row>
    <row r="6" spans="1:10" ht="15" x14ac:dyDescent="0.4">
      <c r="A6" s="10" t="s">
        <v>1742</v>
      </c>
      <c r="B6" s="9" t="s">
        <v>1794</v>
      </c>
      <c r="C6" s="9" t="s">
        <v>1970</v>
      </c>
      <c r="D6" s="9" t="s">
        <v>2129</v>
      </c>
      <c r="E6" s="2">
        <v>88384.47</v>
      </c>
      <c r="F6" s="2">
        <v>99811</v>
      </c>
      <c r="G6" s="2">
        <v>88384</v>
      </c>
      <c r="H6" s="2">
        <v>88384</v>
      </c>
      <c r="I6" s="2">
        <v>88384</v>
      </c>
      <c r="J6" s="2">
        <v>88384</v>
      </c>
    </row>
    <row r="7" spans="1:10" x14ac:dyDescent="0.25">
      <c r="A7" s="7" t="s">
        <v>776</v>
      </c>
      <c r="B7" s="2" t="s">
        <v>396</v>
      </c>
      <c r="C7" s="2" t="s">
        <v>396</v>
      </c>
      <c r="D7" s="2" t="s">
        <v>396</v>
      </c>
      <c r="F7" s="224"/>
      <c r="H7" s="247"/>
      <c r="J7" s="188"/>
    </row>
    <row r="8" spans="1:10" x14ac:dyDescent="0.25">
      <c r="A8" s="7" t="s">
        <v>633</v>
      </c>
      <c r="B8" s="2">
        <v>99811</v>
      </c>
      <c r="C8" s="2">
        <v>99811</v>
      </c>
      <c r="D8" s="2">
        <v>88384</v>
      </c>
      <c r="F8" s="224"/>
      <c r="H8" s="247"/>
      <c r="J8" s="188"/>
    </row>
    <row r="9" spans="1:10" x14ac:dyDescent="0.25">
      <c r="F9" s="224"/>
      <c r="H9" s="247"/>
      <c r="J9" s="188"/>
    </row>
    <row r="10" spans="1:10" ht="15" x14ac:dyDescent="0.4">
      <c r="E10" s="11">
        <v>0</v>
      </c>
      <c r="F10" s="11">
        <v>0</v>
      </c>
      <c r="G10" s="11">
        <v>0</v>
      </c>
      <c r="H10" s="11">
        <v>0</v>
      </c>
      <c r="I10" s="11">
        <v>0</v>
      </c>
      <c r="J10" s="11">
        <v>0</v>
      </c>
    </row>
    <row r="11" spans="1:10" x14ac:dyDescent="0.25">
      <c r="E11" s="2"/>
      <c r="H11" s="247"/>
      <c r="J11" s="188"/>
    </row>
    <row r="12" spans="1:10" x14ac:dyDescent="0.25">
      <c r="A12" s="20" t="s">
        <v>1332</v>
      </c>
      <c r="D12" s="2"/>
      <c r="E12" s="2">
        <f t="shared" ref="E12:J12" si="0">SUM(E6:E11)</f>
        <v>88384.47</v>
      </c>
      <c r="F12" s="2">
        <f t="shared" si="0"/>
        <v>99811</v>
      </c>
      <c r="G12" s="2">
        <f t="shared" si="0"/>
        <v>88384</v>
      </c>
      <c r="H12" s="2">
        <f>SUM(H6:H11)</f>
        <v>88384</v>
      </c>
      <c r="I12" s="2">
        <f t="shared" si="0"/>
        <v>88384</v>
      </c>
      <c r="J12" s="2">
        <f t="shared" si="0"/>
        <v>88384</v>
      </c>
    </row>
    <row r="13" spans="1:10" x14ac:dyDescent="0.25">
      <c r="H13" s="247"/>
      <c r="J13" s="188"/>
    </row>
    <row r="14" spans="1:10" x14ac:dyDescent="0.25">
      <c r="H14" s="247"/>
      <c r="J14" s="188"/>
    </row>
    <row r="15" spans="1:10" x14ac:dyDescent="0.25">
      <c r="A15" s="7" t="s">
        <v>594</v>
      </c>
      <c r="E15" s="2">
        <v>0</v>
      </c>
      <c r="F15" s="2">
        <v>0</v>
      </c>
      <c r="G15" s="2">
        <v>0</v>
      </c>
      <c r="H15" s="2">
        <v>0</v>
      </c>
      <c r="I15" s="2">
        <v>0</v>
      </c>
      <c r="J15" s="2">
        <v>0</v>
      </c>
    </row>
    <row r="16" spans="1:10" x14ac:dyDescent="0.25">
      <c r="A16" s="7" t="s">
        <v>957</v>
      </c>
      <c r="E16" s="2">
        <f t="shared" ref="E16:J16" si="1">+E6</f>
        <v>88384.47</v>
      </c>
      <c r="F16" s="2">
        <f t="shared" si="1"/>
        <v>99811</v>
      </c>
      <c r="G16" s="2">
        <f t="shared" si="1"/>
        <v>88384</v>
      </c>
      <c r="H16" s="2">
        <f>+H6</f>
        <v>88384</v>
      </c>
      <c r="I16" s="2">
        <f t="shared" si="1"/>
        <v>88384</v>
      </c>
      <c r="J16" s="2">
        <f t="shared" si="1"/>
        <v>88384</v>
      </c>
    </row>
    <row r="17" spans="1:10" ht="15" x14ac:dyDescent="0.4">
      <c r="A17" s="7" t="s">
        <v>958</v>
      </c>
      <c r="E17" s="11">
        <v>0</v>
      </c>
      <c r="F17" s="11">
        <v>0</v>
      </c>
      <c r="G17" s="11">
        <v>0</v>
      </c>
      <c r="H17" s="11">
        <v>0</v>
      </c>
      <c r="I17" s="11">
        <v>0</v>
      </c>
      <c r="J17" s="11">
        <v>0</v>
      </c>
    </row>
    <row r="18" spans="1:10" x14ac:dyDescent="0.25">
      <c r="A18" s="7" t="s">
        <v>1247</v>
      </c>
      <c r="E18" s="2">
        <f t="shared" ref="E18:J18" si="2">SUM(E15:E17)</f>
        <v>88384.47</v>
      </c>
      <c r="F18" s="2">
        <f t="shared" si="2"/>
        <v>99811</v>
      </c>
      <c r="G18" s="2">
        <f t="shared" si="2"/>
        <v>88384</v>
      </c>
      <c r="H18" s="2">
        <f t="shared" si="2"/>
        <v>88384</v>
      </c>
      <c r="I18" s="2">
        <f t="shared" si="2"/>
        <v>88384</v>
      </c>
      <c r="J18" s="2">
        <f t="shared" si="2"/>
        <v>88384</v>
      </c>
    </row>
    <row r="22" spans="1:10" x14ac:dyDescent="0.25">
      <c r="H22" s="2"/>
    </row>
    <row r="23" spans="1:10" x14ac:dyDescent="0.25">
      <c r="H23" s="12"/>
    </row>
  </sheetData>
  <mergeCells count="1">
    <mergeCell ref="A1:J1"/>
  </mergeCells>
  <phoneticPr fontId="5" type="noConversion"/>
  <printOptions gridLines="1"/>
  <pageMargins left="0.75" right="0.16" top="0.51" bottom="0.16" header="0.5" footer="0"/>
  <pageSetup scale="91"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view="pageBreakPreview" zoomScaleNormal="100" zoomScaleSheetLayoutView="100" workbookViewId="0">
      <selection activeCell="AD26" sqref="AD26"/>
    </sheetView>
  </sheetViews>
  <sheetFormatPr defaultColWidth="8.88671875" defaultRowHeight="13.2" x14ac:dyDescent="0.25"/>
  <cols>
    <col min="1" max="1" width="44.44140625" style="298" customWidth="1"/>
    <col min="2" max="2" width="10.21875" style="298" bestFit="1" customWidth="1"/>
    <col min="3" max="3" width="10.33203125" style="298" bestFit="1" customWidth="1"/>
    <col min="4" max="4" width="11.6640625" style="298" bestFit="1" customWidth="1"/>
    <col min="5" max="7" width="10.88671875" style="298" customWidth="1"/>
    <col min="8" max="8" width="14.33203125" style="298" customWidth="1"/>
    <col min="9" max="9" width="10.88671875" style="298" customWidth="1"/>
    <col min="10" max="10" width="11.33203125" style="298" bestFit="1" customWidth="1"/>
    <col min="11" max="12" width="14.33203125" style="298" customWidth="1"/>
    <col min="13" max="16384" width="8.88671875" style="298"/>
  </cols>
  <sheetData>
    <row r="1" spans="1:10" x14ac:dyDescent="0.25">
      <c r="A1" s="307" t="str">
        <f>'SUMMARY BY FUND'!A1:J1</f>
        <v>2019-20 BUDGET</v>
      </c>
      <c r="B1" s="308"/>
      <c r="C1" s="308"/>
      <c r="D1" s="308"/>
      <c r="E1" s="308"/>
      <c r="F1" s="308"/>
      <c r="G1" s="308"/>
      <c r="H1" s="308"/>
      <c r="I1" s="308"/>
      <c r="J1" s="308"/>
    </row>
    <row r="2" spans="1:10" ht="17.399999999999999" x14ac:dyDescent="0.3">
      <c r="A2" s="180" t="s">
        <v>2328</v>
      </c>
      <c r="B2" s="180"/>
      <c r="C2" s="180"/>
      <c r="D2" s="180"/>
      <c r="E2" s="180"/>
      <c r="F2" s="180"/>
    </row>
    <row r="3" spans="1:10" x14ac:dyDescent="0.25">
      <c r="B3" s="8"/>
      <c r="C3" s="8"/>
      <c r="D3" s="8"/>
      <c r="E3" s="195" t="s">
        <v>233</v>
      </c>
      <c r="F3" s="195" t="s">
        <v>234</v>
      </c>
      <c r="G3" s="195" t="s">
        <v>70</v>
      </c>
      <c r="H3" s="195" t="s">
        <v>409</v>
      </c>
      <c r="I3" s="16" t="s">
        <v>314</v>
      </c>
      <c r="J3" s="16" t="s">
        <v>345</v>
      </c>
    </row>
    <row r="4" spans="1:10" ht="15" x14ac:dyDescent="0.4">
      <c r="B4" s="9"/>
      <c r="C4" s="9"/>
      <c r="D4" s="9"/>
      <c r="E4" s="299" t="s">
        <v>1794</v>
      </c>
      <c r="F4" s="299" t="s">
        <v>1970</v>
      </c>
      <c r="G4" s="299" t="s">
        <v>2129</v>
      </c>
      <c r="H4" s="299" t="s">
        <v>2129</v>
      </c>
      <c r="I4" s="299" t="s">
        <v>2129</v>
      </c>
      <c r="J4" s="299" t="s">
        <v>2129</v>
      </c>
    </row>
    <row r="6" spans="1:10" ht="15" x14ac:dyDescent="0.4">
      <c r="A6" s="300" t="s">
        <v>2329</v>
      </c>
      <c r="B6" s="9" t="s">
        <v>1794</v>
      </c>
      <c r="C6" s="9" t="s">
        <v>1970</v>
      </c>
      <c r="D6" s="9" t="s">
        <v>2129</v>
      </c>
      <c r="E6" s="2"/>
      <c r="F6" s="2">
        <v>0</v>
      </c>
      <c r="G6" s="2">
        <v>0</v>
      </c>
      <c r="H6" s="2">
        <v>0</v>
      </c>
      <c r="I6" s="2">
        <v>0</v>
      </c>
      <c r="J6" s="2">
        <v>0</v>
      </c>
    </row>
    <row r="7" spans="1:10" x14ac:dyDescent="0.25">
      <c r="B7" s="2" t="s">
        <v>396</v>
      </c>
      <c r="C7" s="2" t="s">
        <v>396</v>
      </c>
      <c r="D7" s="2" t="s">
        <v>396</v>
      </c>
    </row>
    <row r="8" spans="1:10" x14ac:dyDescent="0.25">
      <c r="A8" s="298" t="s">
        <v>1971</v>
      </c>
      <c r="B8" s="2">
        <v>0</v>
      </c>
      <c r="C8" s="2">
        <v>0</v>
      </c>
      <c r="D8" s="2">
        <v>13100000</v>
      </c>
      <c r="E8" s="226">
        <v>0</v>
      </c>
      <c r="J8" s="2">
        <v>13100000</v>
      </c>
    </row>
    <row r="10" spans="1:10" ht="15" x14ac:dyDescent="0.4">
      <c r="E10" s="11">
        <v>0</v>
      </c>
      <c r="F10" s="11">
        <v>0</v>
      </c>
      <c r="G10" s="11">
        <v>0</v>
      </c>
      <c r="H10" s="11">
        <v>0</v>
      </c>
      <c r="I10" s="11">
        <v>0</v>
      </c>
      <c r="J10" s="11">
        <v>0</v>
      </c>
    </row>
    <row r="11" spans="1:10" x14ac:dyDescent="0.25">
      <c r="E11" s="2"/>
    </row>
    <row r="12" spans="1:10" x14ac:dyDescent="0.25">
      <c r="A12" s="20" t="s">
        <v>1332</v>
      </c>
      <c r="D12" s="2"/>
      <c r="E12" s="2">
        <f t="shared" ref="E12:J12" si="0">SUM(E6:E11)</f>
        <v>0</v>
      </c>
      <c r="F12" s="2">
        <f t="shared" si="0"/>
        <v>0</v>
      </c>
      <c r="G12" s="2">
        <f t="shared" si="0"/>
        <v>0</v>
      </c>
      <c r="H12" s="2">
        <f t="shared" si="0"/>
        <v>0</v>
      </c>
      <c r="I12" s="2">
        <f t="shared" si="0"/>
        <v>0</v>
      </c>
      <c r="J12" s="2">
        <f t="shared" si="0"/>
        <v>13100000</v>
      </c>
    </row>
    <row r="15" spans="1:10" x14ac:dyDescent="0.25">
      <c r="A15" s="298" t="s">
        <v>594</v>
      </c>
      <c r="E15" s="2">
        <v>0</v>
      </c>
      <c r="F15" s="2">
        <v>0</v>
      </c>
      <c r="G15" s="2">
        <v>0</v>
      </c>
      <c r="H15" s="2">
        <v>0</v>
      </c>
      <c r="I15" s="2">
        <v>0</v>
      </c>
      <c r="J15" s="2">
        <v>0</v>
      </c>
    </row>
    <row r="16" spans="1:10" x14ac:dyDescent="0.25">
      <c r="A16" s="298" t="s">
        <v>957</v>
      </c>
      <c r="E16" s="2">
        <f>+E6</f>
        <v>0</v>
      </c>
      <c r="F16" s="2">
        <f>+F6</f>
        <v>0</v>
      </c>
      <c r="G16" s="2">
        <f>+G6</f>
        <v>0</v>
      </c>
      <c r="H16" s="2">
        <f>+H6</f>
        <v>0</v>
      </c>
      <c r="I16" s="2">
        <f>+I6</f>
        <v>0</v>
      </c>
      <c r="J16" s="2">
        <v>0</v>
      </c>
    </row>
    <row r="17" spans="1:10" ht="15" x14ac:dyDescent="0.4">
      <c r="A17" s="298" t="s">
        <v>958</v>
      </c>
      <c r="E17" s="11">
        <v>0</v>
      </c>
      <c r="F17" s="11">
        <v>0</v>
      </c>
      <c r="G17" s="11">
        <v>0</v>
      </c>
      <c r="H17" s="11">
        <v>0</v>
      </c>
      <c r="I17" s="11">
        <v>0</v>
      </c>
      <c r="J17" s="11">
        <f>+J12</f>
        <v>13100000</v>
      </c>
    </row>
    <row r="18" spans="1:10" x14ac:dyDescent="0.25">
      <c r="A18" s="298" t="s">
        <v>1247</v>
      </c>
      <c r="E18" s="2">
        <f t="shared" ref="E18:J18" si="1">SUM(E15:E17)</f>
        <v>0</v>
      </c>
      <c r="F18" s="2">
        <f t="shared" si="1"/>
        <v>0</v>
      </c>
      <c r="G18" s="2">
        <f t="shared" si="1"/>
        <v>0</v>
      </c>
      <c r="H18" s="2">
        <f t="shared" si="1"/>
        <v>0</v>
      </c>
      <c r="I18" s="2">
        <f t="shared" si="1"/>
        <v>0</v>
      </c>
      <c r="J18" s="2">
        <f t="shared" si="1"/>
        <v>13100000</v>
      </c>
    </row>
    <row r="22" spans="1:10" x14ac:dyDescent="0.25">
      <c r="H22" s="2"/>
    </row>
    <row r="23" spans="1:10" x14ac:dyDescent="0.25">
      <c r="H23" s="12"/>
    </row>
  </sheetData>
  <mergeCells count="1">
    <mergeCell ref="A1:J1"/>
  </mergeCells>
  <printOptions gridLines="1"/>
  <pageMargins left="0.75" right="0.16" top="0.51" bottom="0.16" header="0.5" footer="0"/>
  <pageSetup scale="9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view="pageBreakPreview" zoomScaleNormal="100" zoomScaleSheetLayoutView="100" workbookViewId="0">
      <selection activeCell="AD26" sqref="AD26"/>
    </sheetView>
  </sheetViews>
  <sheetFormatPr defaultColWidth="8.88671875" defaultRowHeight="13.2" x14ac:dyDescent="0.25"/>
  <cols>
    <col min="1" max="1" width="44.44140625" style="188" customWidth="1"/>
    <col min="2" max="2" width="10.21875" style="188" bestFit="1" customWidth="1"/>
    <col min="3" max="3" width="10.33203125" style="188" bestFit="1" customWidth="1"/>
    <col min="4" max="4" width="11.6640625" style="188" bestFit="1" customWidth="1"/>
    <col min="5" max="7" width="10.88671875" style="188" customWidth="1"/>
    <col min="8" max="8" width="14.33203125" style="188" customWidth="1"/>
    <col min="9" max="9" width="10.88671875" style="188" customWidth="1"/>
    <col min="10" max="10" width="11.33203125" style="188" bestFit="1" customWidth="1"/>
    <col min="11" max="12" width="14.33203125" style="188" customWidth="1"/>
    <col min="13" max="16384" width="8.88671875" style="188"/>
  </cols>
  <sheetData>
    <row r="1" spans="1:10" x14ac:dyDescent="0.25">
      <c r="A1" s="307" t="str">
        <f>'SUMMARY BY FUND'!A1:J1</f>
        <v>2019-20 BUDGET</v>
      </c>
      <c r="B1" s="308"/>
      <c r="C1" s="308"/>
      <c r="D1" s="308"/>
      <c r="E1" s="308"/>
      <c r="F1" s="308"/>
      <c r="G1" s="308"/>
      <c r="H1" s="308"/>
      <c r="I1" s="308"/>
      <c r="J1" s="308"/>
    </row>
    <row r="2" spans="1:10" ht="17.399999999999999" x14ac:dyDescent="0.3">
      <c r="A2" s="180" t="s">
        <v>2100</v>
      </c>
      <c r="B2" s="180"/>
      <c r="C2" s="180"/>
      <c r="D2" s="180"/>
      <c r="E2" s="180"/>
      <c r="F2" s="180"/>
    </row>
    <row r="3" spans="1:10" x14ac:dyDescent="0.25">
      <c r="B3" s="8"/>
      <c r="C3" s="8"/>
      <c r="D3" s="8"/>
      <c r="E3" s="195" t="s">
        <v>233</v>
      </c>
      <c r="F3" s="195" t="s">
        <v>234</v>
      </c>
      <c r="G3" s="195" t="s">
        <v>70</v>
      </c>
      <c r="H3" s="195" t="s">
        <v>409</v>
      </c>
      <c r="I3" s="16" t="s">
        <v>314</v>
      </c>
      <c r="J3" s="16" t="s">
        <v>345</v>
      </c>
    </row>
    <row r="4" spans="1:10" ht="15" x14ac:dyDescent="0.4">
      <c r="B4" s="9"/>
      <c r="C4" s="9"/>
      <c r="D4" s="9"/>
      <c r="E4" s="225" t="s">
        <v>1794</v>
      </c>
      <c r="F4" s="225" t="s">
        <v>1970</v>
      </c>
      <c r="G4" s="225" t="s">
        <v>2129</v>
      </c>
      <c r="H4" s="225" t="s">
        <v>2129</v>
      </c>
      <c r="I4" s="225" t="s">
        <v>2129</v>
      </c>
      <c r="J4" s="225" t="s">
        <v>2129</v>
      </c>
    </row>
    <row r="6" spans="1:10" ht="15" x14ac:dyDescent="0.4">
      <c r="A6" s="189" t="s">
        <v>2136</v>
      </c>
      <c r="B6" s="9" t="s">
        <v>1794</v>
      </c>
      <c r="C6" s="9" t="s">
        <v>1970</v>
      </c>
      <c r="D6" s="9" t="s">
        <v>2129</v>
      </c>
      <c r="E6" s="2"/>
      <c r="F6" s="2">
        <v>0</v>
      </c>
      <c r="G6" s="2">
        <v>0</v>
      </c>
      <c r="H6" s="2">
        <v>0</v>
      </c>
      <c r="I6" s="2">
        <v>0</v>
      </c>
      <c r="J6" s="2">
        <v>0</v>
      </c>
    </row>
    <row r="7" spans="1:10" x14ac:dyDescent="0.25">
      <c r="B7" s="2" t="s">
        <v>396</v>
      </c>
      <c r="C7" s="2" t="s">
        <v>396</v>
      </c>
      <c r="D7" s="2" t="s">
        <v>396</v>
      </c>
      <c r="F7" s="190"/>
    </row>
    <row r="8" spans="1:10" x14ac:dyDescent="0.25">
      <c r="A8" s="188" t="s">
        <v>1971</v>
      </c>
      <c r="B8" s="2">
        <v>3300000</v>
      </c>
      <c r="C8" s="2">
        <v>0</v>
      </c>
      <c r="D8" s="2">
        <v>0</v>
      </c>
      <c r="E8" s="226">
        <v>439646.28</v>
      </c>
    </row>
    <row r="10" spans="1:10" ht="15" x14ac:dyDescent="0.4">
      <c r="E10" s="11">
        <v>0</v>
      </c>
      <c r="F10" s="11">
        <v>0</v>
      </c>
      <c r="G10" s="11">
        <v>0</v>
      </c>
      <c r="H10" s="11">
        <v>0</v>
      </c>
      <c r="I10" s="11">
        <v>0</v>
      </c>
      <c r="J10" s="11">
        <v>0</v>
      </c>
    </row>
    <row r="11" spans="1:10" x14ac:dyDescent="0.25">
      <c r="E11" s="2"/>
    </row>
    <row r="12" spans="1:10" x14ac:dyDescent="0.25">
      <c r="A12" s="20" t="s">
        <v>1332</v>
      </c>
      <c r="D12" s="2"/>
      <c r="E12" s="2">
        <f t="shared" ref="E12:J12" si="0">SUM(E6:E11)</f>
        <v>439646.28</v>
      </c>
      <c r="F12" s="2">
        <f t="shared" si="0"/>
        <v>0</v>
      </c>
      <c r="G12" s="2">
        <f t="shared" si="0"/>
        <v>0</v>
      </c>
      <c r="H12" s="2">
        <f t="shared" si="0"/>
        <v>0</v>
      </c>
      <c r="I12" s="2">
        <f t="shared" si="0"/>
        <v>0</v>
      </c>
      <c r="J12" s="2">
        <f t="shared" si="0"/>
        <v>0</v>
      </c>
    </row>
    <row r="15" spans="1:10" x14ac:dyDescent="0.25">
      <c r="A15" s="188" t="s">
        <v>594</v>
      </c>
      <c r="E15" s="2">
        <v>0</v>
      </c>
      <c r="F15" s="2">
        <v>0</v>
      </c>
      <c r="G15" s="2">
        <v>0</v>
      </c>
      <c r="H15" s="2">
        <v>0</v>
      </c>
      <c r="I15" s="2">
        <v>0</v>
      </c>
      <c r="J15" s="2">
        <v>0</v>
      </c>
    </row>
    <row r="16" spans="1:10" x14ac:dyDescent="0.25">
      <c r="A16" s="188" t="s">
        <v>957</v>
      </c>
      <c r="E16" s="2">
        <f>+E6</f>
        <v>0</v>
      </c>
      <c r="F16" s="2">
        <f>+F6</f>
        <v>0</v>
      </c>
      <c r="G16" s="2">
        <f>+G6</f>
        <v>0</v>
      </c>
      <c r="H16" s="2">
        <f>+H6</f>
        <v>0</v>
      </c>
      <c r="I16" s="2">
        <f>+I6</f>
        <v>0</v>
      </c>
      <c r="J16" s="2">
        <v>0</v>
      </c>
    </row>
    <row r="17" spans="1:10" ht="15" x14ac:dyDescent="0.4">
      <c r="A17" s="188" t="s">
        <v>958</v>
      </c>
      <c r="E17" s="11">
        <v>0</v>
      </c>
      <c r="F17" s="11">
        <v>0</v>
      </c>
      <c r="G17" s="11">
        <v>0</v>
      </c>
      <c r="H17" s="11">
        <v>0</v>
      </c>
      <c r="I17" s="11">
        <v>0</v>
      </c>
      <c r="J17" s="11">
        <f>+J12</f>
        <v>0</v>
      </c>
    </row>
    <row r="18" spans="1:10" x14ac:dyDescent="0.25">
      <c r="A18" s="188" t="s">
        <v>1247</v>
      </c>
      <c r="E18" s="2">
        <f t="shared" ref="E18:J18" si="1">SUM(E15:E17)</f>
        <v>0</v>
      </c>
      <c r="F18" s="2">
        <f t="shared" si="1"/>
        <v>0</v>
      </c>
      <c r="G18" s="2">
        <f t="shared" si="1"/>
        <v>0</v>
      </c>
      <c r="H18" s="2">
        <f t="shared" si="1"/>
        <v>0</v>
      </c>
      <c r="I18" s="2">
        <f t="shared" si="1"/>
        <v>0</v>
      </c>
      <c r="J18" s="2">
        <f t="shared" si="1"/>
        <v>0</v>
      </c>
    </row>
    <row r="22" spans="1:10" x14ac:dyDescent="0.25">
      <c r="H22" s="2"/>
    </row>
    <row r="23" spans="1:10" x14ac:dyDescent="0.25">
      <c r="H23" s="12"/>
    </row>
  </sheetData>
  <mergeCells count="1">
    <mergeCell ref="A1:J1"/>
  </mergeCells>
  <printOptions gridLines="1"/>
  <pageMargins left="0.75" right="0.16" top="0.51" bottom="0.16" header="0.5" footer="0"/>
  <pageSetup scale="9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J25"/>
  <sheetViews>
    <sheetView view="pageBreakPreview" zoomScaleNormal="100" zoomScaleSheetLayoutView="100" workbookViewId="0">
      <selection activeCell="AD26" sqref="AD26"/>
    </sheetView>
  </sheetViews>
  <sheetFormatPr defaultColWidth="8.88671875" defaultRowHeight="13.2" x14ac:dyDescent="0.25"/>
  <cols>
    <col min="1" max="1" width="41.44140625" style="7" bestFit="1" customWidth="1"/>
    <col min="2" max="3" width="9" style="7" bestFit="1" customWidth="1"/>
    <col min="4" max="4" width="11.6640625" style="7" bestFit="1" customWidth="1"/>
    <col min="5" max="6" width="11.33203125" style="7" bestFit="1" customWidth="1"/>
    <col min="7" max="7" width="11.6640625" style="7" bestFit="1" customWidth="1"/>
    <col min="8" max="8" width="13.5546875" style="7" bestFit="1" customWidth="1"/>
    <col min="9" max="10" width="11.33203125" style="7" bestFit="1" customWidth="1"/>
    <col min="11" max="11" width="0" style="7" hidden="1" customWidth="1"/>
    <col min="12" max="16384" width="8.88671875" style="7"/>
  </cols>
  <sheetData>
    <row r="1" spans="1:10" x14ac:dyDescent="0.25">
      <c r="A1" s="307" t="str">
        <f>'SUMMARY BY FUND'!A1:J1</f>
        <v>2019-20 BUDGET</v>
      </c>
      <c r="B1" s="308"/>
      <c r="C1" s="308"/>
      <c r="D1" s="308"/>
      <c r="E1" s="308"/>
      <c r="F1" s="308"/>
      <c r="G1" s="308"/>
      <c r="H1" s="308"/>
      <c r="I1" s="308"/>
    </row>
    <row r="2" spans="1:10" ht="17.399999999999999" x14ac:dyDescent="0.3">
      <c r="A2" s="180" t="s">
        <v>1954</v>
      </c>
      <c r="B2" s="180"/>
      <c r="C2" s="180"/>
      <c r="D2" s="180"/>
      <c r="E2" s="180"/>
      <c r="F2" s="180"/>
    </row>
    <row r="3" spans="1:10" x14ac:dyDescent="0.25">
      <c r="B3" s="8"/>
      <c r="C3" s="8"/>
      <c r="D3" s="8"/>
      <c r="E3" s="195" t="s">
        <v>233</v>
      </c>
      <c r="F3" s="195" t="s">
        <v>234</v>
      </c>
      <c r="G3" s="195" t="s">
        <v>70</v>
      </c>
      <c r="H3" s="195" t="s">
        <v>409</v>
      </c>
      <c r="I3" s="16" t="s">
        <v>314</v>
      </c>
      <c r="J3" s="16" t="s">
        <v>345</v>
      </c>
    </row>
    <row r="4" spans="1:10" ht="15" x14ac:dyDescent="0.4">
      <c r="B4" s="9"/>
      <c r="C4" s="9"/>
      <c r="D4" s="9"/>
      <c r="E4" s="225" t="s">
        <v>1794</v>
      </c>
      <c r="F4" s="225" t="s">
        <v>1970</v>
      </c>
      <c r="G4" s="225" t="s">
        <v>2129</v>
      </c>
      <c r="H4" s="225" t="s">
        <v>2129</v>
      </c>
      <c r="I4" s="225" t="s">
        <v>2129</v>
      </c>
      <c r="J4" s="225" t="s">
        <v>2129</v>
      </c>
    </row>
    <row r="5" spans="1:10" ht="13.8" x14ac:dyDescent="0.3">
      <c r="A5" s="313"/>
      <c r="B5" s="313"/>
      <c r="C5" s="313"/>
      <c r="D5" s="313"/>
      <c r="E5" s="313"/>
      <c r="F5" s="313"/>
    </row>
    <row r="9" spans="1:10" ht="13.8" x14ac:dyDescent="0.3">
      <c r="A9" s="10" t="s">
        <v>580</v>
      </c>
      <c r="B9" s="4" t="s">
        <v>597</v>
      </c>
      <c r="C9" s="4" t="s">
        <v>598</v>
      </c>
      <c r="D9" s="4" t="s">
        <v>596</v>
      </c>
      <c r="E9" s="2">
        <f>153.47+1800.44+425.55+10609.92</f>
        <v>12989.380000000001</v>
      </c>
      <c r="F9" s="2">
        <v>10026</v>
      </c>
      <c r="G9" s="2">
        <v>10026</v>
      </c>
      <c r="H9" s="2">
        <v>10026</v>
      </c>
      <c r="I9" s="2">
        <v>10026</v>
      </c>
      <c r="J9" s="2">
        <v>10026</v>
      </c>
    </row>
    <row r="10" spans="1:10" x14ac:dyDescent="0.25">
      <c r="A10" s="7" t="s">
        <v>72</v>
      </c>
      <c r="B10" s="7">
        <v>189</v>
      </c>
      <c r="C10" s="14">
        <v>53.05</v>
      </c>
      <c r="D10" s="2">
        <f>+B10*C10</f>
        <v>10026.449999999999</v>
      </c>
      <c r="F10" s="190"/>
      <c r="G10" s="197"/>
      <c r="H10" s="247"/>
      <c r="I10" s="295"/>
      <c r="J10" s="298"/>
    </row>
    <row r="11" spans="1:10" x14ac:dyDescent="0.25">
      <c r="F11" s="190"/>
      <c r="G11" s="197"/>
      <c r="H11" s="247"/>
      <c r="I11" s="295"/>
      <c r="J11" s="298"/>
    </row>
    <row r="12" spans="1:10" ht="15" x14ac:dyDescent="0.4">
      <c r="A12" s="15" t="s">
        <v>581</v>
      </c>
      <c r="B12" s="9"/>
      <c r="C12" s="9"/>
      <c r="D12" s="9"/>
      <c r="E12" s="2">
        <v>544362</v>
      </c>
      <c r="F12" s="2">
        <v>413886</v>
      </c>
      <c r="G12" s="2">
        <v>419699</v>
      </c>
      <c r="H12" s="2">
        <v>419699</v>
      </c>
      <c r="I12" s="2">
        <v>419699</v>
      </c>
      <c r="J12" s="2">
        <v>419699</v>
      </c>
    </row>
    <row r="13" spans="1:10" x14ac:dyDescent="0.25">
      <c r="A13" s="7" t="s">
        <v>72</v>
      </c>
      <c r="B13" s="2">
        <v>5700</v>
      </c>
      <c r="C13" s="12">
        <v>64.180000000000007</v>
      </c>
      <c r="D13" s="2">
        <f>ROUND(B13*C13,0)</f>
        <v>365826</v>
      </c>
      <c r="F13" s="190"/>
      <c r="H13" s="247"/>
      <c r="I13" s="187"/>
      <c r="J13" s="188"/>
    </row>
    <row r="14" spans="1:10" x14ac:dyDescent="0.25">
      <c r="A14" s="7" t="s">
        <v>992</v>
      </c>
      <c r="B14" s="2"/>
      <c r="C14" s="12"/>
      <c r="D14" s="18">
        <v>53873</v>
      </c>
      <c r="H14" s="247"/>
      <c r="I14" s="187"/>
      <c r="J14" s="188"/>
    </row>
    <row r="15" spans="1:10" x14ac:dyDescent="0.25">
      <c r="A15" s="7" t="s">
        <v>1291</v>
      </c>
      <c r="C15" s="12" t="s">
        <v>396</v>
      </c>
      <c r="D15" s="2">
        <f>SUM(D13:D14)</f>
        <v>419699</v>
      </c>
      <c r="H15" s="247"/>
      <c r="I15" s="187"/>
      <c r="J15" s="188"/>
    </row>
    <row r="16" spans="1:10" x14ac:dyDescent="0.25">
      <c r="C16" s="12"/>
      <c r="H16" s="247"/>
      <c r="I16" s="187"/>
      <c r="J16" s="188"/>
    </row>
    <row r="17" spans="1:10" ht="13.8" x14ac:dyDescent="0.3">
      <c r="A17" s="10" t="s">
        <v>1845</v>
      </c>
      <c r="C17" s="12"/>
      <c r="D17" s="2"/>
      <c r="E17" s="2"/>
      <c r="F17" s="2">
        <v>0</v>
      </c>
      <c r="G17" s="2">
        <v>0</v>
      </c>
      <c r="H17" s="2">
        <v>0</v>
      </c>
      <c r="I17" s="2">
        <v>0</v>
      </c>
      <c r="J17" s="2">
        <v>0</v>
      </c>
    </row>
    <row r="18" spans="1:10" x14ac:dyDescent="0.25">
      <c r="A18" s="2"/>
      <c r="B18" s="2"/>
      <c r="C18" s="2"/>
      <c r="D18" s="2"/>
      <c r="E18" s="2"/>
      <c r="F18" s="2"/>
      <c r="G18" s="2"/>
      <c r="H18" s="2"/>
      <c r="I18" s="2"/>
      <c r="J18" s="2"/>
    </row>
    <row r="19" spans="1:10" ht="17.399999999999999" x14ac:dyDescent="0.3">
      <c r="A19" s="185" t="s">
        <v>1957</v>
      </c>
      <c r="B19" s="2"/>
      <c r="C19" s="2"/>
      <c r="D19" s="2"/>
      <c r="E19" s="2">
        <f>+E17+E12+E9+'33-Fire Protection -other'!E12+'32-Media'!E104+'10-wastewater'!E324+'27-debt svc'!B31+'27-debt svc'!B66+'45- capital Projects fund'!E18+3500</f>
        <v>29504643.949999999</v>
      </c>
      <c r="F19" s="2">
        <f>+F17+F12+F9+'33-Fire Protection -other'!F12+'32-Media'!F104+'10-wastewater'!F324+'27-debt svc'!C31+'27-debt svc'!C66+'45- capital Projects fund'!F18+3500</f>
        <v>30245121.59</v>
      </c>
      <c r="G19" s="2">
        <f>+G17+G12+G9+'33-Fire Protection -other'!G12+'32-Media'!G104+'10-wastewater'!G324+'27-debt svc'!D31+'27-debt svc'!D66+'45- capital Projects fund'!G18+23000</f>
        <v>31097688.872619048</v>
      </c>
      <c r="H19" s="2">
        <f>+H17+H12+H9+'33-Fire Protection -other'!H12+'32-Media'!H104+'10-wastewater'!H324+'27-debt svc'!E31+'27-debt svc'!E66+'45- capital Projects fund'!H18+23000</f>
        <v>30288079.333333332</v>
      </c>
      <c r="I19" s="2">
        <f>+I17+I12+I9+'33-Fire Protection -other'!I12+'32-Media'!I104+'10-wastewater'!I324+'27-debt svc'!F31+'27-debt svc'!F66+'45- capital Projects fund'!I18+23000</f>
        <v>30364000.333333332</v>
      </c>
      <c r="J19" s="2">
        <f>+J17+J12+J9+'33-Fire Protection -other'!J12+'32-Media'!J104+'10-wastewater'!J324+'27-debt svc'!G31+'27-debt svc'!G66+'45- capital Projects fund'!J18+23000</f>
        <v>30537677</v>
      </c>
    </row>
    <row r="20" spans="1:10" x14ac:dyDescent="0.25">
      <c r="A20" s="1" t="s">
        <v>1332</v>
      </c>
      <c r="B20" s="2"/>
      <c r="C20" s="2"/>
      <c r="D20" s="2"/>
      <c r="E20" s="2">
        <f>SUM(E1:E17)</f>
        <v>557351.38</v>
      </c>
      <c r="F20" s="2">
        <f>SUM(F1:F18)</f>
        <v>423912</v>
      </c>
      <c r="G20" s="2">
        <f>SUM(G1:G18)</f>
        <v>429725</v>
      </c>
      <c r="H20" s="2">
        <f>SUM(H1:H18)</f>
        <v>429725</v>
      </c>
      <c r="I20" s="2">
        <f>SUM(I1:I18)</f>
        <v>429725</v>
      </c>
      <c r="J20" s="2">
        <f>SUM(J1:J18)</f>
        <v>429725</v>
      </c>
    </row>
    <row r="24" spans="1:10" x14ac:dyDescent="0.25">
      <c r="C24" s="12"/>
    </row>
    <row r="25" spans="1:10" x14ac:dyDescent="0.25">
      <c r="C25" s="12"/>
    </row>
  </sheetData>
  <mergeCells count="2">
    <mergeCell ref="A5:F5"/>
    <mergeCell ref="A1:I1"/>
  </mergeCells>
  <phoneticPr fontId="5" type="noConversion"/>
  <printOptions gridLines="1"/>
  <pageMargins left="0.75" right="0.16" top="0.51" bottom="0.22" header="0.5" footer="0"/>
  <pageSetup scale="92" fitToHeight="7" orientation="landscape" r:id="rId1"/>
  <headerFooter alignWithMargins="0"/>
  <rowBreaks count="2" manualBreakCount="2">
    <brk id="11" max="10" man="1"/>
    <brk id="15" max="10" man="1"/>
  </rowBreaks>
  <colBreaks count="1" manualBreakCount="1">
    <brk id="10" max="18"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9"/>
  <sheetViews>
    <sheetView view="pageBreakPreview" topLeftCell="A9" zoomScaleNormal="100" zoomScaleSheetLayoutView="100" workbookViewId="0">
      <selection activeCell="AD26" sqref="AD26"/>
    </sheetView>
  </sheetViews>
  <sheetFormatPr defaultColWidth="8.88671875" defaultRowHeight="13.2" x14ac:dyDescent="0.25"/>
  <cols>
    <col min="1" max="1" width="61.6640625" style="7" bestFit="1" customWidth="1"/>
    <col min="2" max="2" width="15.33203125" style="7" bestFit="1" customWidth="1"/>
    <col min="3" max="3" width="7.88671875" style="7" bestFit="1" customWidth="1"/>
    <col min="4" max="4" width="11.21875" style="48" bestFit="1" customWidth="1"/>
    <col min="5" max="5" width="7.44140625" style="7" bestFit="1" customWidth="1"/>
    <col min="6" max="7" width="9" style="7" bestFit="1" customWidth="1"/>
    <col min="8" max="8" width="10.88671875" style="7" customWidth="1"/>
    <col min="9" max="9" width="13.5546875" style="7" bestFit="1" customWidth="1"/>
    <col min="10" max="11" width="10.88671875" style="7" customWidth="1"/>
    <col min="12" max="12" width="0" style="7" hidden="1" customWidth="1"/>
    <col min="13" max="16384" width="8.88671875" style="7"/>
  </cols>
  <sheetData>
    <row r="1" spans="1:11" x14ac:dyDescent="0.25">
      <c r="A1" s="307" t="str">
        <f>'SUMMARY BY FUND'!A1:J1</f>
        <v>2019-20 BUDGET</v>
      </c>
      <c r="B1" s="308"/>
      <c r="C1" s="308"/>
      <c r="D1" s="308"/>
      <c r="E1" s="308"/>
      <c r="F1" s="308"/>
      <c r="G1" s="308"/>
      <c r="H1" s="308"/>
      <c r="I1" s="308"/>
      <c r="J1" s="308"/>
    </row>
    <row r="2" spans="1:11" ht="17.399999999999999" x14ac:dyDescent="0.3">
      <c r="A2" s="180" t="s">
        <v>1956</v>
      </c>
      <c r="B2" s="180"/>
      <c r="C2" s="180"/>
      <c r="D2" s="180"/>
      <c r="E2" s="180"/>
      <c r="F2" s="180"/>
      <c r="G2" s="180"/>
      <c r="H2" s="108"/>
      <c r="I2" s="108"/>
    </row>
    <row r="3" spans="1:11" x14ac:dyDescent="0.25">
      <c r="A3" s="5"/>
      <c r="D3" s="7"/>
    </row>
    <row r="4" spans="1:11" x14ac:dyDescent="0.25">
      <c r="B4" s="8"/>
      <c r="C4" s="8"/>
      <c r="D4" s="163"/>
      <c r="E4" s="8"/>
      <c r="F4" s="195" t="s">
        <v>233</v>
      </c>
      <c r="G4" s="195" t="s">
        <v>234</v>
      </c>
      <c r="H4" s="195" t="s">
        <v>70</v>
      </c>
      <c r="I4" s="195" t="s">
        <v>409</v>
      </c>
      <c r="J4" s="16" t="s">
        <v>314</v>
      </c>
      <c r="K4" s="16" t="s">
        <v>345</v>
      </c>
    </row>
    <row r="5" spans="1:11" ht="15" x14ac:dyDescent="0.4">
      <c r="B5" s="9"/>
      <c r="C5" s="9"/>
      <c r="D5" s="164"/>
      <c r="E5" s="9"/>
      <c r="F5" s="225" t="s">
        <v>1794</v>
      </c>
      <c r="G5" s="225" t="s">
        <v>1970</v>
      </c>
      <c r="H5" s="225" t="s">
        <v>2129</v>
      </c>
      <c r="I5" s="225" t="s">
        <v>2129</v>
      </c>
      <c r="J5" s="225" t="s">
        <v>2129</v>
      </c>
      <c r="K5" s="225" t="s">
        <v>2129</v>
      </c>
    </row>
    <row r="6" spans="1:11" ht="13.8" x14ac:dyDescent="0.3">
      <c r="A6" s="313"/>
      <c r="B6" s="313"/>
      <c r="C6" s="313"/>
      <c r="D6" s="313"/>
      <c r="E6" s="313"/>
      <c r="F6" s="313"/>
      <c r="G6" s="313"/>
      <c r="J6" s="188"/>
      <c r="K6" s="188"/>
    </row>
    <row r="7" spans="1:11" x14ac:dyDescent="0.25">
      <c r="A7" s="239" t="s">
        <v>2228</v>
      </c>
      <c r="B7" s="239"/>
      <c r="C7" s="239"/>
      <c r="E7" s="239"/>
      <c r="F7" s="239"/>
      <c r="G7" s="239"/>
      <c r="H7" s="239"/>
      <c r="J7" s="188"/>
      <c r="K7" s="188"/>
    </row>
    <row r="8" spans="1:11" x14ac:dyDescent="0.25">
      <c r="A8" s="239"/>
      <c r="B8" s="239"/>
      <c r="C8" s="239"/>
      <c r="E8" s="239"/>
      <c r="F8" s="239"/>
      <c r="G8" s="239"/>
      <c r="H8" s="239"/>
      <c r="I8" s="220"/>
      <c r="J8" s="220"/>
      <c r="K8" s="220"/>
    </row>
    <row r="9" spans="1:11" ht="13.8" x14ac:dyDescent="0.3">
      <c r="A9" s="241" t="s">
        <v>1826</v>
      </c>
      <c r="B9" s="239"/>
      <c r="C9" s="12"/>
      <c r="E9" s="2"/>
      <c r="F9" s="2">
        <f>9645.25+2904.35+428.74+199876.99</f>
        <v>212855.33</v>
      </c>
      <c r="G9" s="2">
        <v>167607</v>
      </c>
      <c r="H9" s="2">
        <v>198620</v>
      </c>
      <c r="I9" s="2">
        <v>198620</v>
      </c>
      <c r="J9" s="2">
        <v>198620</v>
      </c>
      <c r="K9" s="2">
        <v>198620</v>
      </c>
    </row>
    <row r="10" spans="1:11" ht="13.8" x14ac:dyDescent="0.3">
      <c r="A10" s="124" t="s">
        <v>2229</v>
      </c>
      <c r="B10" s="239"/>
      <c r="C10" s="12"/>
      <c r="D10" s="2"/>
      <c r="E10" s="2"/>
      <c r="F10" s="2"/>
      <c r="G10" s="239"/>
      <c r="H10" s="239"/>
      <c r="I10" s="247"/>
      <c r="J10" s="295"/>
      <c r="K10" s="298"/>
    </row>
    <row r="11" spans="1:11" x14ac:dyDescent="0.25">
      <c r="A11" s="2" t="s">
        <v>2230</v>
      </c>
      <c r="B11" s="2">
        <v>400</v>
      </c>
      <c r="C11" s="12">
        <v>18.5</v>
      </c>
      <c r="D11" s="2">
        <f t="shared" ref="D11:D22" si="0">SUMPRODUCT(B11*C11)</f>
        <v>7400</v>
      </c>
      <c r="E11" s="2"/>
      <c r="F11" s="2"/>
      <c r="G11" s="2"/>
      <c r="H11" s="2"/>
      <c r="I11" s="2"/>
      <c r="J11" s="2"/>
      <c r="K11" s="2"/>
    </row>
    <row r="12" spans="1:11" x14ac:dyDescent="0.25">
      <c r="A12" s="2" t="s">
        <v>2231</v>
      </c>
      <c r="B12" s="2">
        <v>376</v>
      </c>
      <c r="C12" s="12">
        <v>12.5</v>
      </c>
      <c r="D12" s="2">
        <f t="shared" si="0"/>
        <v>4700</v>
      </c>
      <c r="E12" s="2"/>
      <c r="F12" s="2"/>
      <c r="G12" s="2"/>
      <c r="H12" s="2"/>
      <c r="I12" s="2"/>
      <c r="J12" s="2"/>
      <c r="K12" s="2"/>
    </row>
    <row r="13" spans="1:11" x14ac:dyDescent="0.25">
      <c r="A13" s="2" t="s">
        <v>2232</v>
      </c>
      <c r="B13" s="2">
        <v>376</v>
      </c>
      <c r="C13" s="12">
        <v>16.649999999999999</v>
      </c>
      <c r="D13" s="2">
        <f t="shared" si="0"/>
        <v>6260.4</v>
      </c>
      <c r="E13" s="2"/>
      <c r="F13" s="2"/>
      <c r="G13" s="2"/>
      <c r="H13" s="2"/>
      <c r="I13" s="2"/>
      <c r="J13" s="2"/>
      <c r="K13" s="2"/>
    </row>
    <row r="14" spans="1:11" x14ac:dyDescent="0.25">
      <c r="A14" s="2" t="s">
        <v>2233</v>
      </c>
      <c r="B14" s="2">
        <v>360</v>
      </c>
      <c r="C14" s="12">
        <v>13.98</v>
      </c>
      <c r="D14" s="2">
        <f t="shared" si="0"/>
        <v>5032.8</v>
      </c>
      <c r="E14" s="2"/>
      <c r="F14" s="2"/>
      <c r="G14" s="2"/>
      <c r="H14" s="2"/>
      <c r="I14" s="2"/>
      <c r="J14" s="2"/>
      <c r="K14" s="2"/>
    </row>
    <row r="15" spans="1:11" x14ac:dyDescent="0.25">
      <c r="A15" s="2" t="s">
        <v>2234</v>
      </c>
      <c r="B15" s="2">
        <v>360</v>
      </c>
      <c r="C15" s="12">
        <v>12</v>
      </c>
      <c r="D15" s="2">
        <f t="shared" si="0"/>
        <v>4320</v>
      </c>
      <c r="E15" s="2"/>
      <c r="F15" s="2"/>
      <c r="G15" s="2"/>
      <c r="H15" s="2"/>
      <c r="I15" s="2"/>
      <c r="J15" s="2"/>
      <c r="K15" s="2"/>
    </row>
    <row r="16" spans="1:11" x14ac:dyDescent="0.25">
      <c r="A16" s="2" t="s">
        <v>2235</v>
      </c>
      <c r="B16" s="2">
        <v>188</v>
      </c>
      <c r="C16" s="12">
        <v>15</v>
      </c>
      <c r="D16" s="2">
        <f t="shared" si="0"/>
        <v>2820</v>
      </c>
      <c r="E16" s="2"/>
      <c r="F16" s="2"/>
      <c r="G16" s="2"/>
      <c r="H16" s="2"/>
      <c r="I16" s="2"/>
      <c r="J16" s="2"/>
      <c r="K16" s="2"/>
    </row>
    <row r="17" spans="1:11" x14ac:dyDescent="0.25">
      <c r="A17" s="2" t="s">
        <v>2236</v>
      </c>
      <c r="B17" s="2">
        <v>360</v>
      </c>
      <c r="C17" s="12">
        <v>10.5</v>
      </c>
      <c r="D17" s="2">
        <f t="shared" si="0"/>
        <v>3780</v>
      </c>
      <c r="E17" s="2"/>
      <c r="F17" s="2"/>
      <c r="G17" s="2"/>
      <c r="H17" s="2"/>
      <c r="I17" s="2"/>
      <c r="J17" s="2"/>
      <c r="K17" s="2"/>
    </row>
    <row r="18" spans="1:11" x14ac:dyDescent="0.25">
      <c r="A18" s="2" t="s">
        <v>2237</v>
      </c>
      <c r="B18" s="2">
        <v>1440</v>
      </c>
      <c r="C18" s="12">
        <v>11.5</v>
      </c>
      <c r="D18" s="2">
        <f t="shared" si="0"/>
        <v>16560</v>
      </c>
      <c r="E18" s="2"/>
      <c r="F18" s="2"/>
      <c r="G18" s="2"/>
      <c r="H18" s="2"/>
      <c r="I18" s="2"/>
      <c r="J18" s="2"/>
      <c r="K18" s="2"/>
    </row>
    <row r="19" spans="1:11" x14ac:dyDescent="0.25">
      <c r="A19" s="2" t="s">
        <v>2238</v>
      </c>
      <c r="B19" s="2">
        <v>3240</v>
      </c>
      <c r="C19" s="12">
        <v>9</v>
      </c>
      <c r="D19" s="2">
        <f t="shared" si="0"/>
        <v>29160</v>
      </c>
      <c r="E19" s="2"/>
      <c r="F19" s="2"/>
      <c r="G19" s="2"/>
      <c r="H19" s="2"/>
      <c r="I19" s="2"/>
      <c r="J19" s="2"/>
      <c r="K19" s="2"/>
    </row>
    <row r="20" spans="1:11" x14ac:dyDescent="0.25">
      <c r="A20" s="2" t="s">
        <v>2239</v>
      </c>
      <c r="B20" s="2">
        <v>1440</v>
      </c>
      <c r="C20" s="12">
        <v>8</v>
      </c>
      <c r="D20" s="2">
        <f t="shared" si="0"/>
        <v>11520</v>
      </c>
      <c r="E20" s="2"/>
      <c r="F20" s="2"/>
      <c r="G20" s="2"/>
      <c r="H20" s="2"/>
      <c r="I20" s="2"/>
      <c r="J20" s="2"/>
      <c r="K20" s="2"/>
    </row>
    <row r="21" spans="1:11" x14ac:dyDescent="0.25">
      <c r="A21" s="2" t="s">
        <v>2240</v>
      </c>
      <c r="B21" s="2">
        <v>720</v>
      </c>
      <c r="C21" s="12">
        <v>10</v>
      </c>
      <c r="D21" s="2">
        <f t="shared" si="0"/>
        <v>7200</v>
      </c>
      <c r="E21" s="2"/>
      <c r="F21" s="2"/>
      <c r="G21" s="2"/>
      <c r="H21" s="2"/>
      <c r="I21" s="2"/>
      <c r="J21" s="2"/>
      <c r="K21" s="2"/>
    </row>
    <row r="22" spans="1:11" x14ac:dyDescent="0.25">
      <c r="A22" s="2" t="s">
        <v>2241</v>
      </c>
      <c r="B22" s="2">
        <v>1472</v>
      </c>
      <c r="C22" s="12">
        <v>10</v>
      </c>
      <c r="D22" s="2">
        <f t="shared" si="0"/>
        <v>14720</v>
      </c>
      <c r="E22" s="2"/>
      <c r="F22" s="2"/>
      <c r="G22" s="2"/>
      <c r="H22" s="2"/>
      <c r="I22" s="2"/>
      <c r="J22" s="2"/>
      <c r="K22" s="2"/>
    </row>
    <row r="23" spans="1:11" ht="15" x14ac:dyDescent="0.4">
      <c r="A23" s="1" t="s">
        <v>1654</v>
      </c>
      <c r="B23" s="1"/>
      <c r="C23" s="158"/>
      <c r="D23" s="1">
        <f>SUM(D11:D22)</f>
        <v>113473.2</v>
      </c>
      <c r="E23" s="11"/>
      <c r="F23" s="2"/>
      <c r="G23" s="2"/>
      <c r="H23" s="2"/>
      <c r="I23" s="2"/>
      <c r="J23" s="2"/>
      <c r="K23" s="2"/>
    </row>
    <row r="24" spans="1:11" x14ac:dyDescent="0.25">
      <c r="A24" s="2" t="s">
        <v>635</v>
      </c>
      <c r="B24" s="2">
        <f>+D23:D23</f>
        <v>113473.2</v>
      </c>
      <c r="C24" s="14">
        <v>7.6499999999999999E-2</v>
      </c>
      <c r="D24" s="2">
        <f>ROUND(B24*C24,0)</f>
        <v>8681</v>
      </c>
      <c r="E24" s="2"/>
      <c r="F24" s="2"/>
      <c r="G24" s="2"/>
      <c r="H24" s="2"/>
      <c r="I24" s="2"/>
      <c r="J24" s="2"/>
      <c r="K24" s="2"/>
    </row>
    <row r="25" spans="1:11" x14ac:dyDescent="0.25">
      <c r="A25" s="2" t="s">
        <v>636</v>
      </c>
      <c r="B25" s="2">
        <f>+D23</f>
        <v>113473.2</v>
      </c>
      <c r="C25" s="14">
        <v>2.5600000000000001E-2</v>
      </c>
      <c r="D25" s="2">
        <f>ROUND(B25*C25,0)</f>
        <v>2905</v>
      </c>
      <c r="E25" s="2"/>
      <c r="F25" s="2"/>
      <c r="G25" s="2"/>
      <c r="H25" s="2"/>
      <c r="I25" s="2"/>
      <c r="J25" s="2"/>
      <c r="K25" s="2"/>
    </row>
    <row r="26" spans="1:11" x14ac:dyDescent="0.25">
      <c r="A26" s="2" t="s">
        <v>637</v>
      </c>
      <c r="B26" s="2">
        <f>+D23</f>
        <v>113473.2</v>
      </c>
      <c r="C26" s="14">
        <v>3.3999999999999998E-3</v>
      </c>
      <c r="D26" s="2">
        <f>ROUND(B26*C26,0)</f>
        <v>386</v>
      </c>
      <c r="E26" s="2"/>
      <c r="F26" s="2"/>
      <c r="G26" s="2"/>
      <c r="H26" s="2"/>
      <c r="I26" s="2"/>
      <c r="J26" s="2"/>
      <c r="K26" s="2"/>
    </row>
    <row r="27" spans="1:11" x14ac:dyDescent="0.25">
      <c r="A27" s="2" t="s">
        <v>1655</v>
      </c>
      <c r="B27" s="2"/>
      <c r="C27" s="12"/>
      <c r="D27" s="251">
        <v>46044.81</v>
      </c>
      <c r="E27" s="2"/>
      <c r="F27" s="2"/>
      <c r="G27" s="2"/>
      <c r="H27" s="2"/>
      <c r="I27" s="2"/>
      <c r="J27" s="2"/>
      <c r="K27" s="2"/>
    </row>
    <row r="28" spans="1:11" ht="13.8" x14ac:dyDescent="0.3">
      <c r="A28" s="2" t="s">
        <v>1831</v>
      </c>
      <c r="B28" s="2"/>
      <c r="C28" s="162"/>
      <c r="D28" s="2">
        <v>13000</v>
      </c>
      <c r="E28" s="2"/>
      <c r="F28" s="2"/>
      <c r="G28" s="2"/>
      <c r="H28" s="2"/>
      <c r="I28" s="2"/>
      <c r="J28" s="2"/>
      <c r="K28" s="2"/>
    </row>
    <row r="29" spans="1:11" x14ac:dyDescent="0.25">
      <c r="A29" s="2" t="s">
        <v>2242</v>
      </c>
      <c r="B29" s="2"/>
      <c r="C29" s="2"/>
      <c r="D29" s="2">
        <v>2000</v>
      </c>
      <c r="E29" s="2"/>
      <c r="F29" s="2"/>
      <c r="G29" s="2"/>
      <c r="H29" s="2"/>
      <c r="I29" s="2"/>
      <c r="J29" s="2"/>
      <c r="K29" s="2"/>
    </row>
    <row r="30" spans="1:11" x14ac:dyDescent="0.25">
      <c r="A30" s="2" t="s">
        <v>1832</v>
      </c>
      <c r="B30" s="2"/>
      <c r="C30" s="2"/>
      <c r="D30" s="2">
        <v>400</v>
      </c>
      <c r="E30" s="2"/>
      <c r="F30" s="2"/>
      <c r="G30" s="2"/>
      <c r="H30" s="2"/>
      <c r="I30" s="2"/>
      <c r="J30" s="2"/>
      <c r="K30" s="2"/>
    </row>
    <row r="31" spans="1:11" x14ac:dyDescent="0.25">
      <c r="A31" s="2" t="s">
        <v>2243</v>
      </c>
      <c r="B31" s="2"/>
      <c r="C31" s="2"/>
      <c r="D31" s="2">
        <v>750</v>
      </c>
      <c r="E31" s="2"/>
      <c r="F31" s="2"/>
      <c r="G31" s="2"/>
      <c r="H31" s="2"/>
      <c r="I31" s="2"/>
      <c r="J31" s="2"/>
      <c r="K31" s="2"/>
    </row>
    <row r="32" spans="1:11" x14ac:dyDescent="0.25">
      <c r="A32" s="2" t="s">
        <v>1833</v>
      </c>
      <c r="B32" s="2"/>
      <c r="C32" s="2"/>
      <c r="D32" s="2">
        <v>400</v>
      </c>
      <c r="E32" s="2"/>
      <c r="F32" s="2"/>
      <c r="G32" s="2"/>
      <c r="H32" s="2"/>
      <c r="I32" s="2"/>
      <c r="J32" s="2"/>
      <c r="K32" s="2"/>
    </row>
    <row r="33" spans="1:11" x14ac:dyDescent="0.25">
      <c r="A33" s="2" t="s">
        <v>836</v>
      </c>
      <c r="B33" s="2"/>
      <c r="C33" s="2"/>
      <c r="D33" s="2">
        <v>1780</v>
      </c>
      <c r="E33" s="2"/>
      <c r="F33" s="2"/>
      <c r="G33" s="2"/>
      <c r="H33" s="2"/>
      <c r="I33" s="2"/>
      <c r="J33" s="2"/>
      <c r="K33" s="2"/>
    </row>
    <row r="34" spans="1:11" ht="15" x14ac:dyDescent="0.4">
      <c r="A34" s="2" t="s">
        <v>2244</v>
      </c>
      <c r="B34" s="2"/>
      <c r="C34" s="2"/>
      <c r="D34" s="2">
        <v>1500</v>
      </c>
      <c r="E34" s="11"/>
      <c r="F34" s="2"/>
      <c r="G34" s="2"/>
      <c r="H34" s="2"/>
      <c r="I34" s="2"/>
      <c r="J34" s="2"/>
      <c r="K34" s="2"/>
    </row>
    <row r="35" spans="1:11" x14ac:dyDescent="0.25">
      <c r="A35" s="2" t="s">
        <v>1835</v>
      </c>
      <c r="B35" s="2"/>
      <c r="C35" s="2"/>
      <c r="D35" s="2">
        <v>3600</v>
      </c>
      <c r="E35" s="2"/>
      <c r="F35" s="2"/>
      <c r="G35" s="2"/>
      <c r="H35" s="2"/>
      <c r="I35" s="2"/>
      <c r="J35" s="2"/>
      <c r="K35" s="2"/>
    </row>
    <row r="36" spans="1:11" x14ac:dyDescent="0.25">
      <c r="A36" s="2" t="s">
        <v>1757</v>
      </c>
      <c r="B36" s="2"/>
      <c r="C36" s="2"/>
      <c r="D36" s="2">
        <v>3500</v>
      </c>
      <c r="E36" s="2"/>
      <c r="F36" s="2"/>
      <c r="G36" s="2"/>
      <c r="H36" s="2"/>
      <c r="I36" s="2"/>
      <c r="J36" s="2"/>
      <c r="K36" s="2"/>
    </row>
    <row r="37" spans="1:11" ht="15" x14ac:dyDescent="0.4">
      <c r="A37" s="2" t="s">
        <v>2245</v>
      </c>
      <c r="B37" s="2"/>
      <c r="C37" s="2"/>
      <c r="D37" s="11">
        <v>200</v>
      </c>
      <c r="E37" s="2"/>
      <c r="F37" s="2"/>
      <c r="G37" s="2"/>
      <c r="H37" s="2"/>
      <c r="I37" s="2"/>
      <c r="J37" s="2"/>
      <c r="K37" s="2"/>
    </row>
    <row r="38" spans="1:11" x14ac:dyDescent="0.25">
      <c r="A38" s="1" t="s">
        <v>2246</v>
      </c>
      <c r="B38" s="1"/>
      <c r="C38" s="1"/>
      <c r="D38" s="252">
        <f>SUM(D23:D37)</f>
        <v>198620.01</v>
      </c>
      <c r="E38" s="239"/>
      <c r="F38" s="2"/>
      <c r="G38" s="2"/>
      <c r="H38" s="2"/>
      <c r="I38" s="2"/>
      <c r="J38" s="2"/>
      <c r="K38" s="2"/>
    </row>
    <row r="39" spans="1:11" x14ac:dyDescent="0.25">
      <c r="A39" s="1"/>
      <c r="B39" s="1"/>
      <c r="C39" s="1"/>
      <c r="E39" s="2"/>
      <c r="F39" s="2"/>
      <c r="G39" s="2"/>
      <c r="H39" s="2"/>
      <c r="I39" s="2"/>
      <c r="J39" s="2"/>
      <c r="K39" s="2"/>
    </row>
    <row r="40" spans="1:11" ht="16.8" x14ac:dyDescent="0.55000000000000004">
      <c r="A40" s="79" t="s">
        <v>2247</v>
      </c>
      <c r="B40" s="2"/>
      <c r="C40" s="2"/>
      <c r="D40" s="160"/>
      <c r="E40" s="2"/>
      <c r="F40" s="2"/>
      <c r="G40" s="2"/>
      <c r="H40" s="253">
        <v>42163.78</v>
      </c>
      <c r="I40" s="253">
        <v>42163.78</v>
      </c>
      <c r="J40" s="253">
        <v>42163.78</v>
      </c>
      <c r="K40" s="253">
        <v>42163.78</v>
      </c>
    </row>
    <row r="41" spans="1:11" x14ac:dyDescent="0.25">
      <c r="A41" s="2" t="s">
        <v>2248</v>
      </c>
      <c r="B41" s="2">
        <v>376</v>
      </c>
      <c r="C41" s="159">
        <v>12.5</v>
      </c>
      <c r="D41" s="159">
        <f>SUMPRODUCT(B41*C41)</f>
        <v>4700</v>
      </c>
      <c r="E41" s="2"/>
      <c r="F41" s="2"/>
      <c r="G41" s="2"/>
      <c r="H41" s="2"/>
      <c r="I41" s="2"/>
      <c r="J41" s="2"/>
      <c r="K41" s="2"/>
    </row>
    <row r="42" spans="1:11" ht="15" x14ac:dyDescent="0.4">
      <c r="A42" s="2" t="s">
        <v>2249</v>
      </c>
      <c r="B42" s="2">
        <v>360</v>
      </c>
      <c r="C42" s="159">
        <v>9</v>
      </c>
      <c r="D42" s="254">
        <f>SUMPRODUCT(B42*C42)</f>
        <v>3240</v>
      </c>
      <c r="E42" s="2"/>
      <c r="F42" s="2"/>
      <c r="G42" s="2"/>
      <c r="H42" s="2"/>
      <c r="I42" s="2"/>
      <c r="J42" s="2"/>
      <c r="K42" s="2"/>
    </row>
    <row r="43" spans="1:11" x14ac:dyDescent="0.25">
      <c r="A43" s="1" t="s">
        <v>1654</v>
      </c>
      <c r="B43" s="2"/>
      <c r="C43" s="2"/>
      <c r="D43" s="255">
        <f>SUM(D41:D42)</f>
        <v>7940</v>
      </c>
      <c r="E43" s="2"/>
      <c r="F43" s="2"/>
      <c r="G43" s="2"/>
      <c r="H43" s="2"/>
      <c r="I43" s="2"/>
      <c r="J43" s="2"/>
      <c r="K43" s="2"/>
    </row>
    <row r="44" spans="1:11" x14ac:dyDescent="0.25">
      <c r="A44" s="2" t="s">
        <v>635</v>
      </c>
      <c r="B44" s="2">
        <f>+D43:D43</f>
        <v>7940</v>
      </c>
      <c r="C44" s="14">
        <v>7.6499999999999999E-2</v>
      </c>
      <c r="D44" s="159">
        <f>ROUND(B44*C44,0)</f>
        <v>607</v>
      </c>
      <c r="E44" s="2"/>
      <c r="F44" s="2"/>
      <c r="G44" s="2"/>
      <c r="H44" s="2"/>
      <c r="I44" s="2"/>
      <c r="J44" s="2"/>
      <c r="K44" s="2"/>
    </row>
    <row r="45" spans="1:11" x14ac:dyDescent="0.25">
      <c r="A45" s="2" t="s">
        <v>636</v>
      </c>
      <c r="B45" s="2">
        <f>+D43</f>
        <v>7940</v>
      </c>
      <c r="C45" s="14">
        <v>2.5600000000000001E-2</v>
      </c>
      <c r="D45" s="159">
        <f>ROUND(B45*C45,0)</f>
        <v>203</v>
      </c>
      <c r="E45" s="2"/>
      <c r="F45" s="2"/>
      <c r="G45" s="2"/>
      <c r="H45" s="2"/>
      <c r="I45" s="2"/>
      <c r="J45" s="2"/>
      <c r="K45" s="2"/>
    </row>
    <row r="46" spans="1:11" x14ac:dyDescent="0.25">
      <c r="A46" s="2" t="s">
        <v>637</v>
      </c>
      <c r="B46" s="2">
        <f>+D43</f>
        <v>7940</v>
      </c>
      <c r="C46" s="14">
        <v>3.3999999999999998E-3</v>
      </c>
      <c r="D46" s="159">
        <f>ROUND(B46*C46,0)</f>
        <v>27</v>
      </c>
      <c r="E46" s="2"/>
      <c r="F46" s="2"/>
      <c r="G46" s="2"/>
      <c r="H46" s="2"/>
      <c r="I46" s="2"/>
      <c r="J46" s="2"/>
      <c r="K46" s="2"/>
    </row>
    <row r="47" spans="1:11" x14ac:dyDescent="0.25">
      <c r="A47" s="2" t="s">
        <v>1655</v>
      </c>
      <c r="B47" s="2"/>
      <c r="C47" s="14"/>
      <c r="D47" s="159">
        <v>9772.7800000000007</v>
      </c>
      <c r="E47" s="2"/>
      <c r="F47" s="2"/>
      <c r="G47" s="2"/>
      <c r="H47" s="2"/>
      <c r="I47" s="2"/>
      <c r="J47" s="2"/>
      <c r="K47" s="2"/>
    </row>
    <row r="48" spans="1:11" x14ac:dyDescent="0.25">
      <c r="A48" s="256" t="s">
        <v>2250</v>
      </c>
      <c r="B48" s="2"/>
      <c r="C48" s="2"/>
      <c r="D48" s="257">
        <v>13824</v>
      </c>
      <c r="E48" s="156"/>
      <c r="F48" s="2"/>
      <c r="G48" s="2"/>
      <c r="H48" s="2"/>
      <c r="I48" s="2"/>
      <c r="J48" s="2"/>
      <c r="K48" s="2"/>
    </row>
    <row r="49" spans="1:11" x14ac:dyDescent="0.25">
      <c r="A49" s="2" t="s">
        <v>2251</v>
      </c>
      <c r="B49" s="160"/>
      <c r="C49" s="160"/>
      <c r="D49" s="257">
        <v>8000</v>
      </c>
      <c r="E49" s="156"/>
      <c r="F49" s="2"/>
      <c r="G49" s="2"/>
      <c r="H49" s="2"/>
      <c r="I49" s="2"/>
      <c r="J49" s="2"/>
      <c r="K49" s="2"/>
    </row>
    <row r="50" spans="1:11" x14ac:dyDescent="0.25">
      <c r="A50" s="2" t="s">
        <v>2252</v>
      </c>
      <c r="B50" s="2"/>
      <c r="C50" s="2"/>
      <c r="D50" s="257">
        <v>250</v>
      </c>
      <c r="E50" s="156"/>
      <c r="F50" s="2"/>
      <c r="G50" s="2"/>
      <c r="H50" s="2"/>
      <c r="I50" s="2"/>
      <c r="J50" s="2"/>
      <c r="K50" s="2"/>
    </row>
    <row r="51" spans="1:11" ht="14.4" x14ac:dyDescent="0.3">
      <c r="A51" s="2" t="s">
        <v>1838</v>
      </c>
      <c r="B51" s="2"/>
      <c r="C51" s="2"/>
      <c r="D51" s="257">
        <v>50</v>
      </c>
      <c r="E51" s="177"/>
      <c r="F51" s="2"/>
      <c r="G51" s="2"/>
      <c r="H51" s="2"/>
      <c r="I51" s="2"/>
      <c r="J51" s="2"/>
      <c r="K51" s="2"/>
    </row>
    <row r="52" spans="1:11" x14ac:dyDescent="0.25">
      <c r="A52" s="2" t="s">
        <v>1835</v>
      </c>
      <c r="B52" s="160"/>
      <c r="C52" s="160"/>
      <c r="D52" s="257">
        <v>300</v>
      </c>
      <c r="E52" s="156"/>
      <c r="F52" s="2"/>
      <c r="G52" s="2"/>
      <c r="H52" s="2"/>
      <c r="I52" s="2"/>
      <c r="J52" s="2"/>
      <c r="K52" s="2"/>
    </row>
    <row r="53" spans="1:11" x14ac:dyDescent="0.25">
      <c r="A53" s="2" t="s">
        <v>2253</v>
      </c>
      <c r="B53" s="2"/>
      <c r="C53" s="2"/>
      <c r="D53" s="257">
        <v>500</v>
      </c>
      <c r="E53" s="156"/>
      <c r="F53" s="2"/>
      <c r="G53" s="2"/>
      <c r="H53" s="2"/>
      <c r="I53" s="2"/>
      <c r="J53" s="2"/>
      <c r="K53" s="2"/>
    </row>
    <row r="54" spans="1:11" ht="15" x14ac:dyDescent="0.4">
      <c r="A54" s="2" t="s">
        <v>1757</v>
      </c>
      <c r="B54" s="2"/>
      <c r="C54" s="2"/>
      <c r="D54" s="258">
        <v>690</v>
      </c>
      <c r="E54" s="156"/>
      <c r="F54" s="2"/>
      <c r="G54" s="2"/>
      <c r="H54" s="2"/>
      <c r="I54" s="2"/>
      <c r="J54" s="2"/>
      <c r="K54" s="2"/>
    </row>
    <row r="55" spans="1:11" x14ac:dyDescent="0.25">
      <c r="A55" s="259" t="s">
        <v>2246</v>
      </c>
      <c r="B55" s="160"/>
      <c r="C55" s="160"/>
      <c r="D55" s="255">
        <v>42163.78</v>
      </c>
      <c r="E55" s="257"/>
      <c r="F55" s="2"/>
      <c r="G55" s="2"/>
      <c r="H55" s="2"/>
      <c r="I55" s="2"/>
      <c r="J55" s="2"/>
      <c r="K55" s="2"/>
    </row>
    <row r="56" spans="1:11" ht="13.8" x14ac:dyDescent="0.3">
      <c r="A56" s="1"/>
      <c r="B56" s="2"/>
      <c r="C56" s="2"/>
      <c r="D56" s="206"/>
      <c r="E56" s="156"/>
      <c r="F56" s="2"/>
      <c r="G56" s="2"/>
      <c r="H56" s="2"/>
      <c r="I56" s="2"/>
      <c r="J56" s="2"/>
      <c r="K56" s="2"/>
    </row>
    <row r="57" spans="1:11" x14ac:dyDescent="0.25">
      <c r="A57" s="2"/>
      <c r="B57" s="2"/>
      <c r="C57" s="14"/>
      <c r="E57" s="156"/>
      <c r="F57" s="2"/>
      <c r="G57" s="2"/>
      <c r="H57" s="2"/>
      <c r="I57" s="2"/>
      <c r="J57" s="2"/>
      <c r="K57" s="2"/>
    </row>
    <row r="58" spans="1:11" ht="16.8" x14ac:dyDescent="0.55000000000000004">
      <c r="A58" s="79" t="s">
        <v>2254</v>
      </c>
      <c r="B58" s="2"/>
      <c r="C58" s="2"/>
      <c r="D58" s="160"/>
      <c r="E58" s="156"/>
      <c r="F58" s="2"/>
      <c r="G58" s="2"/>
      <c r="H58" s="2">
        <v>4062.69</v>
      </c>
      <c r="I58" s="2">
        <v>4062.69</v>
      </c>
      <c r="J58" s="2">
        <v>4062.69</v>
      </c>
      <c r="K58" s="2">
        <v>4062.69</v>
      </c>
    </row>
    <row r="59" spans="1:11" x14ac:dyDescent="0.25">
      <c r="A59" s="2" t="s">
        <v>2255</v>
      </c>
      <c r="B59" s="2">
        <v>50</v>
      </c>
      <c r="C59" s="159">
        <v>18</v>
      </c>
      <c r="D59" s="159">
        <f>SUMPRODUCT(B59*C59)</f>
        <v>900</v>
      </c>
      <c r="E59" s="156"/>
      <c r="F59" s="2"/>
      <c r="G59" s="2"/>
      <c r="H59" s="2"/>
      <c r="I59" s="2"/>
      <c r="J59" s="2"/>
      <c r="K59" s="2"/>
    </row>
    <row r="60" spans="1:11" x14ac:dyDescent="0.25">
      <c r="A60" s="2" t="s">
        <v>2256</v>
      </c>
      <c r="B60" s="2">
        <v>135</v>
      </c>
      <c r="C60" s="159">
        <v>10</v>
      </c>
      <c r="D60" s="260">
        <f>SUMPRODUCT(B60*C60)</f>
        <v>1350</v>
      </c>
      <c r="E60" s="156"/>
      <c r="F60" s="2"/>
      <c r="G60" s="2"/>
      <c r="H60" s="2"/>
      <c r="I60" s="2"/>
      <c r="J60" s="2"/>
      <c r="K60" s="2"/>
    </row>
    <row r="61" spans="1:11" x14ac:dyDescent="0.25">
      <c r="A61" s="1" t="s">
        <v>1654</v>
      </c>
      <c r="B61" s="2"/>
      <c r="C61" s="2"/>
      <c r="D61" s="255">
        <f>SUM(D59:D60)</f>
        <v>2250</v>
      </c>
      <c r="E61" s="156"/>
      <c r="F61" s="2"/>
      <c r="G61" s="2"/>
      <c r="H61" s="2"/>
      <c r="I61" s="2"/>
      <c r="J61" s="2"/>
      <c r="K61" s="2"/>
    </row>
    <row r="62" spans="1:11" x14ac:dyDescent="0.25">
      <c r="A62" s="2" t="s">
        <v>635</v>
      </c>
      <c r="B62" s="2">
        <f>+D61:D61</f>
        <v>2250</v>
      </c>
      <c r="C62" s="14">
        <v>7.6499999999999999E-2</v>
      </c>
      <c r="D62" s="159">
        <f>ROUND(B62*C62,0)</f>
        <v>172</v>
      </c>
      <c r="E62" s="156"/>
      <c r="F62" s="2"/>
      <c r="G62" s="2"/>
      <c r="H62" s="2"/>
      <c r="I62" s="2"/>
      <c r="J62" s="2"/>
      <c r="K62" s="2"/>
    </row>
    <row r="63" spans="1:11" x14ac:dyDescent="0.25">
      <c r="A63" s="2" t="s">
        <v>636</v>
      </c>
      <c r="B63" s="2">
        <f>+D61</f>
        <v>2250</v>
      </c>
      <c r="C63" s="14">
        <v>2.5600000000000001E-2</v>
      </c>
      <c r="D63" s="159">
        <f>ROUND(B63*C63,0)</f>
        <v>58</v>
      </c>
      <c r="E63" s="156"/>
      <c r="F63" s="2"/>
      <c r="G63" s="2"/>
      <c r="H63" s="2"/>
      <c r="I63" s="2"/>
      <c r="J63" s="2"/>
      <c r="K63" s="2"/>
    </row>
    <row r="64" spans="1:11" x14ac:dyDescent="0.25">
      <c r="A64" s="2" t="s">
        <v>637</v>
      </c>
      <c r="B64" s="2">
        <f>+D61</f>
        <v>2250</v>
      </c>
      <c r="C64" s="14">
        <v>3.3999999999999998E-3</v>
      </c>
      <c r="D64" s="159">
        <f>ROUND(B64*C64,0)</f>
        <v>8</v>
      </c>
      <c r="E64" s="156"/>
      <c r="F64" s="2"/>
      <c r="G64" s="2"/>
      <c r="H64" s="2"/>
      <c r="I64" s="2"/>
      <c r="J64" s="2"/>
      <c r="K64" s="2"/>
    </row>
    <row r="65" spans="1:11" x14ac:dyDescent="0.25">
      <c r="A65" s="2" t="s">
        <v>1655</v>
      </c>
      <c r="B65" s="2"/>
      <c r="C65" s="2"/>
      <c r="D65" s="257">
        <v>939.69</v>
      </c>
      <c r="E65" s="156"/>
      <c r="F65" s="2"/>
      <c r="G65" s="2"/>
      <c r="H65" s="2"/>
      <c r="I65" s="2"/>
      <c r="J65" s="2"/>
      <c r="K65" s="2"/>
    </row>
    <row r="66" spans="1:11" x14ac:dyDescent="0.25">
      <c r="A66" s="2" t="s">
        <v>1843</v>
      </c>
      <c r="B66" s="2"/>
      <c r="C66" s="2"/>
      <c r="D66" s="257">
        <v>100</v>
      </c>
      <c r="E66" s="156"/>
      <c r="F66" s="2"/>
      <c r="G66" s="2"/>
      <c r="H66" s="2"/>
      <c r="I66" s="2"/>
      <c r="J66" s="2"/>
      <c r="K66" s="2"/>
    </row>
    <row r="67" spans="1:11" ht="13.8" x14ac:dyDescent="0.3">
      <c r="A67" s="261" t="s">
        <v>2252</v>
      </c>
      <c r="B67" s="162"/>
      <c r="C67" s="162"/>
      <c r="D67" s="262">
        <v>450</v>
      </c>
      <c r="E67" s="156"/>
      <c r="F67" s="2"/>
      <c r="G67" s="2"/>
      <c r="H67" s="2"/>
      <c r="I67" s="2"/>
      <c r="J67" s="2"/>
      <c r="K67" s="2"/>
    </row>
    <row r="68" spans="1:11" ht="13.8" x14ac:dyDescent="0.3">
      <c r="A68" s="2" t="s">
        <v>1757</v>
      </c>
      <c r="B68" s="2"/>
      <c r="C68" s="2"/>
      <c r="D68" s="257">
        <v>85</v>
      </c>
      <c r="E68" s="166"/>
      <c r="F68" s="2"/>
      <c r="G68" s="2"/>
      <c r="H68" s="2"/>
      <c r="I68" s="2"/>
      <c r="J68" s="2"/>
      <c r="K68" s="2"/>
    </row>
    <row r="69" spans="1:11" x14ac:dyDescent="0.25">
      <c r="A69" s="259" t="s">
        <v>2246</v>
      </c>
      <c r="B69" s="160"/>
      <c r="C69" s="160"/>
      <c r="D69" s="255">
        <f>SUM(D61:D68)</f>
        <v>4062.69</v>
      </c>
      <c r="E69" s="156"/>
      <c r="F69" s="2"/>
      <c r="G69" s="2"/>
      <c r="H69" s="2"/>
      <c r="I69" s="2"/>
      <c r="J69" s="2"/>
      <c r="K69" s="2"/>
    </row>
    <row r="70" spans="1:11" x14ac:dyDescent="0.25">
      <c r="A70" s="2"/>
      <c r="B70" s="2"/>
      <c r="C70" s="159"/>
      <c r="E70" s="156"/>
      <c r="F70" s="2"/>
      <c r="G70" s="2"/>
      <c r="H70" s="2"/>
      <c r="I70" s="2"/>
      <c r="J70" s="2"/>
      <c r="K70" s="2"/>
    </row>
    <row r="71" spans="1:11" x14ac:dyDescent="0.25">
      <c r="A71" s="2"/>
      <c r="B71" s="2"/>
      <c r="C71" s="159"/>
      <c r="E71" s="156"/>
      <c r="F71" s="2"/>
      <c r="G71" s="2"/>
      <c r="H71" s="2"/>
      <c r="I71" s="2"/>
      <c r="J71" s="2"/>
      <c r="K71" s="2"/>
    </row>
    <row r="72" spans="1:11" ht="16.8" x14ac:dyDescent="0.55000000000000004">
      <c r="A72" s="79" t="s">
        <v>1836</v>
      </c>
      <c r="B72" s="2"/>
      <c r="C72" s="2"/>
      <c r="D72" s="160"/>
      <c r="E72" s="156"/>
      <c r="F72" s="2"/>
      <c r="G72" s="2"/>
      <c r="H72" s="2"/>
      <c r="I72" s="2"/>
      <c r="J72" s="2"/>
      <c r="K72" s="2"/>
    </row>
    <row r="73" spans="1:11" ht="15" x14ac:dyDescent="0.4">
      <c r="A73" s="2" t="s">
        <v>2257</v>
      </c>
      <c r="B73" s="2">
        <v>120</v>
      </c>
      <c r="C73" s="159">
        <v>11.5</v>
      </c>
      <c r="D73" s="40">
        <f>SUMPRODUCT(B73*C73)</f>
        <v>1380</v>
      </c>
      <c r="E73" s="156"/>
      <c r="F73" s="2"/>
      <c r="G73" s="2"/>
      <c r="H73" s="2">
        <v>2514.81</v>
      </c>
      <c r="I73" s="2">
        <v>2514.81</v>
      </c>
      <c r="J73" s="2">
        <v>2514.81</v>
      </c>
      <c r="K73" s="2">
        <v>2514.81</v>
      </c>
    </row>
    <row r="74" spans="1:11" x14ac:dyDescent="0.25">
      <c r="A74" s="1" t="s">
        <v>1654</v>
      </c>
      <c r="B74" s="2"/>
      <c r="C74" s="2"/>
      <c r="D74" s="263">
        <f>SUM(D73:D73)</f>
        <v>1380</v>
      </c>
      <c r="E74" s="156"/>
      <c r="F74" s="2"/>
      <c r="G74" s="2"/>
      <c r="H74" s="2"/>
      <c r="I74" s="2"/>
      <c r="J74" s="2"/>
      <c r="K74" s="2"/>
    </row>
    <row r="75" spans="1:11" x14ac:dyDescent="0.25">
      <c r="A75" s="2" t="s">
        <v>635</v>
      </c>
      <c r="B75" s="2">
        <f>+D74:D74</f>
        <v>1380</v>
      </c>
      <c r="C75" s="14">
        <v>7.6499999999999999E-2</v>
      </c>
      <c r="D75" s="12">
        <f>ROUND(B75*C75,0)</f>
        <v>106</v>
      </c>
      <c r="E75" s="156"/>
      <c r="F75" s="2"/>
      <c r="G75" s="2"/>
      <c r="H75" s="2"/>
      <c r="I75" s="2"/>
      <c r="J75" s="2"/>
      <c r="K75" s="2"/>
    </row>
    <row r="76" spans="1:11" x14ac:dyDescent="0.25">
      <c r="A76" s="2" t="s">
        <v>636</v>
      </c>
      <c r="B76" s="2">
        <f>+D74</f>
        <v>1380</v>
      </c>
      <c r="C76" s="14">
        <v>2.5600000000000001E-2</v>
      </c>
      <c r="D76" s="12">
        <f>ROUND(B76*C76,0)</f>
        <v>35</v>
      </c>
      <c r="E76" s="156"/>
      <c r="F76" s="2"/>
      <c r="G76" s="2"/>
      <c r="H76" s="2"/>
      <c r="I76" s="2"/>
      <c r="J76" s="2"/>
      <c r="K76" s="2"/>
    </row>
    <row r="77" spans="1:11" x14ac:dyDescent="0.25">
      <c r="A77" s="2" t="s">
        <v>637</v>
      </c>
      <c r="B77" s="2">
        <f>+D74</f>
        <v>1380</v>
      </c>
      <c r="C77" s="14">
        <v>3.3999999999999998E-3</v>
      </c>
      <c r="D77" s="12">
        <f>ROUND(B77*C77,0)</f>
        <v>5</v>
      </c>
      <c r="E77" s="156"/>
      <c r="F77" s="2"/>
      <c r="G77" s="2"/>
      <c r="H77" s="2"/>
      <c r="I77" s="2"/>
      <c r="J77" s="2"/>
      <c r="K77" s="2"/>
    </row>
    <row r="78" spans="1:11" x14ac:dyDescent="0.25">
      <c r="A78" s="2" t="s">
        <v>1655</v>
      </c>
      <c r="B78" s="2"/>
      <c r="C78" s="2"/>
      <c r="D78" s="264">
        <v>563.80999999999995</v>
      </c>
      <c r="E78" s="2"/>
      <c r="F78" s="2"/>
      <c r="G78" s="2"/>
      <c r="H78" s="2"/>
      <c r="I78" s="2"/>
      <c r="J78" s="2"/>
      <c r="K78" s="2"/>
    </row>
    <row r="79" spans="1:11" ht="14.4" x14ac:dyDescent="0.3">
      <c r="A79" s="2" t="s">
        <v>1837</v>
      </c>
      <c r="B79" s="2"/>
      <c r="C79" s="2"/>
      <c r="D79" s="264">
        <v>300</v>
      </c>
      <c r="E79" s="177"/>
      <c r="F79" s="2"/>
      <c r="G79" s="2"/>
      <c r="H79" s="2"/>
      <c r="I79" s="2"/>
      <c r="J79" s="2"/>
      <c r="K79" s="2"/>
    </row>
    <row r="80" spans="1:11" x14ac:dyDescent="0.25">
      <c r="A80" s="2" t="s">
        <v>1841</v>
      </c>
      <c r="B80" s="2"/>
      <c r="C80" s="2"/>
      <c r="D80" s="264">
        <v>25</v>
      </c>
      <c r="E80" s="2"/>
      <c r="F80" s="2"/>
      <c r="G80" s="2"/>
      <c r="H80" s="2"/>
      <c r="I80" s="2"/>
      <c r="J80" s="2"/>
      <c r="K80" s="2"/>
    </row>
    <row r="81" spans="1:11" x14ac:dyDescent="0.25">
      <c r="A81" s="2" t="s">
        <v>1833</v>
      </c>
      <c r="B81" s="2"/>
      <c r="C81" s="2"/>
      <c r="D81" s="264">
        <v>25</v>
      </c>
      <c r="E81" s="2"/>
      <c r="F81" s="2"/>
      <c r="G81" s="2"/>
      <c r="H81" s="2"/>
      <c r="I81" s="2"/>
      <c r="J81" s="2"/>
      <c r="K81" s="2"/>
    </row>
    <row r="82" spans="1:11" x14ac:dyDescent="0.25">
      <c r="A82" s="2" t="s">
        <v>1757</v>
      </c>
      <c r="B82" s="2"/>
      <c r="C82" s="2"/>
      <c r="D82" s="264">
        <v>75</v>
      </c>
      <c r="E82" s="2"/>
      <c r="F82" s="2"/>
      <c r="G82" s="2"/>
      <c r="H82" s="2"/>
      <c r="I82" s="2"/>
      <c r="J82" s="2"/>
      <c r="K82" s="2"/>
    </row>
    <row r="83" spans="1:11" x14ac:dyDescent="0.25">
      <c r="A83" s="259" t="s">
        <v>2246</v>
      </c>
      <c r="B83" s="160"/>
      <c r="C83" s="160"/>
      <c r="D83" s="263">
        <f>SUM(D74:D82)</f>
        <v>2514.81</v>
      </c>
      <c r="E83" s="2"/>
      <c r="F83" s="2"/>
      <c r="G83" s="2"/>
      <c r="H83" s="2"/>
      <c r="I83" s="2"/>
      <c r="J83" s="2"/>
      <c r="K83" s="2"/>
    </row>
    <row r="84" spans="1:11" ht="13.8" x14ac:dyDescent="0.3">
      <c r="A84" s="1"/>
      <c r="B84" s="2"/>
      <c r="C84" s="2"/>
      <c r="D84" s="206"/>
      <c r="E84" s="156"/>
      <c r="F84" s="2"/>
      <c r="G84" s="2"/>
      <c r="H84" s="2"/>
      <c r="I84" s="2"/>
      <c r="J84" s="2"/>
      <c r="K84" s="2"/>
    </row>
    <row r="85" spans="1:11" x14ac:dyDescent="0.25">
      <c r="A85" s="2"/>
      <c r="B85" s="2"/>
      <c r="C85" s="14"/>
      <c r="E85" s="2"/>
      <c r="F85" s="2"/>
      <c r="G85" s="2"/>
      <c r="H85" s="2"/>
      <c r="I85" s="2"/>
      <c r="J85" s="2"/>
      <c r="K85" s="2"/>
    </row>
    <row r="86" spans="1:11" ht="16.8" x14ac:dyDescent="0.55000000000000004">
      <c r="A86" s="79" t="s">
        <v>1839</v>
      </c>
      <c r="B86" s="2"/>
      <c r="C86" s="2"/>
      <c r="D86" s="160"/>
      <c r="E86" s="2"/>
      <c r="F86" s="2"/>
      <c r="G86" s="2"/>
      <c r="H86" s="2">
        <v>3034.11</v>
      </c>
      <c r="I86" s="2">
        <v>3034.11</v>
      </c>
      <c r="J86" s="2">
        <v>3034.11</v>
      </c>
      <c r="K86" s="2">
        <v>3034.11</v>
      </c>
    </row>
    <row r="87" spans="1:11" x14ac:dyDescent="0.25">
      <c r="A87" s="2" t="s">
        <v>1840</v>
      </c>
      <c r="B87" s="2">
        <v>160</v>
      </c>
      <c r="C87" s="159">
        <v>12</v>
      </c>
      <c r="D87" s="265">
        <f>SUMPRODUCT(B87*C87)</f>
        <v>1920</v>
      </c>
      <c r="E87" s="2"/>
      <c r="F87" s="2"/>
      <c r="G87" s="2"/>
      <c r="H87" s="2"/>
      <c r="I87" s="2"/>
      <c r="J87" s="2"/>
      <c r="K87" s="2"/>
    </row>
    <row r="88" spans="1:11" x14ac:dyDescent="0.25">
      <c r="A88" s="1" t="s">
        <v>1654</v>
      </c>
      <c r="B88" s="2"/>
      <c r="C88" s="2"/>
      <c r="D88" s="266">
        <f>SUM(D87:D87)</f>
        <v>1920</v>
      </c>
      <c r="E88" s="2"/>
      <c r="F88" s="2"/>
      <c r="G88" s="2"/>
      <c r="H88" s="2"/>
      <c r="I88" s="2"/>
      <c r="J88" s="2"/>
      <c r="K88" s="2"/>
    </row>
    <row r="89" spans="1:11" x14ac:dyDescent="0.25">
      <c r="A89" s="2" t="s">
        <v>635</v>
      </c>
      <c r="B89" s="2">
        <f>+D88:D88</f>
        <v>1920</v>
      </c>
      <c r="C89" s="14">
        <v>7.6499999999999999E-2</v>
      </c>
      <c r="D89" s="267">
        <f>ROUND(B89*C89,0)</f>
        <v>147</v>
      </c>
      <c r="E89" s="2"/>
      <c r="F89" s="2"/>
      <c r="G89" s="2"/>
      <c r="H89" s="2"/>
      <c r="I89" s="2"/>
      <c r="J89" s="2"/>
      <c r="K89" s="2"/>
    </row>
    <row r="90" spans="1:11" x14ac:dyDescent="0.25">
      <c r="A90" s="2" t="s">
        <v>636</v>
      </c>
      <c r="B90" s="2">
        <f>+D88</f>
        <v>1920</v>
      </c>
      <c r="C90" s="14">
        <v>2.5600000000000001E-2</v>
      </c>
      <c r="D90" s="267">
        <f>ROUND(B90*C90,0)</f>
        <v>49</v>
      </c>
      <c r="E90" s="2"/>
      <c r="F90" s="2"/>
      <c r="G90" s="2"/>
      <c r="H90" s="2"/>
      <c r="I90" s="2"/>
      <c r="J90" s="2"/>
      <c r="K90" s="2"/>
    </row>
    <row r="91" spans="1:11" x14ac:dyDescent="0.25">
      <c r="A91" s="2" t="s">
        <v>637</v>
      </c>
      <c r="B91" s="2">
        <f>+D88</f>
        <v>1920</v>
      </c>
      <c r="C91" s="14">
        <v>3.3999999999999998E-3</v>
      </c>
      <c r="D91" s="267">
        <f>ROUND(B91*C91,0)</f>
        <v>7</v>
      </c>
      <c r="E91" s="2"/>
      <c r="F91" s="2"/>
      <c r="G91" s="2"/>
      <c r="H91" s="2"/>
      <c r="I91" s="2"/>
      <c r="J91" s="2"/>
      <c r="K91" s="2"/>
    </row>
    <row r="92" spans="1:11" x14ac:dyDescent="0.25">
      <c r="A92" s="2" t="s">
        <v>1655</v>
      </c>
      <c r="B92" s="2"/>
      <c r="C92" s="2"/>
      <c r="D92" s="268">
        <v>689.11</v>
      </c>
      <c r="E92" s="2"/>
      <c r="F92" s="2"/>
      <c r="G92" s="2"/>
      <c r="H92" s="2"/>
      <c r="I92" s="2"/>
      <c r="J92" s="2"/>
      <c r="K92" s="2"/>
    </row>
    <row r="93" spans="1:11" ht="14.4" x14ac:dyDescent="0.3">
      <c r="A93" s="2" t="s">
        <v>1834</v>
      </c>
      <c r="B93" s="2"/>
      <c r="C93" s="2"/>
      <c r="D93" s="268">
        <v>150</v>
      </c>
      <c r="E93" s="177"/>
      <c r="F93" s="2"/>
      <c r="G93" s="2"/>
      <c r="H93" s="2"/>
      <c r="I93" s="2"/>
      <c r="J93" s="2"/>
      <c r="K93" s="2"/>
    </row>
    <row r="94" spans="1:11" x14ac:dyDescent="0.25">
      <c r="A94" s="2" t="s">
        <v>1757</v>
      </c>
      <c r="B94" s="2"/>
      <c r="C94" s="2"/>
      <c r="D94" s="257">
        <v>72</v>
      </c>
      <c r="E94" s="156"/>
      <c r="F94" s="2"/>
      <c r="G94" s="2"/>
      <c r="H94" s="2"/>
      <c r="I94" s="2"/>
      <c r="J94" s="2"/>
      <c r="K94" s="2"/>
    </row>
    <row r="95" spans="1:11" x14ac:dyDescent="0.25">
      <c r="A95" s="259" t="s">
        <v>2246</v>
      </c>
      <c r="B95" s="160"/>
      <c r="C95" s="160"/>
      <c r="D95" s="266">
        <f>SUM(D88:D94)</f>
        <v>3034.11</v>
      </c>
      <c r="E95" s="2"/>
      <c r="F95" s="2"/>
      <c r="G95" s="2"/>
      <c r="H95" s="2"/>
      <c r="I95" s="2"/>
      <c r="J95" s="2"/>
      <c r="K95" s="2"/>
    </row>
    <row r="96" spans="1:11" x14ac:dyDescent="0.25">
      <c r="A96" s="259"/>
      <c r="B96" s="160"/>
      <c r="C96" s="160"/>
      <c r="D96" s="266"/>
      <c r="E96" s="2"/>
      <c r="F96" s="2"/>
      <c r="G96" s="2"/>
      <c r="H96" s="2"/>
      <c r="I96" s="2"/>
      <c r="J96" s="2"/>
      <c r="K96" s="2"/>
    </row>
    <row r="97" spans="1:11" x14ac:dyDescent="0.25">
      <c r="A97" s="2"/>
      <c r="B97" s="2"/>
      <c r="C97" s="159"/>
      <c r="E97" s="2"/>
      <c r="F97" s="2"/>
      <c r="G97" s="2"/>
      <c r="H97" s="2"/>
      <c r="I97" s="2"/>
      <c r="J97" s="2"/>
      <c r="K97" s="2"/>
    </row>
    <row r="98" spans="1:11" ht="16.8" x14ac:dyDescent="0.55000000000000004">
      <c r="A98" s="79" t="s">
        <v>1842</v>
      </c>
      <c r="B98" s="2"/>
      <c r="C98" s="2"/>
      <c r="D98" s="160"/>
      <c r="E98" s="2"/>
      <c r="F98" s="2"/>
      <c r="G98" s="2"/>
      <c r="H98" s="2">
        <v>13232.45</v>
      </c>
      <c r="I98" s="2">
        <v>13232.45</v>
      </c>
      <c r="J98" s="2">
        <v>13232.45</v>
      </c>
      <c r="K98" s="2">
        <v>13232.45</v>
      </c>
    </row>
    <row r="99" spans="1:11" x14ac:dyDescent="0.25">
      <c r="A99" s="2" t="s">
        <v>2258</v>
      </c>
      <c r="B99" s="2">
        <v>120</v>
      </c>
      <c r="C99" s="159">
        <v>18.5</v>
      </c>
      <c r="D99" s="267">
        <f>SUMPRODUCT(B99*C99)</f>
        <v>2220</v>
      </c>
      <c r="E99" s="2"/>
      <c r="F99" s="2"/>
      <c r="G99" s="2"/>
      <c r="H99" s="2"/>
      <c r="I99" s="2"/>
      <c r="J99" s="2"/>
      <c r="K99" s="2"/>
    </row>
    <row r="100" spans="1:11" x14ac:dyDescent="0.25">
      <c r="A100" s="251" t="s">
        <v>2259</v>
      </c>
      <c r="B100" s="160">
        <v>360</v>
      </c>
      <c r="C100" s="251">
        <v>9</v>
      </c>
      <c r="D100" s="267">
        <f>SUMPRODUCT(B100*C100)</f>
        <v>3240</v>
      </c>
      <c r="E100" s="2"/>
      <c r="F100" s="2"/>
      <c r="G100" s="2"/>
      <c r="H100" s="2"/>
      <c r="I100" s="2"/>
      <c r="J100" s="2"/>
      <c r="K100" s="2"/>
    </row>
    <row r="101" spans="1:11" x14ac:dyDescent="0.25">
      <c r="A101" s="251" t="s">
        <v>2260</v>
      </c>
      <c r="B101" s="160">
        <v>60</v>
      </c>
      <c r="C101" s="251">
        <v>13.98</v>
      </c>
      <c r="D101" s="265">
        <f>SUMPRODUCT(B101*C101)</f>
        <v>838.80000000000007</v>
      </c>
      <c r="E101" s="2"/>
      <c r="F101" s="2"/>
      <c r="G101" s="2"/>
      <c r="H101" s="2"/>
      <c r="I101" s="2"/>
      <c r="J101" s="2"/>
      <c r="K101" s="2"/>
    </row>
    <row r="102" spans="1:11" x14ac:dyDescent="0.25">
      <c r="A102" s="1" t="s">
        <v>1654</v>
      </c>
      <c r="B102" s="2"/>
      <c r="C102" s="2"/>
      <c r="D102" s="266">
        <f>SUM(D99:D101)</f>
        <v>6298.8</v>
      </c>
      <c r="E102" s="2"/>
      <c r="F102" s="2"/>
      <c r="G102" s="2"/>
      <c r="H102" s="2"/>
      <c r="I102" s="2"/>
      <c r="J102" s="2"/>
      <c r="K102" s="2"/>
    </row>
    <row r="103" spans="1:11" x14ac:dyDescent="0.25">
      <c r="A103" s="2" t="s">
        <v>635</v>
      </c>
      <c r="B103" s="2">
        <f>+D102:D102</f>
        <v>6298.8</v>
      </c>
      <c r="C103" s="14">
        <v>7.6499999999999999E-2</v>
      </c>
      <c r="D103" s="267">
        <f>ROUND(B103*C103,0)</f>
        <v>482</v>
      </c>
      <c r="E103" s="2"/>
      <c r="F103" s="2"/>
      <c r="G103" s="2"/>
      <c r="H103" s="2"/>
      <c r="I103" s="2"/>
      <c r="J103" s="2"/>
      <c r="K103" s="2"/>
    </row>
    <row r="104" spans="1:11" x14ac:dyDescent="0.25">
      <c r="A104" s="2" t="s">
        <v>636</v>
      </c>
      <c r="B104" s="2">
        <f>+D102</f>
        <v>6298.8</v>
      </c>
      <c r="C104" s="14">
        <v>2.5600000000000001E-2</v>
      </c>
      <c r="D104" s="267">
        <f>ROUND(B104*C104,0)</f>
        <v>161</v>
      </c>
      <c r="E104" s="2"/>
      <c r="F104" s="2"/>
      <c r="G104" s="2"/>
      <c r="H104" s="2"/>
      <c r="I104" s="2"/>
      <c r="J104" s="2"/>
      <c r="K104" s="2"/>
    </row>
    <row r="105" spans="1:11" x14ac:dyDescent="0.25">
      <c r="A105" s="2" t="s">
        <v>637</v>
      </c>
      <c r="B105" s="2">
        <f>+D102</f>
        <v>6298.8</v>
      </c>
      <c r="C105" s="14">
        <v>3.3999999999999998E-3</v>
      </c>
      <c r="D105" s="267">
        <f>ROUND(B105*C105,0)</f>
        <v>21</v>
      </c>
      <c r="E105" s="2"/>
      <c r="F105" s="2"/>
      <c r="G105" s="2"/>
      <c r="H105" s="2"/>
      <c r="I105" s="2"/>
      <c r="J105" s="2"/>
      <c r="K105" s="2"/>
    </row>
    <row r="106" spans="1:11" ht="14.4" x14ac:dyDescent="0.3">
      <c r="A106" s="2" t="s">
        <v>1834</v>
      </c>
      <c r="B106" s="2"/>
      <c r="C106" s="2"/>
      <c r="D106" s="268">
        <v>2000</v>
      </c>
      <c r="E106" s="177"/>
      <c r="F106" s="2"/>
      <c r="G106" s="2"/>
      <c r="H106" s="2"/>
      <c r="I106" s="2"/>
      <c r="J106" s="2"/>
      <c r="K106" s="2"/>
    </row>
    <row r="107" spans="1:11" x14ac:dyDescent="0.25">
      <c r="A107" s="2" t="s">
        <v>2037</v>
      </c>
      <c r="B107" s="2"/>
      <c r="C107" s="2"/>
      <c r="D107" s="268">
        <v>125</v>
      </c>
      <c r="E107" s="2"/>
      <c r="F107" s="2"/>
      <c r="G107" s="2"/>
      <c r="H107" s="2"/>
      <c r="I107" s="2"/>
      <c r="J107" s="2"/>
      <c r="K107" s="2"/>
    </row>
    <row r="108" spans="1:11" x14ac:dyDescent="0.25">
      <c r="A108" s="2" t="s">
        <v>1844</v>
      </c>
      <c r="B108" s="160"/>
      <c r="C108" s="160"/>
      <c r="D108" s="268">
        <v>800</v>
      </c>
      <c r="E108" s="2"/>
      <c r="F108" s="2"/>
      <c r="G108" s="2"/>
      <c r="H108" s="2"/>
      <c r="I108" s="2"/>
      <c r="J108" s="2"/>
      <c r="K108" s="2"/>
    </row>
    <row r="109" spans="1:11" x14ac:dyDescent="0.25">
      <c r="A109" s="2" t="s">
        <v>1833</v>
      </c>
      <c r="B109" s="2"/>
      <c r="C109" s="2"/>
      <c r="D109" s="257">
        <v>50</v>
      </c>
      <c r="E109" s="2"/>
      <c r="F109" s="2"/>
      <c r="G109" s="2"/>
      <c r="H109" s="2"/>
      <c r="I109" s="2"/>
      <c r="J109" s="2"/>
      <c r="K109" s="2"/>
    </row>
    <row r="110" spans="1:11" x14ac:dyDescent="0.25">
      <c r="A110" s="2" t="s">
        <v>1757</v>
      </c>
      <c r="B110" s="2"/>
      <c r="C110" s="2"/>
      <c r="D110" s="257">
        <v>225</v>
      </c>
      <c r="E110" s="2"/>
      <c r="F110" s="2"/>
      <c r="G110" s="2"/>
      <c r="H110" s="2"/>
      <c r="I110" s="2"/>
      <c r="J110" s="2"/>
      <c r="K110" s="2"/>
    </row>
    <row r="111" spans="1:11" x14ac:dyDescent="0.25">
      <c r="A111" s="251" t="s">
        <v>2261</v>
      </c>
      <c r="B111" s="160"/>
      <c r="C111" s="160"/>
      <c r="D111" s="251">
        <v>3069.65</v>
      </c>
      <c r="E111" s="2"/>
      <c r="F111" s="2"/>
      <c r="G111" s="2"/>
      <c r="H111" s="2"/>
      <c r="I111" s="2"/>
      <c r="J111" s="2"/>
      <c r="K111" s="2"/>
    </row>
    <row r="112" spans="1:11" x14ac:dyDescent="0.25">
      <c r="A112" s="259" t="s">
        <v>2246</v>
      </c>
      <c r="B112" s="160"/>
      <c r="C112" s="160"/>
      <c r="D112" s="266">
        <f>SUM(D102:D111)</f>
        <v>13232.449999999999</v>
      </c>
      <c r="E112" s="2"/>
      <c r="F112" s="2"/>
      <c r="G112" s="2"/>
      <c r="H112" s="2"/>
      <c r="I112" s="2"/>
      <c r="J112" s="2"/>
      <c r="K112" s="2"/>
    </row>
    <row r="113" spans="1:11" x14ac:dyDescent="0.25">
      <c r="A113" s="2"/>
      <c r="B113" s="2"/>
      <c r="C113" s="14"/>
      <c r="E113" s="2"/>
      <c r="F113" s="2"/>
      <c r="G113" s="2"/>
      <c r="H113" s="2"/>
      <c r="I113" s="2"/>
      <c r="J113" s="2"/>
      <c r="K113" s="2"/>
    </row>
    <row r="114" spans="1:11" x14ac:dyDescent="0.25">
      <c r="A114" s="2"/>
      <c r="B114" s="2"/>
      <c r="C114" s="14"/>
      <c r="E114" s="2"/>
      <c r="F114" s="2"/>
      <c r="G114" s="2"/>
      <c r="H114" s="2"/>
      <c r="I114" s="2"/>
      <c r="J114" s="2"/>
      <c r="K114" s="2"/>
    </row>
    <row r="115" spans="1:11" ht="13.8" x14ac:dyDescent="0.3">
      <c r="A115" s="269" t="s">
        <v>2262</v>
      </c>
      <c r="B115" s="162"/>
      <c r="C115" s="162"/>
      <c r="D115" s="162"/>
      <c r="E115" s="2"/>
      <c r="F115" s="2"/>
      <c r="G115" s="2"/>
      <c r="H115" s="2">
        <v>6681.05</v>
      </c>
      <c r="I115" s="2">
        <v>6681.05</v>
      </c>
      <c r="J115" s="2">
        <v>6681.05</v>
      </c>
      <c r="K115" s="2">
        <v>6681.05</v>
      </c>
    </row>
    <row r="116" spans="1:11" x14ac:dyDescent="0.25">
      <c r="A116" s="2" t="s">
        <v>2263</v>
      </c>
      <c r="B116" s="2">
        <v>66</v>
      </c>
      <c r="C116" s="159">
        <v>16.649999999999999</v>
      </c>
      <c r="D116" s="260">
        <f>SUMPRODUCT(B116*C116)</f>
        <v>1098.8999999999999</v>
      </c>
      <c r="E116" s="2"/>
      <c r="F116" s="2"/>
      <c r="G116" s="2"/>
      <c r="H116" s="2"/>
      <c r="I116" s="2"/>
      <c r="J116" s="2"/>
      <c r="K116" s="2"/>
    </row>
    <row r="117" spans="1:11" x14ac:dyDescent="0.25">
      <c r="A117" s="1" t="s">
        <v>1654</v>
      </c>
      <c r="B117" s="2"/>
      <c r="C117" s="2"/>
      <c r="D117" s="255">
        <f>SUM(D116:D116)</f>
        <v>1098.8999999999999</v>
      </c>
      <c r="E117" s="2"/>
      <c r="F117" s="2"/>
      <c r="G117" s="2"/>
      <c r="H117" s="2"/>
      <c r="I117" s="2"/>
      <c r="J117" s="2"/>
      <c r="K117" s="2"/>
    </row>
    <row r="118" spans="1:11" x14ac:dyDescent="0.25">
      <c r="A118" s="2" t="s">
        <v>635</v>
      </c>
      <c r="B118" s="2">
        <f>+D117:D117</f>
        <v>1098.8999999999999</v>
      </c>
      <c r="C118" s="14">
        <v>7.6499999999999999E-2</v>
      </c>
      <c r="D118" s="159">
        <f>ROUND(B118*C118,0)</f>
        <v>84</v>
      </c>
      <c r="E118" s="2"/>
      <c r="F118" s="2"/>
      <c r="G118" s="2"/>
      <c r="H118" s="2"/>
      <c r="I118" s="2"/>
      <c r="J118" s="2"/>
      <c r="K118" s="2"/>
    </row>
    <row r="119" spans="1:11" x14ac:dyDescent="0.25">
      <c r="A119" s="2" t="s">
        <v>636</v>
      </c>
      <c r="B119" s="2">
        <f>+D117</f>
        <v>1098.8999999999999</v>
      </c>
      <c r="C119" s="14">
        <v>2.5600000000000001E-2</v>
      </c>
      <c r="D119" s="159">
        <f>ROUND(B119*C119,0)</f>
        <v>28</v>
      </c>
      <c r="E119" s="2"/>
      <c r="F119" s="2"/>
      <c r="G119" s="2"/>
      <c r="H119" s="2"/>
      <c r="I119" s="2"/>
      <c r="J119" s="2"/>
      <c r="K119" s="2"/>
    </row>
    <row r="120" spans="1:11" x14ac:dyDescent="0.25">
      <c r="A120" s="2" t="s">
        <v>637</v>
      </c>
      <c r="B120" s="2">
        <f>+D117</f>
        <v>1098.8999999999999</v>
      </c>
      <c r="C120" s="14">
        <v>3.3999999999999998E-3</v>
      </c>
      <c r="D120" s="159">
        <f>ROUND(B120*C120,0)</f>
        <v>4</v>
      </c>
      <c r="E120" s="156"/>
      <c r="F120" s="2"/>
      <c r="G120" s="2"/>
      <c r="H120" s="2"/>
      <c r="I120" s="2"/>
      <c r="J120" s="2"/>
      <c r="K120" s="2"/>
    </row>
    <row r="121" spans="1:11" x14ac:dyDescent="0.25">
      <c r="A121" s="2" t="s">
        <v>1834</v>
      </c>
      <c r="B121" s="2"/>
      <c r="C121" s="2"/>
      <c r="D121" s="257">
        <v>1500</v>
      </c>
      <c r="E121" s="239"/>
      <c r="F121" s="2"/>
      <c r="G121" s="2"/>
      <c r="H121" s="2"/>
      <c r="I121" s="2"/>
      <c r="J121" s="2"/>
      <c r="K121" s="2"/>
    </row>
    <row r="122" spans="1:11" ht="14.4" x14ac:dyDescent="0.3">
      <c r="A122" s="2" t="s">
        <v>2264</v>
      </c>
      <c r="B122" s="2"/>
      <c r="C122" s="2"/>
      <c r="D122" s="257">
        <v>2000</v>
      </c>
      <c r="E122" s="177"/>
      <c r="F122" s="2"/>
      <c r="G122" s="2"/>
      <c r="H122" s="2"/>
      <c r="I122" s="2"/>
      <c r="J122" s="2"/>
      <c r="K122" s="2"/>
    </row>
    <row r="123" spans="1:11" ht="14.4" x14ac:dyDescent="0.3">
      <c r="A123" s="2" t="s">
        <v>1757</v>
      </c>
      <c r="B123" s="2"/>
      <c r="C123" s="2"/>
      <c r="D123" s="257">
        <v>400</v>
      </c>
      <c r="E123" s="177"/>
      <c r="F123" s="2"/>
      <c r="G123" s="2"/>
      <c r="H123" s="2"/>
      <c r="I123" s="2"/>
      <c r="J123" s="2"/>
      <c r="K123" s="2"/>
    </row>
    <row r="124" spans="1:11" ht="14.4" x14ac:dyDescent="0.3">
      <c r="A124" s="2" t="s">
        <v>2261</v>
      </c>
      <c r="B124" s="2"/>
      <c r="C124" s="2"/>
      <c r="D124" s="251">
        <v>1566.15</v>
      </c>
      <c r="E124" s="177"/>
      <c r="F124" s="2"/>
      <c r="G124" s="2"/>
      <c r="H124" s="2"/>
      <c r="I124" s="2"/>
      <c r="J124" s="2"/>
      <c r="K124" s="2"/>
    </row>
    <row r="125" spans="1:11" ht="14.4" x14ac:dyDescent="0.3">
      <c r="A125" s="259" t="s">
        <v>2246</v>
      </c>
      <c r="B125" s="160"/>
      <c r="C125" s="160"/>
      <c r="D125" s="255">
        <f>SUM(D117:D124)</f>
        <v>6681.0499999999993</v>
      </c>
      <c r="E125" s="177"/>
      <c r="F125" s="2"/>
      <c r="G125" s="2"/>
      <c r="H125" s="2"/>
      <c r="I125" s="2"/>
      <c r="J125" s="2"/>
      <c r="K125" s="2"/>
    </row>
    <row r="126" spans="1:11" ht="14.4" x14ac:dyDescent="0.3">
      <c r="A126" s="241"/>
      <c r="B126"/>
      <c r="C126"/>
      <c r="E126" s="177"/>
      <c r="F126" s="2"/>
      <c r="G126" s="2"/>
      <c r="H126" s="2"/>
      <c r="I126" s="2"/>
      <c r="J126" s="2"/>
      <c r="K126" s="2"/>
    </row>
    <row r="127" spans="1:11" ht="14.4" x14ac:dyDescent="0.3">
      <c r="A127" s="241" t="s">
        <v>2137</v>
      </c>
      <c r="B127"/>
      <c r="C127"/>
      <c r="E127" s="177"/>
      <c r="F127" s="2">
        <v>28</v>
      </c>
      <c r="G127" s="2"/>
      <c r="H127" s="2"/>
      <c r="I127" s="2"/>
      <c r="J127" s="2"/>
      <c r="K127" s="2"/>
    </row>
    <row r="128" spans="1:11" ht="14.4" x14ac:dyDescent="0.3">
      <c r="A128" s="161"/>
      <c r="B128"/>
      <c r="C128"/>
      <c r="E128" s="177"/>
      <c r="F128" s="2"/>
      <c r="G128" s="2"/>
      <c r="H128" s="2"/>
      <c r="I128" s="2"/>
      <c r="J128" s="2"/>
      <c r="K128" s="2"/>
    </row>
    <row r="129" spans="1:11" ht="14.4" x14ac:dyDescent="0.3">
      <c r="A129" s="241" t="s">
        <v>1977</v>
      </c>
      <c r="B129"/>
      <c r="C129"/>
      <c r="E129" s="177"/>
      <c r="F129" s="2"/>
      <c r="G129" s="2"/>
      <c r="H129" s="2"/>
      <c r="I129" s="2"/>
      <c r="J129" s="2"/>
      <c r="K129" s="2"/>
    </row>
    <row r="130" spans="1:11" s="224" customFormat="1" ht="14.4" x14ac:dyDescent="0.3">
      <c r="A130" s="161"/>
      <c r="B130"/>
      <c r="C130"/>
      <c r="D130" s="48"/>
      <c r="E130" s="177"/>
      <c r="F130" s="2"/>
      <c r="G130" s="2"/>
      <c r="H130" s="2"/>
      <c r="I130" s="2"/>
      <c r="J130" s="2"/>
      <c r="K130" s="2"/>
    </row>
    <row r="131" spans="1:11" s="224" customFormat="1" ht="15.6" x14ac:dyDescent="0.4">
      <c r="A131" s="241" t="s">
        <v>1978</v>
      </c>
      <c r="B131"/>
      <c r="C131"/>
      <c r="D131" s="48"/>
      <c r="E131" s="177"/>
      <c r="F131" s="11">
        <v>4681.8900000000003</v>
      </c>
      <c r="G131" s="11">
        <v>2657</v>
      </c>
      <c r="H131" s="11">
        <v>0</v>
      </c>
      <c r="I131" s="11">
        <v>0</v>
      </c>
      <c r="J131" s="11">
        <v>0</v>
      </c>
      <c r="K131" s="11">
        <v>0</v>
      </c>
    </row>
    <row r="132" spans="1:11" s="224" customFormat="1" x14ac:dyDescent="0.25">
      <c r="A132" s="2" t="s">
        <v>636</v>
      </c>
      <c r="B132" s="2">
        <f>+D130</f>
        <v>0</v>
      </c>
      <c r="C132" s="14">
        <v>2.4400000000000002E-2</v>
      </c>
      <c r="D132" s="48">
        <f>ROUND(B132*C132,0)</f>
        <v>0</v>
      </c>
      <c r="E132" s="2"/>
      <c r="F132" s="2"/>
      <c r="G132" s="2"/>
      <c r="H132" s="2"/>
      <c r="I132" s="2"/>
      <c r="J132" s="2"/>
      <c r="K132" s="2"/>
    </row>
    <row r="133" spans="1:11" s="224" customFormat="1" x14ac:dyDescent="0.25">
      <c r="A133" s="2" t="s">
        <v>637</v>
      </c>
      <c r="B133" s="2">
        <f>+D130</f>
        <v>0</v>
      </c>
      <c r="C133" s="14">
        <v>1.8E-3</v>
      </c>
      <c r="D133" s="48">
        <f>ROUND(B133*C133,0)</f>
        <v>0</v>
      </c>
      <c r="E133" s="2"/>
      <c r="F133" s="2"/>
      <c r="G133" s="2"/>
      <c r="H133" s="2"/>
      <c r="I133" s="2"/>
      <c r="J133" s="2"/>
      <c r="K133" s="2"/>
    </row>
    <row r="134" spans="1:11" ht="13.8" x14ac:dyDescent="0.3">
      <c r="A134" s="2" t="s">
        <v>1655</v>
      </c>
      <c r="B134" s="2"/>
      <c r="C134" s="2"/>
      <c r="D134" s="166"/>
      <c r="E134" s="2"/>
      <c r="F134" s="2"/>
      <c r="G134" s="2"/>
      <c r="H134" s="2"/>
      <c r="I134" s="2"/>
      <c r="J134" s="2"/>
      <c r="K134" s="2"/>
    </row>
    <row r="135" spans="1:11" ht="13.8" x14ac:dyDescent="0.3">
      <c r="A135" s="2" t="s">
        <v>1834</v>
      </c>
      <c r="B135" s="2"/>
      <c r="C135" s="2"/>
      <c r="D135" s="166"/>
      <c r="E135" s="2"/>
      <c r="F135" s="2"/>
      <c r="G135" s="2"/>
      <c r="H135" s="2"/>
      <c r="I135" s="2"/>
      <c r="J135" s="2"/>
      <c r="K135" s="2"/>
    </row>
    <row r="136" spans="1:11" ht="13.8" x14ac:dyDescent="0.3">
      <c r="A136" s="2" t="s">
        <v>1843</v>
      </c>
      <c r="B136" s="2"/>
      <c r="C136" s="2"/>
      <c r="D136" s="166"/>
      <c r="E136" s="2"/>
      <c r="F136" s="2"/>
      <c r="G136" s="2"/>
      <c r="H136" s="2"/>
      <c r="I136" s="2"/>
      <c r="J136" s="2"/>
      <c r="K136" s="2"/>
    </row>
    <row r="137" spans="1:11" ht="13.8" x14ac:dyDescent="0.3">
      <c r="A137" s="2" t="s">
        <v>1844</v>
      </c>
      <c r="B137"/>
      <c r="C137"/>
      <c r="D137" s="166"/>
      <c r="E137" s="2"/>
      <c r="F137" s="2"/>
      <c r="G137" s="2"/>
      <c r="H137" s="2"/>
      <c r="I137" s="2"/>
      <c r="J137" s="2"/>
      <c r="K137" s="2"/>
    </row>
    <row r="138" spans="1:11" ht="13.8" x14ac:dyDescent="0.3">
      <c r="A138" s="2" t="s">
        <v>1833</v>
      </c>
      <c r="B138" s="2"/>
      <c r="C138" s="2"/>
      <c r="D138" s="166"/>
      <c r="E138" s="156"/>
      <c r="F138" s="2"/>
      <c r="G138" s="2"/>
      <c r="H138" s="2"/>
      <c r="I138" s="2"/>
      <c r="J138" s="2"/>
      <c r="K138" s="2"/>
    </row>
    <row r="139" spans="1:11" ht="13.8" x14ac:dyDescent="0.3">
      <c r="A139" s="2" t="s">
        <v>1757</v>
      </c>
      <c r="B139" s="2"/>
      <c r="C139" s="2"/>
      <c r="D139" s="165"/>
      <c r="E139" s="239"/>
      <c r="F139" s="2"/>
      <c r="G139" s="2"/>
      <c r="H139" s="2"/>
      <c r="I139" s="2"/>
      <c r="J139" s="2"/>
      <c r="K139" s="2"/>
    </row>
    <row r="140" spans="1:11" ht="14.4" x14ac:dyDescent="0.3">
      <c r="A140" s="161" t="s">
        <v>1545</v>
      </c>
      <c r="B140"/>
      <c r="C140"/>
      <c r="E140" s="177"/>
      <c r="F140" s="2"/>
      <c r="G140" s="2">
        <v>0</v>
      </c>
      <c r="H140" s="2">
        <v>0</v>
      </c>
      <c r="I140" s="2">
        <v>0</v>
      </c>
      <c r="J140" s="2">
        <v>0</v>
      </c>
      <c r="K140" s="2">
        <v>0</v>
      </c>
    </row>
    <row r="141" spans="1:11" s="196" customFormat="1" ht="14.4" x14ac:dyDescent="0.3">
      <c r="A141" s="161"/>
      <c r="B141"/>
      <c r="C141"/>
      <c r="D141" s="48"/>
      <c r="E141" s="177"/>
      <c r="F141" s="2"/>
      <c r="G141" s="2"/>
      <c r="H141" s="2"/>
      <c r="I141" s="2"/>
      <c r="J141" s="2"/>
      <c r="K141" s="2"/>
    </row>
    <row r="142" spans="1:11" s="196" customFormat="1" ht="14.4" x14ac:dyDescent="0.3">
      <c r="A142" s="161"/>
      <c r="B142"/>
      <c r="C142"/>
      <c r="D142" s="48"/>
      <c r="E142" s="177"/>
      <c r="F142" s="2"/>
      <c r="G142" s="2"/>
      <c r="H142" s="2"/>
      <c r="I142" s="2"/>
      <c r="J142" s="2"/>
      <c r="K142" s="2"/>
    </row>
    <row r="143" spans="1:11" x14ac:dyDescent="0.25">
      <c r="A143" s="2"/>
      <c r="B143" s="2"/>
      <c r="C143" s="12"/>
      <c r="E143" s="2"/>
      <c r="F143" s="2"/>
      <c r="G143" s="190"/>
      <c r="I143" s="247"/>
      <c r="J143" s="295"/>
      <c r="K143" s="298"/>
    </row>
    <row r="144" spans="1:11" x14ac:dyDescent="0.25">
      <c r="A144" s="2" t="s">
        <v>1846</v>
      </c>
      <c r="B144" s="2"/>
      <c r="C144" s="12"/>
      <c r="E144" s="2"/>
      <c r="F144" s="2">
        <f t="shared" ref="F144:K144" si="1">SUM(F9:F142)</f>
        <v>217565.22</v>
      </c>
      <c r="G144" s="2">
        <f t="shared" si="1"/>
        <v>170264</v>
      </c>
      <c r="H144" s="2">
        <f t="shared" si="1"/>
        <v>270308.88999999996</v>
      </c>
      <c r="I144" s="2">
        <f t="shared" si="1"/>
        <v>270308.88999999996</v>
      </c>
      <c r="J144" s="2">
        <f t="shared" si="1"/>
        <v>270308.88999999996</v>
      </c>
      <c r="K144" s="2">
        <f t="shared" si="1"/>
        <v>270308.88999999996</v>
      </c>
    </row>
    <row r="145" spans="6:11" x14ac:dyDescent="0.25">
      <c r="F145" s="2"/>
      <c r="G145" s="2"/>
      <c r="H145" s="2"/>
      <c r="I145" s="2"/>
      <c r="J145" s="2"/>
      <c r="K145" s="2"/>
    </row>
    <row r="146" spans="6:11" x14ac:dyDescent="0.25">
      <c r="I146" s="247"/>
      <c r="J146" s="295"/>
      <c r="K146" s="298"/>
    </row>
    <row r="147" spans="6:11" x14ac:dyDescent="0.25">
      <c r="I147" s="247"/>
      <c r="J147" s="295"/>
      <c r="K147" s="298"/>
    </row>
    <row r="148" spans="6:11" x14ac:dyDescent="0.25">
      <c r="I148" s="247"/>
      <c r="J148" s="295"/>
      <c r="K148" s="298"/>
    </row>
    <row r="149" spans="6:11" x14ac:dyDescent="0.25">
      <c r="I149" s="247"/>
      <c r="J149" s="295"/>
      <c r="K149" s="298"/>
    </row>
    <row r="150" spans="6:11" x14ac:dyDescent="0.25">
      <c r="I150" s="247"/>
      <c r="J150" s="295"/>
      <c r="K150" s="298"/>
    </row>
    <row r="151" spans="6:11" x14ac:dyDescent="0.25">
      <c r="I151" s="247"/>
      <c r="J151" s="295"/>
      <c r="K151" s="298"/>
    </row>
    <row r="152" spans="6:11" x14ac:dyDescent="0.25">
      <c r="I152" s="247"/>
      <c r="J152" s="295"/>
      <c r="K152" s="298"/>
    </row>
    <row r="153" spans="6:11" x14ac:dyDescent="0.25">
      <c r="I153" s="247"/>
      <c r="J153" s="295"/>
      <c r="K153" s="298"/>
    </row>
    <row r="154" spans="6:11" x14ac:dyDescent="0.25">
      <c r="I154" s="247"/>
      <c r="J154" s="295"/>
      <c r="K154" s="298"/>
    </row>
    <row r="155" spans="6:11" x14ac:dyDescent="0.25">
      <c r="I155" s="247"/>
      <c r="J155" s="295"/>
      <c r="K155" s="298"/>
    </row>
    <row r="156" spans="6:11" x14ac:dyDescent="0.25">
      <c r="I156" s="247"/>
      <c r="J156" s="295"/>
      <c r="K156" s="298"/>
    </row>
    <row r="157" spans="6:11" x14ac:dyDescent="0.25">
      <c r="I157" s="247"/>
      <c r="J157" s="295"/>
      <c r="K157" s="298"/>
    </row>
    <row r="158" spans="6:11" x14ac:dyDescent="0.25">
      <c r="I158" s="247"/>
      <c r="J158" s="295"/>
      <c r="K158" s="298"/>
    </row>
    <row r="159" spans="6:11" x14ac:dyDescent="0.25">
      <c r="I159" s="247"/>
      <c r="J159" s="295"/>
      <c r="K159" s="298"/>
    </row>
    <row r="160" spans="6:11" x14ac:dyDescent="0.25">
      <c r="I160" s="247"/>
      <c r="J160" s="295"/>
      <c r="K160" s="298"/>
    </row>
    <row r="161" spans="9:11" x14ac:dyDescent="0.25">
      <c r="I161" s="247"/>
      <c r="J161" s="295"/>
      <c r="K161" s="298"/>
    </row>
    <row r="162" spans="9:11" x14ac:dyDescent="0.25">
      <c r="I162" s="247"/>
      <c r="J162" s="295"/>
      <c r="K162" s="298"/>
    </row>
    <row r="163" spans="9:11" x14ac:dyDescent="0.25">
      <c r="I163" s="247"/>
      <c r="J163" s="295"/>
      <c r="K163" s="298"/>
    </row>
    <row r="164" spans="9:11" x14ac:dyDescent="0.25">
      <c r="I164" s="247"/>
      <c r="J164" s="295"/>
      <c r="K164" s="298"/>
    </row>
    <row r="165" spans="9:11" x14ac:dyDescent="0.25">
      <c r="I165" s="247"/>
      <c r="J165" s="295"/>
      <c r="K165" s="298"/>
    </row>
    <row r="166" spans="9:11" x14ac:dyDescent="0.25">
      <c r="I166" s="247"/>
      <c r="J166" s="295"/>
      <c r="K166" s="298"/>
    </row>
    <row r="167" spans="9:11" x14ac:dyDescent="0.25">
      <c r="I167" s="247"/>
      <c r="J167" s="295"/>
      <c r="K167" s="298"/>
    </row>
    <row r="168" spans="9:11" x14ac:dyDescent="0.25">
      <c r="I168" s="247"/>
      <c r="J168" s="295"/>
      <c r="K168" s="298"/>
    </row>
    <row r="169" spans="9:11" x14ac:dyDescent="0.25">
      <c r="I169" s="247"/>
      <c r="J169" s="295"/>
      <c r="K169" s="298"/>
    </row>
    <row r="170" spans="9:11" x14ac:dyDescent="0.25">
      <c r="I170" s="247"/>
      <c r="J170" s="295"/>
      <c r="K170" s="298"/>
    </row>
    <row r="171" spans="9:11" x14ac:dyDescent="0.25">
      <c r="I171" s="247"/>
      <c r="J171" s="295"/>
      <c r="K171" s="298"/>
    </row>
    <row r="172" spans="9:11" x14ac:dyDescent="0.25">
      <c r="I172" s="247"/>
      <c r="J172" s="295"/>
      <c r="K172" s="298"/>
    </row>
    <row r="173" spans="9:11" x14ac:dyDescent="0.25">
      <c r="I173" s="247"/>
      <c r="J173" s="295"/>
      <c r="K173" s="298"/>
    </row>
    <row r="174" spans="9:11" x14ac:dyDescent="0.25">
      <c r="I174" s="247"/>
      <c r="J174" s="295"/>
      <c r="K174" s="298"/>
    </row>
    <row r="175" spans="9:11" x14ac:dyDescent="0.25">
      <c r="I175" s="247"/>
      <c r="J175" s="295"/>
      <c r="K175" s="298"/>
    </row>
    <row r="176" spans="9:11" x14ac:dyDescent="0.25">
      <c r="I176" s="247"/>
      <c r="J176" s="295"/>
      <c r="K176" s="298"/>
    </row>
    <row r="177" spans="9:11" x14ac:dyDescent="0.25">
      <c r="I177" s="247"/>
      <c r="J177" s="295"/>
      <c r="K177" s="298"/>
    </row>
    <row r="178" spans="9:11" x14ac:dyDescent="0.25">
      <c r="I178" s="247"/>
      <c r="J178" s="295"/>
      <c r="K178" s="298"/>
    </row>
    <row r="179" spans="9:11" x14ac:dyDescent="0.25">
      <c r="I179" s="247"/>
      <c r="J179" s="295"/>
      <c r="K179" s="298"/>
    </row>
    <row r="180" spans="9:11" x14ac:dyDescent="0.25">
      <c r="I180" s="247"/>
      <c r="J180" s="221"/>
      <c r="K180" s="298"/>
    </row>
    <row r="181" spans="9:11" x14ac:dyDescent="0.25">
      <c r="I181" s="247"/>
      <c r="J181" s="221"/>
      <c r="K181" s="298"/>
    </row>
    <row r="182" spans="9:11" x14ac:dyDescent="0.25">
      <c r="I182" s="247"/>
      <c r="J182" s="221"/>
      <c r="K182" s="298"/>
    </row>
    <row r="183" spans="9:11" x14ac:dyDescent="0.25">
      <c r="I183" s="247"/>
      <c r="J183" s="221"/>
      <c r="K183" s="298"/>
    </row>
    <row r="184" spans="9:11" x14ac:dyDescent="0.25">
      <c r="I184" s="247"/>
      <c r="J184" s="221"/>
      <c r="K184" s="298"/>
    </row>
    <row r="185" spans="9:11" x14ac:dyDescent="0.25">
      <c r="I185" s="247"/>
      <c r="J185" s="221"/>
      <c r="K185" s="298"/>
    </row>
    <row r="186" spans="9:11" x14ac:dyDescent="0.25">
      <c r="I186" s="247"/>
      <c r="J186" s="221"/>
      <c r="K186" s="298"/>
    </row>
    <row r="187" spans="9:11" x14ac:dyDescent="0.25">
      <c r="I187" s="247"/>
      <c r="J187" s="221"/>
      <c r="K187" s="298"/>
    </row>
    <row r="188" spans="9:11" x14ac:dyDescent="0.25">
      <c r="I188" s="247"/>
      <c r="J188" s="221"/>
      <c r="K188" s="298"/>
    </row>
    <row r="189" spans="9:11" x14ac:dyDescent="0.25">
      <c r="I189" s="247"/>
      <c r="J189" s="221"/>
      <c r="K189" s="298"/>
    </row>
    <row r="190" spans="9:11" x14ac:dyDescent="0.25">
      <c r="I190" s="247"/>
      <c r="J190" s="221"/>
      <c r="K190" s="298"/>
    </row>
    <row r="191" spans="9:11" x14ac:dyDescent="0.25">
      <c r="I191" s="247"/>
      <c r="J191" s="221"/>
      <c r="K191" s="298"/>
    </row>
    <row r="192" spans="9:11" x14ac:dyDescent="0.25">
      <c r="I192" s="247"/>
      <c r="J192" s="221"/>
      <c r="K192" s="298"/>
    </row>
    <row r="193" spans="9:11" x14ac:dyDescent="0.25">
      <c r="I193" s="247"/>
      <c r="K193" s="298"/>
    </row>
    <row r="194" spans="9:11" x14ac:dyDescent="0.25">
      <c r="I194" s="247"/>
      <c r="K194" s="298"/>
    </row>
    <row r="195" spans="9:11" x14ac:dyDescent="0.25">
      <c r="I195" s="247"/>
      <c r="K195" s="298"/>
    </row>
    <row r="196" spans="9:11" x14ac:dyDescent="0.25">
      <c r="I196" s="247"/>
      <c r="K196" s="298"/>
    </row>
    <row r="197" spans="9:11" x14ac:dyDescent="0.25">
      <c r="I197" s="247"/>
      <c r="K197" s="298"/>
    </row>
    <row r="198" spans="9:11" x14ac:dyDescent="0.25">
      <c r="I198" s="247"/>
      <c r="K198" s="298"/>
    </row>
    <row r="199" spans="9:11" x14ac:dyDescent="0.25">
      <c r="K199" s="298"/>
    </row>
  </sheetData>
  <mergeCells count="2">
    <mergeCell ref="A1:J1"/>
    <mergeCell ref="A6:G6"/>
  </mergeCells>
  <printOptions gridLines="1"/>
  <pageMargins left="0.75" right="0.16" top="0.51" bottom="0.22" header="0.5" footer="0"/>
  <pageSetup scale="70" fitToHeight="7" orientation="landscape" r:id="rId1"/>
  <headerFooter alignWithMargins="0"/>
  <rowBreaks count="2" manualBreakCount="2">
    <brk id="55" max="10" man="1"/>
    <brk id="97"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77"/>
  <sheetViews>
    <sheetView view="pageBreakPreview" zoomScaleNormal="100" zoomScaleSheetLayoutView="100" workbookViewId="0">
      <selection sqref="A1:J1"/>
    </sheetView>
  </sheetViews>
  <sheetFormatPr defaultColWidth="8.88671875" defaultRowHeight="13.2" x14ac:dyDescent="0.25"/>
  <cols>
    <col min="1" max="1" width="53.6640625" style="2" customWidth="1"/>
    <col min="2" max="2" width="8.6640625" style="2" bestFit="1" customWidth="1"/>
    <col min="3" max="3" width="10.44140625" style="2" customWidth="1"/>
    <col min="4" max="4" width="11.44140625" style="2" customWidth="1"/>
    <col min="5" max="7" width="10.88671875" style="2" customWidth="1"/>
    <col min="8" max="8" width="14" style="2" bestFit="1" customWidth="1"/>
    <col min="9" max="10" width="10.88671875" style="2" customWidth="1"/>
    <col min="11" max="16384" width="8.88671875" style="2"/>
  </cols>
  <sheetData>
    <row r="1" spans="1:10" x14ac:dyDescent="0.25">
      <c r="A1" s="307" t="str">
        <f>'SUMMARY BY FUND'!A1:J1</f>
        <v>2019-20 BUDGET</v>
      </c>
      <c r="B1" s="308"/>
      <c r="C1" s="308"/>
      <c r="D1" s="308"/>
      <c r="E1" s="308"/>
      <c r="F1" s="308"/>
      <c r="G1" s="308"/>
      <c r="H1" s="308"/>
      <c r="I1" s="308"/>
      <c r="J1" s="308"/>
    </row>
    <row r="2" spans="1:10" ht="17.399999999999999" x14ac:dyDescent="0.3">
      <c r="A2" s="182" t="s">
        <v>1933</v>
      </c>
      <c r="B2" s="181"/>
      <c r="C2" s="181"/>
      <c r="D2" s="181"/>
      <c r="E2" s="181"/>
      <c r="F2" s="181"/>
    </row>
    <row r="4" spans="1:10" x14ac:dyDescent="0.25">
      <c r="E4" s="195" t="s">
        <v>233</v>
      </c>
      <c r="F4" s="195" t="s">
        <v>234</v>
      </c>
      <c r="G4" s="195" t="s">
        <v>70</v>
      </c>
      <c r="H4" s="195" t="s">
        <v>409</v>
      </c>
      <c r="I4" s="16" t="s">
        <v>314</v>
      </c>
      <c r="J4" s="16" t="s">
        <v>345</v>
      </c>
    </row>
    <row r="5" spans="1:10" ht="15" x14ac:dyDescent="0.4">
      <c r="E5" s="225" t="s">
        <v>1794</v>
      </c>
      <c r="F5" s="225" t="s">
        <v>1970</v>
      </c>
      <c r="G5" s="191" t="s">
        <v>2129</v>
      </c>
      <c r="H5" s="225" t="s">
        <v>2129</v>
      </c>
      <c r="I5" s="225" t="s">
        <v>2129</v>
      </c>
      <c r="J5" s="225" t="s">
        <v>2129</v>
      </c>
    </row>
    <row r="6" spans="1:10" ht="13.8" x14ac:dyDescent="0.3">
      <c r="A6" s="54" t="s">
        <v>1245</v>
      </c>
      <c r="E6" s="2">
        <v>27911.48</v>
      </c>
      <c r="F6" s="2">
        <v>27200</v>
      </c>
      <c r="G6" s="2">
        <v>27200</v>
      </c>
      <c r="H6" s="2">
        <v>27200</v>
      </c>
      <c r="I6" s="2">
        <v>27200</v>
      </c>
      <c r="J6" s="2">
        <v>27200</v>
      </c>
    </row>
    <row r="7" spans="1:10" x14ac:dyDescent="0.25">
      <c r="A7" s="2" t="s">
        <v>490</v>
      </c>
      <c r="B7" s="2">
        <v>7</v>
      </c>
      <c r="C7" s="2">
        <v>3600</v>
      </c>
      <c r="D7" s="2">
        <f>ROUND(B7*C7,0)</f>
        <v>25200</v>
      </c>
    </row>
    <row r="8" spans="1:10" ht="15" x14ac:dyDescent="0.4">
      <c r="A8" s="2" t="s">
        <v>1246</v>
      </c>
      <c r="B8" s="2">
        <v>1</v>
      </c>
      <c r="C8" s="2">
        <v>2000</v>
      </c>
      <c r="D8" s="11">
        <f>ROUND(B8*C8,0)</f>
        <v>2000</v>
      </c>
    </row>
    <row r="9" spans="1:10" x14ac:dyDescent="0.25">
      <c r="A9" s="2" t="s">
        <v>1247</v>
      </c>
      <c r="D9" s="2">
        <f>SUM(D7:D8)</f>
        <v>27200</v>
      </c>
    </row>
    <row r="11" spans="1:10" ht="13.8" x14ac:dyDescent="0.3">
      <c r="A11" s="54" t="s">
        <v>408</v>
      </c>
      <c r="E11" s="2">
        <v>403269</v>
      </c>
      <c r="F11" s="2">
        <v>414488</v>
      </c>
      <c r="G11" s="2">
        <v>414488</v>
      </c>
      <c r="H11" s="2">
        <v>414488</v>
      </c>
      <c r="I11" s="2">
        <v>428581</v>
      </c>
      <c r="J11" s="2">
        <v>428581</v>
      </c>
    </row>
    <row r="12" spans="1:10" x14ac:dyDescent="0.25">
      <c r="A12" s="2" t="s">
        <v>409</v>
      </c>
      <c r="B12" s="2">
        <v>52</v>
      </c>
      <c r="C12" s="2">
        <v>2839</v>
      </c>
      <c r="D12" s="2">
        <f>ROUND(B12*C12,0)</f>
        <v>147628</v>
      </c>
    </row>
    <row r="13" spans="1:10" x14ac:dyDescent="0.25">
      <c r="A13" s="2" t="s">
        <v>1730</v>
      </c>
      <c r="B13" s="2">
        <v>52</v>
      </c>
      <c r="C13" s="2">
        <v>2219</v>
      </c>
      <c r="D13" s="2">
        <f>ROUND(B13*C13,0)</f>
        <v>115388</v>
      </c>
    </row>
    <row r="14" spans="1:10" x14ac:dyDescent="0.25">
      <c r="A14" s="2" t="s">
        <v>1536</v>
      </c>
      <c r="B14" s="2">
        <v>52</v>
      </c>
      <c r="C14" s="2">
        <v>1596</v>
      </c>
      <c r="D14" s="2">
        <f>ROUND(B14*C14,0)</f>
        <v>82992</v>
      </c>
    </row>
    <row r="15" spans="1:10" x14ac:dyDescent="0.25">
      <c r="A15" s="2" t="s">
        <v>278</v>
      </c>
      <c r="B15" s="2">
        <v>52</v>
      </c>
      <c r="C15" s="2">
        <v>1486</v>
      </c>
      <c r="D15" s="2">
        <f>ROUND(B15*C15,0)</f>
        <v>77272</v>
      </c>
    </row>
    <row r="16" spans="1:10" ht="15" x14ac:dyDescent="0.4">
      <c r="A16" s="2" t="s">
        <v>973</v>
      </c>
      <c r="D16" s="11">
        <v>5301</v>
      </c>
    </row>
    <row r="17" spans="1:10" x14ac:dyDescent="0.25">
      <c r="D17" s="2">
        <f>SUM(D12:D16)</f>
        <v>428581</v>
      </c>
    </row>
    <row r="19" spans="1:10" ht="13.8" x14ac:dyDescent="0.3">
      <c r="A19" s="54" t="s">
        <v>335</v>
      </c>
      <c r="E19" s="2">
        <v>339962.37</v>
      </c>
      <c r="F19" s="2">
        <v>353756</v>
      </c>
      <c r="G19" s="2">
        <v>353756</v>
      </c>
      <c r="H19" s="2">
        <v>353756</v>
      </c>
      <c r="I19" s="2">
        <v>363896</v>
      </c>
      <c r="J19" s="2">
        <v>363896</v>
      </c>
    </row>
    <row r="20" spans="1:10" x14ac:dyDescent="0.25">
      <c r="A20" s="2" t="s">
        <v>739</v>
      </c>
      <c r="B20" s="2">
        <v>52</v>
      </c>
      <c r="C20" s="2">
        <v>875</v>
      </c>
      <c r="D20" s="2">
        <f t="shared" ref="D20:D26" si="0">ROUND(B20*C20,0)</f>
        <v>45500</v>
      </c>
    </row>
    <row r="21" spans="1:10" x14ac:dyDescent="0.25">
      <c r="A21" s="2" t="s">
        <v>1097</v>
      </c>
      <c r="B21" s="2">
        <v>52</v>
      </c>
      <c r="C21" s="2">
        <v>757</v>
      </c>
      <c r="D21" s="2">
        <f t="shared" si="0"/>
        <v>39364</v>
      </c>
    </row>
    <row r="22" spans="1:10" x14ac:dyDescent="0.25">
      <c r="A22" s="2" t="s">
        <v>180</v>
      </c>
      <c r="B22" s="2">
        <v>52</v>
      </c>
      <c r="C22" s="2">
        <v>1072</v>
      </c>
      <c r="D22" s="2">
        <f t="shared" si="0"/>
        <v>55744</v>
      </c>
    </row>
    <row r="23" spans="1:10" x14ac:dyDescent="0.25">
      <c r="A23" s="2" t="s">
        <v>444</v>
      </c>
      <c r="B23" s="2">
        <v>52</v>
      </c>
      <c r="C23" s="2">
        <v>897</v>
      </c>
      <c r="D23" s="2">
        <f t="shared" si="0"/>
        <v>46644</v>
      </c>
    </row>
    <row r="24" spans="1:10" x14ac:dyDescent="0.25">
      <c r="A24" s="2" t="s">
        <v>444</v>
      </c>
      <c r="B24" s="2">
        <v>52</v>
      </c>
      <c r="C24" s="2">
        <v>972</v>
      </c>
      <c r="D24" s="2">
        <f t="shared" si="0"/>
        <v>50544</v>
      </c>
    </row>
    <row r="25" spans="1:10" x14ac:dyDescent="0.25">
      <c r="A25" s="2" t="s">
        <v>1918</v>
      </c>
      <c r="B25" s="2">
        <v>52</v>
      </c>
      <c r="C25" s="2">
        <v>1370</v>
      </c>
      <c r="D25" s="2">
        <f t="shared" si="0"/>
        <v>71240</v>
      </c>
    </row>
    <row r="26" spans="1:10" x14ac:dyDescent="0.25">
      <c r="A26" s="2" t="s">
        <v>1853</v>
      </c>
      <c r="B26" s="2">
        <v>52</v>
      </c>
      <c r="C26" s="2">
        <v>984</v>
      </c>
      <c r="D26" s="2">
        <f t="shared" si="0"/>
        <v>51168</v>
      </c>
    </row>
    <row r="27" spans="1:10" ht="15" x14ac:dyDescent="0.4">
      <c r="A27" s="2" t="s">
        <v>973</v>
      </c>
      <c r="B27" s="2" t="s">
        <v>396</v>
      </c>
      <c r="C27" s="2" t="s">
        <v>396</v>
      </c>
      <c r="D27" s="11">
        <v>3692</v>
      </c>
    </row>
    <row r="28" spans="1:10" x14ac:dyDescent="0.25">
      <c r="A28" s="2" t="s">
        <v>1247</v>
      </c>
      <c r="D28" s="2">
        <f>SUM(D20:D27)</f>
        <v>363896</v>
      </c>
    </row>
    <row r="30" spans="1:10" ht="13.8" x14ac:dyDescent="0.3">
      <c r="A30" s="54" t="s">
        <v>397</v>
      </c>
      <c r="E30" s="2">
        <v>6387.46</v>
      </c>
      <c r="F30" s="2">
        <v>8431</v>
      </c>
      <c r="G30" s="2">
        <v>8431</v>
      </c>
      <c r="H30" s="2">
        <v>8431</v>
      </c>
      <c r="I30" s="2">
        <v>8682</v>
      </c>
      <c r="J30" s="2">
        <v>8682</v>
      </c>
    </row>
    <row r="31" spans="1:10" x14ac:dyDescent="0.25">
      <c r="A31" s="2" t="s">
        <v>1457</v>
      </c>
      <c r="B31" s="2">
        <v>530</v>
      </c>
      <c r="C31" s="12">
        <v>9.07</v>
      </c>
      <c r="D31" s="2">
        <f>ROUND(B31*C31,0)</f>
        <v>4807</v>
      </c>
    </row>
    <row r="32" spans="1:10" ht="15" x14ac:dyDescent="0.4">
      <c r="A32" s="2" t="s">
        <v>1537</v>
      </c>
      <c r="B32" s="2">
        <v>225</v>
      </c>
      <c r="C32" s="12">
        <v>17.22</v>
      </c>
      <c r="D32" s="11">
        <f>ROUND(B32*C32,0)</f>
        <v>3875</v>
      </c>
    </row>
    <row r="33" spans="1:10" x14ac:dyDescent="0.25">
      <c r="C33" s="12"/>
      <c r="D33" s="2">
        <f>SUM(D31:D32)</f>
        <v>8682</v>
      </c>
    </row>
    <row r="34" spans="1:10" x14ac:dyDescent="0.25">
      <c r="C34" s="12"/>
    </row>
    <row r="35" spans="1:10" ht="13.8" x14ac:dyDescent="0.3">
      <c r="A35" s="54" t="s">
        <v>806</v>
      </c>
      <c r="C35" s="12"/>
      <c r="E35" s="2">
        <v>7576.22</v>
      </c>
      <c r="F35" s="2">
        <v>7034</v>
      </c>
      <c r="G35" s="2">
        <v>7034</v>
      </c>
      <c r="H35" s="2">
        <v>7034</v>
      </c>
      <c r="I35" s="2">
        <v>7235</v>
      </c>
      <c r="J35" s="2">
        <v>7235</v>
      </c>
    </row>
    <row r="36" spans="1:10" x14ac:dyDescent="0.25">
      <c r="A36" s="52" t="s">
        <v>807</v>
      </c>
      <c r="B36" s="2">
        <v>193</v>
      </c>
      <c r="C36" s="12">
        <f>+D28/2080/7*1.5</f>
        <v>37.489285714285714</v>
      </c>
      <c r="D36" s="2">
        <f>+C36*B36</f>
        <v>7235.4321428571429</v>
      </c>
    </row>
    <row r="37" spans="1:10" x14ac:dyDescent="0.25">
      <c r="A37" s="2" t="s">
        <v>396</v>
      </c>
      <c r="B37" s="2" t="s">
        <v>396</v>
      </c>
      <c r="C37" s="2" t="s">
        <v>396</v>
      </c>
      <c r="D37" s="2" t="s">
        <v>396</v>
      </c>
    </row>
    <row r="38" spans="1:10" ht="13.8" x14ac:dyDescent="0.3">
      <c r="A38" s="54" t="s">
        <v>181</v>
      </c>
      <c r="E38" s="2">
        <v>62597.2</v>
      </c>
      <c r="F38" s="2">
        <v>59424</v>
      </c>
      <c r="G38" s="2">
        <v>59424</v>
      </c>
      <c r="H38" s="2">
        <v>59702</v>
      </c>
      <c r="I38" s="2">
        <v>61324</v>
      </c>
      <c r="J38" s="2">
        <v>61324</v>
      </c>
    </row>
    <row r="39" spans="1:10" x14ac:dyDescent="0.25">
      <c r="A39" s="52" t="s">
        <v>182</v>
      </c>
      <c r="B39" s="2">
        <f>+D9</f>
        <v>27200</v>
      </c>
      <c r="C39" s="14">
        <v>1.4500000000000001E-2</v>
      </c>
      <c r="D39" s="2">
        <f>ROUND(B39*C39,0)</f>
        <v>394</v>
      </c>
    </row>
    <row r="40" spans="1:10" x14ac:dyDescent="0.25">
      <c r="A40" s="52" t="s">
        <v>183</v>
      </c>
      <c r="B40" s="2">
        <v>132900</v>
      </c>
      <c r="C40" s="14">
        <v>7.6499999999999999E-2</v>
      </c>
      <c r="D40" s="2">
        <f t="shared" ref="D40:D45" si="1">ROUND(B40*C40,0)</f>
        <v>10167</v>
      </c>
    </row>
    <row r="41" spans="1:10" x14ac:dyDescent="0.25">
      <c r="A41" s="2" t="s">
        <v>183</v>
      </c>
      <c r="B41" s="2">
        <f>IF((D12)&gt;128700,+D12+-132900,D12)</f>
        <v>14728</v>
      </c>
      <c r="C41" s="14">
        <v>1.4500000000000001E-2</v>
      </c>
      <c r="D41" s="2">
        <f t="shared" si="1"/>
        <v>214</v>
      </c>
    </row>
    <row r="42" spans="1:10" x14ac:dyDescent="0.25">
      <c r="A42" s="52" t="s">
        <v>1392</v>
      </c>
      <c r="B42" s="2">
        <f>SUM(D13:D16)</f>
        <v>280953</v>
      </c>
      <c r="C42" s="14">
        <v>7.6499999999999999E-2</v>
      </c>
      <c r="D42" s="2">
        <f t="shared" si="1"/>
        <v>21493</v>
      </c>
    </row>
    <row r="43" spans="1:10" x14ac:dyDescent="0.25">
      <c r="A43" s="52" t="s">
        <v>807</v>
      </c>
      <c r="B43" s="2">
        <f>+D28</f>
        <v>363896</v>
      </c>
      <c r="C43" s="14">
        <v>7.6499999999999999E-2</v>
      </c>
      <c r="D43" s="2">
        <f t="shared" si="1"/>
        <v>27838</v>
      </c>
    </row>
    <row r="44" spans="1:10" x14ac:dyDescent="0.25">
      <c r="A44" s="52" t="s">
        <v>184</v>
      </c>
      <c r="B44" s="2">
        <f>+D33</f>
        <v>8682</v>
      </c>
      <c r="C44" s="14">
        <v>7.6499999999999999E-2</v>
      </c>
      <c r="D44" s="2">
        <f t="shared" si="1"/>
        <v>664</v>
      </c>
    </row>
    <row r="45" spans="1:10" ht="15" x14ac:dyDescent="0.4">
      <c r="A45" s="52" t="s">
        <v>185</v>
      </c>
      <c r="B45" s="2">
        <f>+D36</f>
        <v>7235.4321428571429</v>
      </c>
      <c r="C45" s="14">
        <v>7.6499999999999999E-2</v>
      </c>
      <c r="D45" s="11">
        <f t="shared" si="1"/>
        <v>554</v>
      </c>
    </row>
    <row r="46" spans="1:10" x14ac:dyDescent="0.25">
      <c r="A46" s="2" t="s">
        <v>1247</v>
      </c>
      <c r="C46" s="14"/>
      <c r="D46" s="2">
        <f>SUM(D39:D45)</f>
        <v>61324</v>
      </c>
    </row>
    <row r="47" spans="1:10" x14ac:dyDescent="0.25">
      <c r="C47" s="14"/>
    </row>
    <row r="48" spans="1:10" ht="13.8" x14ac:dyDescent="0.3">
      <c r="A48" s="54" t="s">
        <v>1969</v>
      </c>
      <c r="C48" s="14"/>
      <c r="E48" s="2">
        <v>77128.19</v>
      </c>
      <c r="F48" s="2">
        <v>88224</v>
      </c>
      <c r="G48" s="2">
        <v>86596</v>
      </c>
      <c r="H48" s="2">
        <v>86596</v>
      </c>
      <c r="I48" s="2">
        <v>89326</v>
      </c>
      <c r="J48" s="2">
        <v>89326</v>
      </c>
    </row>
    <row r="49" spans="1:10" x14ac:dyDescent="0.25">
      <c r="A49" s="52" t="s">
        <v>1256</v>
      </c>
      <c r="B49" s="2">
        <f>+D9</f>
        <v>27200</v>
      </c>
      <c r="C49" s="14">
        <v>0</v>
      </c>
      <c r="D49" s="2">
        <f>+C49*B49</f>
        <v>0</v>
      </c>
    </row>
    <row r="50" spans="1:10" x14ac:dyDescent="0.25">
      <c r="A50" s="52" t="s">
        <v>183</v>
      </c>
      <c r="B50" s="2">
        <f>+D12</f>
        <v>147628</v>
      </c>
      <c r="C50" s="14">
        <v>0.11169999999999999</v>
      </c>
      <c r="D50" s="2">
        <f>+C50*B50</f>
        <v>16490.047599999998</v>
      </c>
    </row>
    <row r="51" spans="1:10" x14ac:dyDescent="0.25">
      <c r="A51" s="52" t="s">
        <v>1257</v>
      </c>
      <c r="B51" s="2">
        <f>+D17-B50</f>
        <v>280953</v>
      </c>
      <c r="C51" s="14">
        <v>0.11169999999999999</v>
      </c>
      <c r="D51" s="2">
        <f>ROUND(B51*C51,0)</f>
        <v>31382</v>
      </c>
    </row>
    <row r="52" spans="1:10" x14ac:dyDescent="0.25">
      <c r="A52" s="2" t="s">
        <v>1109</v>
      </c>
      <c r="B52" s="2">
        <f>+D25</f>
        <v>71240</v>
      </c>
      <c r="C52" s="14">
        <v>0.11169999999999999</v>
      </c>
      <c r="D52" s="2">
        <f>ROUND(B52*C52,0)</f>
        <v>7958</v>
      </c>
    </row>
    <row r="53" spans="1:10" x14ac:dyDescent="0.25">
      <c r="A53" s="2" t="s">
        <v>1258</v>
      </c>
      <c r="B53" s="2">
        <f>+D28-D25</f>
        <v>292656</v>
      </c>
      <c r="C53" s="14">
        <v>0.11169999999999999</v>
      </c>
      <c r="D53" s="2">
        <f>ROUND(B53*C53,0)</f>
        <v>32690</v>
      </c>
    </row>
    <row r="54" spans="1:10" ht="15" x14ac:dyDescent="0.4">
      <c r="A54" s="52" t="s">
        <v>1393</v>
      </c>
      <c r="B54" s="2">
        <f>+D36</f>
        <v>7235.4321428571429</v>
      </c>
      <c r="C54" s="14">
        <v>0.11169999999999999</v>
      </c>
      <c r="D54" s="11">
        <f>ROUND(B54*C54,0)</f>
        <v>808</v>
      </c>
    </row>
    <row r="55" spans="1:10" x14ac:dyDescent="0.25">
      <c r="A55" s="2" t="s">
        <v>1247</v>
      </c>
      <c r="D55" s="2">
        <f>SUM(D49:D54)-2</f>
        <v>89326.047599999991</v>
      </c>
    </row>
    <row r="57" spans="1:10" ht="13.8" x14ac:dyDescent="0.3">
      <c r="A57" s="54" t="s">
        <v>944</v>
      </c>
      <c r="E57" s="2">
        <v>180059.68</v>
      </c>
      <c r="F57" s="2">
        <v>201300</v>
      </c>
      <c r="G57" s="2">
        <v>204600</v>
      </c>
      <c r="H57" s="2">
        <v>209275</v>
      </c>
      <c r="I57" s="2">
        <v>209275</v>
      </c>
      <c r="J57" s="2">
        <v>209275</v>
      </c>
    </row>
    <row r="58" spans="1:10" x14ac:dyDescent="0.25">
      <c r="A58" s="2" t="s">
        <v>416</v>
      </c>
      <c r="B58" s="2">
        <v>11</v>
      </c>
      <c r="C58" s="2">
        <v>19025</v>
      </c>
      <c r="D58" s="2">
        <f>ROUND(B58*C58,0)</f>
        <v>209275</v>
      </c>
    </row>
    <row r="60" spans="1:10" ht="13.8" x14ac:dyDescent="0.3">
      <c r="A60" s="54" t="s">
        <v>945</v>
      </c>
      <c r="E60" s="2">
        <v>11737.64</v>
      </c>
      <c r="F60" s="2">
        <v>12870</v>
      </c>
      <c r="G60" s="2">
        <v>13217</v>
      </c>
      <c r="H60" s="2">
        <v>13365</v>
      </c>
      <c r="I60" s="2">
        <v>13365</v>
      </c>
      <c r="J60" s="2">
        <v>13365</v>
      </c>
    </row>
    <row r="61" spans="1:10" x14ac:dyDescent="0.25">
      <c r="A61" s="2" t="s">
        <v>416</v>
      </c>
      <c r="B61" s="2">
        <v>11</v>
      </c>
      <c r="C61" s="2">
        <v>1350</v>
      </c>
      <c r="D61" s="2">
        <f>ROUND(B61*C61,0)</f>
        <v>14850</v>
      </c>
    </row>
    <row r="62" spans="1:10" ht="15" x14ac:dyDescent="0.4">
      <c r="A62" s="2" t="s">
        <v>227</v>
      </c>
      <c r="D62" s="11">
        <f>-C61*0.1*B61</f>
        <v>-1485</v>
      </c>
    </row>
    <row r="63" spans="1:10" x14ac:dyDescent="0.25">
      <c r="A63" s="7" t="s">
        <v>801</v>
      </c>
      <c r="D63" s="2">
        <f>SUM(D61:D62)</f>
        <v>13365</v>
      </c>
    </row>
    <row r="65" spans="1:10" ht="13.8" x14ac:dyDescent="0.3">
      <c r="A65" s="54" t="s">
        <v>946</v>
      </c>
      <c r="E65" s="2">
        <v>1650.89</v>
      </c>
      <c r="F65" s="2">
        <v>1485</v>
      </c>
      <c r="G65" s="2">
        <v>1485</v>
      </c>
      <c r="H65" s="2">
        <v>1485</v>
      </c>
      <c r="I65" s="2">
        <v>1485</v>
      </c>
      <c r="J65" s="2">
        <v>1485</v>
      </c>
    </row>
    <row r="66" spans="1:10" hidden="1" x14ac:dyDescent="0.25">
      <c r="A66" s="2" t="s">
        <v>1255</v>
      </c>
      <c r="B66" s="2">
        <v>11</v>
      </c>
      <c r="C66" s="2">
        <v>135</v>
      </c>
      <c r="D66" s="2">
        <f>ROUND(B66*C66,0)</f>
        <v>1485</v>
      </c>
    </row>
    <row r="68" spans="1:10" ht="13.8" x14ac:dyDescent="0.3">
      <c r="A68" s="54" t="s">
        <v>947</v>
      </c>
      <c r="E68" s="2">
        <v>5276.13</v>
      </c>
      <c r="F68" s="2">
        <v>6930</v>
      </c>
      <c r="G68" s="2">
        <v>6600</v>
      </c>
      <c r="H68" s="2">
        <v>6600</v>
      </c>
      <c r="I68" s="2">
        <v>6600</v>
      </c>
      <c r="J68" s="2">
        <v>6600</v>
      </c>
    </row>
    <row r="69" spans="1:10" hidden="1" x14ac:dyDescent="0.25">
      <c r="A69" s="2" t="s">
        <v>827</v>
      </c>
      <c r="B69" s="2">
        <v>11</v>
      </c>
      <c r="C69" s="2">
        <v>600</v>
      </c>
      <c r="D69" s="2">
        <f>ROUND(B69*C69,0)</f>
        <v>6600</v>
      </c>
    </row>
    <row r="71" spans="1:10" ht="13.8" x14ac:dyDescent="0.3">
      <c r="A71" s="54" t="s">
        <v>1474</v>
      </c>
      <c r="E71" s="2">
        <v>1958.22</v>
      </c>
      <c r="F71" s="2">
        <v>1306</v>
      </c>
      <c r="G71" s="2">
        <v>1227</v>
      </c>
      <c r="H71" s="2">
        <v>1227</v>
      </c>
      <c r="I71" s="2">
        <v>1260</v>
      </c>
      <c r="J71" s="2">
        <v>1260</v>
      </c>
    </row>
    <row r="72" spans="1:10" x14ac:dyDescent="0.25">
      <c r="A72" s="52" t="s">
        <v>182</v>
      </c>
      <c r="B72" s="2">
        <f>+D9</f>
        <v>27200</v>
      </c>
      <c r="C72" s="14">
        <v>1.5E-3</v>
      </c>
      <c r="D72" s="2">
        <f>ROUND(B72*C72,0)</f>
        <v>41</v>
      </c>
    </row>
    <row r="73" spans="1:10" x14ac:dyDescent="0.25">
      <c r="A73" s="52" t="s">
        <v>1468</v>
      </c>
      <c r="B73" s="2">
        <f>+D17</f>
        <v>428581</v>
      </c>
      <c r="C73" s="14">
        <v>1.5E-3</v>
      </c>
      <c r="D73" s="2">
        <f>ROUND(B73*C73,0)+6</f>
        <v>649</v>
      </c>
    </row>
    <row r="74" spans="1:10" x14ac:dyDescent="0.25">
      <c r="A74" s="52" t="s">
        <v>807</v>
      </c>
      <c r="B74" s="2">
        <f>+D28</f>
        <v>363896</v>
      </c>
      <c r="C74" s="14">
        <v>1.5E-3</v>
      </c>
      <c r="D74" s="2">
        <f>ROUND(B74*C74,0)</f>
        <v>546</v>
      </c>
    </row>
    <row r="75" spans="1:10" x14ac:dyDescent="0.25">
      <c r="A75" s="52" t="s">
        <v>184</v>
      </c>
      <c r="B75" s="2">
        <f>+D33</f>
        <v>8682</v>
      </c>
      <c r="C75" s="14">
        <v>1.5E-3</v>
      </c>
      <c r="D75" s="2">
        <f>ROUND(B75*C75,0)</f>
        <v>13</v>
      </c>
    </row>
    <row r="76" spans="1:10" ht="15" x14ac:dyDescent="0.4">
      <c r="A76" s="52" t="s">
        <v>185</v>
      </c>
      <c r="B76" s="2">
        <f>+D36</f>
        <v>7235.4321428571429</v>
      </c>
      <c r="C76" s="14">
        <v>1.5E-3</v>
      </c>
      <c r="D76" s="11">
        <f>ROUND(B76*C76,0)</f>
        <v>11</v>
      </c>
    </row>
    <row r="77" spans="1:10" x14ac:dyDescent="0.25">
      <c r="A77" s="2" t="s">
        <v>1247</v>
      </c>
      <c r="D77" s="2">
        <f>SUM(D72:D76)</f>
        <v>1260</v>
      </c>
    </row>
    <row r="79" spans="1:10" ht="13.8" x14ac:dyDescent="0.3">
      <c r="A79" s="54" t="s">
        <v>336</v>
      </c>
      <c r="E79" s="2">
        <v>302.45999999999998</v>
      </c>
      <c r="F79" s="2">
        <v>301</v>
      </c>
      <c r="G79" s="2">
        <v>301</v>
      </c>
      <c r="H79" s="2">
        <v>301</v>
      </c>
      <c r="I79" s="2">
        <v>302</v>
      </c>
      <c r="J79" s="2">
        <v>302</v>
      </c>
    </row>
    <row r="80" spans="1:10" x14ac:dyDescent="0.25">
      <c r="A80" s="52" t="s">
        <v>182</v>
      </c>
      <c r="B80" s="2">
        <f>+D9</f>
        <v>27200</v>
      </c>
      <c r="C80" s="2">
        <v>0</v>
      </c>
      <c r="D80" s="2">
        <f>ROUND(B80*C80,0)</f>
        <v>0</v>
      </c>
    </row>
    <row r="81" spans="1:10" x14ac:dyDescent="0.25">
      <c r="A81" s="52" t="s">
        <v>1468</v>
      </c>
      <c r="B81" s="2">
        <v>4</v>
      </c>
      <c r="C81" s="2">
        <v>26</v>
      </c>
      <c r="D81" s="2">
        <f>ROUND(B81*C81,0)</f>
        <v>104</v>
      </c>
    </row>
    <row r="82" spans="1:10" x14ac:dyDescent="0.25">
      <c r="A82" s="52" t="s">
        <v>807</v>
      </c>
      <c r="B82" s="2">
        <v>7</v>
      </c>
      <c r="C82" s="2">
        <v>26</v>
      </c>
      <c r="D82" s="2">
        <f>ROUND(B82*C82,0)</f>
        <v>182</v>
      </c>
    </row>
    <row r="83" spans="1:10" x14ac:dyDescent="0.25">
      <c r="A83" s="52" t="s">
        <v>1540</v>
      </c>
      <c r="B83" s="2">
        <v>0</v>
      </c>
      <c r="C83" s="2">
        <v>26</v>
      </c>
      <c r="D83" s="2">
        <f>ROUND(B83*C83,0)</f>
        <v>0</v>
      </c>
    </row>
    <row r="84" spans="1:10" ht="15" x14ac:dyDescent="0.4">
      <c r="A84" s="52" t="s">
        <v>184</v>
      </c>
      <c r="B84" s="2">
        <f>+B75</f>
        <v>8682</v>
      </c>
      <c r="C84" s="14">
        <v>1.8E-3</v>
      </c>
      <c r="D84" s="11">
        <f>ROUND(B84*C84,0)</f>
        <v>16</v>
      </c>
    </row>
    <row r="85" spans="1:10" x14ac:dyDescent="0.25">
      <c r="A85" s="2" t="s">
        <v>1247</v>
      </c>
      <c r="D85" s="2">
        <f>SUM(D80:D84)</f>
        <v>302</v>
      </c>
    </row>
    <row r="86" spans="1:10" ht="13.8" x14ac:dyDescent="0.3">
      <c r="A86" s="184"/>
    </row>
    <row r="87" spans="1:10" ht="13.8" x14ac:dyDescent="0.3">
      <c r="A87" s="54" t="s">
        <v>250</v>
      </c>
      <c r="B87" s="2" t="s">
        <v>396</v>
      </c>
      <c r="E87" s="2">
        <v>285784.07</v>
      </c>
      <c r="F87" s="2">
        <v>227560</v>
      </c>
      <c r="G87" s="2">
        <v>67154</v>
      </c>
      <c r="H87" s="2">
        <v>67154</v>
      </c>
      <c r="I87" s="2">
        <v>67154</v>
      </c>
      <c r="J87" s="2">
        <v>67154</v>
      </c>
    </row>
    <row r="88" spans="1:10" x14ac:dyDescent="0.25">
      <c r="A88" s="2" t="s">
        <v>291</v>
      </c>
    </row>
    <row r="89" spans="1:10" x14ac:dyDescent="0.25">
      <c r="A89" s="2" t="s">
        <v>2157</v>
      </c>
      <c r="D89" s="2">
        <v>10973</v>
      </c>
    </row>
    <row r="90" spans="1:10" x14ac:dyDescent="0.25">
      <c r="A90" s="2" t="s">
        <v>2156</v>
      </c>
      <c r="D90" s="2">
        <v>1000</v>
      </c>
    </row>
    <row r="91" spans="1:10" ht="15" x14ac:dyDescent="0.4">
      <c r="A91" s="2" t="s">
        <v>2155</v>
      </c>
      <c r="D91" s="11">
        <v>55181</v>
      </c>
    </row>
    <row r="92" spans="1:10" x14ac:dyDescent="0.25">
      <c r="A92" s="2" t="s">
        <v>252</v>
      </c>
      <c r="D92" s="2">
        <f>SUM(D89:D91)</f>
        <v>67154</v>
      </c>
    </row>
    <row r="94" spans="1:10" ht="13.8" x14ac:dyDescent="0.3">
      <c r="A94" s="54" t="s">
        <v>440</v>
      </c>
      <c r="E94" s="2">
        <v>2000</v>
      </c>
      <c r="F94" s="2">
        <v>5000</v>
      </c>
      <c r="G94" s="2">
        <v>5000</v>
      </c>
      <c r="H94" s="2">
        <v>5000</v>
      </c>
      <c r="I94" s="2">
        <v>5000</v>
      </c>
      <c r="J94" s="2">
        <v>5000</v>
      </c>
    </row>
    <row r="95" spans="1:10" x14ac:dyDescent="0.25">
      <c r="A95" s="53" t="s">
        <v>179</v>
      </c>
      <c r="D95" s="2">
        <v>5000</v>
      </c>
    </row>
    <row r="96" spans="1:10" x14ac:dyDescent="0.25">
      <c r="A96" s="53" t="s">
        <v>1961</v>
      </c>
      <c r="D96" s="2">
        <v>0</v>
      </c>
    </row>
    <row r="97" spans="1:10" x14ac:dyDescent="0.25">
      <c r="A97" s="29"/>
    </row>
    <row r="98" spans="1:10" ht="13.8" x14ac:dyDescent="0.3">
      <c r="A98" s="54" t="s">
        <v>253</v>
      </c>
      <c r="E98" s="2">
        <v>10397.14</v>
      </c>
      <c r="F98" s="2">
        <v>11000</v>
      </c>
      <c r="G98" s="2">
        <v>11000</v>
      </c>
      <c r="H98" s="2">
        <v>11000</v>
      </c>
      <c r="I98" s="2">
        <v>11000</v>
      </c>
      <c r="J98" s="2">
        <v>11000</v>
      </c>
    </row>
    <row r="99" spans="1:10" x14ac:dyDescent="0.25">
      <c r="A99" s="2" t="s">
        <v>292</v>
      </c>
      <c r="B99" s="2">
        <v>8500</v>
      </c>
      <c r="C99" s="2">
        <v>8000</v>
      </c>
      <c r="D99" s="2">
        <v>11000</v>
      </c>
    </row>
    <row r="100" spans="1:10" x14ac:dyDescent="0.25">
      <c r="A100" s="2" t="s">
        <v>396</v>
      </c>
      <c r="C100" s="2" t="s">
        <v>396</v>
      </c>
      <c r="D100" s="2" t="s">
        <v>396</v>
      </c>
    </row>
    <row r="101" spans="1:10" ht="15" x14ac:dyDescent="0.4">
      <c r="A101" s="54" t="s">
        <v>1480</v>
      </c>
      <c r="B101" s="228" t="s">
        <v>1794</v>
      </c>
      <c r="C101" s="228" t="s">
        <v>1970</v>
      </c>
      <c r="D101" s="80" t="s">
        <v>2129</v>
      </c>
      <c r="E101" s="2">
        <v>10000.25</v>
      </c>
      <c r="F101" s="2">
        <v>11500</v>
      </c>
      <c r="G101" s="2">
        <v>10000</v>
      </c>
      <c r="H101" s="2">
        <v>10000</v>
      </c>
      <c r="I101" s="2">
        <v>10000</v>
      </c>
      <c r="J101" s="2">
        <v>10000</v>
      </c>
    </row>
    <row r="102" spans="1:10" x14ac:dyDescent="0.25">
      <c r="A102" s="2" t="s">
        <v>1481</v>
      </c>
      <c r="B102" s="2">
        <v>4500</v>
      </c>
      <c r="C102" s="2">
        <v>4500</v>
      </c>
      <c r="D102" s="2">
        <v>3000</v>
      </c>
    </row>
    <row r="103" spans="1:10" x14ac:dyDescent="0.25">
      <c r="A103" s="2" t="s">
        <v>603</v>
      </c>
      <c r="B103" s="2">
        <v>4000</v>
      </c>
      <c r="C103" s="2">
        <v>5000</v>
      </c>
      <c r="D103" s="2">
        <v>5000</v>
      </c>
    </row>
    <row r="104" spans="1:10" x14ac:dyDescent="0.25">
      <c r="A104" s="2" t="s">
        <v>1619</v>
      </c>
      <c r="B104" s="2">
        <v>500</v>
      </c>
      <c r="C104" s="2">
        <v>500</v>
      </c>
      <c r="D104" s="2">
        <v>500</v>
      </c>
    </row>
    <row r="105" spans="1:10" x14ac:dyDescent="0.25">
      <c r="A105" s="2" t="s">
        <v>317</v>
      </c>
      <c r="B105" s="2">
        <v>700</v>
      </c>
      <c r="C105" s="2">
        <v>700</v>
      </c>
      <c r="D105" s="2">
        <v>700</v>
      </c>
    </row>
    <row r="106" spans="1:10" ht="15" x14ac:dyDescent="0.4">
      <c r="A106" s="2" t="s">
        <v>318</v>
      </c>
      <c r="B106" s="11">
        <v>800</v>
      </c>
      <c r="C106" s="11">
        <v>800</v>
      </c>
      <c r="D106" s="11">
        <v>800</v>
      </c>
    </row>
    <row r="107" spans="1:10" x14ac:dyDescent="0.25">
      <c r="A107" s="2" t="s">
        <v>1247</v>
      </c>
      <c r="B107" s="2">
        <f>SUM(B102:B106)</f>
        <v>10500</v>
      </c>
      <c r="C107" s="2">
        <f>SUM(C102:C106)</f>
        <v>11500</v>
      </c>
      <c r="D107" s="2">
        <f>SUM(D102:D106)</f>
        <v>10000</v>
      </c>
    </row>
    <row r="109" spans="1:10" ht="15" x14ac:dyDescent="0.4">
      <c r="A109" s="54" t="s">
        <v>319</v>
      </c>
      <c r="B109" s="228" t="s">
        <v>1794</v>
      </c>
      <c r="C109" s="228" t="s">
        <v>1970</v>
      </c>
      <c r="D109" s="228" t="s">
        <v>2129</v>
      </c>
      <c r="E109" s="2">
        <v>7643.73</v>
      </c>
      <c r="F109" s="2">
        <v>6490</v>
      </c>
      <c r="G109" s="2">
        <v>7300</v>
      </c>
      <c r="H109" s="2">
        <v>7300</v>
      </c>
      <c r="I109" s="2">
        <v>7300</v>
      </c>
      <c r="J109" s="2">
        <v>7300</v>
      </c>
    </row>
    <row r="110" spans="1:10" x14ac:dyDescent="0.25">
      <c r="A110" s="2" t="s">
        <v>320</v>
      </c>
      <c r="B110" s="2">
        <v>5500</v>
      </c>
      <c r="C110" s="2">
        <v>5710</v>
      </c>
      <c r="D110" s="2">
        <v>6500</v>
      </c>
    </row>
    <row r="111" spans="1:10" ht="15" x14ac:dyDescent="0.4">
      <c r="A111" s="2" t="s">
        <v>321</v>
      </c>
      <c r="B111" s="11">
        <v>780</v>
      </c>
      <c r="C111" s="11">
        <v>780</v>
      </c>
      <c r="D111" s="11">
        <v>800</v>
      </c>
    </row>
    <row r="112" spans="1:10" x14ac:dyDescent="0.25">
      <c r="A112" s="2" t="s">
        <v>1247</v>
      </c>
      <c r="B112" s="16">
        <f>SUM(B110:B111)</f>
        <v>6280</v>
      </c>
      <c r="C112" s="16">
        <f>SUM(C110:C111)</f>
        <v>6490</v>
      </c>
      <c r="D112" s="16">
        <f>SUM(D110:D111)</f>
        <v>7300</v>
      </c>
    </row>
    <row r="114" spans="1:10" ht="15" x14ac:dyDescent="0.4">
      <c r="A114" s="54" t="s">
        <v>322</v>
      </c>
      <c r="B114" s="228" t="s">
        <v>1794</v>
      </c>
      <c r="C114" s="228" t="s">
        <v>1970</v>
      </c>
      <c r="D114" s="193" t="s">
        <v>2129</v>
      </c>
      <c r="E114" s="2">
        <v>8048.35</v>
      </c>
      <c r="F114" s="2">
        <v>10075</v>
      </c>
      <c r="G114" s="2">
        <v>9400</v>
      </c>
      <c r="H114" s="2">
        <v>9400</v>
      </c>
      <c r="I114" s="2">
        <v>9400</v>
      </c>
      <c r="J114" s="2">
        <v>9400</v>
      </c>
    </row>
    <row r="115" spans="1:10" x14ac:dyDescent="0.25">
      <c r="A115" s="2" t="s">
        <v>959</v>
      </c>
      <c r="B115" s="2">
        <v>4300</v>
      </c>
      <c r="C115" s="2">
        <v>4375</v>
      </c>
      <c r="D115" s="2">
        <v>4200</v>
      </c>
    </row>
    <row r="116" spans="1:10" x14ac:dyDescent="0.25">
      <c r="A116" s="2" t="s">
        <v>214</v>
      </c>
      <c r="B116" s="2">
        <v>3200</v>
      </c>
      <c r="C116" s="2">
        <v>3200</v>
      </c>
      <c r="D116" s="2">
        <v>3200</v>
      </c>
    </row>
    <row r="117" spans="1:10" ht="15" x14ac:dyDescent="0.4">
      <c r="A117" s="2" t="s">
        <v>297</v>
      </c>
      <c r="B117" s="11">
        <v>6000</v>
      </c>
      <c r="C117" s="11">
        <v>2500</v>
      </c>
      <c r="D117" s="11">
        <v>2000</v>
      </c>
    </row>
    <row r="118" spans="1:10" x14ac:dyDescent="0.25">
      <c r="A118" s="2" t="s">
        <v>1247</v>
      </c>
      <c r="B118" s="2">
        <f>SUM(B115:B117)</f>
        <v>13500</v>
      </c>
      <c r="C118" s="2">
        <f>SUM(C115:C117)</f>
        <v>10075</v>
      </c>
      <c r="D118" s="2">
        <f>SUM(D115:D117)</f>
        <v>9400</v>
      </c>
    </row>
    <row r="120" spans="1:10" ht="15" x14ac:dyDescent="0.4">
      <c r="A120" s="54" t="s">
        <v>1387</v>
      </c>
      <c r="B120" s="228" t="s">
        <v>1794</v>
      </c>
      <c r="C120" s="228" t="s">
        <v>1970</v>
      </c>
      <c r="D120" s="193" t="s">
        <v>2129</v>
      </c>
      <c r="E120" s="2">
        <v>1798.25</v>
      </c>
      <c r="F120" s="2">
        <v>1875</v>
      </c>
      <c r="G120" s="2">
        <v>1815</v>
      </c>
      <c r="H120" s="2">
        <v>1815</v>
      </c>
      <c r="I120" s="2">
        <v>18815</v>
      </c>
      <c r="J120" s="2">
        <v>18815</v>
      </c>
    </row>
    <row r="121" spans="1:10" x14ac:dyDescent="0.25">
      <c r="A121" s="2" t="s">
        <v>1388</v>
      </c>
      <c r="B121" s="2">
        <v>0</v>
      </c>
      <c r="C121" s="2">
        <v>0</v>
      </c>
      <c r="D121" s="2">
        <v>17000</v>
      </c>
    </row>
    <row r="122" spans="1:10" x14ac:dyDescent="0.25">
      <c r="A122" s="2" t="s">
        <v>1129</v>
      </c>
      <c r="B122" s="2">
        <v>250</v>
      </c>
      <c r="C122" s="2">
        <v>250</v>
      </c>
      <c r="D122" s="2">
        <v>250</v>
      </c>
    </row>
    <row r="123" spans="1:10" x14ac:dyDescent="0.25">
      <c r="A123" s="2" t="s">
        <v>1130</v>
      </c>
      <c r="B123" s="2">
        <v>1000</v>
      </c>
      <c r="C123" s="2">
        <v>1000</v>
      </c>
      <c r="D123" s="2">
        <v>1000</v>
      </c>
    </row>
    <row r="124" spans="1:10" x14ac:dyDescent="0.25">
      <c r="A124" s="2" t="s">
        <v>1197</v>
      </c>
      <c r="B124" s="2">
        <v>420</v>
      </c>
      <c r="C124" s="2">
        <v>420</v>
      </c>
      <c r="D124" s="2">
        <v>360</v>
      </c>
    </row>
    <row r="125" spans="1:10" x14ac:dyDescent="0.25">
      <c r="A125" s="2" t="s">
        <v>1009</v>
      </c>
      <c r="B125" s="2">
        <v>175</v>
      </c>
      <c r="C125" s="2">
        <v>175</v>
      </c>
      <c r="D125" s="2">
        <v>175</v>
      </c>
    </row>
    <row r="126" spans="1:10" ht="15" x14ac:dyDescent="0.4">
      <c r="A126" s="2" t="s">
        <v>1541</v>
      </c>
      <c r="B126" s="11">
        <v>30</v>
      </c>
      <c r="C126" s="11">
        <v>30</v>
      </c>
      <c r="D126" s="11">
        <v>30</v>
      </c>
    </row>
    <row r="127" spans="1:10" x14ac:dyDescent="0.25">
      <c r="A127" s="2" t="s">
        <v>1247</v>
      </c>
      <c r="B127" s="2">
        <f>SUM(B121:B126)</f>
        <v>1875</v>
      </c>
      <c r="C127" s="2">
        <f>SUM(C121:C126)</f>
        <v>1875</v>
      </c>
      <c r="D127" s="2">
        <f>SUM(D121:D126)</f>
        <v>18815</v>
      </c>
    </row>
    <row r="129" spans="1:10" ht="15" x14ac:dyDescent="0.4">
      <c r="A129" s="54" t="s">
        <v>177</v>
      </c>
      <c r="B129" s="228" t="s">
        <v>1794</v>
      </c>
      <c r="C129" s="228" t="s">
        <v>1970</v>
      </c>
      <c r="D129" s="193" t="s">
        <v>2129</v>
      </c>
      <c r="E129" s="2">
        <v>2524.19</v>
      </c>
      <c r="F129" s="2">
        <v>700</v>
      </c>
      <c r="G129" s="2">
        <v>1570</v>
      </c>
      <c r="H129" s="2">
        <v>1570</v>
      </c>
      <c r="I129" s="2">
        <v>1570</v>
      </c>
      <c r="J129" s="2">
        <v>1570</v>
      </c>
    </row>
    <row r="130" spans="1:10" x14ac:dyDescent="0.25">
      <c r="A130" s="2" t="s">
        <v>318</v>
      </c>
      <c r="B130" s="2">
        <v>300</v>
      </c>
      <c r="C130" s="2">
        <v>300</v>
      </c>
      <c r="D130" s="2">
        <v>300</v>
      </c>
    </row>
    <row r="131" spans="1:10" x14ac:dyDescent="0.25">
      <c r="A131" s="2" t="s">
        <v>1246</v>
      </c>
      <c r="C131" s="2">
        <v>0</v>
      </c>
      <c r="D131" s="2">
        <v>600</v>
      </c>
    </row>
    <row r="132" spans="1:10" ht="15" x14ac:dyDescent="0.4">
      <c r="A132" s="2" t="s">
        <v>1058</v>
      </c>
      <c r="B132" s="11">
        <v>400</v>
      </c>
      <c r="C132" s="11">
        <v>400</v>
      </c>
      <c r="D132" s="11">
        <v>670</v>
      </c>
    </row>
    <row r="133" spans="1:10" x14ac:dyDescent="0.25">
      <c r="A133" s="2" t="s">
        <v>1247</v>
      </c>
      <c r="B133" s="2">
        <f>SUM(B130:B132)</f>
        <v>700</v>
      </c>
      <c r="C133" s="2">
        <f>SUM(C130:C132)</f>
        <v>700</v>
      </c>
      <c r="D133" s="2">
        <f>SUM(D130:D132)</f>
        <v>1570</v>
      </c>
    </row>
    <row r="135" spans="1:10" ht="15" x14ac:dyDescent="0.4">
      <c r="A135" s="54" t="s">
        <v>1060</v>
      </c>
      <c r="B135" s="228" t="s">
        <v>1794</v>
      </c>
      <c r="C135" s="228" t="s">
        <v>1970</v>
      </c>
      <c r="D135" s="193" t="s">
        <v>2129</v>
      </c>
      <c r="E135" s="2">
        <v>6923.98</v>
      </c>
      <c r="F135" s="2">
        <v>8495</v>
      </c>
      <c r="G135" s="2">
        <v>8182</v>
      </c>
      <c r="H135" s="2">
        <v>8182</v>
      </c>
      <c r="I135" s="2">
        <v>8182</v>
      </c>
      <c r="J135" s="2">
        <v>8182</v>
      </c>
    </row>
    <row r="136" spans="1:10" x14ac:dyDescent="0.25">
      <c r="A136" s="2" t="s">
        <v>1061</v>
      </c>
      <c r="B136" s="2">
        <v>10572</v>
      </c>
      <c r="C136" s="2">
        <v>8495</v>
      </c>
      <c r="D136" s="2">
        <v>8182</v>
      </c>
    </row>
    <row r="138" spans="1:10" ht="15" x14ac:dyDescent="0.4">
      <c r="A138" s="54" t="s">
        <v>1062</v>
      </c>
      <c r="B138" s="228" t="s">
        <v>1794</v>
      </c>
      <c r="C138" s="228" t="s">
        <v>1970</v>
      </c>
      <c r="D138" s="228" t="s">
        <v>2129</v>
      </c>
      <c r="E138" s="2">
        <f>7000+138328.44+25000</f>
        <v>170328.44</v>
      </c>
      <c r="F138" s="2">
        <v>110000</v>
      </c>
      <c r="G138" s="2">
        <v>110000</v>
      </c>
      <c r="H138" s="2">
        <v>110000</v>
      </c>
      <c r="I138" s="2">
        <v>110000</v>
      </c>
      <c r="J138" s="2">
        <v>110000</v>
      </c>
    </row>
    <row r="139" spans="1:10" x14ac:dyDescent="0.25">
      <c r="A139" s="2" t="s">
        <v>427</v>
      </c>
      <c r="B139" s="2">
        <v>100000</v>
      </c>
      <c r="C139" s="2">
        <v>100000</v>
      </c>
      <c r="D139" s="2">
        <v>100000</v>
      </c>
    </row>
    <row r="140" spans="1:10" x14ac:dyDescent="0.25">
      <c r="A140" s="2" t="s">
        <v>2323</v>
      </c>
      <c r="C140" s="2">
        <v>10000</v>
      </c>
      <c r="D140" s="2">
        <v>10000</v>
      </c>
    </row>
    <row r="141" spans="1:10" ht="15" x14ac:dyDescent="0.4">
      <c r="A141" s="2" t="s">
        <v>1743</v>
      </c>
      <c r="B141" s="11">
        <v>0</v>
      </c>
      <c r="C141" s="11">
        <v>0</v>
      </c>
      <c r="D141" s="11">
        <v>0</v>
      </c>
    </row>
    <row r="142" spans="1:10" x14ac:dyDescent="0.25">
      <c r="B142" s="2">
        <f>SUM(B139:B141)</f>
        <v>100000</v>
      </c>
      <c r="C142" s="2">
        <f>SUM(C139:C141)</f>
        <v>110000</v>
      </c>
      <c r="D142" s="2">
        <f>SUM(D139:D141)</f>
        <v>110000</v>
      </c>
    </row>
    <row r="144" spans="1:10" ht="15" x14ac:dyDescent="0.4">
      <c r="A144" s="54" t="s">
        <v>1063</v>
      </c>
      <c r="B144" s="228" t="s">
        <v>1794</v>
      </c>
      <c r="C144" s="228" t="s">
        <v>1970</v>
      </c>
      <c r="D144" s="228" t="s">
        <v>2129</v>
      </c>
      <c r="E144" s="2">
        <v>2915.8</v>
      </c>
      <c r="F144" s="2">
        <v>1750</v>
      </c>
      <c r="G144" s="2">
        <v>1750</v>
      </c>
      <c r="H144" s="2">
        <v>1750</v>
      </c>
      <c r="I144" s="2">
        <v>1750</v>
      </c>
      <c r="J144" s="2">
        <v>1750</v>
      </c>
    </row>
    <row r="145" spans="1:10" x14ac:dyDescent="0.25">
      <c r="A145" s="2" t="s">
        <v>530</v>
      </c>
      <c r="B145" s="2">
        <v>250</v>
      </c>
      <c r="C145" s="2">
        <v>250</v>
      </c>
      <c r="D145" s="2">
        <v>250</v>
      </c>
    </row>
    <row r="146" spans="1:10" x14ac:dyDescent="0.25">
      <c r="A146" s="2" t="s">
        <v>156</v>
      </c>
      <c r="B146" s="2">
        <v>250</v>
      </c>
      <c r="C146" s="2">
        <v>250</v>
      </c>
      <c r="D146" s="2">
        <v>250</v>
      </c>
    </row>
    <row r="147" spans="1:10" x14ac:dyDescent="0.25">
      <c r="A147" s="2" t="s">
        <v>229</v>
      </c>
      <c r="B147" s="2">
        <v>250</v>
      </c>
      <c r="C147" s="2">
        <v>250</v>
      </c>
      <c r="D147" s="2">
        <v>250</v>
      </c>
    </row>
    <row r="148" spans="1:10" ht="15" x14ac:dyDescent="0.4">
      <c r="A148" s="2" t="s">
        <v>318</v>
      </c>
      <c r="B148" s="11">
        <v>1000</v>
      </c>
      <c r="C148" s="11">
        <v>1000</v>
      </c>
      <c r="D148" s="11">
        <v>1000</v>
      </c>
    </row>
    <row r="149" spans="1:10" x14ac:dyDescent="0.25">
      <c r="A149" s="2" t="s">
        <v>1247</v>
      </c>
      <c r="B149" s="2">
        <f>SUM(B145:B148)</f>
        <v>1750</v>
      </c>
      <c r="C149" s="2">
        <f>SUM(C145:C148)</f>
        <v>1750</v>
      </c>
      <c r="D149" s="2">
        <f>SUM(D145:D148)</f>
        <v>1750</v>
      </c>
    </row>
    <row r="151" spans="1:10" ht="15" x14ac:dyDescent="0.4">
      <c r="A151" s="54" t="s">
        <v>529</v>
      </c>
      <c r="B151" s="228" t="s">
        <v>1794</v>
      </c>
      <c r="C151" s="228" t="s">
        <v>1970</v>
      </c>
      <c r="D151" s="228" t="s">
        <v>2129</v>
      </c>
      <c r="E151" s="2">
        <v>8266.98</v>
      </c>
      <c r="F151" s="2">
        <v>4490</v>
      </c>
      <c r="G151" s="2">
        <v>4983</v>
      </c>
      <c r="H151" s="2">
        <v>4983</v>
      </c>
      <c r="I151" s="2">
        <v>4983</v>
      </c>
      <c r="J151" s="2">
        <v>4983</v>
      </c>
    </row>
    <row r="152" spans="1:10" x14ac:dyDescent="0.25">
      <c r="A152" s="2" t="s">
        <v>1066</v>
      </c>
      <c r="B152" s="2">
        <v>3500</v>
      </c>
      <c r="C152" s="2">
        <v>1750</v>
      </c>
      <c r="D152" s="2">
        <v>1885</v>
      </c>
    </row>
    <row r="153" spans="1:10" x14ac:dyDescent="0.25">
      <c r="A153" s="2" t="s">
        <v>514</v>
      </c>
      <c r="B153" s="2">
        <v>1750</v>
      </c>
      <c r="C153" s="2">
        <v>1890</v>
      </c>
      <c r="D153" s="2">
        <v>2003</v>
      </c>
    </row>
    <row r="154" spans="1:10" x14ac:dyDescent="0.25">
      <c r="A154" s="2" t="s">
        <v>615</v>
      </c>
      <c r="B154" s="2">
        <v>700</v>
      </c>
      <c r="C154" s="2">
        <v>700</v>
      </c>
      <c r="D154" s="2">
        <v>945</v>
      </c>
    </row>
    <row r="155" spans="1:10" ht="15" x14ac:dyDescent="0.4">
      <c r="A155" s="2" t="s">
        <v>318</v>
      </c>
      <c r="B155" s="11">
        <v>150</v>
      </c>
      <c r="C155" s="11">
        <v>150</v>
      </c>
      <c r="D155" s="11">
        <v>150</v>
      </c>
    </row>
    <row r="156" spans="1:10" x14ac:dyDescent="0.25">
      <c r="A156" s="2" t="s">
        <v>1247</v>
      </c>
      <c r="B156" s="2">
        <f>SUM(B152:B155)</f>
        <v>6100</v>
      </c>
      <c r="C156" s="2">
        <f>SUM(C152:C155)</f>
        <v>4490</v>
      </c>
      <c r="D156" s="2">
        <f>SUM(D152:D155)</f>
        <v>4983</v>
      </c>
    </row>
    <row r="158" spans="1:10" ht="15" x14ac:dyDescent="0.4">
      <c r="A158" s="54" t="s">
        <v>48</v>
      </c>
      <c r="B158" s="228" t="s">
        <v>1794</v>
      </c>
      <c r="C158" s="228" t="s">
        <v>1970</v>
      </c>
      <c r="D158" s="228" t="s">
        <v>2129</v>
      </c>
      <c r="E158" s="2">
        <v>1531.25</v>
      </c>
      <c r="F158" s="2">
        <v>25000</v>
      </c>
      <c r="G158" s="2">
        <v>5000</v>
      </c>
      <c r="H158" s="2">
        <v>5000</v>
      </c>
      <c r="I158" s="2">
        <v>5000</v>
      </c>
      <c r="J158" s="2">
        <v>5000</v>
      </c>
    </row>
    <row r="159" spans="1:10" x14ac:dyDescent="0.25">
      <c r="A159" s="2" t="s">
        <v>645</v>
      </c>
      <c r="B159" s="2">
        <v>8000</v>
      </c>
      <c r="C159" s="2">
        <v>5000</v>
      </c>
      <c r="D159" s="2">
        <v>5000</v>
      </c>
    </row>
    <row r="160" spans="1:10" ht="15" x14ac:dyDescent="0.4">
      <c r="A160" s="2" t="s">
        <v>1986</v>
      </c>
      <c r="B160" s="31">
        <v>0</v>
      </c>
      <c r="C160" s="31">
        <v>20000</v>
      </c>
      <c r="D160" s="31">
        <v>0</v>
      </c>
    </row>
    <row r="161" spans="1:10" x14ac:dyDescent="0.25">
      <c r="B161" s="2">
        <f>SUM(B159:B160)</f>
        <v>8000</v>
      </c>
      <c r="C161" s="2">
        <f>SUM(C159:C160)</f>
        <v>25000</v>
      </c>
      <c r="D161" s="2">
        <f>SUM(D159:D160)</f>
        <v>5000</v>
      </c>
    </row>
    <row r="163" spans="1:10" ht="15" x14ac:dyDescent="0.4">
      <c r="A163" s="54" t="s">
        <v>49</v>
      </c>
      <c r="B163" s="228" t="s">
        <v>1794</v>
      </c>
      <c r="C163" s="228" t="s">
        <v>1970</v>
      </c>
      <c r="D163" s="228" t="s">
        <v>2129</v>
      </c>
      <c r="E163" s="2">
        <v>1231.3699999999999</v>
      </c>
      <c r="F163" s="2">
        <v>11400</v>
      </c>
      <c r="G163" s="2">
        <v>13650</v>
      </c>
      <c r="H163" s="2">
        <v>13650</v>
      </c>
      <c r="I163" s="2">
        <v>13650</v>
      </c>
      <c r="J163" s="2">
        <v>13650</v>
      </c>
    </row>
    <row r="164" spans="1:10" x14ac:dyDescent="0.25">
      <c r="A164" s="2" t="s">
        <v>530</v>
      </c>
      <c r="B164" s="2">
        <v>750</v>
      </c>
      <c r="C164" s="2">
        <v>750</v>
      </c>
      <c r="D164" s="2">
        <v>750</v>
      </c>
    </row>
    <row r="165" spans="1:10" x14ac:dyDescent="0.25">
      <c r="A165" s="2" t="s">
        <v>1040</v>
      </c>
      <c r="B165" s="2">
        <v>500</v>
      </c>
      <c r="C165" s="2">
        <v>500</v>
      </c>
      <c r="D165" s="2">
        <v>500</v>
      </c>
    </row>
    <row r="166" spans="1:10" x14ac:dyDescent="0.25">
      <c r="A166" s="2" t="s">
        <v>1604</v>
      </c>
      <c r="B166" s="2">
        <v>250</v>
      </c>
      <c r="C166" s="2">
        <v>250</v>
      </c>
      <c r="D166" s="2">
        <v>2500</v>
      </c>
    </row>
    <row r="167" spans="1:10" x14ac:dyDescent="0.25">
      <c r="A167" s="2" t="s">
        <v>276</v>
      </c>
      <c r="B167" s="2">
        <v>150</v>
      </c>
      <c r="C167" s="2">
        <v>150</v>
      </c>
      <c r="D167" s="2">
        <v>150</v>
      </c>
    </row>
    <row r="168" spans="1:10" x14ac:dyDescent="0.25">
      <c r="A168" s="2" t="s">
        <v>1605</v>
      </c>
      <c r="B168" s="2">
        <v>1000</v>
      </c>
      <c r="C168" s="2">
        <v>1000</v>
      </c>
      <c r="D168" s="2">
        <v>1000</v>
      </c>
    </row>
    <row r="169" spans="1:10" x14ac:dyDescent="0.25">
      <c r="A169" s="2" t="s">
        <v>275</v>
      </c>
      <c r="B169" s="2">
        <v>1000</v>
      </c>
      <c r="C169" s="2">
        <v>1000</v>
      </c>
      <c r="D169" s="2">
        <v>1000</v>
      </c>
    </row>
    <row r="170" spans="1:10" x14ac:dyDescent="0.25">
      <c r="A170" s="2" t="s">
        <v>230</v>
      </c>
      <c r="B170" s="2">
        <v>250</v>
      </c>
      <c r="C170" s="2">
        <v>250</v>
      </c>
      <c r="D170" s="2">
        <v>250</v>
      </c>
    </row>
    <row r="171" spans="1:10" ht="15" x14ac:dyDescent="0.4">
      <c r="A171" s="2" t="s">
        <v>26</v>
      </c>
      <c r="B171" s="11">
        <v>5000</v>
      </c>
      <c r="C171" s="11">
        <v>7500</v>
      </c>
      <c r="D171" s="11">
        <v>7500</v>
      </c>
    </row>
    <row r="172" spans="1:10" x14ac:dyDescent="0.25">
      <c r="A172" s="2" t="s">
        <v>1247</v>
      </c>
      <c r="B172" s="2">
        <f>SUM(B164:B171)</f>
        <v>8900</v>
      </c>
      <c r="C172" s="2">
        <f>SUM(C164:C171)</f>
        <v>11400</v>
      </c>
      <c r="D172" s="2">
        <f>SUM(D164:D171)</f>
        <v>13650</v>
      </c>
    </row>
    <row r="174" spans="1:10" ht="15" x14ac:dyDescent="0.4">
      <c r="A174" s="54" t="s">
        <v>1137</v>
      </c>
      <c r="B174" s="228" t="s">
        <v>1794</v>
      </c>
      <c r="C174" s="228" t="s">
        <v>1970</v>
      </c>
      <c r="D174" s="193" t="s">
        <v>2129</v>
      </c>
      <c r="E174" s="2">
        <v>83398.45</v>
      </c>
      <c r="F174" s="2">
        <v>86800</v>
      </c>
      <c r="G174" s="2">
        <v>86800</v>
      </c>
      <c r="H174" s="2">
        <v>86800</v>
      </c>
      <c r="I174" s="2">
        <v>86800</v>
      </c>
      <c r="J174" s="2">
        <v>86800</v>
      </c>
    </row>
    <row r="175" spans="1:10" x14ac:dyDescent="0.25">
      <c r="A175" s="2" t="s">
        <v>590</v>
      </c>
      <c r="B175" s="2">
        <v>42500</v>
      </c>
      <c r="C175" s="2">
        <v>42500</v>
      </c>
      <c r="D175" s="2">
        <v>42500</v>
      </c>
    </row>
    <row r="176" spans="1:10" x14ac:dyDescent="0.25">
      <c r="A176" s="2" t="s">
        <v>640</v>
      </c>
      <c r="B176" s="2">
        <v>12000</v>
      </c>
      <c r="C176" s="2">
        <v>12000</v>
      </c>
      <c r="D176" s="2">
        <v>12000</v>
      </c>
    </row>
    <row r="177" spans="1:10" x14ac:dyDescent="0.25">
      <c r="A177" s="2" t="s">
        <v>82</v>
      </c>
      <c r="B177" s="2">
        <v>5000</v>
      </c>
      <c r="C177" s="2">
        <v>5000</v>
      </c>
      <c r="D177" s="2">
        <v>5000</v>
      </c>
    </row>
    <row r="178" spans="1:10" x14ac:dyDescent="0.25">
      <c r="A178" s="2" t="s">
        <v>1597</v>
      </c>
      <c r="B178" s="2">
        <v>2300</v>
      </c>
      <c r="C178" s="2">
        <v>2300</v>
      </c>
      <c r="D178" s="2">
        <v>2300</v>
      </c>
    </row>
    <row r="179" spans="1:10" ht="15" x14ac:dyDescent="0.4">
      <c r="A179" s="2" t="s">
        <v>632</v>
      </c>
      <c r="B179" s="11">
        <v>25000</v>
      </c>
      <c r="C179" s="11">
        <v>25000</v>
      </c>
      <c r="D179" s="11">
        <v>25000</v>
      </c>
    </row>
    <row r="180" spans="1:10" x14ac:dyDescent="0.25">
      <c r="A180" s="2" t="s">
        <v>1247</v>
      </c>
      <c r="B180" s="2">
        <f>SUM(B175:B179)</f>
        <v>86800</v>
      </c>
      <c r="C180" s="2">
        <f>SUM(C175:C179)</f>
        <v>86800</v>
      </c>
      <c r="D180" s="2">
        <f>SUM(D175:D179)</f>
        <v>86800</v>
      </c>
    </row>
    <row r="182" spans="1:10" ht="15" x14ac:dyDescent="0.4">
      <c r="A182" s="54" t="s">
        <v>591</v>
      </c>
      <c r="B182" s="228" t="s">
        <v>1794</v>
      </c>
      <c r="C182" s="228" t="s">
        <v>1970</v>
      </c>
      <c r="D182" s="193" t="s">
        <v>2129</v>
      </c>
      <c r="E182" s="2">
        <v>113054.75</v>
      </c>
      <c r="F182" s="2">
        <v>99900</v>
      </c>
      <c r="G182" s="2">
        <v>122259</v>
      </c>
      <c r="H182" s="2">
        <v>122259</v>
      </c>
      <c r="I182" s="2">
        <v>113050</v>
      </c>
      <c r="J182" s="2">
        <v>113050</v>
      </c>
    </row>
    <row r="183" spans="1:10" x14ac:dyDescent="0.25">
      <c r="A183" s="2" t="s">
        <v>592</v>
      </c>
      <c r="B183" s="2">
        <v>30200</v>
      </c>
      <c r="C183" s="2">
        <v>30200</v>
      </c>
      <c r="D183" s="2">
        <v>30200</v>
      </c>
    </row>
    <row r="184" spans="1:10" x14ac:dyDescent="0.25">
      <c r="A184" s="2" t="s">
        <v>1054</v>
      </c>
      <c r="B184" s="2">
        <v>15000</v>
      </c>
      <c r="C184" s="2">
        <v>15000</v>
      </c>
      <c r="D184" s="2">
        <v>15000</v>
      </c>
    </row>
    <row r="185" spans="1:10" x14ac:dyDescent="0.25">
      <c r="A185" s="2" t="s">
        <v>2158</v>
      </c>
      <c r="B185" s="2">
        <v>4000</v>
      </c>
      <c r="C185" s="2">
        <v>4000</v>
      </c>
      <c r="D185" s="2">
        <v>4000</v>
      </c>
    </row>
    <row r="186" spans="1:10" x14ac:dyDescent="0.25">
      <c r="A186" s="2" t="s">
        <v>1854</v>
      </c>
      <c r="B186" s="2">
        <v>12000</v>
      </c>
      <c r="C186" s="2">
        <v>12000</v>
      </c>
      <c r="D186" s="2">
        <v>12000</v>
      </c>
    </row>
    <row r="187" spans="1:10" x14ac:dyDescent="0.25">
      <c r="A187" s="2" t="s">
        <v>906</v>
      </c>
      <c r="B187" s="2">
        <v>3700</v>
      </c>
      <c r="C187" s="2">
        <v>3700</v>
      </c>
      <c r="D187" s="2">
        <v>3700</v>
      </c>
    </row>
    <row r="188" spans="1:10" x14ac:dyDescent="0.25">
      <c r="A188" s="2" t="s">
        <v>730</v>
      </c>
      <c r="B188" s="18">
        <v>35000</v>
      </c>
      <c r="C188" s="18">
        <v>35000</v>
      </c>
      <c r="D188" s="18">
        <v>48150</v>
      </c>
    </row>
    <row r="189" spans="1:10" x14ac:dyDescent="0.25">
      <c r="A189" s="2" t="s">
        <v>1247</v>
      </c>
      <c r="B189" s="2">
        <f>SUM(B183:B188)</f>
        <v>99900</v>
      </c>
      <c r="C189" s="2">
        <f>SUM(C183:C188)</f>
        <v>99900</v>
      </c>
      <c r="D189" s="2">
        <f>SUM(D183:D188)</f>
        <v>113050</v>
      </c>
    </row>
    <row r="191" spans="1:10" ht="15" x14ac:dyDescent="0.4">
      <c r="A191" s="54" t="s">
        <v>638</v>
      </c>
      <c r="B191" s="228" t="s">
        <v>1794</v>
      </c>
      <c r="C191" s="228" t="s">
        <v>1970</v>
      </c>
      <c r="D191" s="228" t="s">
        <v>2129</v>
      </c>
      <c r="E191" s="2">
        <v>32545</v>
      </c>
      <c r="F191" s="2">
        <v>32545</v>
      </c>
      <c r="G191" s="2">
        <v>32545</v>
      </c>
      <c r="H191" s="2">
        <v>32545</v>
      </c>
      <c r="I191" s="2">
        <v>32545</v>
      </c>
      <c r="J191" s="2">
        <v>32545</v>
      </c>
    </row>
    <row r="192" spans="1:10" x14ac:dyDescent="0.25">
      <c r="A192" s="2" t="s">
        <v>415</v>
      </c>
      <c r="B192" s="2">
        <v>32551</v>
      </c>
      <c r="C192" s="2">
        <v>32545</v>
      </c>
      <c r="D192" s="2">
        <v>32545</v>
      </c>
    </row>
    <row r="194" spans="1:10" ht="13.8" x14ac:dyDescent="0.3">
      <c r="A194" s="54" t="s">
        <v>601</v>
      </c>
      <c r="E194" s="2">
        <v>5243.68</v>
      </c>
      <c r="F194" s="2">
        <v>5240</v>
      </c>
      <c r="G194" s="2">
        <v>7800</v>
      </c>
      <c r="H194" s="2">
        <v>10000</v>
      </c>
      <c r="I194" s="2">
        <v>10000</v>
      </c>
      <c r="J194" s="2">
        <v>10000</v>
      </c>
    </row>
    <row r="195" spans="1:10" ht="15" x14ac:dyDescent="0.4">
      <c r="A195" s="2" t="s">
        <v>821</v>
      </c>
      <c r="B195" s="228" t="s">
        <v>1794</v>
      </c>
      <c r="C195" s="228" t="s">
        <v>1970</v>
      </c>
      <c r="D195" s="228" t="s">
        <v>2129</v>
      </c>
    </row>
    <row r="196" spans="1:10" x14ac:dyDescent="0.25">
      <c r="A196" s="2" t="s">
        <v>822</v>
      </c>
      <c r="B196" s="2">
        <v>614</v>
      </c>
      <c r="C196" s="2">
        <v>554</v>
      </c>
      <c r="D196" s="2">
        <v>684</v>
      </c>
    </row>
    <row r="197" spans="1:10" x14ac:dyDescent="0.25">
      <c r="A197" s="2" t="s">
        <v>823</v>
      </c>
      <c r="B197" s="2">
        <v>500</v>
      </c>
      <c r="C197" s="2">
        <v>519</v>
      </c>
      <c r="D197" s="2">
        <v>519</v>
      </c>
    </row>
    <row r="198" spans="1:10" x14ac:dyDescent="0.25">
      <c r="A198" s="2" t="s">
        <v>824</v>
      </c>
      <c r="B198" s="2">
        <v>1424</v>
      </c>
      <c r="C198" s="2">
        <v>1118</v>
      </c>
      <c r="D198" s="2">
        <v>1258</v>
      </c>
    </row>
    <row r="199" spans="1:10" x14ac:dyDescent="0.25">
      <c r="A199" s="2" t="s">
        <v>825</v>
      </c>
      <c r="B199" s="2">
        <v>1007</v>
      </c>
      <c r="C199" s="2">
        <v>1096</v>
      </c>
      <c r="D199" s="2">
        <v>1246</v>
      </c>
    </row>
    <row r="200" spans="1:10" x14ac:dyDescent="0.25">
      <c r="A200" s="2" t="s">
        <v>826</v>
      </c>
      <c r="B200" s="2">
        <v>69</v>
      </c>
      <c r="C200" s="2">
        <v>70</v>
      </c>
      <c r="D200" s="2">
        <v>70</v>
      </c>
    </row>
    <row r="201" spans="1:10" x14ac:dyDescent="0.25">
      <c r="A201" s="2" t="s">
        <v>811</v>
      </c>
      <c r="B201" s="2">
        <v>900</v>
      </c>
      <c r="C201" s="2">
        <v>625</v>
      </c>
      <c r="D201" s="2">
        <v>625</v>
      </c>
    </row>
    <row r="202" spans="1:10" x14ac:dyDescent="0.25">
      <c r="A202" s="2" t="s">
        <v>731</v>
      </c>
      <c r="B202" s="2">
        <v>190</v>
      </c>
      <c r="C202" s="2">
        <v>307</v>
      </c>
      <c r="D202" s="2">
        <v>307</v>
      </c>
    </row>
    <row r="203" spans="1:10" ht="15" x14ac:dyDescent="0.4">
      <c r="A203" s="2" t="s">
        <v>1294</v>
      </c>
      <c r="B203" s="11">
        <f>579+2185</f>
        <v>2764</v>
      </c>
      <c r="C203" s="11">
        <f>182+1384</f>
        <v>1566</v>
      </c>
      <c r="D203" s="11">
        <f>3500+1916+570</f>
        <v>5986</v>
      </c>
    </row>
    <row r="204" spans="1:10" x14ac:dyDescent="0.25">
      <c r="A204" s="2" t="s">
        <v>1295</v>
      </c>
      <c r="B204" s="2">
        <f>SUM(B196:B203)</f>
        <v>7468</v>
      </c>
      <c r="C204" s="2">
        <f>SUM(C196:C203)</f>
        <v>5855</v>
      </c>
      <c r="D204" s="2">
        <f>SUM(D196:D203)</f>
        <v>10695</v>
      </c>
    </row>
    <row r="205" spans="1:10" x14ac:dyDescent="0.25">
      <c r="A205" s="2" t="s">
        <v>1761</v>
      </c>
      <c r="B205" s="2">
        <v>-2548</v>
      </c>
      <c r="C205" s="2">
        <v>-935</v>
      </c>
      <c r="D205" s="2">
        <v>-935</v>
      </c>
    </row>
    <row r="206" spans="1:10" x14ac:dyDescent="0.25">
      <c r="A206" s="2" t="s">
        <v>1390</v>
      </c>
      <c r="B206" s="18">
        <v>0</v>
      </c>
      <c r="C206" s="18">
        <v>0</v>
      </c>
      <c r="D206" s="18">
        <v>0</v>
      </c>
    </row>
    <row r="207" spans="1:10" x14ac:dyDescent="0.25">
      <c r="A207" s="2" t="s">
        <v>1618</v>
      </c>
      <c r="B207" s="2">
        <f>SUM(B204:B206)</f>
        <v>4920</v>
      </c>
      <c r="C207" s="2">
        <f>SUM(C204:C206)</f>
        <v>4920</v>
      </c>
      <c r="D207" s="2">
        <f>SUM(D204:D206)</f>
        <v>9760</v>
      </c>
    </row>
    <row r="208" spans="1:10" x14ac:dyDescent="0.25">
      <c r="A208" s="2" t="s">
        <v>1617</v>
      </c>
      <c r="B208" s="18">
        <v>240</v>
      </c>
      <c r="C208" s="18">
        <v>240</v>
      </c>
      <c r="D208" s="18">
        <v>240</v>
      </c>
    </row>
    <row r="209" spans="1:11" x14ac:dyDescent="0.25">
      <c r="A209" s="2" t="s">
        <v>452</v>
      </c>
      <c r="B209" s="2">
        <f>SUM(B207:B208)</f>
        <v>5160</v>
      </c>
      <c r="C209" s="2">
        <f>SUM(C207:C208)</f>
        <v>5160</v>
      </c>
      <c r="D209" s="2">
        <f>SUM(D207:D208)</f>
        <v>10000</v>
      </c>
    </row>
    <row r="211" spans="1:11" ht="15" x14ac:dyDescent="0.4">
      <c r="A211" s="54" t="s">
        <v>378</v>
      </c>
      <c r="B211" s="228" t="s">
        <v>1794</v>
      </c>
      <c r="C211" s="228" t="s">
        <v>1970</v>
      </c>
      <c r="D211" s="228" t="s">
        <v>2129</v>
      </c>
      <c r="E211" s="2">
        <v>200</v>
      </c>
      <c r="F211" s="2">
        <v>75</v>
      </c>
      <c r="G211" s="2">
        <v>75</v>
      </c>
      <c r="H211" s="2">
        <v>75</v>
      </c>
      <c r="I211" s="2">
        <v>75</v>
      </c>
      <c r="J211" s="2">
        <v>75</v>
      </c>
    </row>
    <row r="212" spans="1:11" x14ac:dyDescent="0.25">
      <c r="A212" s="7" t="s">
        <v>379</v>
      </c>
      <c r="B212" s="2">
        <v>75</v>
      </c>
      <c r="C212" s="2">
        <v>75</v>
      </c>
      <c r="D212" s="2">
        <v>75</v>
      </c>
    </row>
    <row r="213" spans="1:11" ht="15" x14ac:dyDescent="0.4">
      <c r="A213" s="7" t="s">
        <v>27</v>
      </c>
      <c r="B213" s="11">
        <v>125</v>
      </c>
      <c r="C213" s="11">
        <v>0</v>
      </c>
      <c r="D213" s="11">
        <v>0</v>
      </c>
    </row>
    <row r="214" spans="1:11" x14ac:dyDescent="0.25">
      <c r="B214" s="2">
        <f>SUM(B212:B213)</f>
        <v>200</v>
      </c>
      <c r="C214" s="2">
        <f>SUM(C212:C213)</f>
        <v>75</v>
      </c>
      <c r="D214" s="2">
        <f>SUM(D212:D213)</f>
        <v>75</v>
      </c>
    </row>
    <row r="217" spans="1:11" ht="15" x14ac:dyDescent="0.4">
      <c r="A217" s="54" t="s">
        <v>453</v>
      </c>
      <c r="B217" s="228" t="s">
        <v>1794</v>
      </c>
      <c r="C217" s="228" t="s">
        <v>1970</v>
      </c>
      <c r="D217" s="193" t="s">
        <v>2129</v>
      </c>
      <c r="E217" s="2">
        <v>19699.009999999998</v>
      </c>
      <c r="F217" s="2">
        <v>35413</v>
      </c>
      <c r="G217" s="2">
        <v>31434</v>
      </c>
      <c r="H217" s="2">
        <v>31434</v>
      </c>
      <c r="I217" s="2">
        <v>31434</v>
      </c>
      <c r="J217" s="2">
        <v>31434</v>
      </c>
      <c r="K217" s="2">
        <f>+F217-I217</f>
        <v>3979</v>
      </c>
    </row>
    <row r="218" spans="1:11" x14ac:dyDescent="0.25">
      <c r="A218" s="2" t="s">
        <v>454</v>
      </c>
      <c r="B218" s="2" t="s">
        <v>396</v>
      </c>
    </row>
    <row r="219" spans="1:11" x14ac:dyDescent="0.25">
      <c r="A219" s="2" t="s">
        <v>1653</v>
      </c>
      <c r="B219" s="2">
        <v>6000</v>
      </c>
      <c r="C219" s="2">
        <v>6000</v>
      </c>
      <c r="D219" s="2">
        <v>6000</v>
      </c>
    </row>
    <row r="220" spans="1:11" x14ac:dyDescent="0.25">
      <c r="A220" s="2" t="s">
        <v>2159</v>
      </c>
      <c r="B220" s="2">
        <v>1500</v>
      </c>
      <c r="C220" s="2">
        <v>4500</v>
      </c>
      <c r="D220" s="2">
        <v>3000</v>
      </c>
    </row>
    <row r="221" spans="1:11" ht="15" x14ac:dyDescent="0.4">
      <c r="A221" s="2" t="s">
        <v>2160</v>
      </c>
      <c r="B221" s="11">
        <v>1087.5</v>
      </c>
      <c r="C221" s="11">
        <v>3263</v>
      </c>
      <c r="D221" s="11">
        <v>2175</v>
      </c>
    </row>
    <row r="222" spans="1:11" x14ac:dyDescent="0.25">
      <c r="A222" s="2" t="s">
        <v>455</v>
      </c>
      <c r="B222" s="2">
        <f>SUM(B219:B221)</f>
        <v>8587.5</v>
      </c>
      <c r="C222" s="2">
        <f>SUM(C219:C221)</f>
        <v>13763</v>
      </c>
      <c r="D222" s="2">
        <f>SUM(D219:D221)</f>
        <v>11175</v>
      </c>
    </row>
    <row r="223" spans="1:11" x14ac:dyDescent="0.25">
      <c r="A223" s="2" t="s">
        <v>456</v>
      </c>
      <c r="B223" s="2">
        <f>ROUND(B219*0.0765,0)</f>
        <v>459</v>
      </c>
      <c r="C223" s="2">
        <f>ROUND(C219*0.0765,0)</f>
        <v>459</v>
      </c>
      <c r="D223" s="2">
        <f>ROUND(D219*0.0765,0)</f>
        <v>459</v>
      </c>
    </row>
    <row r="224" spans="1:11" x14ac:dyDescent="0.25">
      <c r="A224" s="2" t="s">
        <v>2138</v>
      </c>
      <c r="B224" s="2">
        <f>ROUND(B219*0.0016,0)</f>
        <v>10</v>
      </c>
      <c r="C224" s="2">
        <f>ROUND(C219*0.0016,0)</f>
        <v>10</v>
      </c>
      <c r="D224" s="2">
        <f>ROUND(D219*0.0016,0)</f>
        <v>10</v>
      </c>
    </row>
    <row r="225" spans="1:10" x14ac:dyDescent="0.25">
      <c r="A225" s="2" t="s">
        <v>2102</v>
      </c>
      <c r="B225" s="2">
        <f>+B219*0.34%</f>
        <v>20.400000000000002</v>
      </c>
      <c r="C225" s="2">
        <f>+C219*0.34%</f>
        <v>20.400000000000002</v>
      </c>
      <c r="D225" s="2">
        <f>+D219*0.34%</f>
        <v>20.400000000000002</v>
      </c>
    </row>
    <row r="226" spans="1:10" x14ac:dyDescent="0.25">
      <c r="A226" s="2" t="s">
        <v>626</v>
      </c>
      <c r="B226" s="2">
        <v>1200</v>
      </c>
      <c r="C226" s="2">
        <v>2000</v>
      </c>
      <c r="D226" s="2">
        <v>1400</v>
      </c>
    </row>
    <row r="227" spans="1:10" x14ac:dyDescent="0.25">
      <c r="A227" s="2" t="s">
        <v>483</v>
      </c>
      <c r="B227" s="2">
        <v>5000</v>
      </c>
      <c r="C227" s="2">
        <v>12000</v>
      </c>
      <c r="D227" s="2">
        <v>12000</v>
      </c>
    </row>
    <row r="228" spans="1:10" x14ac:dyDescent="0.25">
      <c r="A228" s="2" t="s">
        <v>218</v>
      </c>
      <c r="B228" s="2">
        <v>750</v>
      </c>
      <c r="C228" s="2">
        <v>750</v>
      </c>
      <c r="D228" s="2">
        <v>750</v>
      </c>
    </row>
    <row r="229" spans="1:10" x14ac:dyDescent="0.25">
      <c r="A229" s="2" t="s">
        <v>361</v>
      </c>
      <c r="B229" s="2">
        <v>700</v>
      </c>
      <c r="C229" s="2">
        <v>2400</v>
      </c>
      <c r="D229" s="2">
        <v>1600</v>
      </c>
    </row>
    <row r="230" spans="1:10" x14ac:dyDescent="0.25">
      <c r="A230" s="2" t="s">
        <v>18</v>
      </c>
      <c r="B230" s="2">
        <v>800</v>
      </c>
      <c r="C230" s="2">
        <v>2400</v>
      </c>
      <c r="D230" s="2">
        <v>2400</v>
      </c>
    </row>
    <row r="231" spans="1:10" x14ac:dyDescent="0.25">
      <c r="A231" s="2" t="s">
        <v>589</v>
      </c>
      <c r="B231" s="2">
        <v>120</v>
      </c>
      <c r="C231" s="2">
        <v>120</v>
      </c>
      <c r="D231" s="2">
        <v>120</v>
      </c>
    </row>
    <row r="232" spans="1:10" ht="15" x14ac:dyDescent="0.4">
      <c r="A232" s="2" t="s">
        <v>19</v>
      </c>
      <c r="B232" s="11">
        <v>1500</v>
      </c>
      <c r="C232" s="11">
        <v>1500</v>
      </c>
      <c r="D232" s="11">
        <v>1500</v>
      </c>
    </row>
    <row r="233" spans="1:10" x14ac:dyDescent="0.25">
      <c r="A233" s="2" t="s">
        <v>1247</v>
      </c>
      <c r="B233" s="2">
        <f>SUM(B222:B232)</f>
        <v>19146.900000000001</v>
      </c>
      <c r="C233" s="2">
        <f>SUM(C222:C232)</f>
        <v>35422.400000000001</v>
      </c>
      <c r="D233" s="2">
        <f>SUM(D222:D232)</f>
        <v>31434.400000000001</v>
      </c>
    </row>
    <row r="235" spans="1:10" ht="15" x14ac:dyDescent="0.4">
      <c r="A235" s="54" t="s">
        <v>20</v>
      </c>
      <c r="B235" s="228" t="s">
        <v>1794</v>
      </c>
      <c r="C235" s="228" t="s">
        <v>1970</v>
      </c>
      <c r="D235" s="193" t="s">
        <v>2129</v>
      </c>
      <c r="E235" s="2">
        <v>22188.81</v>
      </c>
      <c r="F235" s="2">
        <v>20000</v>
      </c>
      <c r="G235" s="2">
        <v>20000</v>
      </c>
      <c r="H235" s="2">
        <v>20000</v>
      </c>
      <c r="I235" s="2">
        <v>20000</v>
      </c>
      <c r="J235" s="2">
        <v>20000</v>
      </c>
    </row>
    <row r="236" spans="1:10" x14ac:dyDescent="0.25">
      <c r="A236" s="2" t="s">
        <v>675</v>
      </c>
      <c r="B236" s="2">
        <v>17500</v>
      </c>
      <c r="C236" s="2">
        <v>20000</v>
      </c>
      <c r="D236" s="2">
        <v>20000</v>
      </c>
    </row>
    <row r="238" spans="1:10" ht="15" x14ac:dyDescent="0.4">
      <c r="A238" s="54" t="s">
        <v>1173</v>
      </c>
      <c r="B238" s="228" t="s">
        <v>1794</v>
      </c>
      <c r="C238" s="228" t="s">
        <v>1970</v>
      </c>
      <c r="D238" s="193" t="s">
        <v>2129</v>
      </c>
      <c r="E238" s="2">
        <v>12104.31</v>
      </c>
      <c r="F238" s="2">
        <v>15800</v>
      </c>
      <c r="G238" s="2">
        <v>15800</v>
      </c>
      <c r="H238" s="2">
        <v>15800</v>
      </c>
      <c r="I238" s="2">
        <v>15800</v>
      </c>
      <c r="J238" s="2">
        <v>15800</v>
      </c>
    </row>
    <row r="239" spans="1:10" x14ac:dyDescent="0.25">
      <c r="A239" s="2" t="s">
        <v>1174</v>
      </c>
      <c r="B239" s="2">
        <v>5000</v>
      </c>
      <c r="C239" s="2">
        <v>5000</v>
      </c>
      <c r="D239" s="2">
        <v>5000</v>
      </c>
    </row>
    <row r="240" spans="1:10" x14ac:dyDescent="0.25">
      <c r="A240" s="2" t="s">
        <v>2103</v>
      </c>
      <c r="B240" s="2">
        <v>5000</v>
      </c>
      <c r="C240" s="2">
        <v>5000</v>
      </c>
      <c r="D240" s="2">
        <v>5000</v>
      </c>
    </row>
    <row r="241" spans="1:10" x14ac:dyDescent="0.25">
      <c r="A241" s="2" t="s">
        <v>155</v>
      </c>
      <c r="B241" s="2">
        <v>5500</v>
      </c>
      <c r="C241" s="2">
        <v>5500</v>
      </c>
      <c r="D241" s="2">
        <v>5500</v>
      </c>
    </row>
    <row r="242" spans="1:10" ht="15" x14ac:dyDescent="0.4">
      <c r="A242" s="2" t="s">
        <v>318</v>
      </c>
      <c r="B242" s="11">
        <v>300</v>
      </c>
      <c r="C242" s="11">
        <v>300</v>
      </c>
      <c r="D242" s="11">
        <v>300</v>
      </c>
    </row>
    <row r="243" spans="1:10" x14ac:dyDescent="0.25">
      <c r="A243" s="2" t="s">
        <v>1247</v>
      </c>
      <c r="B243" s="2">
        <f>SUM(B239:B242)</f>
        <v>15800</v>
      </c>
      <c r="C243" s="2">
        <f>SUM(C239:C242)</f>
        <v>15800</v>
      </c>
      <c r="D243" s="2">
        <f>SUM(D239:D242)</f>
        <v>15800</v>
      </c>
    </row>
    <row r="245" spans="1:10" ht="15" x14ac:dyDescent="0.4">
      <c r="A245" s="54" t="s">
        <v>1478</v>
      </c>
      <c r="B245" s="228" t="s">
        <v>1794</v>
      </c>
      <c r="C245" s="228" t="s">
        <v>1970</v>
      </c>
      <c r="D245" s="193" t="s">
        <v>2129</v>
      </c>
      <c r="E245" s="2">
        <v>0</v>
      </c>
      <c r="F245" s="2">
        <v>1</v>
      </c>
      <c r="G245" s="2">
        <v>1</v>
      </c>
      <c r="H245" s="2">
        <v>1</v>
      </c>
      <c r="I245" s="2">
        <v>1</v>
      </c>
      <c r="J245" s="2">
        <v>1</v>
      </c>
    </row>
    <row r="246" spans="1:10" x14ac:dyDescent="0.25">
      <c r="A246" s="2" t="s">
        <v>657</v>
      </c>
      <c r="B246" s="2">
        <v>1</v>
      </c>
      <c r="C246" s="2">
        <v>1</v>
      </c>
      <c r="D246" s="2">
        <v>1</v>
      </c>
    </row>
    <row r="248" spans="1:10" ht="15" x14ac:dyDescent="0.4">
      <c r="A248" s="54" t="s">
        <v>2130</v>
      </c>
      <c r="B248" s="225"/>
      <c r="C248" s="225"/>
      <c r="D248" s="225"/>
      <c r="E248" s="2">
        <v>9996.23</v>
      </c>
      <c r="F248" s="2">
        <v>0</v>
      </c>
      <c r="G248" s="2">
        <v>0</v>
      </c>
      <c r="H248" s="2">
        <v>0</v>
      </c>
      <c r="I248" s="2">
        <v>0</v>
      </c>
      <c r="J248" s="2">
        <v>0</v>
      </c>
    </row>
    <row r="249" spans="1:10" x14ac:dyDescent="0.25">
      <c r="A249" s="2" t="s">
        <v>1196</v>
      </c>
    </row>
    <row r="252" spans="1:10" ht="15" x14ac:dyDescent="0.4">
      <c r="A252" s="54" t="s">
        <v>804</v>
      </c>
      <c r="B252" s="228" t="s">
        <v>1794</v>
      </c>
      <c r="C252" s="228" t="s">
        <v>1970</v>
      </c>
      <c r="D252" s="193" t="s">
        <v>2129</v>
      </c>
      <c r="E252" s="2">
        <v>3938.36</v>
      </c>
      <c r="F252" s="2">
        <v>3500</v>
      </c>
      <c r="G252" s="2">
        <v>3500</v>
      </c>
      <c r="H252" s="2">
        <v>3500</v>
      </c>
      <c r="I252" s="2">
        <v>3500</v>
      </c>
      <c r="J252" s="2">
        <v>3500</v>
      </c>
    </row>
    <row r="253" spans="1:10" x14ac:dyDescent="0.25">
      <c r="A253" s="2" t="s">
        <v>1417</v>
      </c>
      <c r="B253" s="2">
        <v>3500</v>
      </c>
      <c r="C253" s="2">
        <v>3500</v>
      </c>
      <c r="D253" s="2">
        <v>3500</v>
      </c>
    </row>
    <row r="255" spans="1:10" ht="15" x14ac:dyDescent="0.4">
      <c r="A255" s="54" t="s">
        <v>1425</v>
      </c>
      <c r="B255" s="228" t="s">
        <v>1794</v>
      </c>
      <c r="C255" s="228" t="s">
        <v>1970</v>
      </c>
      <c r="D255" s="228" t="s">
        <v>2129</v>
      </c>
      <c r="E255" s="2">
        <v>55300</v>
      </c>
      <c r="F255" s="2">
        <v>55300</v>
      </c>
      <c r="G255" s="2">
        <v>55300</v>
      </c>
      <c r="H255" s="2">
        <v>55300</v>
      </c>
      <c r="I255" s="2">
        <v>55300</v>
      </c>
      <c r="J255" s="2">
        <v>55300</v>
      </c>
    </row>
    <row r="256" spans="1:10" ht="15" x14ac:dyDescent="0.4">
      <c r="A256" s="2" t="s">
        <v>567</v>
      </c>
      <c r="B256" s="19"/>
      <c r="C256" s="19"/>
      <c r="D256" s="19"/>
      <c r="E256" s="11"/>
      <c r="F256" s="11"/>
      <c r="G256" s="11"/>
      <c r="H256" s="11"/>
      <c r="I256" s="11"/>
      <c r="J256" s="11"/>
    </row>
    <row r="257" spans="1:10" x14ac:dyDescent="0.25">
      <c r="A257" s="2" t="s">
        <v>1029</v>
      </c>
      <c r="B257" s="8">
        <v>300</v>
      </c>
      <c r="C257" s="8">
        <v>300</v>
      </c>
      <c r="D257" s="8">
        <v>300</v>
      </c>
      <c r="E257" s="8"/>
      <c r="F257" s="8"/>
      <c r="G257" s="8"/>
      <c r="H257" s="8"/>
      <c r="I257" s="8"/>
      <c r="J257" s="8"/>
    </row>
    <row r="258" spans="1:10" x14ac:dyDescent="0.25">
      <c r="A258" s="2" t="s">
        <v>1200</v>
      </c>
      <c r="B258" s="8">
        <v>0</v>
      </c>
      <c r="C258" s="8">
        <v>0</v>
      </c>
      <c r="D258" s="8">
        <v>0</v>
      </c>
      <c r="E258" s="8"/>
      <c r="F258" s="8"/>
      <c r="G258" s="8"/>
      <c r="H258" s="8"/>
      <c r="I258" s="8"/>
      <c r="J258" s="8"/>
    </row>
    <row r="259" spans="1:10" x14ac:dyDescent="0.25">
      <c r="A259" s="2" t="s">
        <v>604</v>
      </c>
      <c r="B259" s="19">
        <v>0</v>
      </c>
      <c r="C259" s="19">
        <v>0</v>
      </c>
      <c r="D259" s="19">
        <v>0</v>
      </c>
      <c r="E259" s="19"/>
      <c r="F259" s="19"/>
      <c r="G259" s="19"/>
      <c r="H259" s="19"/>
      <c r="I259" s="19"/>
      <c r="J259" s="19"/>
    </row>
    <row r="260" spans="1:10" x14ac:dyDescent="0.25">
      <c r="A260" s="2" t="s">
        <v>252</v>
      </c>
      <c r="B260" s="8">
        <f>SUM(B257:B259)</f>
        <v>300</v>
      </c>
      <c r="C260" s="8">
        <f>SUM(C257:C259)</f>
        <v>300</v>
      </c>
      <c r="D260" s="8">
        <f>SUM(D257:D259)</f>
        <v>300</v>
      </c>
      <c r="E260" s="8"/>
      <c r="F260" s="8"/>
      <c r="G260" s="8"/>
      <c r="H260" s="8"/>
      <c r="I260" s="8"/>
      <c r="J260" s="8"/>
    </row>
    <row r="261" spans="1:10" x14ac:dyDescent="0.25">
      <c r="A261" s="2" t="s">
        <v>326</v>
      </c>
      <c r="B261" s="2">
        <v>35000</v>
      </c>
      <c r="C261" s="2">
        <v>35000</v>
      </c>
      <c r="D261" s="2">
        <v>35000</v>
      </c>
    </row>
    <row r="262" spans="1:10" x14ac:dyDescent="0.25">
      <c r="A262" s="2" t="s">
        <v>2104</v>
      </c>
      <c r="B262" s="2">
        <v>10000</v>
      </c>
      <c r="C262" s="2">
        <v>10000</v>
      </c>
      <c r="D262" s="2">
        <v>10000</v>
      </c>
    </row>
    <row r="263" spans="1:10" ht="15" x14ac:dyDescent="0.4">
      <c r="A263" s="2" t="s">
        <v>327</v>
      </c>
      <c r="B263" s="11">
        <v>10000</v>
      </c>
      <c r="C263" s="11">
        <v>10000</v>
      </c>
      <c r="D263" s="11">
        <v>10000</v>
      </c>
    </row>
    <row r="264" spans="1:10" x14ac:dyDescent="0.25">
      <c r="A264" s="2" t="s">
        <v>1247</v>
      </c>
      <c r="B264" s="2">
        <f>SUM(B260:B263)</f>
        <v>55300</v>
      </c>
      <c r="C264" s="2">
        <f>SUM(C260:C263)</f>
        <v>55300</v>
      </c>
      <c r="D264" s="2">
        <f>SUM(D260:D263)</f>
        <v>55300</v>
      </c>
    </row>
    <row r="266" spans="1:10" ht="15" x14ac:dyDescent="0.4">
      <c r="A266" s="54" t="s">
        <v>1517</v>
      </c>
      <c r="B266" s="228" t="s">
        <v>1794</v>
      </c>
      <c r="C266" s="228" t="s">
        <v>1970</v>
      </c>
      <c r="D266" s="193" t="s">
        <v>2129</v>
      </c>
      <c r="E266" s="11">
        <v>17601.240000000002</v>
      </c>
      <c r="F266" s="11">
        <v>71311</v>
      </c>
      <c r="G266" s="11">
        <v>50000</v>
      </c>
      <c r="H266" s="11">
        <v>50000</v>
      </c>
      <c r="I266" s="11">
        <v>50000</v>
      </c>
      <c r="J266" s="11">
        <v>50000</v>
      </c>
    </row>
    <row r="267" spans="1:10" x14ac:dyDescent="0.25">
      <c r="A267" s="2" t="s">
        <v>1593</v>
      </c>
      <c r="B267" s="2">
        <v>35000</v>
      </c>
      <c r="C267" s="2">
        <v>0</v>
      </c>
      <c r="D267" s="2">
        <v>50000</v>
      </c>
    </row>
    <row r="268" spans="1:10" x14ac:dyDescent="0.25">
      <c r="A268" s="2" t="s">
        <v>2097</v>
      </c>
      <c r="C268" s="2">
        <v>71311</v>
      </c>
    </row>
    <row r="269" spans="1:10" ht="15" x14ac:dyDescent="0.4">
      <c r="A269" s="42" t="s">
        <v>2105</v>
      </c>
      <c r="B269" s="11">
        <v>10000</v>
      </c>
      <c r="C269" s="11">
        <v>0</v>
      </c>
      <c r="D269" s="11">
        <v>0</v>
      </c>
    </row>
    <row r="270" spans="1:10" x14ac:dyDescent="0.25">
      <c r="B270" s="2">
        <f>SUM(B267:B269)</f>
        <v>45000</v>
      </c>
      <c r="C270" s="2">
        <f>SUM(C267:C269)</f>
        <v>71311</v>
      </c>
      <c r="D270" s="2">
        <f>SUM(D267:D269)</f>
        <v>50000</v>
      </c>
    </row>
    <row r="271" spans="1:10" x14ac:dyDescent="0.25">
      <c r="A271" s="16" t="s">
        <v>396</v>
      </c>
    </row>
    <row r="272" spans="1:10" x14ac:dyDescent="0.25">
      <c r="A272" s="2" t="s">
        <v>1332</v>
      </c>
      <c r="E272" s="2">
        <f t="shared" ref="E272:J272" si="2">SUM(E6:E266)</f>
        <v>2020480.5799999996</v>
      </c>
      <c r="F272" s="2">
        <f t="shared" si="2"/>
        <v>2043969</v>
      </c>
      <c r="G272" s="2">
        <f t="shared" si="2"/>
        <v>1866677</v>
      </c>
      <c r="H272" s="2">
        <f t="shared" si="2"/>
        <v>1873978</v>
      </c>
      <c r="I272" s="2">
        <f t="shared" si="2"/>
        <v>1910840</v>
      </c>
      <c r="J272" s="2">
        <f t="shared" si="2"/>
        <v>1910840</v>
      </c>
    </row>
    <row r="274" spans="1:10" x14ac:dyDescent="0.25">
      <c r="A274" s="2" t="s">
        <v>594</v>
      </c>
      <c r="E274" s="2">
        <f t="shared" ref="E274:J274" si="3">SUM(E6:E94)</f>
        <v>1413601.0099999995</v>
      </c>
      <c r="F274" s="2">
        <f t="shared" si="3"/>
        <v>1415309</v>
      </c>
      <c r="G274" s="2">
        <f t="shared" si="3"/>
        <v>1256513</v>
      </c>
      <c r="H274" s="2">
        <f t="shared" si="3"/>
        <v>1261614</v>
      </c>
      <c r="I274" s="2">
        <f t="shared" si="3"/>
        <v>1290685</v>
      </c>
      <c r="J274" s="2">
        <f t="shared" si="3"/>
        <v>1290685</v>
      </c>
    </row>
    <row r="275" spans="1:10" x14ac:dyDescent="0.25">
      <c r="A275" s="2" t="s">
        <v>957</v>
      </c>
      <c r="E275" s="2">
        <f t="shared" ref="E275:J275" si="4">SUM(E98:E238)</f>
        <v>520043.74</v>
      </c>
      <c r="F275" s="2">
        <f t="shared" si="4"/>
        <v>498548</v>
      </c>
      <c r="G275" s="2">
        <f t="shared" si="4"/>
        <v>501363</v>
      </c>
      <c r="H275" s="2">
        <f t="shared" si="4"/>
        <v>503563</v>
      </c>
      <c r="I275" s="2">
        <f t="shared" si="4"/>
        <v>511354</v>
      </c>
      <c r="J275" s="2">
        <f t="shared" si="4"/>
        <v>511354</v>
      </c>
    </row>
    <row r="276" spans="1:10" ht="15" x14ac:dyDescent="0.4">
      <c r="A276" s="2" t="s">
        <v>958</v>
      </c>
      <c r="E276" s="11">
        <f t="shared" ref="E276:J276" si="5">SUM(E245:E266)</f>
        <v>86835.83</v>
      </c>
      <c r="F276" s="11">
        <f t="shared" si="5"/>
        <v>130112</v>
      </c>
      <c r="G276" s="11">
        <f t="shared" si="5"/>
        <v>108801</v>
      </c>
      <c r="H276" s="11">
        <f t="shared" si="5"/>
        <v>108801</v>
      </c>
      <c r="I276" s="11">
        <f t="shared" si="5"/>
        <v>108801</v>
      </c>
      <c r="J276" s="11">
        <f t="shared" si="5"/>
        <v>108801</v>
      </c>
    </row>
    <row r="277" spans="1:10" x14ac:dyDescent="0.25">
      <c r="A277" s="2" t="s">
        <v>1247</v>
      </c>
      <c r="E277" s="2">
        <f t="shared" ref="E277:J277" si="6">SUM(E274:E276)</f>
        <v>2020480.5799999996</v>
      </c>
      <c r="F277" s="2">
        <f t="shared" si="6"/>
        <v>2043969</v>
      </c>
      <c r="G277" s="2">
        <f t="shared" si="6"/>
        <v>1866677</v>
      </c>
      <c r="H277" s="2">
        <f t="shared" si="6"/>
        <v>1873978</v>
      </c>
      <c r="I277" s="2">
        <f t="shared" si="6"/>
        <v>1910840</v>
      </c>
      <c r="J277" s="2">
        <f t="shared" si="6"/>
        <v>1910840</v>
      </c>
    </row>
  </sheetData>
  <mergeCells count="1">
    <mergeCell ref="A1:J1"/>
  </mergeCells>
  <phoneticPr fontId="0" type="noConversion"/>
  <printOptions gridLines="1"/>
  <pageMargins left="0.75" right="0.16" top="0.51" bottom="0.22" header="0.5" footer="0.24"/>
  <pageSetup scale="86" fitToHeight="12" orientation="landscape" r:id="rId1"/>
  <headerFooter alignWithMargins="0"/>
  <rowBreaks count="4" manualBreakCount="4">
    <brk id="119" max="9" man="1"/>
    <brk id="162" max="9" man="1"/>
    <brk id="193" max="9" man="1"/>
    <brk id="237" max="9"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J202"/>
  <sheetViews>
    <sheetView view="pageBreakPreview" zoomScaleNormal="100" zoomScaleSheetLayoutView="100" workbookViewId="0">
      <selection sqref="A1:J1"/>
    </sheetView>
  </sheetViews>
  <sheetFormatPr defaultColWidth="8.88671875" defaultRowHeight="13.2" x14ac:dyDescent="0.25"/>
  <cols>
    <col min="1" max="1" width="57.109375" style="280" bestFit="1" customWidth="1"/>
    <col min="2" max="3" width="8.88671875" style="280" customWidth="1"/>
    <col min="4" max="4" width="11" style="280" bestFit="1" customWidth="1"/>
    <col min="5" max="5" width="11.33203125" style="280" bestFit="1" customWidth="1"/>
    <col min="6" max="6" width="9" style="280" bestFit="1" customWidth="1"/>
    <col min="7" max="7" width="10.88671875" style="280" bestFit="1" customWidth="1"/>
    <col min="8" max="8" width="14" style="280" bestFit="1" customWidth="1"/>
    <col min="9" max="9" width="9" style="280" bestFit="1" customWidth="1"/>
    <col min="10" max="10" width="8.6640625" style="280" bestFit="1" customWidth="1"/>
    <col min="11" max="16384" width="8.88671875" style="280"/>
  </cols>
  <sheetData>
    <row r="1" spans="1:10" x14ac:dyDescent="0.25">
      <c r="A1" s="307" t="str">
        <f>'SUMMARY BY FUND'!A1:J1</f>
        <v>2019-20 BUDGET</v>
      </c>
      <c r="B1" s="308"/>
      <c r="C1" s="308"/>
      <c r="D1" s="308"/>
      <c r="E1" s="308"/>
      <c r="F1" s="308"/>
      <c r="G1" s="308"/>
      <c r="H1" s="308"/>
      <c r="I1" s="308"/>
      <c r="J1" s="308"/>
    </row>
    <row r="2" spans="1:10" ht="17.399999999999999" x14ac:dyDescent="0.3">
      <c r="A2" s="180" t="s">
        <v>1935</v>
      </c>
      <c r="B2" s="180"/>
      <c r="C2" s="180"/>
      <c r="D2" s="180"/>
      <c r="E2" s="180"/>
      <c r="F2" s="180"/>
    </row>
    <row r="3" spans="1:10" x14ac:dyDescent="0.25">
      <c r="B3" s="2"/>
      <c r="C3" s="2"/>
      <c r="D3" s="2"/>
      <c r="E3" s="2"/>
      <c r="F3" s="2"/>
    </row>
    <row r="4" spans="1:10" x14ac:dyDescent="0.25">
      <c r="B4" s="2"/>
      <c r="C4" s="2"/>
      <c r="D4" s="2"/>
      <c r="E4" s="16" t="s">
        <v>233</v>
      </c>
      <c r="F4" s="16" t="s">
        <v>234</v>
      </c>
      <c r="G4" s="16" t="s">
        <v>70</v>
      </c>
      <c r="H4" s="16" t="s">
        <v>409</v>
      </c>
      <c r="I4" s="16" t="s">
        <v>314</v>
      </c>
      <c r="J4" s="16" t="s">
        <v>345</v>
      </c>
    </row>
    <row r="5" spans="1:10" ht="15" x14ac:dyDescent="0.4">
      <c r="B5" s="2"/>
      <c r="C5" s="2"/>
      <c r="D5" s="2"/>
      <c r="E5" s="281" t="s">
        <v>1794</v>
      </c>
      <c r="F5" s="281" t="s">
        <v>1970</v>
      </c>
      <c r="G5" s="281" t="s">
        <v>2129</v>
      </c>
      <c r="H5" s="281" t="s">
        <v>2129</v>
      </c>
      <c r="I5" s="281" t="s">
        <v>2129</v>
      </c>
      <c r="J5" s="281" t="s">
        <v>2129</v>
      </c>
    </row>
    <row r="6" spans="1:10" ht="13.8" x14ac:dyDescent="0.3">
      <c r="A6" s="282" t="s">
        <v>1528</v>
      </c>
      <c r="B6" s="2"/>
      <c r="C6" s="2"/>
      <c r="D6" s="2"/>
      <c r="E6" s="2">
        <v>55140.800000000003</v>
      </c>
      <c r="F6" s="2">
        <v>57875</v>
      </c>
      <c r="G6" s="2">
        <v>57875</v>
      </c>
      <c r="H6" s="2">
        <v>57875</v>
      </c>
      <c r="I6" s="2">
        <v>59625</v>
      </c>
      <c r="J6" s="2">
        <v>59625</v>
      </c>
    </row>
    <row r="7" spans="1:10" x14ac:dyDescent="0.25">
      <c r="A7" s="280" t="s">
        <v>1455</v>
      </c>
      <c r="B7" s="2">
        <v>52</v>
      </c>
      <c r="C7" s="2">
        <v>1125</v>
      </c>
      <c r="D7" s="2">
        <f>ROUND(B7*C7,0)</f>
        <v>58500</v>
      </c>
      <c r="E7" s="2"/>
      <c r="F7" s="2"/>
      <c r="G7" s="2"/>
      <c r="H7" s="2"/>
      <c r="I7" s="2"/>
      <c r="J7" s="2"/>
    </row>
    <row r="8" spans="1:10" ht="15" x14ac:dyDescent="0.4">
      <c r="A8" s="2" t="s">
        <v>973</v>
      </c>
      <c r="B8" s="2"/>
      <c r="C8" s="2"/>
      <c r="D8" s="11">
        <v>1125</v>
      </c>
      <c r="E8" s="2"/>
      <c r="F8" s="2"/>
      <c r="G8" s="2"/>
      <c r="H8" s="2"/>
      <c r="I8" s="2"/>
      <c r="J8" s="2"/>
    </row>
    <row r="9" spans="1:10" x14ac:dyDescent="0.25">
      <c r="B9" s="2"/>
      <c r="C9" s="2"/>
      <c r="D9" s="2">
        <f>SUM(D7:D8)</f>
        <v>59625</v>
      </c>
      <c r="E9" s="2"/>
      <c r="F9" s="2"/>
      <c r="G9" s="2"/>
      <c r="H9" s="2"/>
      <c r="I9" s="2"/>
      <c r="J9" s="2"/>
    </row>
    <row r="10" spans="1:10" x14ac:dyDescent="0.25">
      <c r="B10" s="2"/>
      <c r="C10" s="2"/>
      <c r="D10" s="2"/>
      <c r="E10" s="2"/>
      <c r="F10" s="2"/>
      <c r="G10" s="2"/>
      <c r="H10" s="2"/>
      <c r="I10" s="2"/>
      <c r="J10" s="2"/>
    </row>
    <row r="11" spans="1:10" ht="13.8" x14ac:dyDescent="0.3">
      <c r="A11" s="282" t="s">
        <v>303</v>
      </c>
      <c r="B11" s="2"/>
      <c r="C11" s="2"/>
      <c r="D11" s="2"/>
      <c r="E11" s="2">
        <v>99805.759999999995</v>
      </c>
      <c r="F11" s="2">
        <v>103792</v>
      </c>
      <c r="G11" s="2">
        <v>103792</v>
      </c>
      <c r="H11" s="2">
        <v>103792</v>
      </c>
      <c r="I11" s="2">
        <v>106912</v>
      </c>
      <c r="J11" s="2">
        <v>106912</v>
      </c>
    </row>
    <row r="12" spans="1:10" x14ac:dyDescent="0.25">
      <c r="A12" s="280" t="s">
        <v>325</v>
      </c>
      <c r="B12" s="2">
        <v>52</v>
      </c>
      <c r="C12" s="2">
        <v>1216</v>
      </c>
      <c r="D12" s="2">
        <f>ROUND(B12*C12,0)</f>
        <v>63232</v>
      </c>
      <c r="E12" s="2"/>
      <c r="F12" s="2"/>
      <c r="G12" s="2"/>
      <c r="H12" s="2"/>
      <c r="I12" s="2"/>
      <c r="J12" s="2"/>
    </row>
    <row r="13" spans="1:10" ht="15" x14ac:dyDescent="0.4">
      <c r="A13" s="280" t="s">
        <v>1529</v>
      </c>
      <c r="B13" s="2">
        <v>52</v>
      </c>
      <c r="C13" s="2">
        <v>840</v>
      </c>
      <c r="D13" s="11">
        <f>ROUND(B13*C13,0)</f>
        <v>43680</v>
      </c>
      <c r="E13" s="2"/>
      <c r="F13" s="11"/>
      <c r="G13" s="11"/>
      <c r="H13" s="11"/>
      <c r="I13" s="11"/>
      <c r="J13" s="11"/>
    </row>
    <row r="14" spans="1:10" x14ac:dyDescent="0.25">
      <c r="A14" s="280" t="s">
        <v>1247</v>
      </c>
      <c r="B14" s="2"/>
      <c r="C14" s="2"/>
      <c r="D14" s="2">
        <f>SUM(D12:D13)</f>
        <v>106912</v>
      </c>
      <c r="E14" s="2"/>
      <c r="F14" s="2"/>
      <c r="G14" s="2"/>
      <c r="H14" s="2"/>
      <c r="I14" s="2"/>
      <c r="J14" s="2"/>
    </row>
    <row r="15" spans="1:10" x14ac:dyDescent="0.25">
      <c r="B15" s="2"/>
      <c r="C15" s="2"/>
      <c r="D15" s="2"/>
      <c r="E15" s="2"/>
      <c r="F15" s="2"/>
      <c r="G15" s="2"/>
      <c r="H15" s="2"/>
      <c r="I15" s="2"/>
      <c r="J15" s="2"/>
    </row>
    <row r="16" spans="1:10" ht="13.8" x14ac:dyDescent="0.3">
      <c r="A16" s="282" t="s">
        <v>138</v>
      </c>
      <c r="D16" s="2"/>
      <c r="E16" s="2">
        <v>11628.62</v>
      </c>
      <c r="F16" s="2">
        <v>12368</v>
      </c>
      <c r="G16" s="2">
        <v>12368</v>
      </c>
      <c r="H16" s="2">
        <v>12368</v>
      </c>
      <c r="I16" s="2">
        <v>12740</v>
      </c>
      <c r="J16" s="2">
        <v>12740</v>
      </c>
    </row>
    <row r="17" spans="1:10" x14ac:dyDescent="0.25">
      <c r="A17" s="13" t="s">
        <v>1468</v>
      </c>
      <c r="B17" s="2">
        <f>+D9</f>
        <v>59625</v>
      </c>
      <c r="C17" s="14">
        <v>7.6499999999999999E-2</v>
      </c>
      <c r="D17" s="2">
        <f>ROUND(B17*C17,0)</f>
        <v>4561</v>
      </c>
      <c r="E17" s="2"/>
      <c r="I17" s="295"/>
      <c r="J17" s="298"/>
    </row>
    <row r="18" spans="1:10" ht="15" x14ac:dyDescent="0.4">
      <c r="A18" s="13" t="s">
        <v>807</v>
      </c>
      <c r="B18" s="2">
        <f>+D14</f>
        <v>106912</v>
      </c>
      <c r="C18" s="14">
        <v>7.6499999999999999E-2</v>
      </c>
      <c r="D18" s="11">
        <f>ROUND(B18*C18,0)</f>
        <v>8179</v>
      </c>
      <c r="E18" s="11"/>
      <c r="F18" s="11"/>
      <c r="G18" s="11"/>
      <c r="H18" s="11"/>
      <c r="I18" s="11"/>
      <c r="J18" s="11"/>
    </row>
    <row r="19" spans="1:10" x14ac:dyDescent="0.25">
      <c r="A19" s="280" t="s">
        <v>1247</v>
      </c>
      <c r="B19" s="2"/>
      <c r="D19" s="2">
        <f>SUM(D17:D18)</f>
        <v>12740</v>
      </c>
      <c r="E19" s="2"/>
      <c r="F19" s="2"/>
      <c r="G19" s="2"/>
      <c r="H19" s="2"/>
      <c r="I19" s="2"/>
      <c r="J19" s="2"/>
    </row>
    <row r="20" spans="1:10" x14ac:dyDescent="0.25">
      <c r="B20" s="2"/>
      <c r="D20" s="2"/>
      <c r="E20" s="2"/>
      <c r="F20" s="2"/>
      <c r="G20" s="2"/>
      <c r="H20" s="2"/>
      <c r="I20" s="2"/>
      <c r="J20" s="2"/>
    </row>
    <row r="21" spans="1:10" ht="13.8" x14ac:dyDescent="0.3">
      <c r="A21" s="15" t="s">
        <v>1407</v>
      </c>
      <c r="B21" s="2"/>
      <c r="D21" s="2"/>
      <c r="E21" s="2">
        <v>17704.82</v>
      </c>
      <c r="F21" s="2">
        <v>18398</v>
      </c>
      <c r="G21" s="2">
        <v>18398</v>
      </c>
      <c r="H21" s="2">
        <v>18059</v>
      </c>
      <c r="I21" s="2">
        <v>18602</v>
      </c>
      <c r="J21" s="2">
        <v>18602</v>
      </c>
    </row>
    <row r="22" spans="1:10" x14ac:dyDescent="0.25">
      <c r="A22" s="13" t="s">
        <v>1468</v>
      </c>
      <c r="B22" s="2">
        <f>+B17</f>
        <v>59625</v>
      </c>
      <c r="C22" s="14">
        <v>0.11169999999999999</v>
      </c>
      <c r="D22" s="2">
        <f>ROUND(B22*C22,0)</f>
        <v>6660</v>
      </c>
      <c r="E22" s="2"/>
      <c r="F22" s="2"/>
      <c r="G22" s="2"/>
      <c r="H22" s="2"/>
      <c r="I22" s="2"/>
      <c r="J22" s="2"/>
    </row>
    <row r="23" spans="1:10" ht="15" x14ac:dyDescent="0.4">
      <c r="A23" s="13" t="s">
        <v>807</v>
      </c>
      <c r="B23" s="2">
        <f>+D14</f>
        <v>106912</v>
      </c>
      <c r="C23" s="14">
        <v>0.11169999999999999</v>
      </c>
      <c r="D23" s="11">
        <f>ROUND(B23*C23,0)</f>
        <v>11942</v>
      </c>
      <c r="E23" s="11"/>
      <c r="F23" s="11"/>
      <c r="G23" s="11"/>
      <c r="H23" s="11"/>
      <c r="I23" s="11"/>
      <c r="J23" s="11"/>
    </row>
    <row r="24" spans="1:10" x14ac:dyDescent="0.25">
      <c r="A24" s="280" t="s">
        <v>1247</v>
      </c>
      <c r="D24" s="2">
        <f>SUM(D22:D23)</f>
        <v>18602</v>
      </c>
      <c r="E24" s="2"/>
      <c r="F24" s="2"/>
      <c r="G24" s="2"/>
      <c r="H24" s="2"/>
      <c r="I24" s="2"/>
      <c r="J24" s="2"/>
    </row>
    <row r="25" spans="1:10" x14ac:dyDescent="0.25">
      <c r="D25" s="2"/>
      <c r="E25" s="2"/>
      <c r="F25" s="2"/>
      <c r="G25" s="2"/>
      <c r="H25" s="2"/>
      <c r="I25" s="2"/>
      <c r="J25" s="2"/>
    </row>
    <row r="26" spans="1:10" ht="13.8" x14ac:dyDescent="0.3">
      <c r="A26" s="282" t="s">
        <v>1510</v>
      </c>
      <c r="D26" s="2"/>
      <c r="E26" s="2">
        <v>49389.78</v>
      </c>
      <c r="F26" s="2">
        <v>54900</v>
      </c>
      <c r="G26" s="2">
        <v>55800</v>
      </c>
      <c r="H26" s="2">
        <v>57075</v>
      </c>
      <c r="I26" s="2">
        <v>57075</v>
      </c>
      <c r="J26" s="2">
        <v>57075</v>
      </c>
    </row>
    <row r="27" spans="1:10" x14ac:dyDescent="0.25">
      <c r="A27" s="280" t="s">
        <v>416</v>
      </c>
      <c r="B27" s="2">
        <v>3</v>
      </c>
      <c r="C27" s="2">
        <v>19025</v>
      </c>
      <c r="D27" s="2">
        <f>ROUND(B27*C27,0)</f>
        <v>57075</v>
      </c>
      <c r="E27" s="2"/>
      <c r="F27" s="2"/>
      <c r="G27" s="2"/>
      <c r="H27" s="2"/>
      <c r="I27" s="2"/>
      <c r="J27" s="2"/>
    </row>
    <row r="28" spans="1:10" x14ac:dyDescent="0.25">
      <c r="D28" s="2"/>
      <c r="E28" s="2"/>
      <c r="F28" s="2"/>
      <c r="G28" s="2"/>
      <c r="H28" s="2"/>
      <c r="I28" s="2"/>
      <c r="J28" s="2"/>
    </row>
    <row r="29" spans="1:10" ht="13.8" x14ac:dyDescent="0.3">
      <c r="A29" s="282" t="s">
        <v>334</v>
      </c>
      <c r="D29" s="2"/>
      <c r="E29" s="2">
        <v>3522.45</v>
      </c>
      <c r="F29" s="2">
        <v>3510</v>
      </c>
      <c r="G29" s="2">
        <v>3605</v>
      </c>
      <c r="H29" s="2">
        <v>3645</v>
      </c>
      <c r="I29" s="2">
        <v>3645</v>
      </c>
      <c r="J29" s="2">
        <v>3645</v>
      </c>
    </row>
    <row r="30" spans="1:10" x14ac:dyDescent="0.25">
      <c r="A30" s="2" t="s">
        <v>416</v>
      </c>
      <c r="B30" s="2">
        <v>3</v>
      </c>
      <c r="C30" s="2">
        <v>1350</v>
      </c>
      <c r="D30" s="2">
        <f>ROUND(B30*C30,0)</f>
        <v>4050</v>
      </c>
      <c r="E30" s="2"/>
      <c r="F30" s="2"/>
      <c r="G30" s="2"/>
      <c r="H30" s="2"/>
      <c r="I30" s="2"/>
      <c r="J30" s="2"/>
    </row>
    <row r="31" spans="1:10" ht="15" x14ac:dyDescent="0.4">
      <c r="A31" s="2" t="s">
        <v>227</v>
      </c>
      <c r="B31" s="2"/>
      <c r="C31" s="2"/>
      <c r="D31" s="11">
        <f>-C30*0.1*B30</f>
        <v>-405</v>
      </c>
      <c r="E31" s="2"/>
      <c r="F31" s="2"/>
      <c r="G31" s="2"/>
      <c r="H31" s="2"/>
      <c r="I31" s="2"/>
      <c r="J31" s="2"/>
    </row>
    <row r="32" spans="1:10" x14ac:dyDescent="0.25">
      <c r="A32" s="280" t="s">
        <v>801</v>
      </c>
      <c r="D32" s="2">
        <f>SUM(D30:D31)</f>
        <v>3645</v>
      </c>
      <c r="E32" s="2"/>
      <c r="F32" s="2"/>
      <c r="G32" s="2"/>
      <c r="H32" s="2"/>
      <c r="I32" s="2"/>
      <c r="J32" s="2"/>
    </row>
    <row r="33" spans="1:10" ht="13.8" x14ac:dyDescent="0.3">
      <c r="A33" s="282" t="s">
        <v>1310</v>
      </c>
      <c r="D33" s="2"/>
      <c r="E33" s="2">
        <v>354.06</v>
      </c>
      <c r="F33" s="2">
        <v>405</v>
      </c>
      <c r="G33" s="2">
        <v>405</v>
      </c>
      <c r="H33" s="2">
        <v>405</v>
      </c>
      <c r="I33" s="2">
        <v>405</v>
      </c>
      <c r="J33" s="2">
        <v>405</v>
      </c>
    </row>
    <row r="34" spans="1:10" hidden="1" x14ac:dyDescent="0.25">
      <c r="A34" s="280" t="s">
        <v>1404</v>
      </c>
      <c r="B34" s="2">
        <v>3</v>
      </c>
      <c r="C34" s="2">
        <v>135</v>
      </c>
      <c r="D34" s="2">
        <f>ROUND(B34*C34,0)</f>
        <v>405</v>
      </c>
      <c r="E34" s="2"/>
      <c r="F34" s="2"/>
      <c r="G34" s="2"/>
      <c r="H34" s="2"/>
      <c r="I34" s="2"/>
      <c r="J34" s="2"/>
    </row>
    <row r="35" spans="1:10" x14ac:dyDescent="0.25">
      <c r="D35" s="2"/>
      <c r="E35" s="2"/>
      <c r="F35" s="2"/>
      <c r="G35" s="2"/>
      <c r="H35" s="2"/>
      <c r="I35" s="2"/>
      <c r="J35" s="2"/>
    </row>
    <row r="36" spans="1:10" ht="13.8" x14ac:dyDescent="0.3">
      <c r="A36" s="282" t="s">
        <v>1311</v>
      </c>
      <c r="D36" s="2"/>
      <c r="E36" s="2">
        <v>1453</v>
      </c>
      <c r="F36" s="2">
        <v>1890</v>
      </c>
      <c r="G36" s="2">
        <v>1800</v>
      </c>
      <c r="H36" s="2">
        <v>1800</v>
      </c>
      <c r="I36" s="2">
        <v>1800</v>
      </c>
      <c r="J36" s="2">
        <v>1800</v>
      </c>
    </row>
    <row r="37" spans="1:10" hidden="1" x14ac:dyDescent="0.25">
      <c r="A37" s="280" t="s">
        <v>827</v>
      </c>
      <c r="B37" s="2">
        <v>3</v>
      </c>
      <c r="C37" s="2">
        <v>600</v>
      </c>
      <c r="D37" s="2">
        <f>ROUND(B37*C37,0)</f>
        <v>1800</v>
      </c>
      <c r="E37" s="2"/>
      <c r="F37" s="2"/>
      <c r="G37" s="2"/>
      <c r="H37" s="2"/>
      <c r="I37" s="2"/>
      <c r="J37" s="2"/>
    </row>
    <row r="38" spans="1:10" x14ac:dyDescent="0.25">
      <c r="D38" s="2"/>
      <c r="E38" s="2"/>
      <c r="F38" s="2"/>
      <c r="G38" s="2"/>
      <c r="H38" s="2"/>
      <c r="I38" s="2"/>
      <c r="J38" s="2"/>
    </row>
    <row r="39" spans="1:10" ht="13.8" x14ac:dyDescent="0.3">
      <c r="A39" s="282" t="s">
        <v>1312</v>
      </c>
      <c r="D39" s="2"/>
      <c r="E39" s="2">
        <v>1686</v>
      </c>
      <c r="F39" s="2">
        <v>2186</v>
      </c>
      <c r="G39" s="2">
        <v>2083</v>
      </c>
      <c r="H39" s="2">
        <v>2083</v>
      </c>
      <c r="I39" s="2">
        <v>2146</v>
      </c>
      <c r="J39" s="2">
        <v>2146</v>
      </c>
    </row>
    <row r="40" spans="1:10" x14ac:dyDescent="0.25">
      <c r="A40" s="13" t="s">
        <v>1468</v>
      </c>
      <c r="B40" s="2">
        <f>+D9</f>
        <v>59625</v>
      </c>
      <c r="C40" s="14">
        <v>3.3300000000000003E-2</v>
      </c>
      <c r="D40" s="2">
        <f>ROUND(B40*C40,0)</f>
        <v>1986</v>
      </c>
      <c r="E40" s="2"/>
      <c r="F40" s="2"/>
      <c r="G40" s="2"/>
      <c r="H40" s="2"/>
      <c r="I40" s="2"/>
      <c r="J40" s="2"/>
    </row>
    <row r="41" spans="1:10" ht="15" x14ac:dyDescent="0.4">
      <c r="A41" s="13" t="s">
        <v>807</v>
      </c>
      <c r="B41" s="2">
        <f>+D14</f>
        <v>106912</v>
      </c>
      <c r="C41" s="14">
        <v>1.5E-3</v>
      </c>
      <c r="D41" s="11">
        <f>ROUND(B41*C41,0)</f>
        <v>160</v>
      </c>
      <c r="E41" s="11"/>
      <c r="F41" s="11"/>
      <c r="G41" s="11"/>
      <c r="H41" s="11"/>
      <c r="I41" s="11"/>
      <c r="J41" s="11"/>
    </row>
    <row r="42" spans="1:10" x14ac:dyDescent="0.25">
      <c r="A42" s="280" t="s">
        <v>1247</v>
      </c>
      <c r="D42" s="2">
        <f>SUM(D40:D41)</f>
        <v>2146</v>
      </c>
      <c r="E42" s="2"/>
      <c r="F42" s="2"/>
      <c r="G42" s="2"/>
      <c r="H42" s="2"/>
      <c r="I42" s="2"/>
      <c r="J42" s="2"/>
    </row>
    <row r="43" spans="1:10" x14ac:dyDescent="0.25">
      <c r="D43" s="2"/>
      <c r="E43" s="2"/>
      <c r="F43" s="2"/>
      <c r="G43" s="2"/>
      <c r="H43" s="2"/>
      <c r="I43" s="2"/>
      <c r="J43" s="2"/>
    </row>
    <row r="44" spans="1:10" ht="13.8" x14ac:dyDescent="0.3">
      <c r="A44" s="282" t="s">
        <v>10</v>
      </c>
      <c r="D44" s="2"/>
      <c r="E44" s="2">
        <v>75.599999999999994</v>
      </c>
      <c r="F44" s="2">
        <v>78</v>
      </c>
      <c r="G44" s="2">
        <v>78</v>
      </c>
      <c r="H44" s="2">
        <v>78</v>
      </c>
      <c r="I44" s="2">
        <v>78</v>
      </c>
      <c r="J44" s="2">
        <v>78</v>
      </c>
    </row>
    <row r="45" spans="1:10" hidden="1" x14ac:dyDescent="0.25">
      <c r="A45" s="13" t="s">
        <v>1468</v>
      </c>
      <c r="B45" s="2">
        <v>1</v>
      </c>
      <c r="C45" s="2">
        <v>26</v>
      </c>
      <c r="D45" s="2">
        <f>ROUND(B45*C45,0)</f>
        <v>26</v>
      </c>
      <c r="E45" s="2"/>
      <c r="F45" s="2"/>
      <c r="G45" s="2"/>
      <c r="H45" s="2"/>
      <c r="I45" s="2"/>
      <c r="J45" s="2"/>
    </row>
    <row r="46" spans="1:10" ht="15" hidden="1" x14ac:dyDescent="0.4">
      <c r="A46" s="13" t="s">
        <v>807</v>
      </c>
      <c r="B46" s="2">
        <v>2</v>
      </c>
      <c r="C46" s="2">
        <v>26</v>
      </c>
      <c r="D46" s="11">
        <f>ROUND(B46*C46,0)</f>
        <v>52</v>
      </c>
      <c r="E46" s="11"/>
      <c r="F46" s="11"/>
      <c r="G46" s="11"/>
      <c r="H46" s="11"/>
      <c r="I46" s="11"/>
      <c r="J46" s="11"/>
    </row>
    <row r="47" spans="1:10" hidden="1" x14ac:dyDescent="0.25">
      <c r="A47" s="280" t="s">
        <v>1247</v>
      </c>
      <c r="D47" s="2">
        <f>SUM(D45:D46)</f>
        <v>78</v>
      </c>
      <c r="E47" s="2"/>
      <c r="F47" s="2"/>
      <c r="G47" s="2"/>
      <c r="H47" s="2"/>
      <c r="I47" s="2"/>
      <c r="J47" s="2"/>
    </row>
    <row r="48" spans="1:10" x14ac:dyDescent="0.25">
      <c r="D48" s="2"/>
      <c r="E48" s="2"/>
      <c r="F48" s="2"/>
      <c r="G48" s="2"/>
      <c r="H48" s="2"/>
      <c r="I48" s="2"/>
      <c r="J48" s="2"/>
    </row>
    <row r="49" spans="1:10" ht="13.8" x14ac:dyDescent="0.3">
      <c r="A49" s="282" t="s">
        <v>1210</v>
      </c>
      <c r="D49" s="2"/>
      <c r="E49" s="2">
        <v>840.55</v>
      </c>
      <c r="F49" s="2">
        <v>1500</v>
      </c>
      <c r="G49" s="2">
        <v>1500</v>
      </c>
      <c r="H49" s="2">
        <v>1500</v>
      </c>
      <c r="I49" s="2">
        <v>1500</v>
      </c>
      <c r="J49" s="2">
        <v>1500</v>
      </c>
    </row>
    <row r="50" spans="1:10" x14ac:dyDescent="0.25">
      <c r="A50" s="280" t="s">
        <v>1211</v>
      </c>
      <c r="C50" s="2"/>
      <c r="D50" s="2">
        <v>1500</v>
      </c>
      <c r="E50" s="2"/>
      <c r="F50" s="2"/>
      <c r="G50" s="2"/>
      <c r="H50" s="2"/>
      <c r="I50" s="2"/>
      <c r="J50" s="2"/>
    </row>
    <row r="51" spans="1:10" x14ac:dyDescent="0.25">
      <c r="C51" s="2"/>
      <c r="D51" s="2"/>
      <c r="E51" s="2"/>
      <c r="F51" s="2"/>
      <c r="G51" s="2"/>
      <c r="H51" s="2"/>
      <c r="I51" s="2"/>
      <c r="J51" s="2"/>
    </row>
    <row r="52" spans="1:10" ht="13.8" x14ac:dyDescent="0.3">
      <c r="A52" s="282" t="s">
        <v>11</v>
      </c>
      <c r="C52" s="8"/>
      <c r="D52" s="8" t="s">
        <v>396</v>
      </c>
      <c r="E52" s="2">
        <v>232.46</v>
      </c>
      <c r="F52" s="2">
        <v>300</v>
      </c>
      <c r="G52" s="2">
        <v>300</v>
      </c>
      <c r="H52" s="2">
        <v>300</v>
      </c>
      <c r="I52" s="2">
        <v>300</v>
      </c>
      <c r="J52" s="2">
        <v>300</v>
      </c>
    </row>
    <row r="53" spans="1:10" x14ac:dyDescent="0.25">
      <c r="A53" s="6" t="s">
        <v>1430</v>
      </c>
      <c r="B53" s="6"/>
      <c r="C53" s="2"/>
      <c r="D53" s="2">
        <v>300</v>
      </c>
      <c r="E53" s="2"/>
      <c r="F53" s="2"/>
      <c r="G53" s="2"/>
      <c r="H53" s="2"/>
      <c r="I53" s="2"/>
      <c r="J53" s="2"/>
    </row>
    <row r="54" spans="1:10" ht="15" x14ac:dyDescent="0.4">
      <c r="A54" s="280" t="s">
        <v>396</v>
      </c>
      <c r="C54" s="11"/>
      <c r="D54" s="11" t="s">
        <v>396</v>
      </c>
      <c r="E54" s="11"/>
      <c r="F54" s="11"/>
      <c r="G54" s="11"/>
      <c r="H54" s="11"/>
      <c r="I54" s="11"/>
      <c r="J54" s="11"/>
    </row>
    <row r="55" spans="1:10" x14ac:dyDescent="0.25">
      <c r="A55" s="280" t="s">
        <v>1247</v>
      </c>
      <c r="C55" s="2"/>
      <c r="D55" s="2">
        <f>SUM(D53:D54)</f>
        <v>300</v>
      </c>
      <c r="E55" s="2"/>
      <c r="F55" s="2"/>
      <c r="G55" s="2"/>
      <c r="H55" s="2"/>
      <c r="I55" s="2"/>
      <c r="J55" s="2"/>
    </row>
    <row r="56" spans="1:10" x14ac:dyDescent="0.25">
      <c r="C56" s="2"/>
      <c r="D56" s="2"/>
      <c r="E56" s="2"/>
      <c r="F56" s="2"/>
      <c r="G56" s="2"/>
      <c r="H56" s="2"/>
      <c r="I56" s="2"/>
      <c r="J56" s="2"/>
    </row>
    <row r="57" spans="1:10" ht="13.8" x14ac:dyDescent="0.3">
      <c r="A57" s="282" t="s">
        <v>12</v>
      </c>
      <c r="C57" s="2"/>
      <c r="D57" s="2"/>
      <c r="E57" s="2">
        <v>459.62</v>
      </c>
      <c r="F57" s="2">
        <v>300</v>
      </c>
      <c r="G57" s="2">
        <v>400</v>
      </c>
      <c r="H57" s="2">
        <v>400</v>
      </c>
      <c r="I57" s="2">
        <v>400</v>
      </c>
      <c r="J57" s="2">
        <v>400</v>
      </c>
    </row>
    <row r="58" spans="1:10" x14ac:dyDescent="0.25">
      <c r="A58" s="280" t="s">
        <v>1141</v>
      </c>
      <c r="C58" s="2"/>
      <c r="D58" s="2">
        <v>300</v>
      </c>
      <c r="E58" s="2"/>
      <c r="F58" s="2"/>
      <c r="G58" s="2"/>
      <c r="H58" s="2"/>
      <c r="I58" s="2"/>
      <c r="J58" s="2"/>
    </row>
    <row r="59" spans="1:10" x14ac:dyDescent="0.25">
      <c r="C59" s="2"/>
      <c r="D59" s="2"/>
      <c r="E59" s="2"/>
      <c r="F59" s="2"/>
      <c r="G59" s="2"/>
      <c r="H59" s="2"/>
      <c r="I59" s="2"/>
      <c r="J59" s="2"/>
    </row>
    <row r="60" spans="1:10" ht="13.8" x14ac:dyDescent="0.3">
      <c r="A60" s="282" t="s">
        <v>1490</v>
      </c>
      <c r="C60" s="2"/>
      <c r="D60" s="2"/>
      <c r="E60" s="2">
        <v>613.57000000000005</v>
      </c>
      <c r="F60" s="2">
        <v>775</v>
      </c>
      <c r="G60" s="2">
        <v>750</v>
      </c>
      <c r="H60" s="2">
        <v>750</v>
      </c>
      <c r="I60" s="2">
        <v>750</v>
      </c>
      <c r="J60" s="2">
        <v>750</v>
      </c>
    </row>
    <row r="61" spans="1:10" x14ac:dyDescent="0.25">
      <c r="A61" s="280" t="s">
        <v>740</v>
      </c>
      <c r="B61" s="2"/>
      <c r="C61" s="2"/>
      <c r="D61" s="2">
        <v>750</v>
      </c>
      <c r="E61" s="2"/>
      <c r="F61" s="2"/>
      <c r="G61" s="2"/>
      <c r="H61" s="2"/>
      <c r="I61" s="2"/>
      <c r="J61" s="2"/>
    </row>
    <row r="62" spans="1:10" x14ac:dyDescent="0.25">
      <c r="B62" s="2"/>
      <c r="C62" s="2"/>
      <c r="D62" s="2"/>
      <c r="E62" s="2"/>
      <c r="F62" s="2"/>
      <c r="G62" s="2"/>
      <c r="H62" s="2"/>
      <c r="I62" s="2"/>
      <c r="J62" s="2"/>
    </row>
    <row r="63" spans="1:10" ht="13.8" x14ac:dyDescent="0.3">
      <c r="A63" s="282" t="s">
        <v>741</v>
      </c>
      <c r="B63" s="2"/>
      <c r="C63" s="2"/>
      <c r="D63" s="2"/>
      <c r="E63" s="2">
        <v>228.48</v>
      </c>
      <c r="F63" s="2">
        <v>300</v>
      </c>
      <c r="G63" s="2">
        <v>310</v>
      </c>
      <c r="H63" s="2">
        <v>310</v>
      </c>
      <c r="I63" s="2">
        <v>310</v>
      </c>
      <c r="J63" s="2">
        <v>310</v>
      </c>
    </row>
    <row r="64" spans="1:10" x14ac:dyDescent="0.25">
      <c r="A64" s="280" t="s">
        <v>742</v>
      </c>
      <c r="B64" s="2">
        <v>120</v>
      </c>
      <c r="C64" s="12">
        <v>2.58</v>
      </c>
      <c r="D64" s="2">
        <f>+B64*C64</f>
        <v>309.60000000000002</v>
      </c>
      <c r="I64" s="295"/>
      <c r="J64" s="298"/>
    </row>
    <row r="65" spans="1:10" x14ac:dyDescent="0.25">
      <c r="C65" s="2"/>
      <c r="D65" s="2"/>
      <c r="E65" s="2"/>
      <c r="F65" s="2"/>
      <c r="G65" s="2"/>
      <c r="H65" s="2"/>
      <c r="I65" s="2"/>
      <c r="J65" s="2"/>
    </row>
    <row r="66" spans="1:10" ht="13.8" x14ac:dyDescent="0.3">
      <c r="A66" s="282" t="s">
        <v>743</v>
      </c>
      <c r="C66" s="2"/>
      <c r="D66" s="2"/>
      <c r="E66" s="2">
        <v>1449.49</v>
      </c>
      <c r="F66" s="2">
        <v>1250</v>
      </c>
      <c r="G66" s="2">
        <v>1050</v>
      </c>
      <c r="H66" s="2">
        <v>1050</v>
      </c>
      <c r="I66" s="2">
        <v>1050</v>
      </c>
      <c r="J66" s="2">
        <v>1050</v>
      </c>
    </row>
    <row r="67" spans="1:10" x14ac:dyDescent="0.25">
      <c r="A67" s="280" t="s">
        <v>959</v>
      </c>
      <c r="C67" s="2"/>
      <c r="D67" s="2">
        <v>1050</v>
      </c>
      <c r="E67" s="2"/>
      <c r="F67" s="2"/>
      <c r="G67" s="2"/>
      <c r="H67" s="2"/>
      <c r="I67" s="2"/>
      <c r="J67" s="2"/>
    </row>
    <row r="68" spans="1:10" ht="15" x14ac:dyDescent="0.4">
      <c r="A68" s="280" t="s">
        <v>214</v>
      </c>
      <c r="C68" s="11"/>
      <c r="D68" s="11">
        <v>0</v>
      </c>
      <c r="E68" s="11"/>
      <c r="F68" s="11"/>
      <c r="G68" s="11"/>
      <c r="H68" s="11"/>
      <c r="I68" s="11"/>
      <c r="J68" s="11"/>
    </row>
    <row r="69" spans="1:10" x14ac:dyDescent="0.25">
      <c r="A69" s="280" t="s">
        <v>1247</v>
      </c>
      <c r="B69" s="2"/>
      <c r="C69" s="2"/>
      <c r="D69" s="2">
        <f>SUM(D67:D68)</f>
        <v>1050</v>
      </c>
      <c r="E69" s="2"/>
      <c r="F69" s="2"/>
      <c r="G69" s="2"/>
      <c r="H69" s="2"/>
      <c r="I69" s="2"/>
      <c r="J69" s="2"/>
    </row>
    <row r="70" spans="1:10" x14ac:dyDescent="0.25">
      <c r="C70" s="2"/>
      <c r="D70" s="2"/>
      <c r="E70" s="2"/>
      <c r="F70" s="2"/>
      <c r="G70" s="2"/>
      <c r="H70" s="2"/>
      <c r="I70" s="2"/>
      <c r="J70" s="2"/>
    </row>
    <row r="71" spans="1:10" ht="13.8" x14ac:dyDescent="0.3">
      <c r="A71" s="282" t="s">
        <v>982</v>
      </c>
      <c r="C71" s="8"/>
      <c r="D71" s="8" t="s">
        <v>396</v>
      </c>
      <c r="E71" s="2">
        <v>50</v>
      </c>
      <c r="F71" s="2">
        <v>200</v>
      </c>
      <c r="G71" s="2">
        <v>200</v>
      </c>
      <c r="H71" s="2">
        <v>200</v>
      </c>
      <c r="I71" s="2">
        <v>200</v>
      </c>
      <c r="J71" s="2">
        <v>200</v>
      </c>
    </row>
    <row r="72" spans="1:10" x14ac:dyDescent="0.25">
      <c r="A72" s="280" t="s">
        <v>983</v>
      </c>
      <c r="B72" s="2"/>
      <c r="C72" s="2"/>
      <c r="D72" s="2">
        <v>140</v>
      </c>
      <c r="E72" s="2"/>
      <c r="F72" s="2"/>
      <c r="G72" s="2"/>
      <c r="H72" s="2"/>
      <c r="I72" s="2"/>
      <c r="J72" s="2"/>
    </row>
    <row r="73" spans="1:10" ht="15" x14ac:dyDescent="0.4">
      <c r="A73" s="280" t="s">
        <v>1202</v>
      </c>
      <c r="C73" s="11"/>
      <c r="D73" s="11">
        <v>60</v>
      </c>
      <c r="E73" s="11"/>
      <c r="F73" s="11"/>
      <c r="G73" s="11"/>
      <c r="H73" s="11"/>
      <c r="I73" s="11"/>
      <c r="J73" s="11"/>
    </row>
    <row r="74" spans="1:10" x14ac:dyDescent="0.25">
      <c r="A74" s="280" t="s">
        <v>1247</v>
      </c>
      <c r="C74" s="2"/>
      <c r="D74" s="2">
        <f>SUM(D72:D73)</f>
        <v>200</v>
      </c>
      <c r="E74" s="2"/>
      <c r="F74" s="2"/>
      <c r="G74" s="2"/>
      <c r="H74" s="2"/>
      <c r="I74" s="2"/>
      <c r="J74" s="2"/>
    </row>
    <row r="75" spans="1:10" x14ac:dyDescent="0.25">
      <c r="C75" s="2"/>
      <c r="D75" s="2"/>
      <c r="E75" s="2"/>
      <c r="F75" s="2"/>
      <c r="G75" s="2"/>
      <c r="H75" s="2"/>
      <c r="I75" s="2"/>
      <c r="J75" s="2"/>
    </row>
    <row r="76" spans="1:10" ht="13.8" x14ac:dyDescent="0.3">
      <c r="A76" s="17" t="s">
        <v>984</v>
      </c>
      <c r="C76" s="2"/>
      <c r="D76" s="2"/>
      <c r="E76" s="2">
        <v>2676.5</v>
      </c>
      <c r="F76" s="2">
        <v>2079</v>
      </c>
      <c r="G76" s="2">
        <v>1983</v>
      </c>
      <c r="H76" s="2">
        <v>1983</v>
      </c>
      <c r="I76" s="2">
        <v>1983</v>
      </c>
      <c r="J76" s="2">
        <v>1983</v>
      </c>
    </row>
    <row r="77" spans="1:10" x14ac:dyDescent="0.25">
      <c r="A77" s="280" t="s">
        <v>744</v>
      </c>
      <c r="C77" s="2"/>
      <c r="D77" s="2">
        <v>1983</v>
      </c>
      <c r="E77" s="2"/>
      <c r="F77" s="2"/>
      <c r="G77" s="2"/>
      <c r="H77" s="2"/>
      <c r="I77" s="2"/>
      <c r="J77" s="2"/>
    </row>
    <row r="78" spans="1:10" x14ac:dyDescent="0.25">
      <c r="C78" s="2"/>
      <c r="D78" s="2"/>
      <c r="E78" s="2"/>
      <c r="F78" s="2"/>
      <c r="G78" s="2"/>
      <c r="H78" s="2"/>
      <c r="I78" s="2"/>
      <c r="J78" s="2"/>
    </row>
    <row r="79" spans="1:10" ht="13.8" x14ac:dyDescent="0.3">
      <c r="A79" s="282" t="s">
        <v>587</v>
      </c>
      <c r="C79" s="2"/>
      <c r="D79" s="2"/>
      <c r="E79" s="2">
        <v>60.26</v>
      </c>
      <c r="F79" s="2">
        <v>150</v>
      </c>
      <c r="G79" s="2">
        <v>150</v>
      </c>
      <c r="H79" s="2">
        <v>150</v>
      </c>
      <c r="I79" s="2">
        <v>150</v>
      </c>
      <c r="J79" s="2">
        <v>150</v>
      </c>
    </row>
    <row r="80" spans="1:10" x14ac:dyDescent="0.25">
      <c r="A80" s="280" t="s">
        <v>1606</v>
      </c>
      <c r="C80" s="2"/>
      <c r="D80" s="2" t="s">
        <v>396</v>
      </c>
      <c r="E80" s="2"/>
      <c r="F80" s="2"/>
      <c r="G80" s="2"/>
      <c r="H80" s="2"/>
      <c r="I80" s="2"/>
      <c r="J80" s="2"/>
    </row>
    <row r="81" spans="1:10" x14ac:dyDescent="0.25">
      <c r="A81" s="280" t="s">
        <v>1427</v>
      </c>
      <c r="C81" s="2"/>
      <c r="D81" s="2">
        <v>150</v>
      </c>
      <c r="E81" s="2"/>
      <c r="F81" s="2"/>
      <c r="G81" s="2"/>
      <c r="H81" s="2"/>
      <c r="I81" s="2"/>
      <c r="J81" s="2"/>
    </row>
    <row r="82" spans="1:10" x14ac:dyDescent="0.25">
      <c r="C82" s="2"/>
      <c r="D82" s="2"/>
      <c r="E82" s="2"/>
      <c r="F82" s="2"/>
      <c r="G82" s="2"/>
      <c r="H82" s="2"/>
      <c r="I82" s="2"/>
      <c r="J82" s="2"/>
    </row>
    <row r="83" spans="1:10" ht="13.8" x14ac:dyDescent="0.3">
      <c r="A83" s="282" t="s">
        <v>1464</v>
      </c>
      <c r="C83" s="2"/>
      <c r="D83" s="2"/>
      <c r="E83" s="2">
        <v>565.94000000000005</v>
      </c>
      <c r="F83" s="2">
        <v>120</v>
      </c>
      <c r="G83" s="2">
        <v>320</v>
      </c>
      <c r="H83" s="2">
        <v>320</v>
      </c>
      <c r="I83" s="2">
        <v>320</v>
      </c>
      <c r="J83" s="2">
        <v>320</v>
      </c>
    </row>
    <row r="84" spans="1:10" x14ac:dyDescent="0.25">
      <c r="A84" s="280" t="s">
        <v>754</v>
      </c>
      <c r="C84" s="2"/>
      <c r="D84" s="2">
        <v>320</v>
      </c>
      <c r="E84" s="2"/>
      <c r="F84" s="2"/>
      <c r="G84" s="2"/>
      <c r="H84" s="2"/>
      <c r="I84" s="2"/>
      <c r="J84" s="2"/>
    </row>
    <row r="85" spans="1:10" x14ac:dyDescent="0.25">
      <c r="C85" s="2"/>
      <c r="D85" s="2"/>
      <c r="E85" s="2"/>
      <c r="F85" s="2"/>
      <c r="G85" s="2"/>
      <c r="H85" s="2"/>
      <c r="I85" s="2"/>
      <c r="J85" s="2"/>
    </row>
    <row r="86" spans="1:10" ht="15" x14ac:dyDescent="0.4">
      <c r="A86" s="282" t="s">
        <v>857</v>
      </c>
      <c r="B86" s="281" t="s">
        <v>1794</v>
      </c>
      <c r="C86" s="281" t="s">
        <v>1970</v>
      </c>
      <c r="D86" s="281" t="s">
        <v>2129</v>
      </c>
      <c r="E86" s="2">
        <v>10823.04</v>
      </c>
      <c r="F86" s="2">
        <v>12000</v>
      </c>
      <c r="G86" s="2">
        <v>11391</v>
      </c>
      <c r="H86" s="2">
        <v>11391</v>
      </c>
      <c r="I86" s="2">
        <v>11391</v>
      </c>
      <c r="J86" s="2">
        <v>11391</v>
      </c>
    </row>
    <row r="87" spans="1:10" x14ac:dyDescent="0.25">
      <c r="A87" s="280" t="s">
        <v>1142</v>
      </c>
      <c r="B87" s="2">
        <v>300</v>
      </c>
      <c r="C87" s="2">
        <v>300</v>
      </c>
      <c r="D87" s="2">
        <v>300</v>
      </c>
      <c r="E87" s="2"/>
      <c r="F87" s="2"/>
      <c r="G87" s="2"/>
      <c r="H87" s="2"/>
      <c r="I87" s="2"/>
      <c r="J87" s="2"/>
    </row>
    <row r="88" spans="1:10" x14ac:dyDescent="0.25">
      <c r="A88" s="280" t="s">
        <v>858</v>
      </c>
      <c r="B88" s="2">
        <v>284</v>
      </c>
      <c r="C88" s="2">
        <v>284</v>
      </c>
      <c r="D88" s="2">
        <v>110</v>
      </c>
      <c r="E88" s="2"/>
      <c r="F88" s="2"/>
      <c r="G88" s="2"/>
      <c r="H88" s="2"/>
      <c r="I88" s="2"/>
      <c r="J88" s="2"/>
    </row>
    <row r="89" spans="1:10" x14ac:dyDescent="0.25">
      <c r="A89" s="280" t="s">
        <v>1203</v>
      </c>
      <c r="B89" s="2">
        <f>1296+10120</f>
        <v>11416</v>
      </c>
      <c r="C89" s="2">
        <f>1296+10120</f>
        <v>11416</v>
      </c>
      <c r="D89" s="2">
        <v>10981</v>
      </c>
      <c r="E89" s="2"/>
      <c r="F89" s="2"/>
      <c r="G89" s="2"/>
      <c r="H89" s="2"/>
      <c r="I89" s="2"/>
      <c r="J89" s="2"/>
    </row>
    <row r="90" spans="1:10" ht="15" x14ac:dyDescent="0.4">
      <c r="A90" s="280" t="s">
        <v>859</v>
      </c>
      <c r="B90" s="11">
        <v>0</v>
      </c>
      <c r="C90" s="11">
        <v>0</v>
      </c>
      <c r="D90" s="11">
        <v>0</v>
      </c>
      <c r="E90" s="2"/>
      <c r="F90" s="11"/>
      <c r="G90" s="11"/>
      <c r="H90" s="11"/>
      <c r="I90" s="11"/>
      <c r="J90" s="11"/>
    </row>
    <row r="91" spans="1:10" x14ac:dyDescent="0.25">
      <c r="A91" s="280" t="s">
        <v>1247</v>
      </c>
      <c r="B91" s="2">
        <f>SUM(B87:B90)</f>
        <v>12000</v>
      </c>
      <c r="C91" s="2">
        <f>SUM(C87:C90)</f>
        <v>12000</v>
      </c>
      <c r="D91" s="2">
        <f>SUM(D87:D90)</f>
        <v>11391</v>
      </c>
      <c r="E91" s="2"/>
      <c r="F91" s="2"/>
      <c r="G91" s="2"/>
      <c r="H91" s="2"/>
      <c r="I91" s="2"/>
      <c r="J91" s="2"/>
    </row>
    <row r="92" spans="1:10" x14ac:dyDescent="0.25">
      <c r="C92" s="2"/>
      <c r="D92" s="2"/>
      <c r="E92" s="2"/>
      <c r="I92" s="295"/>
      <c r="J92" s="298"/>
    </row>
    <row r="93" spans="1:10" ht="13.8" x14ac:dyDescent="0.3">
      <c r="A93" s="282" t="s">
        <v>860</v>
      </c>
      <c r="C93" s="8"/>
      <c r="D93" s="8" t="s">
        <v>396</v>
      </c>
      <c r="E93" s="2">
        <v>225</v>
      </c>
      <c r="F93" s="2">
        <v>1500</v>
      </c>
      <c r="G93" s="2">
        <v>1325</v>
      </c>
      <c r="H93" s="2">
        <v>1325</v>
      </c>
      <c r="I93" s="2">
        <v>1325</v>
      </c>
      <c r="J93" s="2">
        <v>1325</v>
      </c>
    </row>
    <row r="94" spans="1:10" x14ac:dyDescent="0.25">
      <c r="A94" s="280" t="s">
        <v>861</v>
      </c>
      <c r="C94" s="2"/>
      <c r="D94" s="2">
        <v>0</v>
      </c>
      <c r="I94" s="295"/>
      <c r="J94" s="298"/>
    </row>
    <row r="95" spans="1:10" x14ac:dyDescent="0.25">
      <c r="A95" s="280" t="s">
        <v>1603</v>
      </c>
      <c r="C95" s="2"/>
      <c r="D95" s="2">
        <v>175</v>
      </c>
      <c r="I95" s="295"/>
      <c r="J95" s="298"/>
    </row>
    <row r="96" spans="1:10" x14ac:dyDescent="0.25">
      <c r="A96" s="280" t="s">
        <v>1530</v>
      </c>
      <c r="C96" s="2"/>
      <c r="D96" s="2">
        <v>200</v>
      </c>
      <c r="I96" s="295"/>
      <c r="J96" s="298"/>
    </row>
    <row r="97" spans="1:10" ht="15" x14ac:dyDescent="0.4">
      <c r="A97" s="280" t="s">
        <v>1188</v>
      </c>
      <c r="C97" s="2"/>
      <c r="D97" s="11">
        <v>950</v>
      </c>
      <c r="I97" s="295"/>
      <c r="J97" s="298"/>
    </row>
    <row r="98" spans="1:10" x14ac:dyDescent="0.25">
      <c r="A98" s="280" t="s">
        <v>1247</v>
      </c>
      <c r="C98" s="2"/>
      <c r="D98" s="2">
        <f>SUM(D94:D97)</f>
        <v>1325</v>
      </c>
      <c r="F98" s="2"/>
      <c r="G98" s="2"/>
      <c r="H98" s="2"/>
      <c r="I98" s="2"/>
      <c r="J98" s="2"/>
    </row>
    <row r="99" spans="1:10" x14ac:dyDescent="0.25">
      <c r="C99" s="2"/>
      <c r="D99" s="2"/>
      <c r="E99" s="2"/>
      <c r="I99" s="295"/>
      <c r="J99" s="298"/>
    </row>
    <row r="100" spans="1:10" ht="13.8" x14ac:dyDescent="0.3">
      <c r="A100" s="282" t="s">
        <v>355</v>
      </c>
      <c r="C100" s="8"/>
      <c r="D100" s="8"/>
      <c r="E100" s="2">
        <v>33996</v>
      </c>
      <c r="F100" s="2">
        <v>36000</v>
      </c>
      <c r="G100" s="280">
        <v>39500</v>
      </c>
      <c r="H100" s="280">
        <v>39500</v>
      </c>
      <c r="I100" s="295">
        <v>39500</v>
      </c>
      <c r="J100" s="298">
        <v>39500</v>
      </c>
    </row>
    <row r="101" spans="1:10" x14ac:dyDescent="0.25">
      <c r="A101" s="280" t="s">
        <v>356</v>
      </c>
      <c r="C101" s="2"/>
      <c r="D101" s="2">
        <v>3500</v>
      </c>
      <c r="E101" s="3"/>
      <c r="F101" s="3"/>
      <c r="G101" s="2"/>
      <c r="H101" s="2"/>
      <c r="I101" s="2"/>
      <c r="J101" s="2"/>
    </row>
    <row r="102" spans="1:10" ht="15" x14ac:dyDescent="0.4">
      <c r="A102" s="280" t="s">
        <v>357</v>
      </c>
      <c r="C102" s="11"/>
      <c r="D102" s="11">
        <v>36000</v>
      </c>
      <c r="E102" s="2"/>
      <c r="F102" s="2"/>
      <c r="G102" s="2"/>
      <c r="H102" s="2"/>
      <c r="I102" s="2"/>
      <c r="J102" s="2"/>
    </row>
    <row r="103" spans="1:10" x14ac:dyDescent="0.25">
      <c r="A103" s="280" t="s">
        <v>1247</v>
      </c>
      <c r="C103" s="2"/>
      <c r="D103" s="2">
        <f>SUM(D101:D102)</f>
        <v>39500</v>
      </c>
      <c r="E103" s="2"/>
      <c r="F103" s="2"/>
      <c r="G103" s="2"/>
      <c r="H103" s="2"/>
      <c r="I103" s="2"/>
      <c r="J103" s="2"/>
    </row>
    <row r="104" spans="1:10" x14ac:dyDescent="0.25">
      <c r="C104" s="2"/>
      <c r="D104" s="2"/>
      <c r="E104" s="2"/>
      <c r="F104" s="2"/>
      <c r="G104" s="2"/>
      <c r="H104" s="2"/>
      <c r="I104" s="2"/>
      <c r="J104" s="2"/>
    </row>
    <row r="105" spans="1:10" ht="13.8" x14ac:dyDescent="0.3">
      <c r="A105" s="282" t="s">
        <v>1175</v>
      </c>
      <c r="C105" s="2"/>
      <c r="D105" s="2"/>
      <c r="E105" s="2"/>
      <c r="F105" s="2"/>
      <c r="G105" s="2"/>
      <c r="H105" s="2"/>
      <c r="I105" s="2"/>
      <c r="J105" s="2"/>
    </row>
    <row r="106" spans="1:10" x14ac:dyDescent="0.25">
      <c r="A106" s="280" t="s">
        <v>218</v>
      </c>
      <c r="C106" s="2"/>
      <c r="D106" s="2">
        <v>0</v>
      </c>
      <c r="E106" s="2"/>
      <c r="F106" s="2"/>
      <c r="G106" s="2"/>
      <c r="H106" s="2"/>
      <c r="I106" s="2"/>
      <c r="J106" s="2"/>
    </row>
    <row r="107" spans="1:10" x14ac:dyDescent="0.25">
      <c r="C107" s="2"/>
      <c r="D107" s="2"/>
      <c r="E107" s="2"/>
      <c r="F107" s="2"/>
      <c r="G107" s="2"/>
      <c r="H107" s="2"/>
      <c r="I107" s="2"/>
      <c r="J107" s="2"/>
    </row>
    <row r="108" spans="1:10" ht="13.8" x14ac:dyDescent="0.3">
      <c r="A108" s="282" t="s">
        <v>1176</v>
      </c>
      <c r="C108" s="2"/>
      <c r="D108" s="2"/>
      <c r="E108" s="2">
        <v>234.99</v>
      </c>
      <c r="F108" s="2">
        <v>1000</v>
      </c>
      <c r="G108" s="2">
        <v>1000</v>
      </c>
      <c r="H108" s="2">
        <v>1000</v>
      </c>
      <c r="I108" s="2">
        <v>1000</v>
      </c>
      <c r="J108" s="2">
        <v>1000</v>
      </c>
    </row>
    <row r="109" spans="1:10" x14ac:dyDescent="0.25">
      <c r="A109" s="6" t="s">
        <v>1272</v>
      </c>
      <c r="C109" s="2"/>
      <c r="D109" s="2">
        <v>1000</v>
      </c>
      <c r="I109" s="295"/>
      <c r="J109" s="298"/>
    </row>
    <row r="110" spans="1:10" x14ac:dyDescent="0.25">
      <c r="A110" s="6"/>
      <c r="C110" s="2"/>
      <c r="D110" s="2"/>
      <c r="I110" s="295"/>
      <c r="J110" s="298"/>
    </row>
    <row r="111" spans="1:10" ht="13.8" x14ac:dyDescent="0.3">
      <c r="A111" s="54" t="s">
        <v>1204</v>
      </c>
      <c r="B111" s="54"/>
      <c r="C111" s="19"/>
      <c r="D111" s="19"/>
      <c r="E111" s="8">
        <v>15000</v>
      </c>
      <c r="F111" s="2">
        <v>15000</v>
      </c>
      <c r="G111" s="2">
        <v>15000</v>
      </c>
      <c r="H111" s="2">
        <v>15000</v>
      </c>
      <c r="I111" s="2">
        <v>15000</v>
      </c>
      <c r="J111" s="2">
        <v>15000</v>
      </c>
    </row>
    <row r="112" spans="1:10" x14ac:dyDescent="0.25">
      <c r="A112" s="6" t="s">
        <v>115</v>
      </c>
      <c r="C112" s="2"/>
      <c r="D112" s="2"/>
      <c r="I112" s="295"/>
      <c r="J112" s="298"/>
    </row>
    <row r="113" spans="1:10" x14ac:dyDescent="0.25">
      <c r="A113" s="6"/>
      <c r="C113" s="2"/>
      <c r="D113" s="2"/>
      <c r="I113" s="295"/>
      <c r="J113" s="298"/>
    </row>
    <row r="114" spans="1:10" ht="15" x14ac:dyDescent="0.4">
      <c r="A114" s="54" t="s">
        <v>1789</v>
      </c>
      <c r="B114" s="2"/>
      <c r="C114" s="2"/>
      <c r="D114" s="2"/>
      <c r="E114" s="31">
        <v>0</v>
      </c>
      <c r="F114" s="11">
        <v>0</v>
      </c>
      <c r="G114" s="11">
        <v>0</v>
      </c>
      <c r="H114" s="11">
        <v>0</v>
      </c>
      <c r="I114" s="11">
        <v>0</v>
      </c>
      <c r="J114" s="11">
        <v>0</v>
      </c>
    </row>
    <row r="115" spans="1:10" x14ac:dyDescent="0.25">
      <c r="A115" s="6" t="s">
        <v>1790</v>
      </c>
      <c r="C115" s="2"/>
      <c r="D115" s="2">
        <v>0</v>
      </c>
      <c r="I115" s="295"/>
      <c r="J115" s="298"/>
    </row>
    <row r="116" spans="1:10" x14ac:dyDescent="0.25">
      <c r="D116" s="2"/>
      <c r="E116" s="2"/>
      <c r="F116" s="2"/>
      <c r="G116" s="2"/>
      <c r="H116" s="2"/>
      <c r="I116" s="2"/>
      <c r="J116" s="2"/>
    </row>
    <row r="117" spans="1:10" x14ac:dyDescent="0.25">
      <c r="A117" s="280" t="s">
        <v>1332</v>
      </c>
      <c r="D117" s="2"/>
      <c r="E117" s="2">
        <f t="shared" ref="E117:J117" si="0">SUM(E6:E114)</f>
        <v>308216.79000000004</v>
      </c>
      <c r="F117" s="2">
        <f t="shared" si="0"/>
        <v>327876</v>
      </c>
      <c r="G117" s="2">
        <f t="shared" si="0"/>
        <v>331383</v>
      </c>
      <c r="H117" s="2">
        <f t="shared" si="0"/>
        <v>332359</v>
      </c>
      <c r="I117" s="2">
        <f t="shared" si="0"/>
        <v>338207</v>
      </c>
      <c r="J117" s="2">
        <f t="shared" si="0"/>
        <v>338207</v>
      </c>
    </row>
    <row r="118" spans="1:10" x14ac:dyDescent="0.25">
      <c r="I118" s="295"/>
      <c r="J118" s="298"/>
    </row>
    <row r="119" spans="1:10" x14ac:dyDescent="0.25">
      <c r="A119" s="280" t="s">
        <v>594</v>
      </c>
      <c r="E119" s="2">
        <f t="shared" ref="E119:J119" si="1">SUM(E6:E47)</f>
        <v>240760.89</v>
      </c>
      <c r="F119" s="2">
        <f t="shared" si="1"/>
        <v>255402</v>
      </c>
      <c r="G119" s="2">
        <f t="shared" si="1"/>
        <v>256204</v>
      </c>
      <c r="H119" s="2">
        <f t="shared" si="1"/>
        <v>257180</v>
      </c>
      <c r="I119" s="2">
        <f t="shared" si="1"/>
        <v>263028</v>
      </c>
      <c r="J119" s="2">
        <f t="shared" si="1"/>
        <v>263028</v>
      </c>
    </row>
    <row r="120" spans="1:10" x14ac:dyDescent="0.25">
      <c r="A120" s="280" t="s">
        <v>957</v>
      </c>
      <c r="E120" s="2">
        <f t="shared" ref="E120:J120" si="2">SUM(E49:E107)</f>
        <v>52220.91</v>
      </c>
      <c r="F120" s="2">
        <f t="shared" si="2"/>
        <v>56474</v>
      </c>
      <c r="G120" s="2">
        <f t="shared" si="2"/>
        <v>59179</v>
      </c>
      <c r="H120" s="2">
        <f t="shared" si="2"/>
        <v>59179</v>
      </c>
      <c r="I120" s="2">
        <f t="shared" si="2"/>
        <v>59179</v>
      </c>
      <c r="J120" s="2">
        <f t="shared" si="2"/>
        <v>59179</v>
      </c>
    </row>
    <row r="121" spans="1:10" ht="15" x14ac:dyDescent="0.4">
      <c r="A121" s="280" t="s">
        <v>958</v>
      </c>
      <c r="E121" s="11">
        <f t="shared" ref="E121:J121" si="3">SUM(E108:E114)</f>
        <v>15234.99</v>
      </c>
      <c r="F121" s="11">
        <f t="shared" si="3"/>
        <v>16000</v>
      </c>
      <c r="G121" s="11">
        <f t="shared" si="3"/>
        <v>16000</v>
      </c>
      <c r="H121" s="11">
        <f t="shared" si="3"/>
        <v>16000</v>
      </c>
      <c r="I121" s="11">
        <f t="shared" si="3"/>
        <v>16000</v>
      </c>
      <c r="J121" s="11">
        <f t="shared" si="3"/>
        <v>16000</v>
      </c>
    </row>
    <row r="122" spans="1:10" x14ac:dyDescent="0.25">
      <c r="A122" s="280" t="s">
        <v>1247</v>
      </c>
      <c r="E122" s="2">
        <f t="shared" ref="E122:J122" si="4">SUM(E119:E121)</f>
        <v>308216.79000000004</v>
      </c>
      <c r="F122" s="2">
        <f t="shared" si="4"/>
        <v>327876</v>
      </c>
      <c r="G122" s="2">
        <f t="shared" si="4"/>
        <v>331383</v>
      </c>
      <c r="H122" s="2">
        <f t="shared" si="4"/>
        <v>332359</v>
      </c>
      <c r="I122" s="2">
        <f t="shared" si="4"/>
        <v>338207</v>
      </c>
      <c r="J122" s="2">
        <f t="shared" si="4"/>
        <v>338207</v>
      </c>
    </row>
    <row r="123" spans="1:10" x14ac:dyDescent="0.25">
      <c r="I123" s="295"/>
      <c r="J123" s="298"/>
    </row>
    <row r="124" spans="1:10" x14ac:dyDescent="0.25">
      <c r="I124" s="295"/>
      <c r="J124" s="298"/>
    </row>
    <row r="125" spans="1:10" x14ac:dyDescent="0.25">
      <c r="I125" s="2">
        <f>+I122-H122</f>
        <v>5848</v>
      </c>
      <c r="J125" s="2">
        <f>+J122-I122</f>
        <v>0</v>
      </c>
    </row>
    <row r="126" spans="1:10" x14ac:dyDescent="0.25">
      <c r="I126" s="295">
        <v>5798</v>
      </c>
      <c r="J126" s="298">
        <v>5798</v>
      </c>
    </row>
    <row r="127" spans="1:10" x14ac:dyDescent="0.25">
      <c r="I127" s="2">
        <f>+I125-I126</f>
        <v>50</v>
      </c>
      <c r="J127" s="2">
        <f>+J125-J126</f>
        <v>-5798</v>
      </c>
    </row>
    <row r="128" spans="1:10" x14ac:dyDescent="0.25">
      <c r="I128" s="295"/>
      <c r="J128" s="298"/>
    </row>
    <row r="129" spans="9:10" x14ac:dyDescent="0.25">
      <c r="I129" s="295"/>
      <c r="J129" s="298"/>
    </row>
    <row r="130" spans="9:10" x14ac:dyDescent="0.25">
      <c r="I130" s="295"/>
      <c r="J130" s="298"/>
    </row>
    <row r="131" spans="9:10" x14ac:dyDescent="0.25">
      <c r="I131" s="295"/>
      <c r="J131" s="298"/>
    </row>
    <row r="132" spans="9:10" x14ac:dyDescent="0.25">
      <c r="I132" s="295"/>
      <c r="J132" s="298"/>
    </row>
    <row r="133" spans="9:10" x14ac:dyDescent="0.25">
      <c r="I133" s="295"/>
      <c r="J133" s="298"/>
    </row>
    <row r="134" spans="9:10" x14ac:dyDescent="0.25">
      <c r="I134" s="295"/>
      <c r="J134" s="298"/>
    </row>
    <row r="135" spans="9:10" x14ac:dyDescent="0.25">
      <c r="I135" s="295"/>
      <c r="J135" s="298"/>
    </row>
    <row r="136" spans="9:10" x14ac:dyDescent="0.25">
      <c r="I136" s="295"/>
      <c r="J136" s="298"/>
    </row>
    <row r="137" spans="9:10" x14ac:dyDescent="0.25">
      <c r="I137" s="295"/>
      <c r="J137" s="298"/>
    </row>
    <row r="138" spans="9:10" x14ac:dyDescent="0.25">
      <c r="I138" s="295"/>
      <c r="J138" s="298"/>
    </row>
    <row r="139" spans="9:10" x14ac:dyDescent="0.25">
      <c r="I139" s="295"/>
      <c r="J139" s="298"/>
    </row>
    <row r="140" spans="9:10" x14ac:dyDescent="0.25">
      <c r="I140" s="295"/>
      <c r="J140" s="298"/>
    </row>
    <row r="141" spans="9:10" x14ac:dyDescent="0.25">
      <c r="I141" s="295"/>
      <c r="J141" s="298"/>
    </row>
    <row r="142" spans="9:10" x14ac:dyDescent="0.25">
      <c r="I142" s="295"/>
      <c r="J142" s="298"/>
    </row>
    <row r="143" spans="9:10" x14ac:dyDescent="0.25">
      <c r="I143" s="295"/>
      <c r="J143" s="298"/>
    </row>
    <row r="144" spans="9:10" x14ac:dyDescent="0.25">
      <c r="I144" s="295"/>
      <c r="J144" s="298"/>
    </row>
    <row r="145" spans="9:10" x14ac:dyDescent="0.25">
      <c r="I145" s="295"/>
      <c r="J145" s="298"/>
    </row>
    <row r="146" spans="9:10" x14ac:dyDescent="0.25">
      <c r="I146" s="295"/>
      <c r="J146" s="298"/>
    </row>
    <row r="147" spans="9:10" x14ac:dyDescent="0.25">
      <c r="I147" s="295"/>
      <c r="J147" s="298"/>
    </row>
    <row r="148" spans="9:10" x14ac:dyDescent="0.25">
      <c r="I148" s="295"/>
      <c r="J148" s="298"/>
    </row>
    <row r="149" spans="9:10" x14ac:dyDescent="0.25">
      <c r="I149" s="295"/>
      <c r="J149" s="298"/>
    </row>
    <row r="150" spans="9:10" x14ac:dyDescent="0.25">
      <c r="I150" s="295"/>
      <c r="J150" s="298"/>
    </row>
    <row r="151" spans="9:10" x14ac:dyDescent="0.25">
      <c r="I151" s="295"/>
      <c r="J151" s="298"/>
    </row>
    <row r="152" spans="9:10" x14ac:dyDescent="0.25">
      <c r="I152" s="295"/>
      <c r="J152" s="298"/>
    </row>
    <row r="153" spans="9:10" x14ac:dyDescent="0.25">
      <c r="I153" s="295"/>
      <c r="J153" s="298"/>
    </row>
    <row r="154" spans="9:10" x14ac:dyDescent="0.25">
      <c r="I154" s="295"/>
      <c r="J154" s="298"/>
    </row>
    <row r="155" spans="9:10" x14ac:dyDescent="0.25">
      <c r="I155" s="295"/>
      <c r="J155" s="298"/>
    </row>
    <row r="156" spans="9:10" x14ac:dyDescent="0.25">
      <c r="I156" s="295"/>
      <c r="J156" s="298"/>
    </row>
    <row r="157" spans="9:10" x14ac:dyDescent="0.25">
      <c r="I157" s="295"/>
      <c r="J157" s="298"/>
    </row>
    <row r="158" spans="9:10" x14ac:dyDescent="0.25">
      <c r="I158" s="295"/>
      <c r="J158" s="298"/>
    </row>
    <row r="159" spans="9:10" x14ac:dyDescent="0.25">
      <c r="I159" s="295"/>
      <c r="J159" s="298"/>
    </row>
    <row r="160" spans="9:10" x14ac:dyDescent="0.25">
      <c r="I160" s="295"/>
      <c r="J160" s="298"/>
    </row>
    <row r="161" spans="9:10" x14ac:dyDescent="0.25">
      <c r="I161" s="295"/>
      <c r="J161" s="298"/>
    </row>
    <row r="162" spans="9:10" x14ac:dyDescent="0.25">
      <c r="I162" s="295"/>
      <c r="J162" s="298"/>
    </row>
    <row r="163" spans="9:10" x14ac:dyDescent="0.25">
      <c r="J163" s="298"/>
    </row>
    <row r="164" spans="9:10" x14ac:dyDescent="0.25">
      <c r="J164" s="298"/>
    </row>
    <row r="165" spans="9:10" x14ac:dyDescent="0.25">
      <c r="J165" s="298"/>
    </row>
    <row r="166" spans="9:10" x14ac:dyDescent="0.25">
      <c r="J166" s="298"/>
    </row>
    <row r="167" spans="9:10" x14ac:dyDescent="0.25">
      <c r="J167" s="298"/>
    </row>
    <row r="168" spans="9:10" x14ac:dyDescent="0.25">
      <c r="J168" s="298"/>
    </row>
    <row r="169" spans="9:10" x14ac:dyDescent="0.25">
      <c r="J169" s="298"/>
    </row>
    <row r="170" spans="9:10" x14ac:dyDescent="0.25">
      <c r="J170" s="298"/>
    </row>
    <row r="171" spans="9:10" x14ac:dyDescent="0.25">
      <c r="J171" s="298"/>
    </row>
    <row r="172" spans="9:10" x14ac:dyDescent="0.25">
      <c r="J172" s="298"/>
    </row>
    <row r="173" spans="9:10" x14ac:dyDescent="0.25">
      <c r="J173" s="298"/>
    </row>
    <row r="174" spans="9:10" x14ac:dyDescent="0.25">
      <c r="J174" s="298"/>
    </row>
    <row r="175" spans="9:10" x14ac:dyDescent="0.25">
      <c r="J175" s="298"/>
    </row>
    <row r="176" spans="9:10" x14ac:dyDescent="0.25">
      <c r="J176" s="298"/>
    </row>
    <row r="177" spans="10:10" x14ac:dyDescent="0.25">
      <c r="J177" s="298"/>
    </row>
    <row r="178" spans="10:10" x14ac:dyDescent="0.25">
      <c r="J178" s="298"/>
    </row>
    <row r="179" spans="10:10" x14ac:dyDescent="0.25">
      <c r="J179" s="298"/>
    </row>
    <row r="180" spans="10:10" x14ac:dyDescent="0.25">
      <c r="J180" s="298"/>
    </row>
    <row r="181" spans="10:10" x14ac:dyDescent="0.25">
      <c r="J181" s="298"/>
    </row>
    <row r="182" spans="10:10" x14ac:dyDescent="0.25">
      <c r="J182" s="298"/>
    </row>
    <row r="183" spans="10:10" x14ac:dyDescent="0.25">
      <c r="J183" s="298"/>
    </row>
    <row r="184" spans="10:10" x14ac:dyDescent="0.25">
      <c r="J184" s="298"/>
    </row>
    <row r="185" spans="10:10" x14ac:dyDescent="0.25">
      <c r="J185" s="298"/>
    </row>
    <row r="186" spans="10:10" x14ac:dyDescent="0.25">
      <c r="J186" s="298"/>
    </row>
    <row r="187" spans="10:10" x14ac:dyDescent="0.25">
      <c r="J187" s="298"/>
    </row>
    <row r="188" spans="10:10" x14ac:dyDescent="0.25">
      <c r="J188" s="298"/>
    </row>
    <row r="189" spans="10:10" x14ac:dyDescent="0.25">
      <c r="J189" s="298"/>
    </row>
    <row r="190" spans="10:10" x14ac:dyDescent="0.25">
      <c r="J190" s="298"/>
    </row>
    <row r="191" spans="10:10" x14ac:dyDescent="0.25">
      <c r="J191" s="298"/>
    </row>
    <row r="192" spans="10:10" x14ac:dyDescent="0.25">
      <c r="J192" s="298"/>
    </row>
    <row r="193" spans="10:10" x14ac:dyDescent="0.25">
      <c r="J193" s="298"/>
    </row>
    <row r="194" spans="10:10" x14ac:dyDescent="0.25">
      <c r="J194" s="298"/>
    </row>
    <row r="195" spans="10:10" x14ac:dyDescent="0.25">
      <c r="J195" s="298"/>
    </row>
    <row r="196" spans="10:10" x14ac:dyDescent="0.25">
      <c r="J196" s="298"/>
    </row>
    <row r="197" spans="10:10" x14ac:dyDescent="0.25">
      <c r="J197" s="298"/>
    </row>
    <row r="198" spans="10:10" x14ac:dyDescent="0.25">
      <c r="J198" s="298"/>
    </row>
    <row r="199" spans="10:10" x14ac:dyDescent="0.25">
      <c r="J199" s="298"/>
    </row>
    <row r="200" spans="10:10" x14ac:dyDescent="0.25">
      <c r="J200" s="298"/>
    </row>
    <row r="201" spans="10:10" x14ac:dyDescent="0.25">
      <c r="J201" s="298"/>
    </row>
    <row r="202" spans="10:10" x14ac:dyDescent="0.25">
      <c r="J202" s="298"/>
    </row>
  </sheetData>
  <mergeCells count="1">
    <mergeCell ref="A1:J1"/>
  </mergeCells>
  <phoneticPr fontId="0" type="noConversion"/>
  <printOptions gridLines="1"/>
  <pageMargins left="0.75" right="0.16" top="0.51" bottom="0.22" header="0.5" footer="0.37"/>
  <pageSetup scale="88" fitToHeight="11" orientation="landscape" r:id="rId1"/>
  <headerFooter alignWithMargins="0"/>
  <rowBreaks count="2" manualBreakCount="2">
    <brk id="62" max="9" man="1"/>
    <brk id="99" max="9"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N511"/>
  <sheetViews>
    <sheetView view="pageBreakPreview" zoomScaleNormal="100" zoomScaleSheetLayoutView="100" workbookViewId="0">
      <selection sqref="A1:H1"/>
    </sheetView>
  </sheetViews>
  <sheetFormatPr defaultColWidth="44.5546875" defaultRowHeight="13.2" x14ac:dyDescent="0.25"/>
  <cols>
    <col min="1" max="1" width="61.21875" style="2" customWidth="1"/>
    <col min="2" max="3" width="10.44140625" style="2" bestFit="1" customWidth="1"/>
    <col min="4" max="4" width="11.21875" style="2" bestFit="1" customWidth="1"/>
    <col min="5" max="6" width="10.44140625" style="2" bestFit="1" customWidth="1"/>
    <col min="7" max="7" width="11.77734375" style="2" bestFit="1" customWidth="1"/>
    <col min="8" max="8" width="13.6640625" style="2" bestFit="1" customWidth="1"/>
    <col min="9" max="9" width="10.88671875" style="2" bestFit="1" customWidth="1"/>
    <col min="10" max="10" width="10.44140625" style="2" bestFit="1" customWidth="1"/>
    <col min="11" max="11" width="18.77734375" style="2" bestFit="1" customWidth="1"/>
    <col min="12" max="12" width="35.33203125" style="2" customWidth="1"/>
    <col min="13" max="13" width="6" style="2" bestFit="1" customWidth="1"/>
    <col min="14" max="14" width="9.44140625" style="2" bestFit="1" customWidth="1"/>
    <col min="15" max="16384" width="44.5546875" style="2"/>
  </cols>
  <sheetData>
    <row r="1" spans="1:10" x14ac:dyDescent="0.25">
      <c r="A1" s="307" t="s">
        <v>1816</v>
      </c>
      <c r="B1" s="308"/>
      <c r="C1" s="308"/>
      <c r="D1" s="308"/>
      <c r="E1" s="308"/>
      <c r="F1" s="308"/>
      <c r="G1" s="308"/>
      <c r="H1" s="308"/>
    </row>
    <row r="2" spans="1:10" ht="17.399999999999999" x14ac:dyDescent="0.3">
      <c r="A2" s="182" t="s">
        <v>1936</v>
      </c>
      <c r="B2" s="182"/>
      <c r="C2" s="182"/>
      <c r="D2" s="182"/>
      <c r="E2" s="182"/>
      <c r="F2" s="182"/>
    </row>
    <row r="4" spans="1:10" x14ac:dyDescent="0.25">
      <c r="B4" s="4"/>
      <c r="C4" s="4"/>
      <c r="D4" s="4"/>
      <c r="E4" s="16" t="s">
        <v>233</v>
      </c>
      <c r="F4" s="16" t="s">
        <v>234</v>
      </c>
      <c r="G4" s="16" t="s">
        <v>70</v>
      </c>
      <c r="H4" s="16" t="s">
        <v>409</v>
      </c>
      <c r="I4" s="16" t="s">
        <v>314</v>
      </c>
      <c r="J4" s="16" t="s">
        <v>345</v>
      </c>
    </row>
    <row r="5" spans="1:10" ht="15" x14ac:dyDescent="0.4">
      <c r="E5" s="281" t="s">
        <v>1794</v>
      </c>
      <c r="F5" s="281" t="s">
        <v>1970</v>
      </c>
      <c r="G5" s="281" t="s">
        <v>2129</v>
      </c>
      <c r="H5" s="281" t="s">
        <v>2129</v>
      </c>
      <c r="I5" s="281" t="s">
        <v>2129</v>
      </c>
      <c r="J5" s="281" t="s">
        <v>2129</v>
      </c>
    </row>
    <row r="6" spans="1:10" ht="13.8" x14ac:dyDescent="0.3">
      <c r="A6" s="54" t="s">
        <v>1177</v>
      </c>
      <c r="E6" s="2">
        <v>46828</v>
      </c>
      <c r="F6" s="2">
        <v>48115</v>
      </c>
      <c r="G6" s="2">
        <v>48115</v>
      </c>
      <c r="H6" s="2">
        <v>48115</v>
      </c>
      <c r="I6" s="2">
        <v>49608</v>
      </c>
      <c r="J6" s="2">
        <v>49608</v>
      </c>
    </row>
    <row r="7" spans="1:10" x14ac:dyDescent="0.25">
      <c r="A7" s="2" t="s">
        <v>444</v>
      </c>
      <c r="B7" s="168">
        <v>52</v>
      </c>
      <c r="C7" s="2">
        <v>936</v>
      </c>
      <c r="D7" s="2">
        <f>+B7*C7</f>
        <v>48672</v>
      </c>
    </row>
    <row r="8" spans="1:10" ht="15" x14ac:dyDescent="0.4">
      <c r="A8" s="2" t="s">
        <v>973</v>
      </c>
      <c r="D8" s="11">
        <v>936</v>
      </c>
    </row>
    <row r="9" spans="1:10" x14ac:dyDescent="0.25">
      <c r="A9" s="2" t="s">
        <v>1247</v>
      </c>
      <c r="D9" s="2">
        <f>SUM(D7:D8)</f>
        <v>49608</v>
      </c>
    </row>
    <row r="11" spans="1:10" ht="13.8" x14ac:dyDescent="0.3">
      <c r="A11" s="54" t="s">
        <v>445</v>
      </c>
      <c r="E11" s="2">
        <v>934939.32</v>
      </c>
      <c r="F11" s="2">
        <v>984538</v>
      </c>
      <c r="G11" s="2">
        <v>994508</v>
      </c>
      <c r="H11" s="2">
        <v>994508</v>
      </c>
      <c r="I11" s="2">
        <v>1004019</v>
      </c>
      <c r="J11" s="2">
        <v>1041702</v>
      </c>
    </row>
    <row r="12" spans="1:10" x14ac:dyDescent="0.25">
      <c r="A12" s="2" t="s">
        <v>446</v>
      </c>
      <c r="B12" s="168">
        <v>52</v>
      </c>
      <c r="C12" s="2">
        <v>2130</v>
      </c>
      <c r="D12" s="2">
        <f>+C12*B12</f>
        <v>110760</v>
      </c>
    </row>
    <row r="13" spans="1:10" x14ac:dyDescent="0.25">
      <c r="A13" s="2" t="s">
        <v>447</v>
      </c>
      <c r="B13" s="168">
        <v>52</v>
      </c>
      <c r="C13" s="2">
        <v>1882</v>
      </c>
      <c r="D13" s="2">
        <f t="shared" ref="D13:D23" si="0">+C13*B13</f>
        <v>97864</v>
      </c>
    </row>
    <row r="14" spans="1:10" x14ac:dyDescent="0.25">
      <c r="A14" s="2" t="s">
        <v>1628</v>
      </c>
      <c r="B14" s="168">
        <v>52</v>
      </c>
      <c r="C14" s="2">
        <v>1882</v>
      </c>
      <c r="D14" s="2">
        <f t="shared" si="0"/>
        <v>97864</v>
      </c>
    </row>
    <row r="15" spans="1:10" x14ac:dyDescent="0.25">
      <c r="A15" s="2" t="s">
        <v>1229</v>
      </c>
      <c r="B15" s="168">
        <v>52</v>
      </c>
      <c r="C15" s="2">
        <v>1486.2</v>
      </c>
      <c r="D15" s="2">
        <f t="shared" si="0"/>
        <v>77282.400000000009</v>
      </c>
    </row>
    <row r="16" spans="1:10" x14ac:dyDescent="0.25">
      <c r="A16" s="2" t="s">
        <v>448</v>
      </c>
      <c r="B16" s="168">
        <v>52</v>
      </c>
      <c r="C16" s="2">
        <v>1542</v>
      </c>
      <c r="D16" s="2">
        <f t="shared" si="0"/>
        <v>80184</v>
      </c>
    </row>
    <row r="17" spans="1:14" x14ac:dyDescent="0.25">
      <c r="A17" s="2" t="s">
        <v>448</v>
      </c>
      <c r="B17" s="168">
        <v>52</v>
      </c>
      <c r="C17" s="2">
        <v>1532</v>
      </c>
      <c r="D17" s="2">
        <f t="shared" si="0"/>
        <v>79664</v>
      </c>
    </row>
    <row r="18" spans="1:14" x14ac:dyDescent="0.25">
      <c r="A18" s="2" t="s">
        <v>448</v>
      </c>
      <c r="B18" s="168">
        <v>52</v>
      </c>
      <c r="C18" s="2">
        <v>1532.3187999999998</v>
      </c>
      <c r="D18" s="2">
        <f t="shared" si="0"/>
        <v>79680.57759999999</v>
      </c>
    </row>
    <row r="19" spans="1:14" x14ac:dyDescent="0.25">
      <c r="A19" s="2" t="s">
        <v>448</v>
      </c>
      <c r="B19" s="168">
        <v>52</v>
      </c>
      <c r="C19" s="2">
        <v>1500</v>
      </c>
      <c r="D19" s="2">
        <f t="shared" si="0"/>
        <v>78000</v>
      </c>
    </row>
    <row r="20" spans="1:14" ht="14.4" x14ac:dyDescent="0.3">
      <c r="A20" s="2" t="s">
        <v>449</v>
      </c>
      <c r="B20" s="168">
        <v>52</v>
      </c>
      <c r="C20" s="2">
        <v>1435</v>
      </c>
      <c r="D20" s="2">
        <f t="shared" si="0"/>
        <v>74620</v>
      </c>
      <c r="F20" s="155"/>
    </row>
    <row r="21" spans="1:14" ht="14.4" x14ac:dyDescent="0.3">
      <c r="A21" s="2" t="s">
        <v>449</v>
      </c>
      <c r="B21" s="168">
        <v>52</v>
      </c>
      <c r="C21" s="2">
        <v>1428</v>
      </c>
      <c r="D21" s="2">
        <f t="shared" si="0"/>
        <v>74256</v>
      </c>
      <c r="F21" s="155"/>
    </row>
    <row r="22" spans="1:14" ht="14.4" x14ac:dyDescent="0.3">
      <c r="A22" s="2" t="s">
        <v>449</v>
      </c>
      <c r="B22" s="168">
        <v>52</v>
      </c>
      <c r="C22" s="2">
        <v>1429</v>
      </c>
      <c r="D22" s="2">
        <f t="shared" si="0"/>
        <v>74308</v>
      </c>
      <c r="F22" s="155"/>
    </row>
    <row r="23" spans="1:14" ht="14.4" x14ac:dyDescent="0.3">
      <c r="A23" s="2" t="s">
        <v>449</v>
      </c>
      <c r="B23" s="168">
        <v>52</v>
      </c>
      <c r="C23" s="1">
        <v>1386.96</v>
      </c>
      <c r="D23" s="2">
        <f t="shared" si="0"/>
        <v>72121.919999999998</v>
      </c>
      <c r="F23" s="155"/>
    </row>
    <row r="24" spans="1:14" x14ac:dyDescent="0.25">
      <c r="A24" s="2" t="s">
        <v>2332</v>
      </c>
    </row>
    <row r="25" spans="1:14" x14ac:dyDescent="0.25">
      <c r="A25" s="2" t="s">
        <v>2018</v>
      </c>
    </row>
    <row r="26" spans="1:14" x14ac:dyDescent="0.25">
      <c r="A26" s="2" t="s">
        <v>2101</v>
      </c>
      <c r="B26" s="2">
        <v>900</v>
      </c>
      <c r="C26" s="12">
        <f>ROUND(((SUM(D15:D24))/2184)/9,2)</f>
        <v>35.11</v>
      </c>
      <c r="D26" s="2">
        <f>+C26*B26</f>
        <v>31599</v>
      </c>
    </row>
    <row r="27" spans="1:14" ht="15" x14ac:dyDescent="0.4">
      <c r="A27" s="2" t="s">
        <v>973</v>
      </c>
      <c r="D27" s="11">
        <f>950+12983-25-410</f>
        <v>13498</v>
      </c>
    </row>
    <row r="28" spans="1:14" x14ac:dyDescent="0.25">
      <c r="A28" s="2" t="s">
        <v>1247</v>
      </c>
      <c r="D28" s="2">
        <f>SUM(D12:D27)</f>
        <v>1041701.8976</v>
      </c>
    </row>
    <row r="30" spans="1:14" ht="13.8" x14ac:dyDescent="0.3">
      <c r="A30" s="54" t="s">
        <v>1127</v>
      </c>
      <c r="E30" s="2">
        <v>1462099.13</v>
      </c>
      <c r="F30" s="2">
        <v>1689327</v>
      </c>
      <c r="G30" s="2">
        <v>1728418.3333333333</v>
      </c>
      <c r="H30" s="2">
        <v>1728418.3333333333</v>
      </c>
      <c r="I30" s="2">
        <v>1728418.3333333333</v>
      </c>
      <c r="J30" s="2">
        <v>1760884</v>
      </c>
    </row>
    <row r="31" spans="1:14" ht="14.4" x14ac:dyDescent="0.3">
      <c r="A31" t="s">
        <v>2334</v>
      </c>
      <c r="B31">
        <v>52</v>
      </c>
      <c r="C31">
        <v>1254</v>
      </c>
      <c r="D31" s="2">
        <f t="shared" ref="D31:D59" si="1">+C31*B31</f>
        <v>65208</v>
      </c>
      <c r="E31" s="155"/>
      <c r="F31" s="168"/>
      <c r="G31" s="169"/>
      <c r="H31" s="169"/>
      <c r="I31" s="169"/>
      <c r="J31" s="169"/>
      <c r="K31"/>
      <c r="L31"/>
      <c r="M31" s="306"/>
      <c r="N31" s="302"/>
    </row>
    <row r="32" spans="1:14" ht="14.4" x14ac:dyDescent="0.3">
      <c r="A32" t="s">
        <v>1613</v>
      </c>
      <c r="B32">
        <v>52</v>
      </c>
      <c r="C32">
        <v>1142</v>
      </c>
      <c r="D32" s="2">
        <f t="shared" si="1"/>
        <v>59384</v>
      </c>
      <c r="E32" s="155"/>
      <c r="F32" s="168"/>
      <c r="G32" s="169"/>
      <c r="H32" s="169"/>
      <c r="I32" s="169"/>
      <c r="J32" s="169"/>
      <c r="K32"/>
      <c r="L32"/>
      <c r="M32"/>
      <c r="N32" s="302"/>
    </row>
    <row r="33" spans="1:14" ht="14.4" x14ac:dyDescent="0.3">
      <c r="A33" t="s">
        <v>1613</v>
      </c>
      <c r="B33">
        <v>52</v>
      </c>
      <c r="C33">
        <v>1121</v>
      </c>
      <c r="D33" s="2">
        <f t="shared" si="1"/>
        <v>58292</v>
      </c>
      <c r="E33" s="155"/>
      <c r="F33" s="168"/>
      <c r="G33" s="169"/>
      <c r="H33" s="169"/>
      <c r="I33" s="169"/>
      <c r="J33" s="169"/>
      <c r="K33"/>
      <c r="L33"/>
      <c r="M33"/>
      <c r="N33" s="302"/>
    </row>
    <row r="34" spans="1:14" ht="14.4" x14ac:dyDescent="0.3">
      <c r="A34" t="s">
        <v>1613</v>
      </c>
      <c r="B34">
        <v>52</v>
      </c>
      <c r="C34">
        <v>1130</v>
      </c>
      <c r="D34" s="2">
        <f t="shared" si="1"/>
        <v>58760</v>
      </c>
      <c r="E34" s="155"/>
      <c r="F34" s="168"/>
      <c r="G34" s="169"/>
      <c r="H34" s="169"/>
      <c r="I34" s="169"/>
      <c r="J34" s="169"/>
      <c r="K34"/>
      <c r="L34"/>
      <c r="M34"/>
      <c r="N34" s="302"/>
    </row>
    <row r="35" spans="1:14" ht="14.4" x14ac:dyDescent="0.3">
      <c r="A35" t="s">
        <v>1613</v>
      </c>
      <c r="B35">
        <v>52</v>
      </c>
      <c r="C35">
        <v>1135</v>
      </c>
      <c r="D35" s="2">
        <f t="shared" si="1"/>
        <v>59020</v>
      </c>
      <c r="E35" s="155"/>
      <c r="F35" s="168"/>
      <c r="G35" s="169"/>
      <c r="H35" s="169"/>
      <c r="I35" s="169"/>
      <c r="J35" s="169"/>
      <c r="K35"/>
      <c r="L35"/>
      <c r="M35"/>
      <c r="N35" s="302"/>
    </row>
    <row r="36" spans="1:14" ht="14.4" x14ac:dyDescent="0.3">
      <c r="A36" t="s">
        <v>1614</v>
      </c>
      <c r="B36">
        <v>52</v>
      </c>
      <c r="C36">
        <v>1072</v>
      </c>
      <c r="D36" s="2">
        <f t="shared" si="1"/>
        <v>55744</v>
      </c>
      <c r="E36" s="155"/>
      <c r="F36" s="168"/>
      <c r="G36" s="169"/>
      <c r="H36" s="169"/>
      <c r="I36" s="169"/>
      <c r="J36" s="169"/>
      <c r="K36"/>
      <c r="L36"/>
      <c r="M36"/>
      <c r="N36" s="302"/>
    </row>
    <row r="37" spans="1:14" ht="14.4" x14ac:dyDescent="0.3">
      <c r="A37" t="s">
        <v>2335</v>
      </c>
      <c r="B37">
        <v>52</v>
      </c>
      <c r="C37">
        <v>1173</v>
      </c>
      <c r="D37" s="2">
        <f t="shared" si="1"/>
        <v>60996</v>
      </c>
      <c r="E37" s="155"/>
      <c r="F37" s="168"/>
      <c r="G37" s="169"/>
      <c r="H37" s="169"/>
      <c r="I37" s="169"/>
      <c r="J37" s="169"/>
      <c r="K37"/>
      <c r="L37"/>
      <c r="M37" s="306"/>
      <c r="N37" s="302"/>
    </row>
    <row r="38" spans="1:14" ht="14.4" x14ac:dyDescent="0.3">
      <c r="A38" t="s">
        <v>1614</v>
      </c>
      <c r="B38">
        <v>52</v>
      </c>
      <c r="C38">
        <v>1090</v>
      </c>
      <c r="D38" s="2">
        <f t="shared" si="1"/>
        <v>56680</v>
      </c>
      <c r="E38" s="155"/>
      <c r="F38" s="168"/>
      <c r="G38" s="169"/>
      <c r="H38" s="169"/>
      <c r="I38" s="169"/>
      <c r="J38" s="169"/>
      <c r="K38"/>
      <c r="L38"/>
      <c r="M38"/>
      <c r="N38" s="302"/>
    </row>
    <row r="39" spans="1:14" ht="14.4" x14ac:dyDescent="0.3">
      <c r="A39" t="s">
        <v>1614</v>
      </c>
      <c r="B39">
        <v>52</v>
      </c>
      <c r="C39">
        <v>1112</v>
      </c>
      <c r="D39" s="2">
        <f t="shared" si="1"/>
        <v>57824</v>
      </c>
      <c r="E39" s="155"/>
      <c r="F39" s="168"/>
      <c r="G39" s="169"/>
      <c r="H39" s="169"/>
      <c r="I39" s="169"/>
      <c r="J39" s="169"/>
      <c r="K39"/>
      <c r="L39"/>
      <c r="M39"/>
      <c r="N39" s="302"/>
    </row>
    <row r="40" spans="1:14" ht="14.4" x14ac:dyDescent="0.3">
      <c r="A40" t="s">
        <v>1614</v>
      </c>
      <c r="B40">
        <v>52</v>
      </c>
      <c r="C40">
        <v>1090</v>
      </c>
      <c r="D40" s="2">
        <f t="shared" si="1"/>
        <v>56680</v>
      </c>
      <c r="E40" s="155"/>
      <c r="F40" s="168"/>
      <c r="G40" s="169"/>
      <c r="H40" s="169"/>
      <c r="I40" s="169"/>
      <c r="J40" s="169"/>
      <c r="K40"/>
      <c r="L40"/>
      <c r="M40"/>
      <c r="N40" s="302"/>
    </row>
    <row r="41" spans="1:14" ht="14.4" x14ac:dyDescent="0.3">
      <c r="A41" t="s">
        <v>1613</v>
      </c>
      <c r="B41">
        <v>52</v>
      </c>
      <c r="C41">
        <v>1170</v>
      </c>
      <c r="D41" s="2">
        <f t="shared" si="1"/>
        <v>60840</v>
      </c>
      <c r="E41" s="155"/>
      <c r="F41" s="168"/>
      <c r="G41" s="169"/>
      <c r="H41" s="169"/>
      <c r="I41" s="169"/>
      <c r="J41" s="169"/>
      <c r="K41"/>
      <c r="L41"/>
      <c r="M41"/>
      <c r="N41" s="302"/>
    </row>
    <row r="42" spans="1:14" ht="14.4" x14ac:dyDescent="0.3">
      <c r="A42" t="s">
        <v>1614</v>
      </c>
      <c r="B42">
        <v>52</v>
      </c>
      <c r="C42">
        <v>1076</v>
      </c>
      <c r="D42" s="2">
        <f t="shared" si="1"/>
        <v>55952</v>
      </c>
      <c r="E42" s="155"/>
      <c r="F42" s="168"/>
      <c r="G42" s="169"/>
      <c r="H42" s="169"/>
      <c r="I42" s="169"/>
      <c r="J42" s="169"/>
      <c r="K42"/>
      <c r="L42"/>
      <c r="M42"/>
      <c r="N42" s="302"/>
    </row>
    <row r="43" spans="1:14" ht="14.4" x14ac:dyDescent="0.3">
      <c r="A43" t="s">
        <v>1614</v>
      </c>
      <c r="B43">
        <v>52</v>
      </c>
      <c r="C43">
        <v>1081</v>
      </c>
      <c r="D43" s="2">
        <f t="shared" si="1"/>
        <v>56212</v>
      </c>
      <c r="E43" s="155"/>
      <c r="F43" s="168"/>
      <c r="G43" s="169"/>
      <c r="H43" s="169"/>
      <c r="I43" s="169"/>
      <c r="J43" s="169"/>
      <c r="K43"/>
      <c r="L43"/>
      <c r="M43"/>
      <c r="N43" s="302"/>
    </row>
    <row r="44" spans="1:14" ht="14.4" x14ac:dyDescent="0.3">
      <c r="A44" t="s">
        <v>1614</v>
      </c>
      <c r="B44">
        <v>52</v>
      </c>
      <c r="C44">
        <v>1097</v>
      </c>
      <c r="D44" s="2">
        <f t="shared" si="1"/>
        <v>57044</v>
      </c>
      <c r="E44" s="155"/>
      <c r="F44" s="168"/>
      <c r="G44" s="169"/>
      <c r="H44" s="169"/>
      <c r="I44" s="169"/>
      <c r="J44" s="169"/>
      <c r="K44"/>
      <c r="L44"/>
      <c r="M44"/>
      <c r="N44" s="302"/>
    </row>
    <row r="45" spans="1:14" ht="14.4" x14ac:dyDescent="0.3">
      <c r="A45" t="s">
        <v>1614</v>
      </c>
      <c r="B45">
        <v>52</v>
      </c>
      <c r="C45">
        <v>1087</v>
      </c>
      <c r="D45" s="2">
        <f t="shared" si="1"/>
        <v>56524</v>
      </c>
      <c r="E45" s="155"/>
      <c r="F45" s="168"/>
      <c r="G45" s="169"/>
      <c r="H45" s="169"/>
      <c r="I45" s="169"/>
      <c r="J45" s="169"/>
      <c r="K45"/>
      <c r="L45"/>
      <c r="M45"/>
      <c r="N45" s="302"/>
    </row>
    <row r="46" spans="1:14" ht="14.4" x14ac:dyDescent="0.3">
      <c r="A46" t="s">
        <v>1614</v>
      </c>
      <c r="B46">
        <v>52</v>
      </c>
      <c r="C46">
        <v>1087</v>
      </c>
      <c r="D46" s="2">
        <f t="shared" si="1"/>
        <v>56524</v>
      </c>
      <c r="E46" s="155"/>
      <c r="F46" s="168"/>
      <c r="G46" s="169"/>
      <c r="H46" s="169"/>
      <c r="I46" s="169"/>
      <c r="J46" s="169"/>
      <c r="K46"/>
      <c r="L46"/>
      <c r="M46"/>
      <c r="N46" s="302"/>
    </row>
    <row r="47" spans="1:14" ht="14.4" x14ac:dyDescent="0.3">
      <c r="A47" t="s">
        <v>1614</v>
      </c>
      <c r="B47">
        <v>52</v>
      </c>
      <c r="C47">
        <v>1074</v>
      </c>
      <c r="D47" s="2">
        <f t="shared" si="1"/>
        <v>55848</v>
      </c>
      <c r="E47" s="155"/>
      <c r="F47" s="168"/>
      <c r="G47" s="169"/>
      <c r="H47" s="169"/>
      <c r="I47" s="169"/>
      <c r="J47" s="169"/>
      <c r="K47"/>
      <c r="L47"/>
      <c r="M47"/>
      <c r="N47" s="302"/>
    </row>
    <row r="48" spans="1:14" ht="14.4" x14ac:dyDescent="0.3">
      <c r="A48" t="s">
        <v>1614</v>
      </c>
      <c r="B48">
        <v>52</v>
      </c>
      <c r="C48">
        <v>1094</v>
      </c>
      <c r="D48" s="2">
        <f t="shared" si="1"/>
        <v>56888</v>
      </c>
      <c r="E48" s="155"/>
      <c r="F48" s="168"/>
      <c r="G48" s="169"/>
      <c r="H48" s="169"/>
      <c r="I48" s="169"/>
      <c r="J48" s="169"/>
      <c r="K48"/>
      <c r="L48"/>
      <c r="M48"/>
      <c r="N48" s="302"/>
    </row>
    <row r="49" spans="1:14" ht="14.4" x14ac:dyDescent="0.3">
      <c r="A49" t="s">
        <v>2336</v>
      </c>
      <c r="B49">
        <v>52</v>
      </c>
      <c r="C49">
        <v>1128</v>
      </c>
      <c r="D49" s="2">
        <f t="shared" si="1"/>
        <v>58656</v>
      </c>
      <c r="E49" s="155"/>
      <c r="F49" s="168"/>
      <c r="G49" s="169"/>
      <c r="H49" s="169"/>
      <c r="I49" s="169"/>
      <c r="J49" s="169"/>
      <c r="K49"/>
      <c r="L49"/>
      <c r="M49"/>
      <c r="N49" s="302"/>
    </row>
    <row r="50" spans="1:14" ht="14.4" x14ac:dyDescent="0.3">
      <c r="A50" t="s">
        <v>1612</v>
      </c>
      <c r="B50">
        <v>52</v>
      </c>
      <c r="C50">
        <v>1214</v>
      </c>
      <c r="D50" s="2">
        <f t="shared" si="1"/>
        <v>63128</v>
      </c>
      <c r="E50" s="155"/>
      <c r="F50" s="168"/>
      <c r="G50" s="169"/>
      <c r="H50" s="169"/>
      <c r="I50" s="169"/>
      <c r="J50" s="169"/>
      <c r="K50"/>
      <c r="L50"/>
      <c r="M50"/>
      <c r="N50" s="302"/>
    </row>
    <row r="51" spans="1:14" ht="14.4" x14ac:dyDescent="0.3">
      <c r="A51" t="s">
        <v>1612</v>
      </c>
      <c r="B51">
        <v>52</v>
      </c>
      <c r="C51">
        <v>1226</v>
      </c>
      <c r="D51" s="2">
        <f t="shared" si="1"/>
        <v>63752</v>
      </c>
      <c r="E51" s="155"/>
      <c r="F51" s="168"/>
      <c r="G51" s="169"/>
      <c r="H51" s="169"/>
      <c r="I51" s="169"/>
      <c r="J51" s="169"/>
      <c r="K51"/>
      <c r="L51"/>
      <c r="M51"/>
      <c r="N51" s="302"/>
    </row>
    <row r="52" spans="1:14" ht="14.4" x14ac:dyDescent="0.3">
      <c r="A52" t="s">
        <v>1612</v>
      </c>
      <c r="B52">
        <v>52</v>
      </c>
      <c r="C52">
        <v>1231</v>
      </c>
      <c r="D52" s="2">
        <f t="shared" si="1"/>
        <v>64012</v>
      </c>
      <c r="E52" s="155"/>
      <c r="F52" s="168"/>
      <c r="G52" s="169"/>
      <c r="H52" s="169"/>
      <c r="I52" s="169"/>
      <c r="J52" s="169"/>
      <c r="K52"/>
      <c r="L52"/>
      <c r="M52"/>
      <c r="N52" s="302"/>
    </row>
    <row r="53" spans="1:14" ht="14.4" x14ac:dyDescent="0.3">
      <c r="A53" t="s">
        <v>1612</v>
      </c>
      <c r="B53">
        <v>52</v>
      </c>
      <c r="C53">
        <v>1223</v>
      </c>
      <c r="D53" s="2">
        <f t="shared" si="1"/>
        <v>63596</v>
      </c>
      <c r="E53" s="155"/>
      <c r="F53" s="168"/>
      <c r="G53" s="169"/>
      <c r="H53" s="169"/>
      <c r="I53" s="169"/>
      <c r="J53" s="169"/>
      <c r="K53"/>
      <c r="L53"/>
      <c r="M53"/>
      <c r="N53" s="302"/>
    </row>
    <row r="54" spans="1:14" ht="14.4" x14ac:dyDescent="0.3">
      <c r="A54" t="s">
        <v>1612</v>
      </c>
      <c r="B54">
        <v>52</v>
      </c>
      <c r="C54">
        <v>1232</v>
      </c>
      <c r="D54" s="2">
        <f t="shared" si="1"/>
        <v>64064</v>
      </c>
      <c r="E54" s="155"/>
      <c r="F54" s="8"/>
      <c r="G54" s="8"/>
      <c r="H54" s="8"/>
      <c r="I54" s="8"/>
      <c r="J54" s="8"/>
      <c r="K54"/>
      <c r="L54"/>
      <c r="M54"/>
      <c r="N54" s="302"/>
    </row>
    <row r="55" spans="1:14" ht="14.4" x14ac:dyDescent="0.3">
      <c r="A55" t="s">
        <v>1612</v>
      </c>
      <c r="B55">
        <v>52</v>
      </c>
      <c r="C55">
        <v>1204</v>
      </c>
      <c r="D55" s="2">
        <f t="shared" si="1"/>
        <v>62608</v>
      </c>
      <c r="E55" s="155"/>
      <c r="F55" s="8"/>
      <c r="G55" s="8"/>
      <c r="H55" s="8"/>
      <c r="I55" s="8"/>
      <c r="J55" s="8"/>
      <c r="K55"/>
      <c r="L55"/>
      <c r="M55"/>
      <c r="N55" s="302"/>
    </row>
    <row r="56" spans="1:14" ht="14.4" x14ac:dyDescent="0.3">
      <c r="A56" t="s">
        <v>1612</v>
      </c>
      <c r="B56">
        <v>52</v>
      </c>
      <c r="C56">
        <v>1219</v>
      </c>
      <c r="D56" s="2">
        <f t="shared" si="1"/>
        <v>63388</v>
      </c>
      <c r="E56" s="155"/>
      <c r="F56" s="8"/>
      <c r="G56" s="8"/>
      <c r="H56" s="8"/>
      <c r="I56" s="8"/>
      <c r="J56" s="8"/>
      <c r="K56"/>
      <c r="L56"/>
      <c r="M56"/>
      <c r="N56" s="302"/>
    </row>
    <row r="57" spans="1:14" ht="14.4" x14ac:dyDescent="0.3">
      <c r="A57" t="s">
        <v>1612</v>
      </c>
      <c r="B57">
        <v>52</v>
      </c>
      <c r="C57">
        <v>1241</v>
      </c>
      <c r="D57" s="2">
        <f t="shared" si="1"/>
        <v>64532</v>
      </c>
      <c r="E57" s="155"/>
      <c r="F57" s="8"/>
      <c r="G57" s="8"/>
      <c r="H57" s="8"/>
      <c r="I57" s="8"/>
      <c r="J57" s="8"/>
      <c r="K57"/>
      <c r="L57"/>
      <c r="M57"/>
      <c r="N57" s="302"/>
    </row>
    <row r="58" spans="1:14" ht="14.4" x14ac:dyDescent="0.3">
      <c r="A58" t="s">
        <v>1809</v>
      </c>
      <c r="B58">
        <v>52</v>
      </c>
      <c r="C58">
        <v>1276</v>
      </c>
      <c r="D58" s="2">
        <f t="shared" si="1"/>
        <v>66352</v>
      </c>
      <c r="E58" s="155"/>
      <c r="F58" s="8"/>
      <c r="G58" s="8"/>
      <c r="H58" s="8"/>
      <c r="I58" s="8"/>
      <c r="J58" s="8"/>
      <c r="K58"/>
      <c r="L58"/>
      <c r="M58"/>
      <c r="N58" s="302"/>
    </row>
    <row r="59" spans="1:14" x14ac:dyDescent="0.25">
      <c r="A59" s="2" t="s">
        <v>1965</v>
      </c>
      <c r="B59" s="2">
        <v>2800</v>
      </c>
      <c r="C59" s="12">
        <f>(AVERAGE(D31:D58))/2184</f>
        <v>27.448129251700678</v>
      </c>
      <c r="D59" s="2">
        <f t="shared" si="1"/>
        <v>76854.761904761894</v>
      </c>
      <c r="K59"/>
      <c r="L59"/>
      <c r="M59"/>
      <c r="N59" s="302"/>
    </row>
    <row r="60" spans="1:14" ht="15" x14ac:dyDescent="0.4">
      <c r="A60" s="2" t="s">
        <v>973</v>
      </c>
      <c r="D60" s="11">
        <v>5521</v>
      </c>
    </row>
    <row r="61" spans="1:14" x14ac:dyDescent="0.25">
      <c r="A61" s="2" t="s">
        <v>1240</v>
      </c>
    </row>
    <row r="62" spans="1:14" x14ac:dyDescent="0.25">
      <c r="A62" s="2" t="s">
        <v>1247</v>
      </c>
      <c r="C62" s="12"/>
      <c r="D62" s="2">
        <f>SUM(D31:D61)</f>
        <v>1760883.7619047619</v>
      </c>
    </row>
    <row r="63" spans="1:14" x14ac:dyDescent="0.25">
      <c r="C63" s="12"/>
    </row>
    <row r="64" spans="1:14" ht="13.8" x14ac:dyDescent="0.3">
      <c r="A64" s="63" t="s">
        <v>972</v>
      </c>
      <c r="B64" s="2" t="s">
        <v>597</v>
      </c>
      <c r="C64" s="12" t="s">
        <v>598</v>
      </c>
      <c r="D64" s="2" t="s">
        <v>596</v>
      </c>
      <c r="E64" s="2">
        <v>200482.76</v>
      </c>
      <c r="F64" s="2">
        <v>197197</v>
      </c>
      <c r="G64" s="2">
        <v>203926</v>
      </c>
      <c r="H64" s="2">
        <v>203926</v>
      </c>
      <c r="I64" s="2">
        <v>203926</v>
      </c>
      <c r="J64" s="2">
        <v>215161</v>
      </c>
    </row>
    <row r="65" spans="1:10" x14ac:dyDescent="0.25">
      <c r="A65" s="2" t="s">
        <v>1631</v>
      </c>
      <c r="B65" s="2">
        <v>800</v>
      </c>
      <c r="C65" s="12">
        <f>+SUM(D15:D23)/2184*1.5/9</f>
        <v>52.66459841269841</v>
      </c>
      <c r="D65" s="2">
        <f t="shared" ref="D65:D71" si="2">C65*B65</f>
        <v>42131.678730158732</v>
      </c>
    </row>
    <row r="66" spans="1:10" x14ac:dyDescent="0.25">
      <c r="A66" s="2" t="s">
        <v>1768</v>
      </c>
      <c r="B66" s="2">
        <f>64.5+2417</f>
        <v>2481.5</v>
      </c>
      <c r="C66" s="12">
        <f>+C65</f>
        <v>52.66459841269841</v>
      </c>
      <c r="D66" s="2">
        <f t="shared" si="2"/>
        <v>130687.2009611111</v>
      </c>
    </row>
    <row r="67" spans="1:10" x14ac:dyDescent="0.25">
      <c r="A67" s="2" t="s">
        <v>1997</v>
      </c>
      <c r="B67" s="2">
        <v>0</v>
      </c>
      <c r="C67" s="12">
        <f>+C66</f>
        <v>52.66459841269841</v>
      </c>
      <c r="D67" s="2">
        <f t="shared" si="2"/>
        <v>0</v>
      </c>
    </row>
    <row r="68" spans="1:10" x14ac:dyDescent="0.25">
      <c r="A68" s="2" t="s">
        <v>2285</v>
      </c>
      <c r="B68" s="2">
        <v>32</v>
      </c>
      <c r="C68" s="12">
        <f>+C67</f>
        <v>52.66459841269841</v>
      </c>
      <c r="D68" s="2">
        <f>C68*B68</f>
        <v>1685.2671492063491</v>
      </c>
    </row>
    <row r="69" spans="1:10" x14ac:dyDescent="0.25">
      <c r="A69" s="277" t="s">
        <v>2286</v>
      </c>
      <c r="B69" s="277">
        <v>96</v>
      </c>
      <c r="C69" s="12">
        <f>+C66</f>
        <v>52.66459841269841</v>
      </c>
      <c r="D69" s="167">
        <f t="shared" si="2"/>
        <v>5055.8014476190474</v>
      </c>
    </row>
    <row r="70" spans="1:10" x14ac:dyDescent="0.25">
      <c r="A70" s="167" t="s">
        <v>2287</v>
      </c>
      <c r="B70" s="167">
        <v>24</v>
      </c>
      <c r="C70" s="12">
        <f>+C69</f>
        <v>52.66459841269841</v>
      </c>
      <c r="D70" s="167">
        <f t="shared" si="2"/>
        <v>1263.9503619047618</v>
      </c>
    </row>
    <row r="71" spans="1:10" x14ac:dyDescent="0.25">
      <c r="A71" s="2" t="s">
        <v>1863</v>
      </c>
      <c r="B71" s="2">
        <v>72</v>
      </c>
      <c r="C71" s="12">
        <f>+C70</f>
        <v>52.66459841269841</v>
      </c>
      <c r="D71" s="2">
        <f t="shared" si="2"/>
        <v>3791.8510857142855</v>
      </c>
    </row>
    <row r="72" spans="1:10" x14ac:dyDescent="0.25">
      <c r="A72" s="2" t="s">
        <v>1632</v>
      </c>
      <c r="B72" s="2">
        <v>480</v>
      </c>
      <c r="C72" s="12">
        <f>+C65</f>
        <v>52.66459841269841</v>
      </c>
      <c r="D72" s="2">
        <f>+B72*C72</f>
        <v>25279.007238095237</v>
      </c>
    </row>
    <row r="73" spans="1:10" ht="15" x14ac:dyDescent="0.4">
      <c r="A73" s="2" t="s">
        <v>1565</v>
      </c>
      <c r="B73" s="2">
        <v>100</v>
      </c>
      <c r="C73" s="12">
        <f>+C65</f>
        <v>52.66459841269841</v>
      </c>
      <c r="D73" s="11">
        <f>+B73*C73</f>
        <v>5266.4598412698415</v>
      </c>
    </row>
    <row r="74" spans="1:10" x14ac:dyDescent="0.25">
      <c r="A74" s="2" t="s">
        <v>1247</v>
      </c>
      <c r="C74" s="12"/>
      <c r="D74" s="2">
        <f>SUM(D65:D73)</f>
        <v>215161.21681507939</v>
      </c>
    </row>
    <row r="75" spans="1:10" x14ac:dyDescent="0.25">
      <c r="C75" s="12"/>
    </row>
    <row r="76" spans="1:10" ht="13.8" x14ac:dyDescent="0.3">
      <c r="A76" s="63" t="s">
        <v>494</v>
      </c>
      <c r="B76" s="2" t="s">
        <v>597</v>
      </c>
      <c r="C76" s="12" t="s">
        <v>598</v>
      </c>
      <c r="D76" s="2" t="s">
        <v>596</v>
      </c>
      <c r="E76" s="2">
        <v>91518.9</v>
      </c>
      <c r="F76" s="2">
        <v>118980</v>
      </c>
      <c r="G76" s="2">
        <v>147568</v>
      </c>
      <c r="H76" s="2">
        <v>129318</v>
      </c>
      <c r="I76" s="2">
        <v>130192</v>
      </c>
      <c r="J76" s="2">
        <v>130192</v>
      </c>
    </row>
    <row r="77" spans="1:10" x14ac:dyDescent="0.25">
      <c r="A77" s="249" t="s">
        <v>2288</v>
      </c>
      <c r="C77" s="12"/>
    </row>
    <row r="78" spans="1:10" x14ac:dyDescent="0.25">
      <c r="A78" s="42" t="s">
        <v>2289</v>
      </c>
      <c r="B78" s="2">
        <v>1000</v>
      </c>
      <c r="C78" s="12">
        <v>21</v>
      </c>
      <c r="D78" s="2">
        <f>C78*B78</f>
        <v>21000</v>
      </c>
    </row>
    <row r="79" spans="1:10" x14ac:dyDescent="0.25">
      <c r="A79" s="42" t="s">
        <v>2290</v>
      </c>
      <c r="B79" s="2">
        <v>3350</v>
      </c>
      <c r="C79" s="12">
        <v>19</v>
      </c>
      <c r="D79" s="2">
        <f>C79*B79</f>
        <v>63650</v>
      </c>
    </row>
    <row r="80" spans="1:10" ht="15" x14ac:dyDescent="0.4">
      <c r="A80" s="42" t="s">
        <v>2291</v>
      </c>
      <c r="B80" s="11">
        <v>614</v>
      </c>
      <c r="C80" s="12">
        <v>15</v>
      </c>
      <c r="D80" s="11">
        <f>C80*B80</f>
        <v>9210</v>
      </c>
    </row>
    <row r="81" spans="1:11" x14ac:dyDescent="0.25">
      <c r="B81" s="2">
        <f>SUM(B78:B80)</f>
        <v>4964</v>
      </c>
      <c r="D81" s="2">
        <f>SUM(D78:D80)</f>
        <v>93860</v>
      </c>
    </row>
    <row r="82" spans="1:11" x14ac:dyDescent="0.25">
      <c r="A82" s="270" t="s">
        <v>2292</v>
      </c>
    </row>
    <row r="83" spans="1:11" x14ac:dyDescent="0.25">
      <c r="A83" s="2" t="s">
        <v>1629</v>
      </c>
      <c r="B83" s="2">
        <v>1248</v>
      </c>
      <c r="C83" s="22">
        <v>24.16</v>
      </c>
      <c r="D83" s="2">
        <f>+B83*C83</f>
        <v>30151.68</v>
      </c>
    </row>
    <row r="84" spans="1:11" x14ac:dyDescent="0.25">
      <c r="C84" s="22"/>
    </row>
    <row r="85" spans="1:11" x14ac:dyDescent="0.25">
      <c r="A85" s="4" t="s">
        <v>2293</v>
      </c>
      <c r="B85" s="16"/>
      <c r="C85" s="39"/>
    </row>
    <row r="86" spans="1:11" x14ac:dyDescent="0.25">
      <c r="A86" s="2" t="s">
        <v>2294</v>
      </c>
      <c r="B86" s="2">
        <v>100</v>
      </c>
      <c r="C86" s="22">
        <v>11.7</v>
      </c>
      <c r="D86" s="2">
        <f>+B86*C86</f>
        <v>1170</v>
      </c>
    </row>
    <row r="87" spans="1:11" x14ac:dyDescent="0.25">
      <c r="A87" s="53" t="s">
        <v>607</v>
      </c>
      <c r="B87" s="2">
        <v>200</v>
      </c>
      <c r="C87" s="22">
        <v>17.55</v>
      </c>
      <c r="D87" s="2">
        <f>+B87*C87</f>
        <v>3510</v>
      </c>
    </row>
    <row r="88" spans="1:11" x14ac:dyDescent="0.25">
      <c r="A88" s="24"/>
      <c r="B88" s="16"/>
      <c r="C88" s="39"/>
    </row>
    <row r="89" spans="1:11" ht="15" x14ac:dyDescent="0.4">
      <c r="A89" s="2" t="s">
        <v>1566</v>
      </c>
      <c r="B89" s="2">
        <v>100</v>
      </c>
      <c r="C89" s="12">
        <v>15</v>
      </c>
      <c r="D89" s="11">
        <f>+B89*C89</f>
        <v>1500</v>
      </c>
    </row>
    <row r="90" spans="1:11" x14ac:dyDescent="0.25">
      <c r="C90" s="12"/>
      <c r="D90" s="2">
        <f>SUM(D86:D89)</f>
        <v>6180</v>
      </c>
    </row>
    <row r="91" spans="1:11" ht="13.8" x14ac:dyDescent="0.3">
      <c r="A91" s="55" t="s">
        <v>1247</v>
      </c>
      <c r="C91" s="12"/>
      <c r="D91" s="2">
        <f>SUM(D81,D83,D90)</f>
        <v>130191.67999999999</v>
      </c>
    </row>
    <row r="92" spans="1:11" x14ac:dyDescent="0.25">
      <c r="C92" s="12"/>
    </row>
    <row r="93" spans="1:11" ht="13.8" x14ac:dyDescent="0.3">
      <c r="A93" s="63" t="s">
        <v>1504</v>
      </c>
      <c r="B93" s="2" t="s">
        <v>597</v>
      </c>
      <c r="C93" s="12" t="s">
        <v>598</v>
      </c>
      <c r="D93" s="2" t="s">
        <v>596</v>
      </c>
      <c r="E93" s="2">
        <v>279030.55</v>
      </c>
      <c r="F93" s="2">
        <v>358306</v>
      </c>
      <c r="G93" s="2">
        <v>366928.83928571432</v>
      </c>
      <c r="H93" s="2">
        <v>366929</v>
      </c>
      <c r="I93" s="2">
        <v>341794</v>
      </c>
      <c r="J93" s="2">
        <v>348235</v>
      </c>
      <c r="K93" s="2">
        <f>+H93-I93</f>
        <v>25135</v>
      </c>
    </row>
    <row r="94" spans="1:11" x14ac:dyDescent="0.25">
      <c r="A94" s="2" t="s">
        <v>1921</v>
      </c>
      <c r="B94" s="2">
        <v>1700</v>
      </c>
      <c r="C94" s="12">
        <f>+C59*1.5</f>
        <v>41.172193877551017</v>
      </c>
      <c r="D94" s="2">
        <f>ROUND(B94*C94,0)</f>
        <v>69993</v>
      </c>
      <c r="E94" s="12"/>
    </row>
    <row r="95" spans="1:11" x14ac:dyDescent="0.25">
      <c r="A95" s="2" t="s">
        <v>1922</v>
      </c>
      <c r="B95" s="2">
        <v>4141</v>
      </c>
      <c r="C95" s="12">
        <f>+C94</f>
        <v>41.172193877551017</v>
      </c>
      <c r="D95" s="2">
        <f>ROUND(B95*C95,0)</f>
        <v>170494</v>
      </c>
      <c r="E95" s="12"/>
    </row>
    <row r="96" spans="1:11" x14ac:dyDescent="0.25">
      <c r="A96" s="2" t="s">
        <v>1864</v>
      </c>
      <c r="B96" s="2">
        <v>0</v>
      </c>
      <c r="C96" s="12">
        <f>+C94</f>
        <v>41.172193877551017</v>
      </c>
      <c r="D96" s="2">
        <f>C96*B96</f>
        <v>0</v>
      </c>
      <c r="E96" s="12"/>
    </row>
    <row r="97" spans="1:11" x14ac:dyDescent="0.25">
      <c r="A97" s="2" t="s">
        <v>1964</v>
      </c>
      <c r="B97" s="2">
        <v>1680</v>
      </c>
      <c r="C97" s="12">
        <f>+C94</f>
        <v>41.172193877551017</v>
      </c>
      <c r="D97" s="2">
        <f>+B97*C97</f>
        <v>69169.28571428571</v>
      </c>
      <c r="E97" s="12"/>
    </row>
    <row r="98" spans="1:11" ht="13.8" x14ac:dyDescent="0.3">
      <c r="A98" s="175" t="s">
        <v>1865</v>
      </c>
      <c r="C98" s="12"/>
      <c r="E98" s="12"/>
    </row>
    <row r="99" spans="1:11" x14ac:dyDescent="0.25">
      <c r="A99" s="2" t="s">
        <v>1866</v>
      </c>
      <c r="B99" s="2">
        <v>192</v>
      </c>
      <c r="C99" s="12">
        <f>+C95</f>
        <v>41.172193877551017</v>
      </c>
      <c r="D99" s="2">
        <f>+B99*C99</f>
        <v>7905.0612244897948</v>
      </c>
      <c r="E99" s="12"/>
    </row>
    <row r="100" spans="1:11" x14ac:dyDescent="0.25">
      <c r="A100" s="2" t="s">
        <v>2295</v>
      </c>
      <c r="B100" s="2">
        <v>168</v>
      </c>
      <c r="C100" s="12">
        <f>+C94</f>
        <v>41.172193877551017</v>
      </c>
      <c r="D100" s="2">
        <f>C100*B100</f>
        <v>6916.9285714285706</v>
      </c>
      <c r="E100" s="12"/>
    </row>
    <row r="101" spans="1:11" x14ac:dyDescent="0.25">
      <c r="A101" s="167" t="s">
        <v>2296</v>
      </c>
      <c r="B101" s="167">
        <v>216</v>
      </c>
      <c r="C101" s="278">
        <f>+C100</f>
        <v>41.172193877551017</v>
      </c>
      <c r="D101" s="278">
        <f>+C101*B101</f>
        <v>8893.1938775510189</v>
      </c>
      <c r="E101" s="12"/>
    </row>
    <row r="102" spans="1:11" x14ac:dyDescent="0.25">
      <c r="A102" s="53" t="s">
        <v>2297</v>
      </c>
      <c r="B102" s="53">
        <v>192</v>
      </c>
      <c r="C102" s="12">
        <f>+C94</f>
        <v>41.172193877551017</v>
      </c>
      <c r="D102" s="2">
        <f>+B102*C102</f>
        <v>7905.0612244897948</v>
      </c>
      <c r="E102" s="12"/>
    </row>
    <row r="103" spans="1:11" x14ac:dyDescent="0.25">
      <c r="A103" s="53" t="s">
        <v>1630</v>
      </c>
      <c r="B103" s="53">
        <v>169</v>
      </c>
      <c r="C103" s="12">
        <f>+C95</f>
        <v>41.172193877551017</v>
      </c>
      <c r="D103" s="2">
        <f>+B103*C103</f>
        <v>6958.1007653061215</v>
      </c>
      <c r="E103" s="12"/>
    </row>
    <row r="104" spans="1:11" ht="15" x14ac:dyDescent="0.4">
      <c r="A104" s="52" t="s">
        <v>2298</v>
      </c>
      <c r="B104" s="2">
        <v>0</v>
      </c>
      <c r="C104" s="278">
        <f>+C103</f>
        <v>41.172193877551017</v>
      </c>
      <c r="D104" s="11">
        <f>+B104*C104</f>
        <v>0</v>
      </c>
      <c r="E104" s="12"/>
    </row>
    <row r="105" spans="1:11" x14ac:dyDescent="0.25">
      <c r="A105" s="52" t="s">
        <v>1247</v>
      </c>
      <c r="C105" s="14"/>
      <c r="D105" s="2">
        <f>SUM(D94:D104)</f>
        <v>348234.63137755101</v>
      </c>
    </row>
    <row r="106" spans="1:11" x14ac:dyDescent="0.25">
      <c r="A106" s="52"/>
      <c r="C106" s="14"/>
    </row>
    <row r="107" spans="1:11" ht="15" x14ac:dyDescent="0.4">
      <c r="A107" s="63" t="s">
        <v>895</v>
      </c>
      <c r="C107" s="14"/>
      <c r="D107" s="11"/>
      <c r="E107" s="2">
        <v>52898.14</v>
      </c>
      <c r="F107" s="2">
        <v>59609</v>
      </c>
      <c r="G107" s="2">
        <v>62730</v>
      </c>
      <c r="H107" s="2">
        <v>61333</v>
      </c>
      <c r="I107" s="2">
        <v>61288</v>
      </c>
      <c r="J107" s="2">
        <v>62561</v>
      </c>
      <c r="K107" s="2">
        <f>+H107-I107</f>
        <v>45</v>
      </c>
    </row>
    <row r="108" spans="1:11" x14ac:dyDescent="0.25">
      <c r="A108" s="2" t="s">
        <v>896</v>
      </c>
      <c r="B108" s="2">
        <f>+D9</f>
        <v>49608</v>
      </c>
      <c r="C108" s="84">
        <v>7.6499999999999999E-2</v>
      </c>
      <c r="D108" s="2">
        <f t="shared" ref="D108:D113" si="3">+C108*B108</f>
        <v>3795.0119999999997</v>
      </c>
    </row>
    <row r="109" spans="1:11" x14ac:dyDescent="0.25">
      <c r="A109" s="2" t="s">
        <v>1468</v>
      </c>
      <c r="B109" s="2">
        <f>+D28</f>
        <v>1041701.8976</v>
      </c>
      <c r="C109" s="84">
        <v>1.4500000000000001E-2</v>
      </c>
      <c r="D109" s="2">
        <f t="shared" si="3"/>
        <v>15104.677515200001</v>
      </c>
    </row>
    <row r="110" spans="1:11" x14ac:dyDescent="0.25">
      <c r="A110" s="176" t="s">
        <v>807</v>
      </c>
      <c r="B110" s="2">
        <f>+D62</f>
        <v>1760883.7619047619</v>
      </c>
      <c r="C110" s="84">
        <v>1.4500000000000001E-2</v>
      </c>
      <c r="D110" s="2">
        <f t="shared" si="3"/>
        <v>25532.814547619048</v>
      </c>
    </row>
    <row r="111" spans="1:11" x14ac:dyDescent="0.25">
      <c r="A111" s="52" t="s">
        <v>897</v>
      </c>
      <c r="B111" s="2">
        <f>+D74</f>
        <v>215161.21681507939</v>
      </c>
      <c r="C111" s="84">
        <v>1.4500000000000001E-2</v>
      </c>
      <c r="D111" s="2">
        <f t="shared" si="3"/>
        <v>3119.8376438186515</v>
      </c>
    </row>
    <row r="112" spans="1:11" x14ac:dyDescent="0.25">
      <c r="A112" s="52" t="s">
        <v>184</v>
      </c>
      <c r="B112" s="2">
        <f>+D91</f>
        <v>130191.67999999999</v>
      </c>
      <c r="C112" s="84">
        <v>7.6499999999999999E-2</v>
      </c>
      <c r="D112" s="2">
        <f t="shared" si="3"/>
        <v>9959.6635200000001</v>
      </c>
    </row>
    <row r="113" spans="1:11" ht="15" x14ac:dyDescent="0.4">
      <c r="A113" s="52" t="s">
        <v>185</v>
      </c>
      <c r="B113" s="2">
        <f>+D105</f>
        <v>348234.63137755101</v>
      </c>
      <c r="C113" s="84">
        <v>1.4500000000000001E-2</v>
      </c>
      <c r="D113" s="11">
        <f t="shared" si="3"/>
        <v>5049.4021549744903</v>
      </c>
    </row>
    <row r="114" spans="1:11" x14ac:dyDescent="0.25">
      <c r="A114" s="52" t="s">
        <v>1247</v>
      </c>
      <c r="C114" s="84"/>
      <c r="D114" s="2">
        <f>SUM(D108:D113)</f>
        <v>62561.407381612196</v>
      </c>
    </row>
    <row r="115" spans="1:11" x14ac:dyDescent="0.25">
      <c r="A115" s="52"/>
      <c r="C115" s="84"/>
      <c r="D115" s="18"/>
    </row>
    <row r="116" spans="1:11" ht="13.8" x14ac:dyDescent="0.3">
      <c r="A116" s="86" t="s">
        <v>898</v>
      </c>
      <c r="C116" s="84"/>
      <c r="E116" s="2">
        <v>920587.49</v>
      </c>
      <c r="F116" s="2">
        <v>1035321</v>
      </c>
      <c r="G116" s="2">
        <v>996473</v>
      </c>
      <c r="H116" s="2">
        <v>996473</v>
      </c>
      <c r="I116" s="2">
        <v>991939</v>
      </c>
      <c r="J116" s="2">
        <v>1018365</v>
      </c>
      <c r="K116" s="2">
        <f>+H116-I116</f>
        <v>4534</v>
      </c>
    </row>
    <row r="117" spans="1:11" x14ac:dyDescent="0.25">
      <c r="A117" s="2" t="s">
        <v>896</v>
      </c>
      <c r="B117" s="2">
        <f>+B108</f>
        <v>49608</v>
      </c>
      <c r="C117" s="84">
        <v>0.11169999999999999</v>
      </c>
      <c r="D117" s="2">
        <f>+C117*B117</f>
        <v>5541.2136</v>
      </c>
    </row>
    <row r="118" spans="1:11" x14ac:dyDescent="0.25">
      <c r="A118" s="2" t="s">
        <v>899</v>
      </c>
      <c r="B118" s="2">
        <f>+B109</f>
        <v>1041701.8976</v>
      </c>
      <c r="C118" s="84">
        <v>0.3009</v>
      </c>
      <c r="D118" s="2">
        <f>+C118*B118</f>
        <v>313448.10098784004</v>
      </c>
    </row>
    <row r="119" spans="1:11" x14ac:dyDescent="0.25">
      <c r="A119" s="2" t="s">
        <v>900</v>
      </c>
      <c r="B119" s="2">
        <f>+B110</f>
        <v>1760883.7619047619</v>
      </c>
      <c r="C119" s="84">
        <v>0.3009</v>
      </c>
      <c r="D119" s="2">
        <f>+C119*B119</f>
        <v>529849.92395714286</v>
      </c>
    </row>
    <row r="120" spans="1:11" x14ac:dyDescent="0.25">
      <c r="A120" s="2" t="s">
        <v>901</v>
      </c>
      <c r="B120" s="2">
        <f>+B111</f>
        <v>215161.21681507939</v>
      </c>
      <c r="C120" s="84">
        <v>0.3009</v>
      </c>
      <c r="D120" s="2">
        <f>+C120*B120</f>
        <v>64742.010139657388</v>
      </c>
    </row>
    <row r="121" spans="1:11" x14ac:dyDescent="0.25">
      <c r="A121" s="2" t="s">
        <v>513</v>
      </c>
      <c r="B121" s="2">
        <f>+B113</f>
        <v>348234.63137755101</v>
      </c>
      <c r="C121" s="84">
        <v>0.3009</v>
      </c>
      <c r="D121" s="18">
        <f>+C121*B121</f>
        <v>104783.8005815051</v>
      </c>
    </row>
    <row r="122" spans="1:11" x14ac:dyDescent="0.25">
      <c r="A122" s="2" t="s">
        <v>1247</v>
      </c>
      <c r="C122" s="84"/>
      <c r="D122" s="2">
        <f>SUM(D117:D121)</f>
        <v>1018365.0492661453</v>
      </c>
    </row>
    <row r="123" spans="1:11" x14ac:dyDescent="0.25">
      <c r="C123" s="84"/>
    </row>
    <row r="124" spans="1:11" ht="12.6" customHeight="1" x14ac:dyDescent="0.3">
      <c r="A124" s="54" t="s">
        <v>985</v>
      </c>
      <c r="C124" s="84"/>
      <c r="E124" s="2">
        <v>671386.84</v>
      </c>
      <c r="F124" s="2">
        <v>800700</v>
      </c>
      <c r="G124" s="2">
        <v>814800</v>
      </c>
      <c r="H124" s="2">
        <v>816700</v>
      </c>
      <c r="I124" s="2">
        <v>816700</v>
      </c>
      <c r="J124" s="2">
        <v>808231</v>
      </c>
    </row>
    <row r="125" spans="1:11" ht="12.6" customHeight="1" x14ac:dyDescent="0.25">
      <c r="A125" s="2" t="s">
        <v>1919</v>
      </c>
      <c r="B125" s="2">
        <v>28</v>
      </c>
      <c r="C125" s="2">
        <v>19025</v>
      </c>
      <c r="D125" s="2">
        <f>+B125*C125</f>
        <v>532700</v>
      </c>
    </row>
    <row r="126" spans="1:11" ht="12.6" customHeight="1" x14ac:dyDescent="0.25">
      <c r="A126" s="2" t="s">
        <v>1920</v>
      </c>
      <c r="B126" s="2">
        <v>9</v>
      </c>
      <c r="C126" s="2">
        <v>22159</v>
      </c>
      <c r="D126" s="2">
        <f>+B126*C126</f>
        <v>199431</v>
      </c>
    </row>
    <row r="127" spans="1:11" ht="12.6" customHeight="1" x14ac:dyDescent="0.4">
      <c r="A127" s="2" t="s">
        <v>299</v>
      </c>
      <c r="B127" s="2">
        <v>4</v>
      </c>
      <c r="C127" s="2">
        <v>19025</v>
      </c>
      <c r="D127" s="11">
        <f>+B127*C127</f>
        <v>76100</v>
      </c>
    </row>
    <row r="128" spans="1:11" ht="12.6" customHeight="1" x14ac:dyDescent="0.25">
      <c r="A128" s="2" t="s">
        <v>801</v>
      </c>
      <c r="D128" s="2">
        <f>SUM(D125:D127)</f>
        <v>808231</v>
      </c>
    </row>
    <row r="129" spans="1:10" ht="12.6" customHeight="1" x14ac:dyDescent="0.25"/>
    <row r="130" spans="1:10" ht="12.6" customHeight="1" x14ac:dyDescent="0.3">
      <c r="A130" s="54" t="s">
        <v>986</v>
      </c>
      <c r="E130" s="2">
        <v>42834.92</v>
      </c>
      <c r="F130" s="2">
        <v>48490</v>
      </c>
      <c r="G130" s="2">
        <v>49796</v>
      </c>
      <c r="H130" s="2">
        <v>50355</v>
      </c>
      <c r="I130" s="2">
        <v>50355</v>
      </c>
      <c r="J130" s="2">
        <v>50355</v>
      </c>
    </row>
    <row r="131" spans="1:10" ht="12.6" customHeight="1" x14ac:dyDescent="0.25">
      <c r="A131" s="2" t="s">
        <v>298</v>
      </c>
      <c r="B131" s="2">
        <v>37</v>
      </c>
      <c r="C131" s="2">
        <v>1350</v>
      </c>
      <c r="D131" s="2">
        <f>+B131*C131</f>
        <v>49950</v>
      </c>
    </row>
    <row r="132" spans="1:10" ht="12.6" customHeight="1" x14ac:dyDescent="0.25">
      <c r="A132" s="2" t="s">
        <v>299</v>
      </c>
      <c r="B132" s="2">
        <v>4</v>
      </c>
      <c r="C132" s="2">
        <v>1350</v>
      </c>
      <c r="D132" s="2">
        <f>+B132*C132</f>
        <v>5400</v>
      </c>
    </row>
    <row r="133" spans="1:10" ht="12.6" customHeight="1" x14ac:dyDescent="0.25">
      <c r="A133" s="2" t="s">
        <v>227</v>
      </c>
      <c r="D133" s="18">
        <f>+C132*-0.1*37</f>
        <v>-4995</v>
      </c>
    </row>
    <row r="134" spans="1:10" ht="12.6" customHeight="1" x14ac:dyDescent="0.25">
      <c r="A134" s="280" t="s">
        <v>801</v>
      </c>
      <c r="D134" s="2">
        <f>SUM(D131:D133)</f>
        <v>50355</v>
      </c>
    </row>
    <row r="135" spans="1:10" ht="12.6" customHeight="1" x14ac:dyDescent="0.25"/>
    <row r="136" spans="1:10" ht="12.6" customHeight="1" x14ac:dyDescent="0.3">
      <c r="A136" s="54" t="s">
        <v>987</v>
      </c>
      <c r="E136" s="2">
        <v>2798.22</v>
      </c>
      <c r="F136" s="2">
        <v>2735</v>
      </c>
      <c r="G136" s="2">
        <v>2735</v>
      </c>
      <c r="H136" s="2">
        <v>2735</v>
      </c>
      <c r="I136" s="2">
        <v>2735</v>
      </c>
      <c r="J136" s="2">
        <v>2735</v>
      </c>
    </row>
    <row r="137" spans="1:10" ht="12.6" hidden="1" customHeight="1" x14ac:dyDescent="0.25">
      <c r="A137" s="2" t="s">
        <v>223</v>
      </c>
      <c r="B137" s="2">
        <v>4</v>
      </c>
      <c r="C137" s="2">
        <v>135</v>
      </c>
      <c r="D137" s="2">
        <f>+C137*B137</f>
        <v>540</v>
      </c>
    </row>
    <row r="138" spans="1:10" ht="12.6" hidden="1" customHeight="1" x14ac:dyDescent="0.25">
      <c r="A138" s="2" t="s">
        <v>1822</v>
      </c>
      <c r="B138" s="2">
        <v>9</v>
      </c>
      <c r="C138" s="2">
        <v>135</v>
      </c>
      <c r="D138" s="2">
        <f>+C138*B138</f>
        <v>1215</v>
      </c>
    </row>
    <row r="139" spans="1:10" ht="12.6" hidden="1" customHeight="1" x14ac:dyDescent="0.4">
      <c r="A139" s="2" t="s">
        <v>1406</v>
      </c>
      <c r="B139" s="2">
        <v>28</v>
      </c>
      <c r="C139" s="2">
        <v>35</v>
      </c>
      <c r="D139" s="11">
        <f>+B139*C139</f>
        <v>980</v>
      </c>
    </row>
    <row r="140" spans="1:10" ht="12.6" hidden="1" customHeight="1" x14ac:dyDescent="0.25">
      <c r="A140" s="2" t="s">
        <v>1247</v>
      </c>
      <c r="D140" s="2">
        <f>SUM(D137:D139)</f>
        <v>2735</v>
      </c>
    </row>
    <row r="141" spans="1:10" ht="13.2" customHeight="1" x14ac:dyDescent="0.25"/>
    <row r="142" spans="1:10" ht="15" customHeight="1" x14ac:dyDescent="0.3">
      <c r="A142" s="54" t="s">
        <v>211</v>
      </c>
      <c r="E142" s="2">
        <v>19073.29</v>
      </c>
      <c r="F142" s="2">
        <v>25830</v>
      </c>
      <c r="G142" s="2">
        <v>24600</v>
      </c>
      <c r="H142" s="2">
        <v>24600</v>
      </c>
      <c r="I142" s="2">
        <v>24600</v>
      </c>
      <c r="J142" s="2">
        <v>24600</v>
      </c>
    </row>
    <row r="143" spans="1:10" ht="13.2" hidden="1" customHeight="1" x14ac:dyDescent="0.25">
      <c r="A143" s="2" t="s">
        <v>223</v>
      </c>
      <c r="B143" s="2">
        <v>4</v>
      </c>
      <c r="C143" s="2">
        <v>600</v>
      </c>
      <c r="D143" s="2">
        <f>+C143*B143</f>
        <v>2400</v>
      </c>
    </row>
    <row r="144" spans="1:10" ht="12.6" hidden="1" customHeight="1" x14ac:dyDescent="0.4">
      <c r="A144" s="2" t="s">
        <v>1406</v>
      </c>
      <c r="B144" s="2">
        <v>37</v>
      </c>
      <c r="C144" s="2">
        <v>600</v>
      </c>
      <c r="D144" s="11">
        <f>+C144*B144</f>
        <v>22200</v>
      </c>
    </row>
    <row r="145" spans="1:10" hidden="1" x14ac:dyDescent="0.25">
      <c r="A145" s="2" t="s">
        <v>1247</v>
      </c>
      <c r="D145" s="2">
        <f>SUM(D143:D144)</f>
        <v>24600</v>
      </c>
    </row>
    <row r="147" spans="1:10" ht="13.8" x14ac:dyDescent="0.3">
      <c r="A147" s="54" t="s">
        <v>285</v>
      </c>
      <c r="E147" s="2">
        <v>99774.9</v>
      </c>
      <c r="F147" s="2">
        <v>137699</v>
      </c>
      <c r="G147" s="2">
        <v>199670</v>
      </c>
      <c r="H147" s="2">
        <v>198612</v>
      </c>
      <c r="I147" s="2">
        <v>197756</v>
      </c>
      <c r="J147" s="2">
        <v>202820</v>
      </c>
    </row>
    <row r="148" spans="1:10" x14ac:dyDescent="0.25">
      <c r="A148" s="52" t="s">
        <v>896</v>
      </c>
      <c r="B148" s="2">
        <f>+D9</f>
        <v>49608</v>
      </c>
      <c r="C148" s="14">
        <v>1.5E-3</v>
      </c>
      <c r="D148" s="2">
        <f t="shared" ref="D148:D153" si="4">+C148*B148</f>
        <v>74.412000000000006</v>
      </c>
    </row>
    <row r="149" spans="1:10" x14ac:dyDescent="0.25">
      <c r="A149" s="52" t="s">
        <v>1468</v>
      </c>
      <c r="B149" s="2">
        <f>+D28</f>
        <v>1041701.8976</v>
      </c>
      <c r="C149" s="14">
        <v>5.8000000000000003E-2</v>
      </c>
      <c r="D149" s="2">
        <f t="shared" si="4"/>
        <v>60418.710060800004</v>
      </c>
    </row>
    <row r="150" spans="1:10" x14ac:dyDescent="0.25">
      <c r="A150" s="52" t="s">
        <v>807</v>
      </c>
      <c r="B150" s="2">
        <f>+D62</f>
        <v>1760883.7619047619</v>
      </c>
      <c r="C150" s="14">
        <v>5.8000000000000003E-2</v>
      </c>
      <c r="D150" s="12">
        <f>+C150*B150-3</f>
        <v>102128.25819047619</v>
      </c>
    </row>
    <row r="151" spans="1:10" x14ac:dyDescent="0.25">
      <c r="A151" s="52" t="s">
        <v>1982</v>
      </c>
      <c r="B151" s="2">
        <f>+B120</f>
        <v>215161.21681507939</v>
      </c>
      <c r="C151" s="14">
        <v>5.8000000000000003E-2</v>
      </c>
      <c r="D151" s="2">
        <f t="shared" si="4"/>
        <v>12479.350575274606</v>
      </c>
    </row>
    <row r="152" spans="1:10" x14ac:dyDescent="0.25">
      <c r="A152" s="52" t="s">
        <v>184</v>
      </c>
      <c r="B152" s="2">
        <f>+D91</f>
        <v>130191.67999999999</v>
      </c>
      <c r="C152" s="14">
        <v>5.8000000000000003E-2</v>
      </c>
      <c r="D152" s="2">
        <f t="shared" si="4"/>
        <v>7551.11744</v>
      </c>
    </row>
    <row r="153" spans="1:10" ht="15" x14ac:dyDescent="0.4">
      <c r="A153" s="52" t="s">
        <v>1983</v>
      </c>
      <c r="B153" s="2">
        <f>+B121</f>
        <v>348234.63137755101</v>
      </c>
      <c r="C153" s="14">
        <v>5.8000000000000003E-2</v>
      </c>
      <c r="D153" s="11">
        <f t="shared" si="4"/>
        <v>20197.608619897961</v>
      </c>
    </row>
    <row r="154" spans="1:10" x14ac:dyDescent="0.25">
      <c r="A154" s="2" t="s">
        <v>1247</v>
      </c>
      <c r="C154" s="14"/>
      <c r="D154" s="2">
        <f>SUM(D148:D153)-29</f>
        <v>202820.45688644878</v>
      </c>
    </row>
    <row r="156" spans="1:10" ht="13.2" customHeight="1" x14ac:dyDescent="0.3">
      <c r="A156" s="54" t="s">
        <v>148</v>
      </c>
      <c r="E156" s="2">
        <v>1124.22</v>
      </c>
      <c r="F156" s="2">
        <v>1422</v>
      </c>
      <c r="G156" s="2">
        <v>1434</v>
      </c>
      <c r="H156" s="2">
        <v>1401</v>
      </c>
      <c r="I156" s="2">
        <v>1401</v>
      </c>
      <c r="J156" s="2">
        <v>1401</v>
      </c>
    </row>
    <row r="157" spans="1:10" ht="13.2" hidden="1" customHeight="1" x14ac:dyDescent="0.25">
      <c r="A157" s="52" t="s">
        <v>330</v>
      </c>
      <c r="B157" s="2">
        <v>1</v>
      </c>
      <c r="C157" s="2">
        <v>26</v>
      </c>
      <c r="D157" s="2">
        <f>ROUND(B157*C157,0)</f>
        <v>26</v>
      </c>
    </row>
    <row r="158" spans="1:10" ht="13.2" hidden="1" customHeight="1" x14ac:dyDescent="0.25">
      <c r="A158" s="52" t="s">
        <v>331</v>
      </c>
      <c r="B158" s="2">
        <v>12</v>
      </c>
      <c r="C158" s="2">
        <v>26</v>
      </c>
      <c r="D158" s="2">
        <f t="shared" ref="D158:D163" si="5">ROUND(B158*C158,0)</f>
        <v>312</v>
      </c>
    </row>
    <row r="159" spans="1:10" ht="13.2" hidden="1" customHeight="1" x14ac:dyDescent="0.25">
      <c r="A159" s="52" t="s">
        <v>332</v>
      </c>
      <c r="B159" s="2">
        <v>28</v>
      </c>
      <c r="C159" s="2">
        <v>26</v>
      </c>
      <c r="D159" s="2">
        <f t="shared" si="5"/>
        <v>728</v>
      </c>
    </row>
    <row r="160" spans="1:10" ht="13.2" hidden="1" customHeight="1" x14ac:dyDescent="0.25">
      <c r="A160" s="2" t="s">
        <v>333</v>
      </c>
      <c r="B160" s="2">
        <v>2</v>
      </c>
      <c r="C160" s="2">
        <v>26</v>
      </c>
      <c r="D160" s="2">
        <f t="shared" si="5"/>
        <v>52</v>
      </c>
    </row>
    <row r="161" spans="1:10" ht="15" hidden="1" customHeight="1" x14ac:dyDescent="0.25">
      <c r="A161" s="2" t="s">
        <v>838</v>
      </c>
      <c r="B161" s="2">
        <v>1</v>
      </c>
      <c r="C161" s="2">
        <v>26</v>
      </c>
      <c r="D161" s="2">
        <f t="shared" si="5"/>
        <v>26</v>
      </c>
    </row>
    <row r="162" spans="1:10" ht="13.2" hidden="1" customHeight="1" x14ac:dyDescent="0.25">
      <c r="A162" s="52" t="s">
        <v>107</v>
      </c>
      <c r="B162" s="2">
        <v>1</v>
      </c>
      <c r="C162" s="2">
        <v>26</v>
      </c>
      <c r="D162" s="2">
        <f t="shared" si="5"/>
        <v>26</v>
      </c>
    </row>
    <row r="163" spans="1:10" ht="13.2" hidden="1" customHeight="1" x14ac:dyDescent="0.4">
      <c r="A163" s="52" t="s">
        <v>1507</v>
      </c>
      <c r="B163" s="2">
        <f>+D91-D86</f>
        <v>129021.68</v>
      </c>
      <c r="C163" s="14">
        <v>1.8E-3</v>
      </c>
      <c r="D163" s="11">
        <f t="shared" si="5"/>
        <v>232</v>
      </c>
    </row>
    <row r="164" spans="1:10" ht="13.2" hidden="1" customHeight="1" x14ac:dyDescent="0.25">
      <c r="A164" s="2" t="s">
        <v>1247</v>
      </c>
      <c r="D164" s="2">
        <f>SUM(D157:D163)</f>
        <v>1402</v>
      </c>
    </row>
    <row r="165" spans="1:10" ht="13.2" customHeight="1" x14ac:dyDescent="0.25">
      <c r="G165" s="3"/>
      <c r="H165" s="3"/>
      <c r="I165" s="3"/>
      <c r="J165" s="3"/>
    </row>
    <row r="166" spans="1:10" ht="12.6" customHeight="1" x14ac:dyDescent="0.25">
      <c r="A166" s="2" t="s">
        <v>2299</v>
      </c>
      <c r="G166" s="3">
        <v>417150</v>
      </c>
      <c r="H166" s="3">
        <v>0</v>
      </c>
      <c r="I166" s="3">
        <v>0</v>
      </c>
      <c r="J166" s="3">
        <v>0</v>
      </c>
    </row>
    <row r="167" spans="1:10" ht="12.6" customHeight="1" x14ac:dyDescent="0.25">
      <c r="G167" s="3"/>
      <c r="H167" s="3"/>
      <c r="I167" s="3"/>
      <c r="J167" s="3"/>
    </row>
    <row r="168" spans="1:10" ht="12.6" customHeight="1" x14ac:dyDescent="0.25">
      <c r="G168" s="3"/>
      <c r="H168" s="3"/>
      <c r="I168" s="3"/>
      <c r="J168" s="3"/>
    </row>
    <row r="169" spans="1:10" ht="13.8" x14ac:dyDescent="0.3">
      <c r="A169" s="54" t="s">
        <v>1508</v>
      </c>
      <c r="E169" s="2">
        <v>3254.65</v>
      </c>
      <c r="F169" s="2">
        <v>5300</v>
      </c>
      <c r="G169" s="3">
        <v>5300</v>
      </c>
      <c r="H169" s="3">
        <v>5300</v>
      </c>
      <c r="I169" s="3">
        <v>5300</v>
      </c>
      <c r="J169" s="3">
        <v>5300</v>
      </c>
    </row>
    <row r="170" spans="1:10" x14ac:dyDescent="0.25">
      <c r="A170" s="2" t="s">
        <v>1422</v>
      </c>
      <c r="G170" s="3"/>
      <c r="H170" s="3"/>
      <c r="I170" s="3"/>
      <c r="J170" s="3"/>
    </row>
    <row r="171" spans="1:10" x14ac:dyDescent="0.25">
      <c r="A171" s="2" t="s">
        <v>1076</v>
      </c>
      <c r="D171" s="2">
        <v>4500</v>
      </c>
      <c r="G171" s="3"/>
      <c r="H171" s="3"/>
      <c r="I171" s="3"/>
      <c r="J171" s="3"/>
    </row>
    <row r="172" spans="1:10" ht="15" x14ac:dyDescent="0.4">
      <c r="A172" s="2" t="s">
        <v>2020</v>
      </c>
      <c r="D172" s="11">
        <v>800</v>
      </c>
      <c r="G172" s="3"/>
      <c r="H172" s="3"/>
      <c r="I172" s="3"/>
      <c r="J172" s="3"/>
    </row>
    <row r="173" spans="1:10" x14ac:dyDescent="0.25">
      <c r="A173" s="24" t="s">
        <v>1247</v>
      </c>
      <c r="D173" s="2">
        <f>SUM(D171:D172)</f>
        <v>5300</v>
      </c>
      <c r="G173" s="3"/>
      <c r="H173" s="3"/>
      <c r="I173" s="3"/>
      <c r="J173" s="3"/>
    </row>
    <row r="174" spans="1:10" x14ac:dyDescent="0.25">
      <c r="G174" s="3"/>
      <c r="H174" s="3"/>
      <c r="I174" s="3"/>
      <c r="J174" s="3"/>
    </row>
    <row r="175" spans="1:10" ht="13.8" x14ac:dyDescent="0.3">
      <c r="A175" s="54" t="s">
        <v>1423</v>
      </c>
      <c r="E175" s="2">
        <v>4735.7</v>
      </c>
      <c r="F175" s="2">
        <v>5000</v>
      </c>
      <c r="G175" s="3">
        <v>5000</v>
      </c>
      <c r="H175" s="3">
        <v>5000</v>
      </c>
      <c r="I175" s="3">
        <v>5000</v>
      </c>
      <c r="J175" s="3">
        <v>5000</v>
      </c>
    </row>
    <row r="176" spans="1:10" x14ac:dyDescent="0.25">
      <c r="A176" s="2" t="s">
        <v>634</v>
      </c>
      <c r="D176" s="2">
        <v>3500</v>
      </c>
      <c r="G176" s="3"/>
      <c r="H176" s="3"/>
      <c r="I176" s="3"/>
      <c r="J176" s="3"/>
    </row>
    <row r="177" spans="1:10" x14ac:dyDescent="0.25">
      <c r="A177" s="2" t="s">
        <v>1437</v>
      </c>
      <c r="D177" s="2">
        <v>200</v>
      </c>
      <c r="G177" s="3"/>
      <c r="H177" s="3"/>
      <c r="I177" s="3"/>
      <c r="J177" s="3"/>
    </row>
    <row r="178" spans="1:10" x14ac:dyDescent="0.25">
      <c r="A178" s="2" t="s">
        <v>1438</v>
      </c>
      <c r="D178" s="2">
        <v>200</v>
      </c>
      <c r="G178" s="3"/>
      <c r="H178" s="3"/>
      <c r="I178" s="3"/>
      <c r="J178" s="3"/>
    </row>
    <row r="179" spans="1:10" ht="15" x14ac:dyDescent="0.4">
      <c r="A179" s="2" t="s">
        <v>1439</v>
      </c>
      <c r="C179" s="11"/>
      <c r="D179" s="2">
        <v>100</v>
      </c>
      <c r="G179" s="3"/>
      <c r="H179" s="3"/>
      <c r="I179" s="3"/>
      <c r="J179" s="3"/>
    </row>
    <row r="180" spans="1:10" ht="15" x14ac:dyDescent="0.4">
      <c r="A180" s="2" t="s">
        <v>1440</v>
      </c>
      <c r="C180" s="11"/>
      <c r="D180" s="11">
        <v>1000</v>
      </c>
      <c r="G180" s="3"/>
      <c r="H180" s="3"/>
      <c r="I180" s="3"/>
      <c r="J180" s="3"/>
    </row>
    <row r="181" spans="1:10" x14ac:dyDescent="0.25">
      <c r="A181" s="24" t="s">
        <v>1247</v>
      </c>
      <c r="D181" s="2">
        <f>SUM(D176:D180)</f>
        <v>5000</v>
      </c>
      <c r="G181" s="3"/>
      <c r="H181" s="3"/>
      <c r="I181" s="3"/>
      <c r="J181" s="3"/>
    </row>
    <row r="182" spans="1:10" x14ac:dyDescent="0.25">
      <c r="G182" s="3"/>
      <c r="H182" s="3"/>
      <c r="I182" s="3"/>
      <c r="J182" s="3"/>
    </row>
    <row r="183" spans="1:10" ht="15" x14ac:dyDescent="0.4">
      <c r="A183" s="54" t="s">
        <v>217</v>
      </c>
      <c r="D183" s="11"/>
      <c r="E183" s="2">
        <v>35908.76</v>
      </c>
      <c r="F183" s="2">
        <v>33030</v>
      </c>
      <c r="G183" s="3">
        <v>34690</v>
      </c>
      <c r="H183" s="3">
        <v>34690</v>
      </c>
      <c r="I183" s="3">
        <v>34690</v>
      </c>
      <c r="J183" s="3">
        <v>34690</v>
      </c>
    </row>
    <row r="184" spans="1:10" x14ac:dyDescent="0.25">
      <c r="A184" s="2" t="s">
        <v>1511</v>
      </c>
      <c r="B184" s="2">
        <v>12</v>
      </c>
      <c r="C184" s="2">
        <v>1300</v>
      </c>
      <c r="D184" s="2">
        <f t="shared" ref="D184:D191" si="6">C184*B184</f>
        <v>15600</v>
      </c>
      <c r="G184" s="3"/>
      <c r="H184" s="3"/>
      <c r="I184" s="3"/>
      <c r="J184" s="3"/>
    </row>
    <row r="185" spans="1:10" x14ac:dyDescent="0.25">
      <c r="A185" s="167" t="s">
        <v>2265</v>
      </c>
      <c r="B185" s="167">
        <v>16</v>
      </c>
      <c r="C185" s="167">
        <v>240</v>
      </c>
      <c r="D185" s="167">
        <f t="shared" si="6"/>
        <v>3840</v>
      </c>
      <c r="G185" s="3"/>
      <c r="H185" s="3"/>
      <c r="I185" s="3"/>
      <c r="J185" s="3"/>
    </row>
    <row r="186" spans="1:10" x14ac:dyDescent="0.25">
      <c r="A186" s="167" t="s">
        <v>1867</v>
      </c>
      <c r="B186" s="167">
        <v>25</v>
      </c>
      <c r="C186" s="167">
        <v>120</v>
      </c>
      <c r="D186" s="167">
        <f t="shared" si="6"/>
        <v>3000</v>
      </c>
      <c r="G186" s="3"/>
      <c r="H186" s="3"/>
      <c r="I186" s="3"/>
      <c r="J186" s="3"/>
    </row>
    <row r="187" spans="1:10" x14ac:dyDescent="0.25">
      <c r="A187" s="167" t="s">
        <v>1868</v>
      </c>
      <c r="B187" s="167">
        <v>9</v>
      </c>
      <c r="C187" s="167">
        <v>400</v>
      </c>
      <c r="D187" s="167">
        <f t="shared" si="6"/>
        <v>3600</v>
      </c>
      <c r="G187" s="3"/>
      <c r="H187" s="3"/>
      <c r="I187" s="3"/>
      <c r="J187" s="3"/>
    </row>
    <row r="188" spans="1:10" x14ac:dyDescent="0.25">
      <c r="A188" s="2" t="s">
        <v>1633</v>
      </c>
      <c r="B188" s="2">
        <v>1</v>
      </c>
      <c r="C188" s="2">
        <v>550</v>
      </c>
      <c r="D188" s="167">
        <f t="shared" si="6"/>
        <v>550</v>
      </c>
      <c r="G188" s="3"/>
      <c r="H188" s="3"/>
      <c r="I188" s="3"/>
      <c r="J188" s="3"/>
    </row>
    <row r="189" spans="1:10" x14ac:dyDescent="0.25">
      <c r="A189" s="2" t="s">
        <v>2266</v>
      </c>
      <c r="B189" s="2">
        <v>1</v>
      </c>
      <c r="C189" s="2">
        <v>700</v>
      </c>
      <c r="D189" s="167">
        <f t="shared" si="6"/>
        <v>700</v>
      </c>
      <c r="G189" s="3"/>
      <c r="H189" s="3"/>
      <c r="I189" s="3"/>
      <c r="J189" s="3"/>
    </row>
    <row r="190" spans="1:10" x14ac:dyDescent="0.25">
      <c r="A190" s="2" t="s">
        <v>1998</v>
      </c>
      <c r="B190" s="2">
        <v>10</v>
      </c>
      <c r="C190" s="2">
        <v>80</v>
      </c>
      <c r="D190" s="167">
        <f t="shared" si="6"/>
        <v>800</v>
      </c>
      <c r="G190" s="3"/>
      <c r="H190" s="3"/>
      <c r="I190" s="3"/>
      <c r="J190" s="3"/>
    </row>
    <row r="191" spans="1:10" x14ac:dyDescent="0.25">
      <c r="A191" s="2" t="s">
        <v>2111</v>
      </c>
      <c r="B191" s="2">
        <v>2</v>
      </c>
      <c r="C191" s="2">
        <v>400</v>
      </c>
      <c r="D191" s="167">
        <f t="shared" si="6"/>
        <v>800</v>
      </c>
      <c r="G191" s="3"/>
      <c r="H191" s="3"/>
      <c r="I191" s="3"/>
      <c r="J191" s="3"/>
    </row>
    <row r="192" spans="1:10" x14ac:dyDescent="0.25">
      <c r="A192" s="2" t="s">
        <v>1512</v>
      </c>
      <c r="D192" s="2">
        <v>5700</v>
      </c>
      <c r="G192" s="3"/>
      <c r="H192" s="3"/>
      <c r="I192" s="3"/>
      <c r="J192" s="3"/>
    </row>
    <row r="193" spans="1:10" ht="15" x14ac:dyDescent="0.4">
      <c r="A193" s="2" t="s">
        <v>1634</v>
      </c>
      <c r="C193" s="11"/>
      <c r="D193" s="35">
        <v>100</v>
      </c>
      <c r="G193" s="3"/>
      <c r="H193" s="3"/>
      <c r="I193" s="3"/>
      <c r="J193" s="3"/>
    </row>
    <row r="194" spans="1:10" x14ac:dyDescent="0.25">
      <c r="A194" s="24" t="s">
        <v>1247</v>
      </c>
      <c r="D194" s="2">
        <f>SUM(D184:D193)</f>
        <v>34690</v>
      </c>
      <c r="G194" s="3"/>
      <c r="H194" s="3"/>
      <c r="I194" s="3"/>
      <c r="J194" s="3"/>
    </row>
    <row r="195" spans="1:10" x14ac:dyDescent="0.25">
      <c r="G195" s="3"/>
      <c r="H195" s="3"/>
      <c r="I195" s="3"/>
      <c r="J195" s="3"/>
    </row>
    <row r="196" spans="1:10" ht="13.8" x14ac:dyDescent="0.3">
      <c r="A196" s="54" t="s">
        <v>839</v>
      </c>
      <c r="E196" s="2">
        <v>71483.820000000007</v>
      </c>
      <c r="F196" s="2">
        <v>76815</v>
      </c>
      <c r="G196" s="3">
        <v>75235</v>
      </c>
      <c r="H196" s="3">
        <v>75235</v>
      </c>
      <c r="I196" s="3">
        <v>75235</v>
      </c>
      <c r="J196" s="3">
        <v>75235</v>
      </c>
    </row>
    <row r="197" spans="1:10" x14ac:dyDescent="0.25">
      <c r="A197" s="1" t="s">
        <v>954</v>
      </c>
      <c r="B197" s="8" t="s">
        <v>244</v>
      </c>
      <c r="C197" s="8" t="s">
        <v>1635</v>
      </c>
      <c r="D197" s="8"/>
      <c r="G197" s="3"/>
      <c r="H197" s="3"/>
      <c r="I197" s="3"/>
      <c r="J197" s="3"/>
    </row>
    <row r="198" spans="1:10" x14ac:dyDescent="0.25">
      <c r="A198" s="2" t="s">
        <v>245</v>
      </c>
      <c r="B198" s="2">
        <v>3</v>
      </c>
      <c r="C198" s="2">
        <v>900</v>
      </c>
      <c r="D198" s="2">
        <f>C198*B198</f>
        <v>2700</v>
      </c>
      <c r="G198" s="3"/>
      <c r="H198" s="3"/>
      <c r="I198" s="3"/>
      <c r="J198" s="3"/>
    </row>
    <row r="199" spans="1:10" x14ac:dyDescent="0.25">
      <c r="A199" s="2" t="s">
        <v>1923</v>
      </c>
      <c r="B199" s="2">
        <v>9</v>
      </c>
      <c r="C199" s="2">
        <v>900</v>
      </c>
      <c r="D199" s="167">
        <f t="shared" ref="D199:D209" si="7">C199*B199</f>
        <v>8100</v>
      </c>
      <c r="E199" s="1"/>
      <c r="G199" s="3"/>
      <c r="H199" s="3"/>
      <c r="I199" s="3"/>
      <c r="J199" s="3"/>
    </row>
    <row r="200" spans="1:10" x14ac:dyDescent="0.25">
      <c r="A200" s="2" t="s">
        <v>2021</v>
      </c>
      <c r="B200" s="2">
        <v>28</v>
      </c>
      <c r="C200" s="2">
        <v>850</v>
      </c>
      <c r="D200" s="167">
        <f t="shared" si="7"/>
        <v>23800</v>
      </c>
      <c r="G200" s="3"/>
      <c r="H200" s="3"/>
      <c r="I200" s="3"/>
      <c r="J200" s="3"/>
    </row>
    <row r="201" spans="1:10" x14ac:dyDescent="0.25">
      <c r="A201" s="2" t="s">
        <v>1995</v>
      </c>
      <c r="B201" s="2">
        <v>5</v>
      </c>
      <c r="C201" s="2">
        <v>300</v>
      </c>
      <c r="D201" s="167">
        <f t="shared" si="7"/>
        <v>1500</v>
      </c>
      <c r="G201" s="3"/>
      <c r="H201" s="3"/>
      <c r="I201" s="3"/>
      <c r="J201" s="3"/>
    </row>
    <row r="202" spans="1:10" x14ac:dyDescent="0.25">
      <c r="A202" s="53" t="s">
        <v>246</v>
      </c>
      <c r="B202" s="2">
        <v>6</v>
      </c>
      <c r="C202" s="2">
        <v>250</v>
      </c>
      <c r="D202" s="167">
        <f t="shared" si="7"/>
        <v>1500</v>
      </c>
      <c r="G202" s="3"/>
      <c r="H202" s="3"/>
      <c r="I202" s="3"/>
      <c r="J202" s="3"/>
    </row>
    <row r="203" spans="1:10" x14ac:dyDescent="0.25">
      <c r="A203" s="2" t="s">
        <v>2000</v>
      </c>
      <c r="B203" s="2">
        <v>5</v>
      </c>
      <c r="C203" s="2">
        <v>645</v>
      </c>
      <c r="D203" s="167">
        <f t="shared" si="7"/>
        <v>3225</v>
      </c>
      <c r="G203" s="3"/>
      <c r="H203" s="3"/>
      <c r="I203" s="3"/>
      <c r="J203" s="3"/>
    </row>
    <row r="204" spans="1:10" x14ac:dyDescent="0.25">
      <c r="A204" s="2" t="s">
        <v>1999</v>
      </c>
      <c r="B204" s="2">
        <v>12</v>
      </c>
      <c r="C204" s="2">
        <v>2200</v>
      </c>
      <c r="D204" s="167">
        <f t="shared" si="7"/>
        <v>26400</v>
      </c>
      <c r="G204" s="3"/>
      <c r="H204" s="3"/>
      <c r="I204" s="3"/>
      <c r="J204" s="3"/>
    </row>
    <row r="205" spans="1:10" x14ac:dyDescent="0.25">
      <c r="A205" s="167" t="s">
        <v>2001</v>
      </c>
      <c r="B205" s="167">
        <v>0</v>
      </c>
      <c r="C205" s="167">
        <v>1100</v>
      </c>
      <c r="D205" s="167">
        <f t="shared" si="7"/>
        <v>0</v>
      </c>
      <c r="G205" s="3"/>
      <c r="H205" s="3"/>
      <c r="I205" s="3"/>
      <c r="J205" s="3"/>
    </row>
    <row r="206" spans="1:10" x14ac:dyDescent="0.25">
      <c r="A206" s="2" t="s">
        <v>1567</v>
      </c>
      <c r="B206" s="2">
        <v>15</v>
      </c>
      <c r="C206" s="2">
        <v>250</v>
      </c>
      <c r="D206" s="167">
        <f t="shared" si="7"/>
        <v>3750</v>
      </c>
      <c r="G206" s="3"/>
      <c r="H206" s="3"/>
      <c r="I206" s="3"/>
      <c r="J206" s="3"/>
    </row>
    <row r="207" spans="1:10" x14ac:dyDescent="0.25">
      <c r="A207" s="2" t="s">
        <v>363</v>
      </c>
      <c r="B207" s="2">
        <v>1</v>
      </c>
      <c r="C207" s="2">
        <v>1760</v>
      </c>
      <c r="D207" s="167">
        <f t="shared" si="7"/>
        <v>1760</v>
      </c>
      <c r="G207" s="3"/>
      <c r="H207" s="3"/>
      <c r="I207" s="3"/>
      <c r="J207" s="3"/>
    </row>
    <row r="208" spans="1:10" x14ac:dyDescent="0.25">
      <c r="A208" s="2" t="s">
        <v>1996</v>
      </c>
      <c r="B208" s="2">
        <v>4</v>
      </c>
      <c r="C208" s="2">
        <v>500</v>
      </c>
      <c r="D208" s="167">
        <f t="shared" si="7"/>
        <v>2000</v>
      </c>
      <c r="G208" s="3"/>
      <c r="H208" s="3"/>
      <c r="I208" s="3"/>
      <c r="J208" s="3"/>
    </row>
    <row r="209" spans="1:10" ht="15" x14ac:dyDescent="0.4">
      <c r="A209" s="2" t="s">
        <v>364</v>
      </c>
      <c r="B209" s="2">
        <v>1</v>
      </c>
      <c r="C209" s="2">
        <v>500</v>
      </c>
      <c r="D209" s="171">
        <f t="shared" si="7"/>
        <v>500</v>
      </c>
      <c r="G209" s="3"/>
      <c r="H209" s="3"/>
      <c r="I209" s="3"/>
      <c r="J209" s="3"/>
    </row>
    <row r="210" spans="1:10" x14ac:dyDescent="0.25">
      <c r="A210" s="24" t="s">
        <v>1247</v>
      </c>
      <c r="D210" s="2">
        <f>SUM(D198:D209)</f>
        <v>75235</v>
      </c>
      <c r="G210" s="3"/>
      <c r="H210" s="3"/>
      <c r="I210" s="3"/>
      <c r="J210" s="3"/>
    </row>
    <row r="211" spans="1:10" x14ac:dyDescent="0.25">
      <c r="G211" s="3"/>
      <c r="H211" s="3"/>
      <c r="I211" s="3"/>
      <c r="J211" s="3"/>
    </row>
    <row r="212" spans="1:10" ht="13.8" x14ac:dyDescent="0.3">
      <c r="A212" s="54" t="s">
        <v>955</v>
      </c>
      <c r="E212" s="2">
        <v>203.68</v>
      </c>
      <c r="F212" s="2">
        <v>500</v>
      </c>
      <c r="G212" s="3">
        <v>500</v>
      </c>
      <c r="H212" s="3">
        <v>500</v>
      </c>
      <c r="I212" s="3">
        <v>500</v>
      </c>
      <c r="J212" s="3">
        <v>500</v>
      </c>
    </row>
    <row r="213" spans="1:10" x14ac:dyDescent="0.25">
      <c r="A213" s="2" t="s">
        <v>1636</v>
      </c>
      <c r="D213" s="2">
        <v>400</v>
      </c>
    </row>
    <row r="214" spans="1:10" ht="15" x14ac:dyDescent="0.4">
      <c r="A214" s="2" t="s">
        <v>365</v>
      </c>
      <c r="D214" s="11">
        <v>100</v>
      </c>
      <c r="G214" s="3"/>
      <c r="H214" s="3"/>
      <c r="I214" s="3"/>
      <c r="J214" s="3"/>
    </row>
    <row r="215" spans="1:10" x14ac:dyDescent="0.25">
      <c r="A215" s="24" t="s">
        <v>1247</v>
      </c>
      <c r="D215" s="2">
        <f>SUM(D213:D214)</f>
        <v>500</v>
      </c>
      <c r="G215" s="3"/>
      <c r="H215" s="3"/>
      <c r="I215" s="3"/>
      <c r="J215" s="3"/>
    </row>
    <row r="216" spans="1:10" ht="13.8" x14ac:dyDescent="0.3">
      <c r="A216" s="54" t="s">
        <v>630</v>
      </c>
      <c r="E216" s="2">
        <v>75.45</v>
      </c>
      <c r="F216" s="2">
        <v>185</v>
      </c>
      <c r="G216" s="3">
        <v>140</v>
      </c>
      <c r="H216" s="3">
        <v>140</v>
      </c>
      <c r="I216" s="3">
        <v>140</v>
      </c>
      <c r="J216" s="3">
        <v>140</v>
      </c>
    </row>
    <row r="217" spans="1:10" x14ac:dyDescent="0.25">
      <c r="A217" s="2" t="s">
        <v>1539</v>
      </c>
      <c r="B217" s="2" t="s">
        <v>396</v>
      </c>
      <c r="D217" s="2">
        <v>140</v>
      </c>
      <c r="G217" s="3"/>
      <c r="H217" s="3"/>
      <c r="I217" s="3"/>
      <c r="J217" s="3"/>
    </row>
    <row r="218" spans="1:10" x14ac:dyDescent="0.25">
      <c r="G218" s="3"/>
      <c r="H218" s="3"/>
      <c r="I218" s="3"/>
      <c r="J218" s="3"/>
    </row>
    <row r="219" spans="1:10" ht="13.8" x14ac:dyDescent="0.3">
      <c r="A219" s="54" t="s">
        <v>970</v>
      </c>
      <c r="C219" s="4"/>
      <c r="E219" s="2">
        <v>24828.19</v>
      </c>
      <c r="F219" s="2">
        <v>25700</v>
      </c>
      <c r="G219" s="3">
        <v>25700</v>
      </c>
      <c r="H219" s="3">
        <v>25700</v>
      </c>
      <c r="I219" s="3">
        <v>25700</v>
      </c>
      <c r="J219" s="3">
        <v>25700</v>
      </c>
    </row>
    <row r="220" spans="1:10" x14ac:dyDescent="0.25">
      <c r="A220" s="2" t="s">
        <v>366</v>
      </c>
      <c r="C220" s="12"/>
      <c r="D220" s="2">
        <v>1300</v>
      </c>
      <c r="G220" s="3"/>
      <c r="H220" s="3"/>
      <c r="I220" s="3"/>
      <c r="J220" s="3"/>
    </row>
    <row r="221" spans="1:10" x14ac:dyDescent="0.25">
      <c r="A221" s="2" t="s">
        <v>110</v>
      </c>
      <c r="C221" s="12"/>
      <c r="D221" s="2">
        <v>5150</v>
      </c>
      <c r="G221" s="3"/>
      <c r="H221" s="3"/>
      <c r="I221" s="3"/>
      <c r="J221" s="3"/>
    </row>
    <row r="222" spans="1:10" ht="15" x14ac:dyDescent="0.4">
      <c r="A222" s="2" t="s">
        <v>111</v>
      </c>
      <c r="B222" s="11"/>
      <c r="C222" s="12"/>
      <c r="D222" s="11">
        <v>19250</v>
      </c>
      <c r="G222" s="3"/>
      <c r="H222" s="3"/>
      <c r="I222" s="3"/>
      <c r="J222" s="3"/>
    </row>
    <row r="223" spans="1:10" x14ac:dyDescent="0.25">
      <c r="A223" s="24" t="s">
        <v>1247</v>
      </c>
      <c r="B223" s="1"/>
      <c r="C223" s="12"/>
      <c r="D223" s="2">
        <f>SUM(D220:D222)</f>
        <v>25700</v>
      </c>
      <c r="G223" s="3"/>
      <c r="H223" s="3"/>
      <c r="I223" s="3"/>
      <c r="J223" s="3"/>
    </row>
    <row r="224" spans="1:10" x14ac:dyDescent="0.25">
      <c r="C224" s="12"/>
      <c r="G224" s="3"/>
      <c r="H224" s="3"/>
      <c r="I224" s="3"/>
      <c r="J224" s="3"/>
    </row>
    <row r="225" spans="1:10" ht="13.8" x14ac:dyDescent="0.3">
      <c r="A225" s="54" t="s">
        <v>1038</v>
      </c>
      <c r="C225" s="37"/>
      <c r="E225" s="2">
        <v>15680.05</v>
      </c>
      <c r="F225" s="2">
        <v>13750</v>
      </c>
      <c r="G225" s="3">
        <v>13750</v>
      </c>
      <c r="H225" s="3">
        <v>13750</v>
      </c>
      <c r="I225" s="3">
        <v>13750</v>
      </c>
      <c r="J225" s="3">
        <v>13750</v>
      </c>
    </row>
    <row r="226" spans="1:10" x14ac:dyDescent="0.25">
      <c r="A226" s="2" t="s">
        <v>366</v>
      </c>
      <c r="C226" s="12"/>
      <c r="D226" s="2">
        <v>2400</v>
      </c>
      <c r="G226" s="3"/>
      <c r="H226" s="3"/>
      <c r="I226" s="3"/>
      <c r="J226" s="3"/>
    </row>
    <row r="227" spans="1:10" x14ac:dyDescent="0.25">
      <c r="A227" s="2" t="s">
        <v>110</v>
      </c>
      <c r="C227" s="12"/>
      <c r="D227" s="2">
        <v>2400</v>
      </c>
      <c r="G227" s="3"/>
      <c r="H227" s="3"/>
      <c r="I227" s="3"/>
      <c r="J227" s="3"/>
    </row>
    <row r="228" spans="1:10" ht="15" x14ac:dyDescent="0.4">
      <c r="A228" s="2" t="s">
        <v>111</v>
      </c>
      <c r="C228" s="12"/>
      <c r="D228" s="11">
        <v>8950</v>
      </c>
      <c r="G228" s="3"/>
      <c r="H228" s="3"/>
      <c r="I228" s="3"/>
      <c r="J228" s="3"/>
    </row>
    <row r="229" spans="1:10" x14ac:dyDescent="0.25">
      <c r="A229" s="24" t="s">
        <v>1247</v>
      </c>
      <c r="D229" s="2">
        <f>SUM(D226:D228)</f>
        <v>13750</v>
      </c>
      <c r="G229" s="3"/>
      <c r="H229" s="3"/>
      <c r="I229" s="3"/>
      <c r="J229" s="3"/>
    </row>
    <row r="230" spans="1:10" x14ac:dyDescent="0.25">
      <c r="C230" s="12"/>
      <c r="G230" s="3"/>
      <c r="H230" s="3"/>
      <c r="I230" s="3"/>
      <c r="J230" s="3"/>
    </row>
    <row r="231" spans="1:10" ht="13.8" x14ac:dyDescent="0.3">
      <c r="A231" s="54" t="s">
        <v>1280</v>
      </c>
      <c r="C231" s="12"/>
      <c r="E231" s="2">
        <v>2478.06</v>
      </c>
      <c r="F231" s="2">
        <v>2650</v>
      </c>
      <c r="G231" s="3">
        <v>2725</v>
      </c>
      <c r="H231" s="3">
        <v>2725</v>
      </c>
      <c r="I231" s="3">
        <v>2725</v>
      </c>
      <c r="J231" s="3">
        <v>2725</v>
      </c>
    </row>
    <row r="232" spans="1:10" x14ac:dyDescent="0.25">
      <c r="A232" s="2" t="s">
        <v>328</v>
      </c>
      <c r="C232" s="12"/>
      <c r="D232" s="2">
        <v>2725</v>
      </c>
      <c r="G232" s="3"/>
      <c r="H232" s="3"/>
      <c r="I232" s="3"/>
      <c r="J232" s="3"/>
    </row>
    <row r="233" spans="1:10" x14ac:dyDescent="0.25">
      <c r="C233" s="12"/>
      <c r="G233" s="3"/>
      <c r="H233" s="3"/>
      <c r="I233" s="3"/>
      <c r="J233" s="3"/>
    </row>
    <row r="234" spans="1:10" ht="13.8" x14ac:dyDescent="0.3">
      <c r="A234" s="54" t="s">
        <v>1281</v>
      </c>
      <c r="C234" s="12"/>
      <c r="E234" s="2">
        <v>839</v>
      </c>
      <c r="F234" s="2">
        <v>726</v>
      </c>
      <c r="G234" s="3">
        <v>942</v>
      </c>
      <c r="H234" s="3">
        <v>942</v>
      </c>
      <c r="I234" s="3">
        <v>942</v>
      </c>
      <c r="J234" s="3">
        <v>942</v>
      </c>
    </row>
    <row r="235" spans="1:10" x14ac:dyDescent="0.25">
      <c r="A235" s="2" t="s">
        <v>366</v>
      </c>
      <c r="C235" s="12"/>
      <c r="D235" s="2">
        <f>264+50</f>
        <v>314</v>
      </c>
      <c r="G235" s="3"/>
      <c r="H235" s="3"/>
      <c r="I235" s="3"/>
      <c r="J235" s="3"/>
    </row>
    <row r="236" spans="1:10" x14ac:dyDescent="0.25">
      <c r="A236" s="2" t="s">
        <v>110</v>
      </c>
      <c r="C236" s="12"/>
      <c r="D236" s="2">
        <f>264+50</f>
        <v>314</v>
      </c>
      <c r="G236" s="3"/>
      <c r="H236" s="3"/>
      <c r="I236" s="3"/>
      <c r="J236" s="3"/>
    </row>
    <row r="237" spans="1:10" ht="15" x14ac:dyDescent="0.4">
      <c r="A237" s="2" t="s">
        <v>111</v>
      </c>
      <c r="C237" s="12"/>
      <c r="D237" s="11">
        <f>264+50</f>
        <v>314</v>
      </c>
      <c r="G237" s="3"/>
      <c r="H237" s="3"/>
      <c r="I237" s="3"/>
      <c r="J237" s="3"/>
    </row>
    <row r="238" spans="1:10" x14ac:dyDescent="0.25">
      <c r="A238" s="24" t="s">
        <v>1247</v>
      </c>
      <c r="C238" s="12"/>
      <c r="D238" s="2">
        <f>SUM(D235:D237)</f>
        <v>942</v>
      </c>
      <c r="G238" s="3"/>
      <c r="H238" s="3"/>
      <c r="I238" s="3"/>
      <c r="J238" s="3"/>
    </row>
    <row r="239" spans="1:10" x14ac:dyDescent="0.25">
      <c r="C239" s="12"/>
      <c r="G239" s="3"/>
      <c r="H239" s="3"/>
      <c r="I239" s="3"/>
      <c r="J239" s="3"/>
    </row>
    <row r="240" spans="1:10" ht="13.8" x14ac:dyDescent="0.3">
      <c r="A240" s="54" t="s">
        <v>1282</v>
      </c>
      <c r="B240" s="4" t="s">
        <v>599</v>
      </c>
      <c r="C240" s="37" t="s">
        <v>600</v>
      </c>
      <c r="D240" s="4" t="s">
        <v>1247</v>
      </c>
      <c r="E240" s="2">
        <v>32785.81</v>
      </c>
      <c r="F240" s="2">
        <v>37855</v>
      </c>
      <c r="G240" s="3">
        <v>38912.1</v>
      </c>
      <c r="H240" s="3">
        <v>38912</v>
      </c>
      <c r="I240" s="3">
        <v>38912</v>
      </c>
      <c r="J240" s="3">
        <v>38912</v>
      </c>
    </row>
    <row r="241" spans="1:10" x14ac:dyDescent="0.25">
      <c r="A241" s="2" t="s">
        <v>1283</v>
      </c>
      <c r="B241" s="2">
        <v>11500</v>
      </c>
      <c r="C241" s="12">
        <v>2.88</v>
      </c>
      <c r="D241" s="2">
        <f>+C241*B241</f>
        <v>33120</v>
      </c>
      <c r="G241" s="3"/>
      <c r="H241" s="3"/>
      <c r="I241" s="3"/>
      <c r="J241" s="3"/>
    </row>
    <row r="242" spans="1:10" ht="15" x14ac:dyDescent="0.4">
      <c r="A242" s="2" t="s">
        <v>329</v>
      </c>
      <c r="B242" s="2">
        <v>2245</v>
      </c>
      <c r="C242" s="12">
        <v>2.58</v>
      </c>
      <c r="D242" s="11">
        <f>+C242*B242</f>
        <v>5792.1</v>
      </c>
      <c r="G242" s="3"/>
      <c r="H242" s="3"/>
      <c r="I242" s="3"/>
      <c r="J242" s="3"/>
    </row>
    <row r="243" spans="1:10" x14ac:dyDescent="0.25">
      <c r="A243" s="24" t="s">
        <v>1247</v>
      </c>
      <c r="C243" s="12"/>
      <c r="D243" s="2">
        <f>SUM(D241:D242)</f>
        <v>38912.1</v>
      </c>
      <c r="G243" s="3"/>
      <c r="H243" s="3"/>
      <c r="I243" s="3"/>
      <c r="J243" s="3"/>
    </row>
    <row r="244" spans="1:10" x14ac:dyDescent="0.25">
      <c r="A244" s="24"/>
      <c r="C244" s="12"/>
      <c r="G244" s="3"/>
      <c r="H244" s="3"/>
      <c r="I244" s="3"/>
      <c r="J244" s="3"/>
    </row>
    <row r="245" spans="1:10" x14ac:dyDescent="0.25">
      <c r="G245" s="3"/>
      <c r="H245" s="3"/>
      <c r="I245" s="3"/>
      <c r="J245" s="3"/>
    </row>
    <row r="246" spans="1:10" ht="13.8" x14ac:dyDescent="0.3">
      <c r="A246" s="54" t="s">
        <v>523</v>
      </c>
      <c r="E246" s="2">
        <v>14363.43</v>
      </c>
      <c r="F246" s="2">
        <v>15531</v>
      </c>
      <c r="G246" s="3">
        <v>15131</v>
      </c>
      <c r="H246" s="3">
        <v>15131</v>
      </c>
      <c r="I246" s="3">
        <v>15131</v>
      </c>
      <c r="J246" s="3">
        <v>15131</v>
      </c>
    </row>
    <row r="247" spans="1:10" x14ac:dyDescent="0.25">
      <c r="A247" s="2" t="s">
        <v>1769</v>
      </c>
      <c r="D247" s="2">
        <v>4250</v>
      </c>
    </row>
    <row r="248" spans="1:10" x14ac:dyDescent="0.25">
      <c r="A248" s="2" t="s">
        <v>1637</v>
      </c>
      <c r="B248" s="2">
        <v>2</v>
      </c>
      <c r="C248" s="2">
        <v>165</v>
      </c>
      <c r="D248" s="2">
        <f>C248*B248</f>
        <v>330</v>
      </c>
    </row>
    <row r="249" spans="1:10" x14ac:dyDescent="0.25">
      <c r="A249" s="2" t="s">
        <v>1638</v>
      </c>
      <c r="B249" s="2">
        <v>1</v>
      </c>
      <c r="C249" s="2">
        <v>1161</v>
      </c>
      <c r="D249" s="2">
        <f>C249*B249</f>
        <v>1161</v>
      </c>
    </row>
    <row r="250" spans="1:10" x14ac:dyDescent="0.25">
      <c r="A250" s="2" t="s">
        <v>1526</v>
      </c>
      <c r="B250" s="2">
        <v>1</v>
      </c>
      <c r="C250" s="2">
        <v>1020</v>
      </c>
      <c r="D250" s="2">
        <f t="shared" ref="D250:D259" si="8">C250*B250</f>
        <v>1020</v>
      </c>
    </row>
    <row r="251" spans="1:10" x14ac:dyDescent="0.25">
      <c r="A251" s="2" t="s">
        <v>1527</v>
      </c>
      <c r="B251" s="2">
        <v>2</v>
      </c>
      <c r="C251" s="2">
        <v>1020</v>
      </c>
      <c r="D251" s="2">
        <f t="shared" si="8"/>
        <v>2040</v>
      </c>
    </row>
    <row r="252" spans="1:10" x14ac:dyDescent="0.25">
      <c r="A252" s="2" t="s">
        <v>1770</v>
      </c>
      <c r="B252" s="2">
        <v>0</v>
      </c>
      <c r="C252" s="2">
        <v>480</v>
      </c>
      <c r="D252" s="2">
        <f t="shared" si="8"/>
        <v>0</v>
      </c>
    </row>
    <row r="253" spans="1:10" x14ac:dyDescent="0.25">
      <c r="A253" s="2" t="s">
        <v>883</v>
      </c>
      <c r="B253" s="2">
        <v>1</v>
      </c>
      <c r="C253" s="2">
        <v>480</v>
      </c>
      <c r="D253" s="2">
        <f t="shared" si="8"/>
        <v>480</v>
      </c>
    </row>
    <row r="254" spans="1:10" x14ac:dyDescent="0.25">
      <c r="A254" s="2" t="s">
        <v>884</v>
      </c>
      <c r="B254" s="2">
        <v>1</v>
      </c>
      <c r="C254" s="2">
        <v>480</v>
      </c>
      <c r="D254" s="2">
        <f t="shared" si="8"/>
        <v>480</v>
      </c>
    </row>
    <row r="255" spans="1:10" x14ac:dyDescent="0.25">
      <c r="A255" s="2" t="s">
        <v>1639</v>
      </c>
      <c r="B255" s="2">
        <v>3</v>
      </c>
      <c r="C255" s="2">
        <v>630</v>
      </c>
      <c r="D255" s="2">
        <f t="shared" si="8"/>
        <v>1890</v>
      </c>
    </row>
    <row r="256" spans="1:10" x14ac:dyDescent="0.25">
      <c r="A256" s="2" t="s">
        <v>1640</v>
      </c>
      <c r="B256" s="2">
        <v>2</v>
      </c>
      <c r="C256" s="2">
        <v>1020</v>
      </c>
      <c r="D256" s="2">
        <f t="shared" si="8"/>
        <v>2040</v>
      </c>
    </row>
    <row r="257" spans="1:10" x14ac:dyDescent="0.25">
      <c r="A257" s="2" t="s">
        <v>1641</v>
      </c>
      <c r="B257" s="2">
        <v>1</v>
      </c>
      <c r="C257" s="2">
        <v>480</v>
      </c>
      <c r="D257" s="2">
        <f t="shared" si="8"/>
        <v>480</v>
      </c>
    </row>
    <row r="258" spans="1:10" x14ac:dyDescent="0.25">
      <c r="A258" s="2" t="s">
        <v>1642</v>
      </c>
      <c r="B258" s="2">
        <v>1</v>
      </c>
      <c r="C258" s="2">
        <v>480</v>
      </c>
      <c r="D258" s="2">
        <f t="shared" si="8"/>
        <v>480</v>
      </c>
      <c r="G258" s="3"/>
      <c r="H258" s="3"/>
      <c r="I258" s="3"/>
      <c r="J258" s="3"/>
    </row>
    <row r="259" spans="1:10" ht="15" x14ac:dyDescent="0.4">
      <c r="A259" s="2" t="s">
        <v>1643</v>
      </c>
      <c r="B259" s="2">
        <v>1</v>
      </c>
      <c r="C259" s="2">
        <v>480</v>
      </c>
      <c r="D259" s="11">
        <f t="shared" si="8"/>
        <v>480</v>
      </c>
      <c r="G259" s="3"/>
      <c r="H259" s="3"/>
      <c r="I259" s="3"/>
      <c r="J259" s="3"/>
    </row>
    <row r="260" spans="1:10" x14ac:dyDescent="0.25">
      <c r="A260" s="24" t="s">
        <v>1247</v>
      </c>
      <c r="D260" s="2">
        <f>SUM(D247:D259)</f>
        <v>15131</v>
      </c>
      <c r="G260" s="3"/>
      <c r="H260" s="3"/>
      <c r="I260" s="3"/>
      <c r="J260" s="3"/>
    </row>
    <row r="261" spans="1:10" x14ac:dyDescent="0.25">
      <c r="G261" s="3"/>
      <c r="H261" s="3"/>
      <c r="I261" s="3"/>
      <c r="J261" s="3"/>
    </row>
    <row r="262" spans="1:10" ht="13.8" x14ac:dyDescent="0.3">
      <c r="A262" s="54" t="s">
        <v>1075</v>
      </c>
      <c r="B262" s="8"/>
      <c r="C262" s="8"/>
      <c r="D262" s="8"/>
      <c r="E262" s="2">
        <v>5789.5</v>
      </c>
      <c r="F262" s="2">
        <v>7565</v>
      </c>
      <c r="G262" s="3">
        <v>7865</v>
      </c>
      <c r="H262" s="3">
        <v>7865</v>
      </c>
      <c r="I262" s="3">
        <v>7865</v>
      </c>
      <c r="J262" s="3">
        <v>7865</v>
      </c>
    </row>
    <row r="263" spans="1:10" x14ac:dyDescent="0.25">
      <c r="A263" s="2" t="s">
        <v>1498</v>
      </c>
      <c r="B263" s="2">
        <v>65</v>
      </c>
      <c r="C263" s="2">
        <v>15</v>
      </c>
      <c r="D263" s="2">
        <f>C263*B263</f>
        <v>975</v>
      </c>
      <c r="G263" s="3"/>
      <c r="H263" s="3"/>
      <c r="I263" s="3"/>
      <c r="J263" s="3"/>
    </row>
    <row r="264" spans="1:10" x14ac:dyDescent="0.25">
      <c r="A264" s="2" t="s">
        <v>94</v>
      </c>
      <c r="D264" s="2">
        <f t="shared" ref="D264:D275" si="9">C264*B264</f>
        <v>0</v>
      </c>
      <c r="G264" s="3"/>
      <c r="H264" s="3"/>
      <c r="I264" s="3"/>
      <c r="J264" s="3"/>
    </row>
    <row r="265" spans="1:10" ht="26.4" x14ac:dyDescent="0.25">
      <c r="A265" s="219" t="s">
        <v>2116</v>
      </c>
      <c r="B265" s="2">
        <v>46</v>
      </c>
      <c r="C265" s="2">
        <v>15</v>
      </c>
      <c r="D265" s="2">
        <f t="shared" si="9"/>
        <v>690</v>
      </c>
      <c r="G265" s="3"/>
      <c r="H265" s="3"/>
      <c r="I265" s="3"/>
      <c r="J265" s="3"/>
    </row>
    <row r="266" spans="1:10" x14ac:dyDescent="0.25">
      <c r="A266" s="2" t="s">
        <v>375</v>
      </c>
      <c r="B266" s="2">
        <v>10</v>
      </c>
      <c r="C266" s="2">
        <v>20</v>
      </c>
      <c r="D266" s="2">
        <f t="shared" si="9"/>
        <v>200</v>
      </c>
      <c r="G266" s="3"/>
      <c r="H266" s="3"/>
      <c r="I266" s="3"/>
      <c r="J266" s="3"/>
    </row>
    <row r="267" spans="1:10" x14ac:dyDescent="0.25">
      <c r="A267" s="2" t="s">
        <v>1419</v>
      </c>
      <c r="B267" s="2">
        <v>3</v>
      </c>
      <c r="C267" s="2">
        <v>300</v>
      </c>
      <c r="D267" s="2">
        <f t="shared" si="9"/>
        <v>900</v>
      </c>
      <c r="G267" s="3"/>
      <c r="H267" s="3"/>
      <c r="I267" s="3"/>
      <c r="J267" s="3"/>
    </row>
    <row r="268" spans="1:10" x14ac:dyDescent="0.25">
      <c r="A268" s="2" t="s">
        <v>376</v>
      </c>
      <c r="B268" s="2">
        <v>2</v>
      </c>
      <c r="C268" s="2">
        <v>50</v>
      </c>
      <c r="D268" s="2">
        <f t="shared" si="9"/>
        <v>100</v>
      </c>
      <c r="G268" s="3"/>
      <c r="H268" s="3"/>
      <c r="I268" s="3"/>
      <c r="J268" s="3"/>
    </row>
    <row r="269" spans="1:10" x14ac:dyDescent="0.25">
      <c r="A269" s="2" t="s">
        <v>377</v>
      </c>
      <c r="B269" s="2">
        <v>1</v>
      </c>
      <c r="C269" s="2">
        <v>150</v>
      </c>
      <c r="D269" s="2">
        <f t="shared" si="9"/>
        <v>150</v>
      </c>
      <c r="G269" s="3"/>
      <c r="H269" s="3"/>
      <c r="I269" s="3"/>
      <c r="J269" s="3"/>
    </row>
    <row r="270" spans="1:10" x14ac:dyDescent="0.25">
      <c r="A270" s="2" t="s">
        <v>2267</v>
      </c>
      <c r="B270" s="2">
        <v>1</v>
      </c>
      <c r="C270" s="2">
        <v>800</v>
      </c>
      <c r="D270" s="2">
        <f t="shared" si="9"/>
        <v>800</v>
      </c>
      <c r="G270" s="3"/>
      <c r="H270" s="3"/>
      <c r="I270" s="3"/>
      <c r="J270" s="3"/>
    </row>
    <row r="271" spans="1:10" x14ac:dyDescent="0.25">
      <c r="A271" s="2" t="s">
        <v>1371</v>
      </c>
      <c r="B271" s="2">
        <v>1</v>
      </c>
      <c r="C271" s="2">
        <v>100</v>
      </c>
      <c r="D271" s="2">
        <f t="shared" si="9"/>
        <v>100</v>
      </c>
      <c r="G271" s="3"/>
      <c r="H271" s="3"/>
      <c r="I271" s="3"/>
      <c r="J271" s="3"/>
    </row>
    <row r="272" spans="1:10" x14ac:dyDescent="0.25">
      <c r="A272" s="2" t="s">
        <v>1771</v>
      </c>
      <c r="B272" s="2">
        <v>1</v>
      </c>
      <c r="C272" s="2">
        <v>50</v>
      </c>
      <c r="D272" s="2">
        <f t="shared" si="9"/>
        <v>50</v>
      </c>
      <c r="G272" s="3"/>
      <c r="H272" s="3"/>
      <c r="I272" s="3"/>
      <c r="J272" s="3"/>
    </row>
    <row r="273" spans="1:10" x14ac:dyDescent="0.25">
      <c r="A273" s="2" t="s">
        <v>1372</v>
      </c>
      <c r="B273" s="2">
        <v>1</v>
      </c>
      <c r="C273" s="2">
        <v>3400</v>
      </c>
      <c r="D273" s="2">
        <f t="shared" si="9"/>
        <v>3400</v>
      </c>
      <c r="G273" s="3"/>
      <c r="H273" s="3"/>
      <c r="I273" s="3"/>
      <c r="J273" s="3"/>
    </row>
    <row r="274" spans="1:10" x14ac:dyDescent="0.25">
      <c r="A274" s="2" t="s">
        <v>1772</v>
      </c>
      <c r="B274" s="2">
        <v>0</v>
      </c>
      <c r="C274" s="2">
        <v>300</v>
      </c>
      <c r="D274" s="2">
        <f t="shared" si="9"/>
        <v>0</v>
      </c>
      <c r="G274" s="3"/>
      <c r="H274" s="3"/>
      <c r="I274" s="3"/>
      <c r="J274" s="3"/>
    </row>
    <row r="275" spans="1:10" ht="15" x14ac:dyDescent="0.4">
      <c r="A275" s="2" t="s">
        <v>38</v>
      </c>
      <c r="B275" s="2">
        <v>1</v>
      </c>
      <c r="C275" s="2">
        <v>500</v>
      </c>
      <c r="D275" s="11">
        <f t="shared" si="9"/>
        <v>500</v>
      </c>
      <c r="G275" s="3"/>
      <c r="H275" s="3"/>
      <c r="I275" s="3"/>
      <c r="J275" s="3"/>
    </row>
    <row r="276" spans="1:10" x14ac:dyDescent="0.25">
      <c r="A276" s="24" t="s">
        <v>1247</v>
      </c>
      <c r="D276" s="2">
        <f>SUM(D263:D275)</f>
        <v>7865</v>
      </c>
      <c r="G276" s="3"/>
      <c r="H276" s="3"/>
      <c r="I276" s="3"/>
      <c r="J276" s="3"/>
    </row>
    <row r="277" spans="1:10" x14ac:dyDescent="0.25">
      <c r="G277" s="3"/>
      <c r="H277" s="3"/>
      <c r="I277" s="3"/>
      <c r="J277" s="3"/>
    </row>
    <row r="278" spans="1:10" ht="13.8" x14ac:dyDescent="0.3">
      <c r="A278" s="54" t="s">
        <v>641</v>
      </c>
      <c r="E278" s="2">
        <v>41648.11</v>
      </c>
      <c r="F278" s="2">
        <v>44115</v>
      </c>
      <c r="G278" s="3">
        <v>42069</v>
      </c>
      <c r="H278" s="3">
        <v>42069</v>
      </c>
      <c r="I278" s="3">
        <v>42069</v>
      </c>
      <c r="J278" s="3">
        <v>42069</v>
      </c>
    </row>
    <row r="279" spans="1:10" x14ac:dyDescent="0.25">
      <c r="A279" s="2" t="s">
        <v>1061</v>
      </c>
      <c r="D279" s="2">
        <v>42069</v>
      </c>
      <c r="G279" s="3"/>
      <c r="H279" s="3"/>
      <c r="I279" s="3"/>
      <c r="J279" s="3"/>
    </row>
    <row r="280" spans="1:10" x14ac:dyDescent="0.25">
      <c r="G280" s="3"/>
      <c r="H280" s="3"/>
      <c r="I280" s="3"/>
      <c r="J280" s="3"/>
    </row>
    <row r="281" spans="1:10" ht="13.8" x14ac:dyDescent="0.3">
      <c r="A281" s="54" t="s">
        <v>1305</v>
      </c>
      <c r="B281" s="19"/>
      <c r="C281" s="19"/>
      <c r="D281" s="19"/>
      <c r="E281" s="2">
        <v>1848.02</v>
      </c>
      <c r="F281" s="2">
        <v>2250</v>
      </c>
      <c r="G281" s="3">
        <v>2250</v>
      </c>
      <c r="H281" s="3">
        <v>2250</v>
      </c>
      <c r="I281" s="3">
        <v>2250</v>
      </c>
      <c r="J281" s="3">
        <v>2250</v>
      </c>
    </row>
    <row r="282" spans="1:10" ht="26.4" x14ac:dyDescent="0.25">
      <c r="A282" s="218" t="s">
        <v>116</v>
      </c>
      <c r="B282" s="2">
        <v>1</v>
      </c>
      <c r="C282" s="2">
        <v>250</v>
      </c>
      <c r="D282" s="2">
        <f>C282*B282</f>
        <v>250</v>
      </c>
      <c r="G282" s="3"/>
      <c r="H282" s="3"/>
      <c r="I282" s="3"/>
      <c r="J282" s="3"/>
    </row>
    <row r="283" spans="1:10" ht="15" x14ac:dyDescent="0.4">
      <c r="A283" s="2" t="s">
        <v>1568</v>
      </c>
      <c r="B283" s="2">
        <v>2</v>
      </c>
      <c r="C283" s="11">
        <v>1000</v>
      </c>
      <c r="D283" s="11">
        <f>C283*B283</f>
        <v>2000</v>
      </c>
      <c r="G283" s="3"/>
      <c r="H283" s="3"/>
      <c r="I283" s="3"/>
      <c r="J283" s="3"/>
    </row>
    <row r="284" spans="1:10" x14ac:dyDescent="0.25">
      <c r="A284" s="24" t="s">
        <v>1247</v>
      </c>
      <c r="D284" s="2">
        <f>SUM(D282:D283)</f>
        <v>2250</v>
      </c>
      <c r="G284" s="3"/>
      <c r="H284" s="3"/>
      <c r="I284" s="3"/>
      <c r="J284" s="3"/>
    </row>
    <row r="285" spans="1:10" x14ac:dyDescent="0.25">
      <c r="A285" s="2" t="s">
        <v>396</v>
      </c>
      <c r="G285" s="3"/>
      <c r="H285" s="3"/>
      <c r="I285" s="3"/>
      <c r="J285" s="3"/>
    </row>
    <row r="286" spans="1:10" ht="13.8" x14ac:dyDescent="0.3">
      <c r="A286" s="54" t="s">
        <v>1306</v>
      </c>
      <c r="B286" s="8"/>
      <c r="C286" s="8"/>
      <c r="D286" s="8"/>
      <c r="E286" s="2">
        <v>11026.34</v>
      </c>
      <c r="F286" s="2">
        <v>12525</v>
      </c>
      <c r="G286" s="3">
        <v>21525</v>
      </c>
      <c r="H286" s="3">
        <v>21525</v>
      </c>
      <c r="I286" s="3">
        <v>16525</v>
      </c>
      <c r="J286" s="3">
        <v>16525</v>
      </c>
    </row>
    <row r="287" spans="1:10" ht="13.8" x14ac:dyDescent="0.3">
      <c r="A287" s="55" t="s">
        <v>39</v>
      </c>
      <c r="C287" s="8"/>
      <c r="D287" s="8"/>
      <c r="G287" s="3"/>
      <c r="H287" s="3"/>
      <c r="I287" s="3"/>
      <c r="J287" s="3"/>
    </row>
    <row r="288" spans="1:10" x14ac:dyDescent="0.25">
      <c r="A288" s="2" t="s">
        <v>362</v>
      </c>
      <c r="B288" s="2">
        <v>1</v>
      </c>
      <c r="C288" s="8">
        <v>1700</v>
      </c>
      <c r="D288" s="8">
        <f>C288*B288</f>
        <v>1700</v>
      </c>
      <c r="G288" s="3"/>
      <c r="H288" s="3"/>
      <c r="I288" s="3"/>
      <c r="J288" s="3"/>
    </row>
    <row r="289" spans="1:10" x14ac:dyDescent="0.25">
      <c r="A289" s="2" t="s">
        <v>40</v>
      </c>
      <c r="B289" s="2">
        <v>1</v>
      </c>
      <c r="C289" s="8">
        <v>1200</v>
      </c>
      <c r="D289" s="8">
        <f t="shared" ref="D289:D296" si="10">C289*B289</f>
        <v>1200</v>
      </c>
      <c r="G289" s="3"/>
      <c r="H289" s="3"/>
      <c r="I289" s="3"/>
      <c r="J289" s="3"/>
    </row>
    <row r="290" spans="1:10" x14ac:dyDescent="0.25">
      <c r="A290" s="2" t="s">
        <v>41</v>
      </c>
      <c r="B290" s="2">
        <v>1</v>
      </c>
      <c r="C290" s="8">
        <v>2500</v>
      </c>
      <c r="D290" s="8">
        <f t="shared" si="10"/>
        <v>2500</v>
      </c>
      <c r="G290" s="3"/>
      <c r="H290" s="3"/>
      <c r="I290" s="3"/>
      <c r="J290" s="3"/>
    </row>
    <row r="291" spans="1:10" x14ac:dyDescent="0.25">
      <c r="A291" s="2" t="s">
        <v>1644</v>
      </c>
      <c r="B291" s="2">
        <v>1</v>
      </c>
      <c r="C291" s="8">
        <v>500</v>
      </c>
      <c r="D291" s="8">
        <f t="shared" si="10"/>
        <v>500</v>
      </c>
      <c r="G291" s="3"/>
      <c r="H291" s="3"/>
      <c r="I291" s="3"/>
      <c r="J291" s="3"/>
    </row>
    <row r="292" spans="1:10" x14ac:dyDescent="0.25">
      <c r="A292" s="2" t="s">
        <v>243</v>
      </c>
      <c r="B292" s="2">
        <v>1</v>
      </c>
      <c r="C292" s="8">
        <v>500</v>
      </c>
      <c r="D292" s="8">
        <f t="shared" si="10"/>
        <v>500</v>
      </c>
      <c r="G292" s="3"/>
      <c r="H292" s="3"/>
      <c r="I292" s="3"/>
      <c r="J292" s="3"/>
    </row>
    <row r="293" spans="1:10" x14ac:dyDescent="0.25">
      <c r="A293" s="2" t="s">
        <v>380</v>
      </c>
      <c r="B293" s="2">
        <v>1</v>
      </c>
      <c r="C293" s="8">
        <v>375</v>
      </c>
      <c r="D293" s="8">
        <f t="shared" si="10"/>
        <v>375</v>
      </c>
      <c r="G293" s="3"/>
      <c r="H293" s="3"/>
      <c r="I293" s="3"/>
      <c r="J293" s="3"/>
    </row>
    <row r="294" spans="1:10" x14ac:dyDescent="0.25">
      <c r="A294" s="167" t="s">
        <v>1869</v>
      </c>
      <c r="B294" s="167">
        <v>1</v>
      </c>
      <c r="C294" s="170">
        <v>4000</v>
      </c>
      <c r="D294" s="8">
        <v>4000</v>
      </c>
      <c r="G294" s="3"/>
      <c r="H294" s="3"/>
      <c r="I294" s="3"/>
      <c r="J294" s="3"/>
    </row>
    <row r="295" spans="1:10" x14ac:dyDescent="0.25">
      <c r="A295" s="2" t="s">
        <v>1569</v>
      </c>
      <c r="B295" s="2">
        <v>12</v>
      </c>
      <c r="C295" s="8">
        <v>200</v>
      </c>
      <c r="D295" s="8">
        <f t="shared" si="10"/>
        <v>2400</v>
      </c>
      <c r="G295" s="3"/>
      <c r="H295" s="3"/>
      <c r="I295" s="3"/>
      <c r="J295" s="3"/>
    </row>
    <row r="296" spans="1:10" x14ac:dyDescent="0.25">
      <c r="A296" s="2" t="s">
        <v>556</v>
      </c>
      <c r="B296" s="2">
        <v>12</v>
      </c>
      <c r="C296" s="8">
        <v>200</v>
      </c>
      <c r="D296" s="8">
        <f t="shared" si="10"/>
        <v>2400</v>
      </c>
      <c r="G296" s="3"/>
      <c r="H296" s="3"/>
      <c r="I296" s="3"/>
      <c r="J296" s="3"/>
    </row>
    <row r="297" spans="1:10" x14ac:dyDescent="0.25">
      <c r="A297" s="2" t="s">
        <v>840</v>
      </c>
      <c r="B297" s="2">
        <v>1</v>
      </c>
      <c r="C297" s="2">
        <v>450</v>
      </c>
      <c r="D297" s="8">
        <f>C297*B297</f>
        <v>450</v>
      </c>
      <c r="G297" s="3"/>
      <c r="H297" s="3"/>
      <c r="I297" s="3"/>
      <c r="J297" s="3"/>
    </row>
    <row r="298" spans="1:10" ht="13.8" x14ac:dyDescent="0.3">
      <c r="A298" s="55" t="s">
        <v>557</v>
      </c>
      <c r="D298" s="8"/>
      <c r="G298" s="3"/>
      <c r="H298" s="3"/>
      <c r="I298" s="3"/>
      <c r="J298" s="3"/>
    </row>
    <row r="299" spans="1:10" ht="13.8" x14ac:dyDescent="0.3">
      <c r="A299" s="55" t="s">
        <v>756</v>
      </c>
      <c r="C299" s="8"/>
      <c r="D299" s="8"/>
      <c r="G299" s="3"/>
      <c r="H299" s="3"/>
      <c r="I299" s="3"/>
      <c r="J299" s="3"/>
    </row>
    <row r="300" spans="1:10" ht="15" x14ac:dyDescent="0.4">
      <c r="A300" s="2" t="s">
        <v>1645</v>
      </c>
      <c r="B300" s="2">
        <v>1</v>
      </c>
      <c r="C300" s="8">
        <v>500</v>
      </c>
      <c r="D300" s="9">
        <f>C300*B300</f>
        <v>500</v>
      </c>
      <c r="G300" s="3"/>
      <c r="H300" s="3"/>
      <c r="I300" s="3"/>
      <c r="J300" s="3"/>
    </row>
    <row r="301" spans="1:10" x14ac:dyDescent="0.25">
      <c r="A301" s="24" t="s">
        <v>1247</v>
      </c>
      <c r="C301" s="8"/>
      <c r="D301" s="8">
        <f>SUM(D288:D300)</f>
        <v>16525</v>
      </c>
      <c r="G301" s="3"/>
      <c r="H301" s="3"/>
      <c r="I301" s="3"/>
      <c r="J301" s="3"/>
    </row>
    <row r="302" spans="1:10" x14ac:dyDescent="0.25">
      <c r="C302" s="8"/>
      <c r="D302" s="8"/>
      <c r="G302" s="3"/>
      <c r="H302" s="3"/>
      <c r="I302" s="3"/>
      <c r="J302" s="3"/>
    </row>
    <row r="303" spans="1:10" ht="13.8" x14ac:dyDescent="0.3">
      <c r="A303" s="54" t="s">
        <v>653</v>
      </c>
      <c r="E303" s="2">
        <v>2290.2600000000002</v>
      </c>
      <c r="F303" s="2">
        <v>7350</v>
      </c>
      <c r="G303" s="3">
        <v>7350</v>
      </c>
      <c r="H303" s="3">
        <v>7350</v>
      </c>
      <c r="I303" s="3">
        <v>7350</v>
      </c>
      <c r="J303" s="3">
        <v>7350</v>
      </c>
    </row>
    <row r="304" spans="1:10" x14ac:dyDescent="0.25">
      <c r="A304" s="2" t="s">
        <v>534</v>
      </c>
      <c r="G304" s="3"/>
      <c r="H304" s="3"/>
      <c r="I304" s="3"/>
      <c r="J304" s="3"/>
    </row>
    <row r="305" spans="1:10" x14ac:dyDescent="0.25">
      <c r="A305" s="2" t="s">
        <v>2268</v>
      </c>
      <c r="D305" s="2">
        <v>2500</v>
      </c>
      <c r="G305" s="3"/>
      <c r="H305" s="3"/>
      <c r="I305" s="3"/>
      <c r="J305" s="3"/>
    </row>
    <row r="306" spans="1:10" x14ac:dyDescent="0.25">
      <c r="A306" s="2" t="s">
        <v>2269</v>
      </c>
      <c r="D306" s="2">
        <v>1300</v>
      </c>
      <c r="G306" s="3"/>
      <c r="H306" s="3"/>
      <c r="I306" s="3"/>
      <c r="J306" s="3"/>
    </row>
    <row r="307" spans="1:10" x14ac:dyDescent="0.25">
      <c r="A307" s="2" t="s">
        <v>535</v>
      </c>
      <c r="D307" s="2">
        <v>1000</v>
      </c>
      <c r="G307" s="3"/>
      <c r="H307" s="3"/>
      <c r="I307" s="3"/>
      <c r="J307" s="3"/>
    </row>
    <row r="308" spans="1:10" ht="15" x14ac:dyDescent="0.4">
      <c r="A308" s="2" t="s">
        <v>2270</v>
      </c>
      <c r="B308" s="2">
        <v>3</v>
      </c>
      <c r="C308" s="2">
        <v>850</v>
      </c>
      <c r="D308" s="11">
        <f>C308*B308</f>
        <v>2550</v>
      </c>
      <c r="G308" s="3"/>
      <c r="H308" s="3"/>
      <c r="I308" s="3"/>
      <c r="J308" s="3"/>
    </row>
    <row r="309" spans="1:10" x14ac:dyDescent="0.25">
      <c r="A309" s="24" t="s">
        <v>1247</v>
      </c>
      <c r="D309" s="2">
        <f>SUM(D305:D308)</f>
        <v>7350</v>
      </c>
      <c r="G309" s="3"/>
      <c r="H309" s="3"/>
      <c r="I309" s="3"/>
      <c r="J309" s="3"/>
    </row>
    <row r="310" spans="1:10" x14ac:dyDescent="0.25">
      <c r="G310" s="3"/>
      <c r="H310" s="3"/>
      <c r="I310" s="3"/>
      <c r="J310" s="3"/>
    </row>
    <row r="311" spans="1:10" ht="13.8" x14ac:dyDescent="0.3">
      <c r="A311" s="54" t="s">
        <v>270</v>
      </c>
      <c r="E311" s="2">
        <v>112426.95</v>
      </c>
      <c r="F311" s="2">
        <v>100300</v>
      </c>
      <c r="G311" s="3">
        <v>118300</v>
      </c>
      <c r="H311" s="3">
        <v>118300</v>
      </c>
      <c r="I311" s="3">
        <v>118300</v>
      </c>
      <c r="J311" s="3">
        <v>118300</v>
      </c>
    </row>
    <row r="312" spans="1:10" x14ac:dyDescent="0.25">
      <c r="A312" s="2" t="s">
        <v>536</v>
      </c>
      <c r="G312" s="3"/>
      <c r="H312" s="3"/>
      <c r="I312" s="3"/>
      <c r="J312" s="3"/>
    </row>
    <row r="313" spans="1:10" x14ac:dyDescent="0.25">
      <c r="A313" s="2" t="s">
        <v>95</v>
      </c>
      <c r="D313" s="2">
        <f>70000+20000</f>
        <v>90000</v>
      </c>
      <c r="G313" s="3"/>
      <c r="H313" s="3"/>
      <c r="I313" s="3"/>
      <c r="J313" s="3"/>
    </row>
    <row r="314" spans="1:10" x14ac:dyDescent="0.25">
      <c r="A314" s="2" t="s">
        <v>2022</v>
      </c>
      <c r="D314" s="2">
        <v>13000</v>
      </c>
      <c r="G314" s="3"/>
      <c r="H314" s="3"/>
      <c r="I314" s="3"/>
      <c r="J314" s="3"/>
    </row>
    <row r="315" spans="1:10" x14ac:dyDescent="0.25">
      <c r="A315" s="2" t="s">
        <v>2023</v>
      </c>
      <c r="D315" s="2">
        <v>0</v>
      </c>
      <c r="G315" s="3"/>
      <c r="H315" s="3"/>
      <c r="I315" s="3"/>
      <c r="J315" s="3"/>
    </row>
    <row r="316" spans="1:10" x14ac:dyDescent="0.25">
      <c r="A316" s="2" t="s">
        <v>2271</v>
      </c>
      <c r="B316" s="2">
        <v>1</v>
      </c>
      <c r="C316" s="2">
        <v>11800</v>
      </c>
      <c r="D316" s="2">
        <f>C316*B316</f>
        <v>11800</v>
      </c>
      <c r="G316" s="3"/>
      <c r="H316" s="3"/>
      <c r="I316" s="3"/>
      <c r="J316" s="3"/>
    </row>
    <row r="317" spans="1:10" x14ac:dyDescent="0.25">
      <c r="A317" s="2" t="s">
        <v>1570</v>
      </c>
      <c r="B317" s="2">
        <v>5</v>
      </c>
      <c r="C317" s="2">
        <v>500</v>
      </c>
      <c r="D317" s="2">
        <f>C317*B317</f>
        <v>2500</v>
      </c>
      <c r="G317" s="3"/>
      <c r="H317" s="3"/>
      <c r="I317" s="3"/>
      <c r="J317" s="3"/>
    </row>
    <row r="318" spans="1:10" ht="15" x14ac:dyDescent="0.4">
      <c r="A318" s="2" t="s">
        <v>28</v>
      </c>
      <c r="B318" s="2">
        <v>1</v>
      </c>
      <c r="C318" s="2">
        <v>1000</v>
      </c>
      <c r="D318" s="11">
        <f>C318*B318</f>
        <v>1000</v>
      </c>
      <c r="G318" s="3"/>
      <c r="H318" s="3"/>
      <c r="I318" s="3"/>
      <c r="J318" s="3"/>
    </row>
    <row r="319" spans="1:10" x14ac:dyDescent="0.25">
      <c r="A319" s="24" t="s">
        <v>1247</v>
      </c>
      <c r="D319" s="2">
        <f>SUM(D313:D318)</f>
        <v>118300</v>
      </c>
      <c r="G319" s="3"/>
      <c r="H319" s="3"/>
      <c r="I319" s="3"/>
      <c r="J319" s="3"/>
    </row>
    <row r="320" spans="1:10" x14ac:dyDescent="0.25">
      <c r="G320" s="3"/>
      <c r="H320" s="3"/>
      <c r="I320" s="3"/>
      <c r="J320" s="3"/>
    </row>
    <row r="321" spans="1:10" ht="13.8" x14ac:dyDescent="0.3">
      <c r="A321" s="54" t="s">
        <v>271</v>
      </c>
      <c r="B321" s="19"/>
      <c r="C321" s="19"/>
      <c r="D321" s="19"/>
      <c r="E321" s="2">
        <v>4445.8</v>
      </c>
      <c r="F321" s="2">
        <v>11705</v>
      </c>
      <c r="G321" s="3">
        <v>9165</v>
      </c>
      <c r="H321" s="3">
        <v>9165</v>
      </c>
      <c r="I321" s="3">
        <v>9165</v>
      </c>
      <c r="J321" s="3">
        <v>9165</v>
      </c>
    </row>
    <row r="322" spans="1:10" x14ac:dyDescent="0.25">
      <c r="A322" s="2" t="s">
        <v>1348</v>
      </c>
      <c r="D322" s="2">
        <v>540</v>
      </c>
      <c r="G322" s="3"/>
      <c r="H322" s="3"/>
      <c r="I322" s="3"/>
      <c r="J322" s="3"/>
    </row>
    <row r="323" spans="1:10" x14ac:dyDescent="0.25">
      <c r="A323" s="2" t="s">
        <v>1532</v>
      </c>
      <c r="D323" s="2">
        <v>2625</v>
      </c>
      <c r="G323" s="3"/>
      <c r="H323" s="3"/>
      <c r="I323" s="3"/>
      <c r="J323" s="3"/>
    </row>
    <row r="324" spans="1:10" x14ac:dyDescent="0.25">
      <c r="A324" s="2" t="s">
        <v>1646</v>
      </c>
      <c r="B324" s="2">
        <v>0</v>
      </c>
      <c r="C324" s="2">
        <v>2600</v>
      </c>
      <c r="D324" s="2">
        <f>+C324*B324</f>
        <v>0</v>
      </c>
      <c r="G324" s="3"/>
      <c r="H324" s="3"/>
      <c r="I324" s="3"/>
      <c r="J324" s="3"/>
    </row>
    <row r="325" spans="1:10" x14ac:dyDescent="0.25">
      <c r="A325" s="2" t="s">
        <v>1533</v>
      </c>
      <c r="D325" s="2">
        <v>4500</v>
      </c>
      <c r="G325" s="3"/>
      <c r="H325" s="3"/>
      <c r="I325" s="3"/>
      <c r="J325" s="3"/>
    </row>
    <row r="326" spans="1:10" ht="15" x14ac:dyDescent="0.4">
      <c r="A326" s="2" t="s">
        <v>1571</v>
      </c>
      <c r="C326" s="11"/>
      <c r="D326" s="11">
        <v>1500</v>
      </c>
      <c r="G326" s="3"/>
      <c r="H326" s="3"/>
      <c r="I326" s="3"/>
      <c r="J326" s="3"/>
    </row>
    <row r="327" spans="1:10" x14ac:dyDescent="0.25">
      <c r="A327" s="24" t="s">
        <v>1247</v>
      </c>
      <c r="D327" s="2">
        <f>SUM(D322:D326)</f>
        <v>9165</v>
      </c>
      <c r="G327" s="3"/>
      <c r="H327" s="3"/>
      <c r="I327" s="3"/>
      <c r="J327" s="3"/>
    </row>
    <row r="328" spans="1:10" x14ac:dyDescent="0.25">
      <c r="G328" s="3"/>
      <c r="H328" s="3"/>
      <c r="I328" s="3"/>
      <c r="J328" s="3"/>
    </row>
    <row r="329" spans="1:10" ht="13.8" x14ac:dyDescent="0.3">
      <c r="A329" s="54" t="s">
        <v>724</v>
      </c>
      <c r="B329" s="8"/>
      <c r="C329" s="8"/>
      <c r="D329" s="8"/>
      <c r="E329" s="2">
        <v>3013.97</v>
      </c>
      <c r="F329" s="2">
        <v>4460</v>
      </c>
      <c r="G329" s="3">
        <v>4460</v>
      </c>
      <c r="H329" s="3">
        <v>4460</v>
      </c>
      <c r="I329" s="3">
        <v>4460</v>
      </c>
      <c r="J329" s="3">
        <v>4460</v>
      </c>
    </row>
    <row r="330" spans="1:10" x14ac:dyDescent="0.25">
      <c r="A330" s="2" t="s">
        <v>1500</v>
      </c>
      <c r="B330" s="2">
        <v>1</v>
      </c>
      <c r="C330" s="2">
        <v>3500</v>
      </c>
      <c r="D330" s="2">
        <f>C330*B330</f>
        <v>3500</v>
      </c>
      <c r="G330" s="3"/>
      <c r="H330" s="3"/>
      <c r="I330" s="3"/>
      <c r="J330" s="3"/>
    </row>
    <row r="331" spans="1:10" ht="15" x14ac:dyDescent="0.4">
      <c r="A331" s="2" t="s">
        <v>1534</v>
      </c>
      <c r="B331" s="2">
        <v>1</v>
      </c>
      <c r="C331" s="11">
        <v>960</v>
      </c>
      <c r="D331" s="11">
        <f>C331*B331</f>
        <v>960</v>
      </c>
      <c r="G331" s="3"/>
      <c r="H331" s="3"/>
      <c r="I331" s="3"/>
      <c r="J331" s="3"/>
    </row>
    <row r="332" spans="1:10" x14ac:dyDescent="0.25">
      <c r="A332" s="24" t="s">
        <v>1247</v>
      </c>
      <c r="D332" s="2">
        <f>SUM(D330:D331)</f>
        <v>4460</v>
      </c>
      <c r="G332" s="3"/>
      <c r="H332" s="3"/>
      <c r="I332" s="3"/>
      <c r="J332" s="3"/>
    </row>
    <row r="333" spans="1:10" x14ac:dyDescent="0.25">
      <c r="A333" s="24"/>
      <c r="G333" s="3"/>
      <c r="H333" s="3"/>
      <c r="I333" s="3"/>
      <c r="J333" s="3"/>
    </row>
    <row r="334" spans="1:10" x14ac:dyDescent="0.25">
      <c r="G334" s="3"/>
      <c r="H334" s="3"/>
      <c r="I334" s="3"/>
      <c r="J334" s="3"/>
    </row>
    <row r="335" spans="1:10" ht="13.8" x14ac:dyDescent="0.3">
      <c r="A335" s="54" t="s">
        <v>272</v>
      </c>
      <c r="E335" s="2">
        <v>17492.61</v>
      </c>
      <c r="F335" s="2">
        <v>18520</v>
      </c>
      <c r="G335" s="3">
        <v>19120</v>
      </c>
      <c r="H335" s="3">
        <v>19120</v>
      </c>
      <c r="I335" s="3">
        <v>19120</v>
      </c>
      <c r="J335" s="3">
        <v>19120</v>
      </c>
    </row>
    <row r="336" spans="1:10" x14ac:dyDescent="0.25">
      <c r="B336" s="8"/>
      <c r="C336" s="8"/>
      <c r="D336" s="8"/>
      <c r="G336" s="3"/>
      <c r="H336" s="3"/>
      <c r="I336" s="3"/>
      <c r="J336" s="3"/>
    </row>
    <row r="337" spans="1:10" x14ac:dyDescent="0.25">
      <c r="A337" s="2" t="s">
        <v>96</v>
      </c>
      <c r="B337" s="2">
        <v>1</v>
      </c>
      <c r="C337" s="2">
        <v>400</v>
      </c>
      <c r="D337" s="2">
        <f>C337*B337</f>
        <v>400</v>
      </c>
      <c r="G337" s="3"/>
      <c r="H337" s="3"/>
      <c r="I337" s="3"/>
      <c r="J337" s="3"/>
    </row>
    <row r="338" spans="1:10" x14ac:dyDescent="0.25">
      <c r="A338" s="2" t="s">
        <v>1572</v>
      </c>
      <c r="B338" s="2">
        <v>1</v>
      </c>
      <c r="C338" s="2">
        <v>500</v>
      </c>
      <c r="D338" s="2">
        <f t="shared" ref="D338:D348" si="11">C338*B338</f>
        <v>500</v>
      </c>
      <c r="G338" s="3"/>
      <c r="H338" s="3"/>
      <c r="I338" s="3"/>
      <c r="J338" s="3"/>
    </row>
    <row r="339" spans="1:10" x14ac:dyDescent="0.25">
      <c r="A339" s="2" t="s">
        <v>97</v>
      </c>
      <c r="B339" s="2">
        <v>1</v>
      </c>
      <c r="C339" s="2">
        <v>400</v>
      </c>
      <c r="D339" s="2">
        <f t="shared" si="11"/>
        <v>400</v>
      </c>
      <c r="G339" s="3"/>
      <c r="H339" s="3"/>
      <c r="I339" s="3"/>
      <c r="J339" s="3"/>
    </row>
    <row r="340" spans="1:10" x14ac:dyDescent="0.25">
      <c r="A340" s="2" t="s">
        <v>2002</v>
      </c>
      <c r="B340" s="2">
        <v>1</v>
      </c>
      <c r="C340" s="2">
        <v>4500</v>
      </c>
      <c r="D340" s="2">
        <f t="shared" si="11"/>
        <v>4500</v>
      </c>
      <c r="G340" s="3"/>
      <c r="H340" s="3"/>
      <c r="I340" s="3"/>
      <c r="J340" s="3"/>
    </row>
    <row r="341" spans="1:10" x14ac:dyDescent="0.25">
      <c r="A341" s="2" t="s">
        <v>1513</v>
      </c>
      <c r="B341" s="2">
        <v>1</v>
      </c>
      <c r="C341" s="2">
        <v>1500</v>
      </c>
      <c r="D341" s="2">
        <f t="shared" si="11"/>
        <v>1500</v>
      </c>
      <c r="G341" s="3"/>
      <c r="H341" s="3"/>
      <c r="I341" s="3"/>
      <c r="J341" s="3"/>
    </row>
    <row r="342" spans="1:10" x14ac:dyDescent="0.25">
      <c r="A342" s="2" t="s">
        <v>2003</v>
      </c>
      <c r="B342" s="2">
        <v>12</v>
      </c>
      <c r="C342" s="2">
        <v>50</v>
      </c>
      <c r="D342" s="2">
        <f t="shared" si="11"/>
        <v>600</v>
      </c>
      <c r="G342" s="3"/>
      <c r="H342" s="3"/>
      <c r="I342" s="3"/>
      <c r="J342" s="3"/>
    </row>
    <row r="343" spans="1:10" x14ac:dyDescent="0.25">
      <c r="A343" s="2" t="s">
        <v>1230</v>
      </c>
      <c r="B343" s="2">
        <v>4</v>
      </c>
      <c r="C343" s="2">
        <v>550</v>
      </c>
      <c r="D343" s="2">
        <f t="shared" si="11"/>
        <v>2200</v>
      </c>
      <c r="G343" s="3"/>
      <c r="H343" s="3"/>
      <c r="I343" s="3"/>
      <c r="J343" s="3"/>
    </row>
    <row r="344" spans="1:10" x14ac:dyDescent="0.25">
      <c r="A344" s="167" t="s">
        <v>1870</v>
      </c>
      <c r="B344" s="167">
        <v>4</v>
      </c>
      <c r="C344" s="167">
        <v>380</v>
      </c>
      <c r="D344" s="2">
        <f t="shared" si="11"/>
        <v>1520</v>
      </c>
      <c r="G344" s="3"/>
      <c r="H344" s="3"/>
      <c r="I344" s="3"/>
      <c r="J344" s="3"/>
    </row>
    <row r="345" spans="1:10" x14ac:dyDescent="0.25">
      <c r="A345" s="167" t="s">
        <v>2272</v>
      </c>
      <c r="B345" s="2">
        <v>3</v>
      </c>
      <c r="C345" s="2">
        <v>300</v>
      </c>
      <c r="D345" s="2">
        <f t="shared" si="11"/>
        <v>900</v>
      </c>
      <c r="G345" s="3"/>
      <c r="H345" s="3"/>
      <c r="I345" s="3"/>
      <c r="J345" s="3"/>
    </row>
    <row r="346" spans="1:10" x14ac:dyDescent="0.25">
      <c r="A346" s="2" t="s">
        <v>1647</v>
      </c>
      <c r="B346" s="2">
        <v>0</v>
      </c>
      <c r="C346" s="2">
        <v>300</v>
      </c>
      <c r="D346" s="2">
        <f t="shared" si="11"/>
        <v>0</v>
      </c>
      <c r="G346" s="3"/>
      <c r="H346" s="3"/>
      <c r="I346" s="3"/>
      <c r="J346" s="3"/>
    </row>
    <row r="347" spans="1:10" x14ac:dyDescent="0.25">
      <c r="A347" s="2" t="s">
        <v>2273</v>
      </c>
      <c r="B347" s="2">
        <v>3</v>
      </c>
      <c r="C347" s="2">
        <v>200</v>
      </c>
      <c r="D347" s="2">
        <f t="shared" si="11"/>
        <v>600</v>
      </c>
      <c r="G347" s="3"/>
      <c r="H347" s="3"/>
      <c r="I347" s="3"/>
      <c r="J347" s="3"/>
    </row>
    <row r="348" spans="1:10" ht="15" x14ac:dyDescent="0.4">
      <c r="A348" s="2" t="s">
        <v>1648</v>
      </c>
      <c r="B348" s="2">
        <v>3</v>
      </c>
      <c r="C348" s="2">
        <v>2000</v>
      </c>
      <c r="D348" s="11">
        <f t="shared" si="11"/>
        <v>6000</v>
      </c>
      <c r="G348" s="3"/>
      <c r="H348" s="3"/>
      <c r="I348" s="3"/>
      <c r="J348" s="3"/>
    </row>
    <row r="349" spans="1:10" x14ac:dyDescent="0.25">
      <c r="A349" s="24" t="s">
        <v>1247</v>
      </c>
      <c r="D349" s="2">
        <f>SUM(D337:D348)</f>
        <v>19120</v>
      </c>
      <c r="G349" s="3"/>
      <c r="H349" s="3"/>
      <c r="I349" s="3"/>
      <c r="J349" s="3"/>
    </row>
    <row r="350" spans="1:10" x14ac:dyDescent="0.25">
      <c r="G350" s="3"/>
      <c r="H350" s="3"/>
      <c r="I350" s="3"/>
      <c r="J350" s="3"/>
    </row>
    <row r="351" spans="1:10" ht="13.8" x14ac:dyDescent="0.3">
      <c r="A351" s="54" t="s">
        <v>273</v>
      </c>
      <c r="B351" s="8"/>
      <c r="C351" s="8"/>
      <c r="D351" s="8"/>
      <c r="E351" s="2">
        <v>37411.07</v>
      </c>
      <c r="F351" s="2">
        <v>66450</v>
      </c>
      <c r="G351" s="3">
        <v>67435</v>
      </c>
      <c r="H351" s="3">
        <v>67435</v>
      </c>
      <c r="I351" s="3">
        <v>67435</v>
      </c>
      <c r="J351" s="3">
        <v>67435</v>
      </c>
    </row>
    <row r="352" spans="1:10" ht="13.8" x14ac:dyDescent="0.3">
      <c r="A352" s="55" t="s">
        <v>1535</v>
      </c>
      <c r="B352" s="8"/>
      <c r="C352" s="8"/>
      <c r="D352" s="8"/>
      <c r="G352" s="3"/>
      <c r="H352" s="3"/>
      <c r="I352" s="3"/>
      <c r="J352" s="3"/>
    </row>
    <row r="353" spans="1:10" x14ac:dyDescent="0.25">
      <c r="A353" s="52" t="s">
        <v>910</v>
      </c>
      <c r="B353" s="2">
        <v>1</v>
      </c>
      <c r="C353" s="2">
        <v>12000</v>
      </c>
      <c r="D353" s="2">
        <f>B353*C353</f>
        <v>12000</v>
      </c>
      <c r="G353" s="3"/>
      <c r="H353" s="3"/>
      <c r="I353" s="3"/>
      <c r="J353" s="3"/>
    </row>
    <row r="354" spans="1:10" x14ac:dyDescent="0.25">
      <c r="A354" s="52" t="s">
        <v>911</v>
      </c>
      <c r="B354" s="2">
        <v>1</v>
      </c>
      <c r="C354" s="2">
        <v>2500</v>
      </c>
      <c r="D354" s="2">
        <f>C354*B354</f>
        <v>2500</v>
      </c>
      <c r="G354" s="3"/>
      <c r="H354" s="3"/>
      <c r="I354" s="3"/>
      <c r="J354" s="3"/>
    </row>
    <row r="355" spans="1:10" ht="13.8" x14ac:dyDescent="0.3">
      <c r="A355" s="55" t="s">
        <v>1514</v>
      </c>
      <c r="D355" s="2">
        <f t="shared" ref="D355:D373" si="12">C355*B355</f>
        <v>0</v>
      </c>
      <c r="G355" s="3"/>
      <c r="H355" s="3"/>
      <c r="I355" s="3"/>
      <c r="J355" s="3"/>
    </row>
    <row r="356" spans="1:10" x14ac:dyDescent="0.25">
      <c r="A356" s="2" t="s">
        <v>1573</v>
      </c>
      <c r="B356" s="2">
        <v>1</v>
      </c>
      <c r="C356" s="2">
        <v>15000</v>
      </c>
      <c r="D356" s="2">
        <f t="shared" si="12"/>
        <v>15000</v>
      </c>
      <c r="G356" s="3"/>
      <c r="H356" s="3"/>
      <c r="I356" s="3"/>
      <c r="J356" s="3"/>
    </row>
    <row r="357" spans="1:10" x14ac:dyDescent="0.25">
      <c r="A357" s="2" t="s">
        <v>2005</v>
      </c>
      <c r="B357" s="2">
        <v>12</v>
      </c>
      <c r="C357" s="2">
        <v>80</v>
      </c>
      <c r="D357" s="2">
        <f t="shared" si="12"/>
        <v>960</v>
      </c>
      <c r="G357" s="3"/>
      <c r="H357" s="3"/>
      <c r="I357" s="3"/>
      <c r="J357" s="3"/>
    </row>
    <row r="358" spans="1:10" x14ac:dyDescent="0.25">
      <c r="A358" s="2" t="s">
        <v>2004</v>
      </c>
      <c r="B358" s="2">
        <v>2</v>
      </c>
      <c r="C358" s="2">
        <v>1600</v>
      </c>
      <c r="D358" s="2">
        <f t="shared" si="12"/>
        <v>3200</v>
      </c>
      <c r="G358" s="3"/>
      <c r="H358" s="3"/>
      <c r="I358" s="3"/>
      <c r="J358" s="3"/>
    </row>
    <row r="359" spans="1:10" x14ac:dyDescent="0.25">
      <c r="A359" s="2" t="s">
        <v>1574</v>
      </c>
      <c r="B359" s="2">
        <v>0</v>
      </c>
      <c r="C359" s="2">
        <v>750</v>
      </c>
      <c r="D359" s="2">
        <f t="shared" si="12"/>
        <v>0</v>
      </c>
      <c r="G359" s="3"/>
      <c r="H359" s="3"/>
      <c r="I359" s="3"/>
      <c r="J359" s="3"/>
    </row>
    <row r="360" spans="1:10" x14ac:dyDescent="0.25">
      <c r="A360" s="2" t="s">
        <v>841</v>
      </c>
      <c r="B360" s="2">
        <v>4</v>
      </c>
      <c r="C360" s="2">
        <v>750</v>
      </c>
      <c r="D360" s="2">
        <f t="shared" si="12"/>
        <v>3000</v>
      </c>
      <c r="G360" s="3"/>
      <c r="H360" s="3"/>
      <c r="I360" s="3"/>
      <c r="J360" s="3"/>
    </row>
    <row r="361" spans="1:10" ht="13.8" x14ac:dyDescent="0.3">
      <c r="A361" s="55" t="s">
        <v>1326</v>
      </c>
      <c r="D361" s="2">
        <f t="shared" si="12"/>
        <v>0</v>
      </c>
      <c r="G361" s="3"/>
      <c r="H361" s="3"/>
      <c r="I361" s="3"/>
      <c r="J361" s="3"/>
    </row>
    <row r="362" spans="1:10" x14ac:dyDescent="0.25">
      <c r="A362" s="2" t="s">
        <v>842</v>
      </c>
      <c r="B362" s="2">
        <v>4</v>
      </c>
      <c r="C362" s="2">
        <v>950</v>
      </c>
      <c r="D362" s="2">
        <f t="shared" si="12"/>
        <v>3800</v>
      </c>
      <c r="G362" s="3"/>
      <c r="H362" s="3"/>
      <c r="I362" s="3"/>
      <c r="J362" s="3"/>
    </row>
    <row r="363" spans="1:10" x14ac:dyDescent="0.25">
      <c r="A363" s="2" t="s">
        <v>1575</v>
      </c>
      <c r="B363" s="2">
        <v>20</v>
      </c>
      <c r="C363" s="2">
        <v>375</v>
      </c>
      <c r="D363" s="2">
        <f t="shared" si="12"/>
        <v>7500</v>
      </c>
      <c r="G363" s="3"/>
      <c r="H363" s="3"/>
      <c r="I363" s="3"/>
      <c r="J363" s="3"/>
    </row>
    <row r="364" spans="1:10" x14ac:dyDescent="0.25">
      <c r="A364" s="2" t="s">
        <v>1576</v>
      </c>
      <c r="B364" s="2">
        <v>3</v>
      </c>
      <c r="C364" s="2">
        <v>1200</v>
      </c>
      <c r="D364" s="2">
        <f t="shared" si="12"/>
        <v>3600</v>
      </c>
      <c r="G364" s="3"/>
      <c r="H364" s="3"/>
      <c r="I364" s="3"/>
      <c r="J364" s="3"/>
    </row>
    <row r="365" spans="1:10" x14ac:dyDescent="0.25">
      <c r="A365" s="167" t="s">
        <v>1871</v>
      </c>
      <c r="B365" s="167">
        <v>0</v>
      </c>
      <c r="C365" s="167">
        <v>25000</v>
      </c>
      <c r="D365" s="2">
        <f t="shared" si="12"/>
        <v>0</v>
      </c>
      <c r="G365" s="3"/>
      <c r="H365" s="3"/>
      <c r="I365" s="3"/>
      <c r="J365" s="3"/>
    </row>
    <row r="366" spans="1:10" x14ac:dyDescent="0.25">
      <c r="A366" s="53" t="s">
        <v>2019</v>
      </c>
      <c r="B366" s="2">
        <v>1</v>
      </c>
      <c r="C366" s="2">
        <v>11800</v>
      </c>
      <c r="D366" s="2">
        <f t="shared" si="12"/>
        <v>11800</v>
      </c>
      <c r="G366" s="3"/>
      <c r="H366" s="3"/>
      <c r="I366" s="3"/>
      <c r="J366" s="3"/>
    </row>
    <row r="367" spans="1:10" x14ac:dyDescent="0.25">
      <c r="A367" s="2" t="s">
        <v>1577</v>
      </c>
      <c r="B367" s="2">
        <v>3</v>
      </c>
      <c r="C367" s="2">
        <v>300</v>
      </c>
      <c r="D367" s="2">
        <f t="shared" si="12"/>
        <v>900</v>
      </c>
      <c r="G367" s="3"/>
      <c r="H367" s="3"/>
      <c r="I367" s="3"/>
      <c r="J367" s="3"/>
    </row>
    <row r="368" spans="1:10" x14ac:dyDescent="0.25">
      <c r="A368" s="2" t="s">
        <v>912</v>
      </c>
      <c r="B368" s="2">
        <v>1</v>
      </c>
      <c r="C368" s="1">
        <v>1575</v>
      </c>
      <c r="D368" s="2">
        <f t="shared" si="12"/>
        <v>1575</v>
      </c>
      <c r="G368" s="3"/>
      <c r="H368" s="3"/>
      <c r="I368" s="3"/>
      <c r="J368" s="3"/>
    </row>
    <row r="369" spans="1:10" ht="13.8" x14ac:dyDescent="0.3">
      <c r="A369" s="55" t="s">
        <v>169</v>
      </c>
      <c r="D369" s="2">
        <f t="shared" si="12"/>
        <v>0</v>
      </c>
      <c r="G369" s="3"/>
      <c r="H369" s="3"/>
      <c r="I369" s="3"/>
      <c r="J369" s="3"/>
    </row>
    <row r="370" spans="1:10" x14ac:dyDescent="0.25">
      <c r="A370" s="2" t="s">
        <v>913</v>
      </c>
      <c r="B370" s="2">
        <v>1</v>
      </c>
      <c r="C370" s="2">
        <v>500</v>
      </c>
      <c r="D370" s="2">
        <f t="shared" si="12"/>
        <v>500</v>
      </c>
      <c r="G370" s="3"/>
      <c r="H370" s="3"/>
      <c r="I370" s="3"/>
      <c r="J370" s="3"/>
    </row>
    <row r="371" spans="1:10" x14ac:dyDescent="0.25">
      <c r="A371" s="2" t="s">
        <v>617</v>
      </c>
      <c r="B371" s="2">
        <v>1</v>
      </c>
      <c r="C371" s="2">
        <v>300</v>
      </c>
      <c r="D371" s="2">
        <f t="shared" si="12"/>
        <v>300</v>
      </c>
      <c r="G371" s="3"/>
      <c r="H371" s="3"/>
      <c r="I371" s="3"/>
      <c r="J371" s="3"/>
    </row>
    <row r="372" spans="1:10" x14ac:dyDescent="0.25">
      <c r="A372" s="2" t="s">
        <v>618</v>
      </c>
      <c r="B372" s="2">
        <v>1</v>
      </c>
      <c r="C372" s="2">
        <v>300</v>
      </c>
      <c r="D372" s="2">
        <f t="shared" si="12"/>
        <v>300</v>
      </c>
      <c r="G372" s="3"/>
      <c r="H372" s="3"/>
      <c r="I372" s="3"/>
      <c r="J372" s="3"/>
    </row>
    <row r="373" spans="1:10" ht="15" x14ac:dyDescent="0.4">
      <c r="A373" s="2" t="s">
        <v>619</v>
      </c>
      <c r="B373" s="2">
        <v>1</v>
      </c>
      <c r="C373" s="2">
        <v>500</v>
      </c>
      <c r="D373" s="11">
        <f t="shared" si="12"/>
        <v>500</v>
      </c>
      <c r="G373" s="3"/>
      <c r="H373" s="3"/>
      <c r="I373" s="3"/>
      <c r="J373" s="3"/>
    </row>
    <row r="374" spans="1:10" x14ac:dyDescent="0.25">
      <c r="A374" s="24" t="s">
        <v>1247</v>
      </c>
      <c r="D374" s="2">
        <f>SUM(D353:D373)</f>
        <v>67435</v>
      </c>
      <c r="G374" s="3"/>
      <c r="H374" s="3"/>
      <c r="I374" s="3"/>
      <c r="J374" s="3"/>
    </row>
    <row r="375" spans="1:10" x14ac:dyDescent="0.25">
      <c r="G375" s="3"/>
      <c r="H375" s="3"/>
      <c r="I375" s="3"/>
      <c r="J375" s="3"/>
    </row>
    <row r="376" spans="1:10" ht="13.8" x14ac:dyDescent="0.3">
      <c r="A376" s="54" t="s">
        <v>1413</v>
      </c>
      <c r="E376" s="2">
        <v>0</v>
      </c>
      <c r="F376" s="2">
        <v>3825</v>
      </c>
      <c r="G376" s="3">
        <v>4000</v>
      </c>
      <c r="H376" s="3">
        <v>4000</v>
      </c>
      <c r="I376" s="3">
        <v>4000</v>
      </c>
      <c r="J376" s="3">
        <v>4000</v>
      </c>
    </row>
    <row r="377" spans="1:10" x14ac:dyDescent="0.25">
      <c r="A377" s="2" t="s">
        <v>2006</v>
      </c>
      <c r="B377" s="2">
        <v>1</v>
      </c>
      <c r="C377" s="2">
        <v>750</v>
      </c>
      <c r="D377" s="2">
        <f>C377*B377</f>
        <v>750</v>
      </c>
      <c r="G377" s="3"/>
      <c r="H377" s="3"/>
      <c r="I377" s="3"/>
      <c r="J377" s="3"/>
    </row>
    <row r="378" spans="1:10" x14ac:dyDescent="0.25">
      <c r="A378" s="2" t="s">
        <v>2007</v>
      </c>
      <c r="B378" s="2">
        <v>2</v>
      </c>
      <c r="C378" s="2">
        <v>750</v>
      </c>
      <c r="D378" s="2">
        <f>C378*B378</f>
        <v>1500</v>
      </c>
      <c r="G378" s="3"/>
      <c r="H378" s="3"/>
      <c r="I378" s="3"/>
      <c r="J378" s="3"/>
    </row>
    <row r="379" spans="1:10" ht="15" x14ac:dyDescent="0.4">
      <c r="A379" s="2" t="s">
        <v>2308</v>
      </c>
      <c r="B379" s="2">
        <v>50</v>
      </c>
      <c r="C379" s="2">
        <v>35</v>
      </c>
      <c r="D379" s="31">
        <f>C379*B379</f>
        <v>1750</v>
      </c>
      <c r="G379" s="3"/>
      <c r="H379" s="3"/>
      <c r="I379" s="3"/>
      <c r="J379" s="3"/>
    </row>
    <row r="380" spans="1:10" x14ac:dyDescent="0.25">
      <c r="A380" s="24" t="s">
        <v>1247</v>
      </c>
      <c r="D380" s="2">
        <f>SUM(D377:D379)</f>
        <v>4000</v>
      </c>
      <c r="G380" s="3"/>
      <c r="H380" s="3"/>
      <c r="I380" s="3"/>
      <c r="J380" s="3"/>
    </row>
    <row r="381" spans="1:10" x14ac:dyDescent="0.25">
      <c r="A381" s="24"/>
      <c r="G381" s="3"/>
      <c r="H381" s="3"/>
      <c r="I381" s="3"/>
      <c r="J381" s="3"/>
    </row>
    <row r="382" spans="1:10" ht="13.8" x14ac:dyDescent="0.3">
      <c r="A382" s="54" t="s">
        <v>639</v>
      </c>
      <c r="B382" s="8"/>
      <c r="C382" s="8"/>
      <c r="D382" s="8"/>
      <c r="E382" s="2">
        <v>8741.1200000000008</v>
      </c>
      <c r="F382" s="2">
        <v>6230</v>
      </c>
      <c r="G382" s="3">
        <v>6230</v>
      </c>
      <c r="H382" s="3">
        <v>6230</v>
      </c>
      <c r="I382" s="3">
        <v>6230</v>
      </c>
      <c r="J382" s="3">
        <v>6230</v>
      </c>
    </row>
    <row r="383" spans="1:10" x14ac:dyDescent="0.25">
      <c r="A383" s="1" t="s">
        <v>686</v>
      </c>
      <c r="G383" s="3"/>
      <c r="H383" s="3"/>
      <c r="I383" s="3"/>
      <c r="J383" s="3"/>
    </row>
    <row r="384" spans="1:10" x14ac:dyDescent="0.25">
      <c r="A384" s="2" t="s">
        <v>1385</v>
      </c>
      <c r="B384" s="2">
        <v>1</v>
      </c>
      <c r="C384" s="2">
        <v>430</v>
      </c>
      <c r="D384" s="2">
        <f>C384*B384</f>
        <v>430</v>
      </c>
      <c r="G384" s="3"/>
      <c r="H384" s="3"/>
      <c r="I384" s="3"/>
      <c r="J384" s="3"/>
    </row>
    <row r="385" spans="1:10" x14ac:dyDescent="0.25">
      <c r="A385" s="2" t="s">
        <v>1773</v>
      </c>
      <c r="B385" s="2">
        <v>2</v>
      </c>
      <c r="C385" s="2">
        <v>200</v>
      </c>
      <c r="D385" s="2">
        <f t="shared" ref="D385:D390" si="13">C385*B385</f>
        <v>400</v>
      </c>
      <c r="G385" s="3"/>
      <c r="H385" s="3"/>
      <c r="I385" s="3"/>
      <c r="J385" s="3"/>
    </row>
    <row r="386" spans="1:10" x14ac:dyDescent="0.25">
      <c r="A386" s="2" t="s">
        <v>1872</v>
      </c>
      <c r="B386" s="2">
        <v>2</v>
      </c>
      <c r="C386" s="2">
        <v>200</v>
      </c>
      <c r="D386" s="2">
        <f t="shared" si="13"/>
        <v>400</v>
      </c>
      <c r="G386" s="3"/>
      <c r="H386" s="3"/>
      <c r="I386" s="3"/>
      <c r="J386" s="3"/>
    </row>
    <row r="387" spans="1:10" x14ac:dyDescent="0.25">
      <c r="A387" s="167" t="s">
        <v>2008</v>
      </c>
      <c r="B387" s="167">
        <v>0</v>
      </c>
      <c r="C387" s="167">
        <v>7500</v>
      </c>
      <c r="D387" s="2">
        <f t="shared" si="13"/>
        <v>0</v>
      </c>
      <c r="G387" s="3"/>
      <c r="H387" s="3"/>
      <c r="I387" s="3"/>
      <c r="J387" s="3"/>
    </row>
    <row r="388" spans="1:10" x14ac:dyDescent="0.25">
      <c r="A388" s="167" t="s">
        <v>2274</v>
      </c>
      <c r="B388" s="167">
        <v>1</v>
      </c>
      <c r="C388" s="167">
        <v>2000</v>
      </c>
      <c r="D388" s="2">
        <f t="shared" si="13"/>
        <v>2000</v>
      </c>
      <c r="G388" s="3"/>
      <c r="H388" s="3"/>
      <c r="I388" s="3"/>
      <c r="J388" s="3"/>
    </row>
    <row r="389" spans="1:10" x14ac:dyDescent="0.25">
      <c r="A389" s="2" t="s">
        <v>1754</v>
      </c>
      <c r="B389" s="1">
        <v>0</v>
      </c>
      <c r="C389" s="8">
        <v>25000</v>
      </c>
      <c r="D389" s="2">
        <f t="shared" si="13"/>
        <v>0</v>
      </c>
      <c r="G389" s="3"/>
      <c r="H389" s="3"/>
      <c r="I389" s="3"/>
      <c r="J389" s="3"/>
    </row>
    <row r="390" spans="1:10" ht="15" x14ac:dyDescent="0.4">
      <c r="A390" s="2" t="s">
        <v>620</v>
      </c>
      <c r="B390" s="2">
        <v>1</v>
      </c>
      <c r="C390" s="2">
        <v>3000</v>
      </c>
      <c r="D390" s="11">
        <f t="shared" si="13"/>
        <v>3000</v>
      </c>
      <c r="G390" s="3"/>
      <c r="H390" s="3"/>
      <c r="I390" s="3"/>
      <c r="J390" s="3"/>
    </row>
    <row r="391" spans="1:10" x14ac:dyDescent="0.25">
      <c r="A391" s="24" t="s">
        <v>1247</v>
      </c>
      <c r="D391" s="2">
        <f>SUM(D384:D390)</f>
        <v>6230</v>
      </c>
      <c r="G391" s="3"/>
      <c r="H391" s="3"/>
      <c r="I391" s="3"/>
      <c r="J391" s="3"/>
    </row>
    <row r="392" spans="1:10" x14ac:dyDescent="0.25">
      <c r="G392" s="3"/>
      <c r="H392" s="3"/>
      <c r="I392" s="3"/>
      <c r="J392" s="3"/>
    </row>
    <row r="393" spans="1:10" ht="13.8" x14ac:dyDescent="0.3">
      <c r="A393" s="54" t="s">
        <v>950</v>
      </c>
      <c r="E393" s="2">
        <v>8381.4500000000007</v>
      </c>
      <c r="F393" s="2">
        <v>6000</v>
      </c>
      <c r="G393" s="3">
        <v>6000</v>
      </c>
      <c r="H393" s="3">
        <v>6000</v>
      </c>
      <c r="I393" s="3">
        <v>6000</v>
      </c>
      <c r="J393" s="3">
        <v>6000</v>
      </c>
    </row>
    <row r="394" spans="1:10" x14ac:dyDescent="0.25">
      <c r="A394" s="2" t="s">
        <v>2275</v>
      </c>
      <c r="B394" s="2">
        <v>1</v>
      </c>
      <c r="C394" s="2">
        <v>6000</v>
      </c>
      <c r="D394" s="2">
        <f>C394*B394</f>
        <v>6000</v>
      </c>
      <c r="G394" s="3"/>
      <c r="H394" s="3"/>
      <c r="I394" s="3"/>
      <c r="J394" s="3"/>
    </row>
    <row r="395" spans="1:10" x14ac:dyDescent="0.25">
      <c r="G395" s="3"/>
      <c r="H395" s="3"/>
      <c r="I395" s="3"/>
      <c r="J395" s="3"/>
    </row>
    <row r="396" spans="1:10" ht="13.8" x14ac:dyDescent="0.3">
      <c r="A396" s="54" t="s">
        <v>526</v>
      </c>
      <c r="E396" s="2">
        <v>0</v>
      </c>
      <c r="F396" s="2">
        <v>750</v>
      </c>
      <c r="G396" s="3">
        <v>750</v>
      </c>
      <c r="H396" s="3">
        <v>750</v>
      </c>
      <c r="I396" s="3">
        <v>750</v>
      </c>
      <c r="J396" s="3">
        <v>750</v>
      </c>
    </row>
    <row r="397" spans="1:10" x14ac:dyDescent="0.25">
      <c r="A397" s="2" t="s">
        <v>98</v>
      </c>
      <c r="B397" s="2">
        <v>1</v>
      </c>
      <c r="C397" s="2">
        <v>750</v>
      </c>
      <c r="D397" s="2">
        <f>C397*B397</f>
        <v>750</v>
      </c>
      <c r="I397" s="3"/>
      <c r="J397" s="3"/>
    </row>
    <row r="398" spans="1:10" ht="15" x14ac:dyDescent="0.4">
      <c r="D398" s="11">
        <v>0</v>
      </c>
      <c r="G398" s="3"/>
      <c r="H398" s="3"/>
      <c r="I398" s="3"/>
      <c r="J398" s="3"/>
    </row>
    <row r="399" spans="1:10" x14ac:dyDescent="0.25">
      <c r="A399" s="8" t="s">
        <v>1247</v>
      </c>
      <c r="D399" s="2">
        <f>SUM(D397:D398)</f>
        <v>750</v>
      </c>
      <c r="G399" s="3"/>
      <c r="H399" s="3"/>
      <c r="I399" s="3"/>
      <c r="J399" s="3"/>
    </row>
    <row r="400" spans="1:10" x14ac:dyDescent="0.25">
      <c r="G400" s="3"/>
      <c r="H400" s="3"/>
      <c r="I400" s="3"/>
      <c r="J400" s="3"/>
    </row>
    <row r="401" spans="1:10" ht="13.8" x14ac:dyDescent="0.3">
      <c r="A401" s="54" t="s">
        <v>527</v>
      </c>
      <c r="B401" s="8"/>
      <c r="C401" s="8"/>
      <c r="D401" s="8"/>
      <c r="E401" s="2">
        <v>15097</v>
      </c>
      <c r="F401" s="2">
        <v>16500</v>
      </c>
      <c r="G401" s="3">
        <v>32250</v>
      </c>
      <c r="H401" s="3">
        <v>32250</v>
      </c>
      <c r="I401" s="3">
        <v>16500</v>
      </c>
      <c r="J401" s="3">
        <v>16500</v>
      </c>
    </row>
    <row r="402" spans="1:10" x14ac:dyDescent="0.25">
      <c r="A402" s="2" t="s">
        <v>2011</v>
      </c>
      <c r="B402" s="2">
        <v>1</v>
      </c>
      <c r="C402" s="2">
        <v>16500</v>
      </c>
      <c r="D402" s="2">
        <f>+C402*B402</f>
        <v>16500</v>
      </c>
      <c r="G402" s="3"/>
      <c r="H402" s="3"/>
      <c r="I402" s="3"/>
      <c r="J402" s="3"/>
    </row>
    <row r="403" spans="1:10" x14ac:dyDescent="0.25">
      <c r="G403" s="3"/>
      <c r="H403" s="3"/>
      <c r="I403" s="3"/>
      <c r="J403" s="3"/>
    </row>
    <row r="404" spans="1:10" ht="13.8" x14ac:dyDescent="0.3">
      <c r="A404" s="54" t="s">
        <v>528</v>
      </c>
      <c r="B404" s="8"/>
      <c r="C404" s="8"/>
      <c r="D404" s="8"/>
      <c r="E404" s="2">
        <v>31781.94</v>
      </c>
      <c r="F404" s="2">
        <v>25000</v>
      </c>
      <c r="G404" s="3">
        <v>114500</v>
      </c>
      <c r="H404" s="3">
        <v>39500</v>
      </c>
      <c r="I404" s="3">
        <v>39500</v>
      </c>
      <c r="J404" s="3">
        <v>39500</v>
      </c>
    </row>
    <row r="405" spans="1:10" ht="13.8" x14ac:dyDescent="0.3">
      <c r="A405" s="54" t="s">
        <v>794</v>
      </c>
      <c r="B405" s="8"/>
      <c r="C405" s="8"/>
      <c r="D405" s="8"/>
      <c r="G405" s="3"/>
      <c r="H405" s="3"/>
      <c r="I405" s="3"/>
      <c r="J405" s="3"/>
    </row>
    <row r="406" spans="1:10" ht="13.8" x14ac:dyDescent="0.3">
      <c r="A406" s="55" t="s">
        <v>795</v>
      </c>
      <c r="C406" s="8"/>
      <c r="D406" s="8"/>
      <c r="G406" s="3"/>
      <c r="H406" s="3"/>
      <c r="I406" s="3"/>
      <c r="J406" s="3"/>
    </row>
    <row r="407" spans="1:10" x14ac:dyDescent="0.25">
      <c r="A407" s="2" t="s">
        <v>2276</v>
      </c>
      <c r="B407" s="2">
        <v>1</v>
      </c>
      <c r="C407" s="8">
        <v>3500</v>
      </c>
      <c r="D407" s="8">
        <f t="shared" ref="D407:D412" si="14">C407*B407</f>
        <v>3500</v>
      </c>
      <c r="G407" s="3"/>
      <c r="H407" s="3"/>
      <c r="I407" s="3"/>
      <c r="J407" s="3"/>
    </row>
    <row r="408" spans="1:10" x14ac:dyDescent="0.25">
      <c r="A408" s="2" t="s">
        <v>2277</v>
      </c>
      <c r="B408" s="2">
        <v>1</v>
      </c>
      <c r="C408" s="8">
        <v>4000</v>
      </c>
      <c r="D408" s="8">
        <f t="shared" si="14"/>
        <v>4000</v>
      </c>
      <c r="G408" s="3"/>
      <c r="H408" s="3"/>
      <c r="I408" s="3"/>
      <c r="J408" s="3"/>
    </row>
    <row r="409" spans="1:10" x14ac:dyDescent="0.25">
      <c r="A409" s="2" t="s">
        <v>2278</v>
      </c>
      <c r="B409" s="2">
        <v>1</v>
      </c>
      <c r="C409" s="8">
        <v>25000</v>
      </c>
      <c r="D409" s="8">
        <f t="shared" si="14"/>
        <v>25000</v>
      </c>
      <c r="G409" s="3"/>
      <c r="H409" s="3"/>
      <c r="I409" s="3"/>
      <c r="J409" s="3"/>
    </row>
    <row r="410" spans="1:10" x14ac:dyDescent="0.25">
      <c r="A410" s="2" t="s">
        <v>2279</v>
      </c>
      <c r="B410" s="2">
        <v>1</v>
      </c>
      <c r="C410" s="8">
        <v>5000</v>
      </c>
      <c r="D410" s="8">
        <f t="shared" si="14"/>
        <v>5000</v>
      </c>
      <c r="G410" s="3"/>
      <c r="H410" s="3"/>
      <c r="I410" s="3"/>
      <c r="J410" s="3"/>
    </row>
    <row r="411" spans="1:10" x14ac:dyDescent="0.25">
      <c r="A411" s="2" t="s">
        <v>2280</v>
      </c>
      <c r="B411" s="2">
        <v>0</v>
      </c>
      <c r="C411" s="8">
        <v>75000</v>
      </c>
      <c r="D411" s="8">
        <v>0</v>
      </c>
      <c r="G411" s="3"/>
      <c r="H411" s="3"/>
      <c r="I411" s="3"/>
      <c r="J411" s="3"/>
    </row>
    <row r="412" spans="1:10" ht="15" x14ac:dyDescent="0.4">
      <c r="A412" s="2" t="s">
        <v>2090</v>
      </c>
      <c r="B412" s="2">
        <v>1</v>
      </c>
      <c r="C412" s="8">
        <v>2000</v>
      </c>
      <c r="D412" s="9">
        <f t="shared" si="14"/>
        <v>2000</v>
      </c>
      <c r="E412" s="74"/>
      <c r="G412" s="3"/>
      <c r="H412" s="3"/>
      <c r="I412" s="3"/>
      <c r="J412" s="3"/>
    </row>
    <row r="413" spans="1:10" x14ac:dyDescent="0.25">
      <c r="A413" s="24" t="s">
        <v>1247</v>
      </c>
      <c r="C413" s="8"/>
      <c r="D413" s="8">
        <f>SUM(D407:D412)</f>
        <v>39500</v>
      </c>
      <c r="E413" s="73"/>
      <c r="G413" s="3"/>
      <c r="H413" s="3"/>
      <c r="I413" s="3"/>
      <c r="J413" s="3"/>
    </row>
    <row r="414" spans="1:10" x14ac:dyDescent="0.25">
      <c r="A414" s="24"/>
      <c r="C414" s="8"/>
      <c r="D414" s="8"/>
      <c r="E414" s="73"/>
      <c r="G414" s="3"/>
      <c r="H414" s="3"/>
      <c r="I414" s="3"/>
      <c r="J414" s="3"/>
    </row>
    <row r="415" spans="1:10" x14ac:dyDescent="0.25">
      <c r="A415" s="42"/>
      <c r="B415" s="46"/>
      <c r="C415" s="3"/>
      <c r="D415" s="3"/>
      <c r="G415" s="3"/>
      <c r="H415" s="3"/>
      <c r="I415" s="3"/>
      <c r="J415" s="3"/>
    </row>
    <row r="416" spans="1:10" ht="13.8" x14ac:dyDescent="0.3">
      <c r="A416" s="54" t="s">
        <v>1026</v>
      </c>
      <c r="B416" s="8"/>
      <c r="C416" s="8"/>
      <c r="D416" s="8"/>
      <c r="E416" s="2">
        <v>2044.77</v>
      </c>
      <c r="F416" s="2">
        <v>4500</v>
      </c>
      <c r="G416" s="3">
        <v>4500</v>
      </c>
      <c r="H416" s="3">
        <v>4500</v>
      </c>
      <c r="I416" s="3">
        <v>4500</v>
      </c>
      <c r="J416" s="3">
        <v>4500</v>
      </c>
    </row>
    <row r="417" spans="1:10" x14ac:dyDescent="0.25">
      <c r="A417" s="2" t="s">
        <v>1578</v>
      </c>
      <c r="B417" s="2">
        <v>2</v>
      </c>
      <c r="C417" s="2">
        <v>1250</v>
      </c>
      <c r="D417" s="2">
        <f>C417*B417</f>
        <v>2500</v>
      </c>
      <c r="G417" s="3"/>
      <c r="H417" s="3"/>
      <c r="I417" s="3"/>
      <c r="J417" s="3"/>
    </row>
    <row r="418" spans="1:10" ht="15" x14ac:dyDescent="0.4">
      <c r="A418" s="2" t="s">
        <v>1774</v>
      </c>
      <c r="B418" s="2">
        <v>2</v>
      </c>
      <c r="C418" s="2">
        <v>1000</v>
      </c>
      <c r="D418" s="11">
        <f>C418*B418</f>
        <v>2000</v>
      </c>
      <c r="G418" s="3"/>
      <c r="H418" s="3"/>
      <c r="I418" s="3"/>
      <c r="J418" s="3"/>
    </row>
    <row r="419" spans="1:10" x14ac:dyDescent="0.25">
      <c r="A419" s="24" t="s">
        <v>1247</v>
      </c>
      <c r="D419" s="2">
        <f>SUM(D417:D418)</f>
        <v>4500</v>
      </c>
      <c r="G419" s="3"/>
      <c r="H419" s="3"/>
      <c r="I419" s="3"/>
      <c r="J419" s="3"/>
    </row>
    <row r="420" spans="1:10" x14ac:dyDescent="0.25">
      <c r="A420" s="52"/>
      <c r="G420" s="3"/>
      <c r="H420" s="3"/>
      <c r="I420" s="3"/>
      <c r="J420" s="3"/>
    </row>
    <row r="421" spans="1:10" ht="13.8" x14ac:dyDescent="0.3">
      <c r="A421" s="54" t="s">
        <v>1027</v>
      </c>
      <c r="B421" s="8"/>
      <c r="C421" s="8"/>
      <c r="D421" s="8"/>
      <c r="E421" s="2">
        <v>30214.28</v>
      </c>
      <c r="F421" s="2">
        <v>17800</v>
      </c>
      <c r="G421" s="3">
        <v>17800</v>
      </c>
      <c r="H421" s="3">
        <v>17800</v>
      </c>
      <c r="I421" s="3">
        <v>17800</v>
      </c>
      <c r="J421" s="3">
        <v>17800</v>
      </c>
    </row>
    <row r="422" spans="1:10" x14ac:dyDescent="0.25">
      <c r="A422" s="2" t="s">
        <v>2009</v>
      </c>
      <c r="B422" s="2">
        <v>1</v>
      </c>
      <c r="C422" s="2">
        <v>6800</v>
      </c>
      <c r="D422" s="2">
        <f>C422*B422</f>
        <v>6800</v>
      </c>
      <c r="G422" s="3"/>
      <c r="H422" s="3"/>
      <c r="I422" s="3"/>
      <c r="J422" s="3"/>
    </row>
    <row r="423" spans="1:10" x14ac:dyDescent="0.25">
      <c r="A423" s="2" t="s">
        <v>2010</v>
      </c>
      <c r="B423" s="2">
        <v>1</v>
      </c>
      <c r="C423" s="2">
        <v>2000</v>
      </c>
      <c r="D423" s="2">
        <f>C423*B423</f>
        <v>2000</v>
      </c>
      <c r="G423" s="3"/>
      <c r="H423" s="3"/>
      <c r="I423" s="3"/>
      <c r="J423" s="3"/>
    </row>
    <row r="424" spans="1:10" ht="15" x14ac:dyDescent="0.4">
      <c r="A424" s="2" t="s">
        <v>1649</v>
      </c>
      <c r="B424" s="2">
        <v>2</v>
      </c>
      <c r="C424" s="2">
        <v>4500</v>
      </c>
      <c r="D424" s="11">
        <f>C424*B424</f>
        <v>9000</v>
      </c>
      <c r="G424" s="3"/>
      <c r="H424" s="3"/>
      <c r="I424" s="3"/>
      <c r="J424" s="3"/>
    </row>
    <row r="425" spans="1:10" x14ac:dyDescent="0.25">
      <c r="A425" s="24" t="s">
        <v>1247</v>
      </c>
      <c r="D425" s="2">
        <f>SUM(D422:D424)</f>
        <v>17800</v>
      </c>
      <c r="G425" s="3"/>
      <c r="H425" s="3"/>
      <c r="I425" s="3"/>
      <c r="J425" s="3"/>
    </row>
    <row r="426" spans="1:10" x14ac:dyDescent="0.25">
      <c r="G426" s="3"/>
      <c r="H426" s="3"/>
      <c r="I426" s="3"/>
      <c r="J426" s="3"/>
    </row>
    <row r="427" spans="1:10" ht="13.8" x14ac:dyDescent="0.3">
      <c r="A427" s="54" t="s">
        <v>1178</v>
      </c>
      <c r="B427" s="19"/>
      <c r="C427" s="19"/>
      <c r="D427" s="19"/>
      <c r="E427" s="2">
        <v>16331.71</v>
      </c>
      <c r="F427" s="2">
        <v>10300</v>
      </c>
      <c r="G427" s="3">
        <v>12500</v>
      </c>
      <c r="H427" s="3">
        <v>12500</v>
      </c>
      <c r="I427" s="3">
        <v>12500</v>
      </c>
      <c r="J427" s="3">
        <v>12500</v>
      </c>
    </row>
    <row r="428" spans="1:10" x14ac:dyDescent="0.25">
      <c r="A428" s="167" t="s">
        <v>2281</v>
      </c>
      <c r="B428" s="167">
        <v>1</v>
      </c>
      <c r="C428" s="170">
        <v>3500</v>
      </c>
      <c r="D428" s="170">
        <f>C428*B428</f>
        <v>3500</v>
      </c>
    </row>
    <row r="429" spans="1:10" x14ac:dyDescent="0.25">
      <c r="A429" s="167" t="s">
        <v>2282</v>
      </c>
      <c r="B429" s="167">
        <v>1</v>
      </c>
      <c r="C429" s="170">
        <v>3000</v>
      </c>
      <c r="D429" s="170">
        <f>C429*B429</f>
        <v>3000</v>
      </c>
    </row>
    <row r="430" spans="1:10" x14ac:dyDescent="0.25">
      <c r="A430" s="167" t="s">
        <v>2283</v>
      </c>
      <c r="B430" s="167">
        <v>1</v>
      </c>
      <c r="C430" s="170">
        <v>1500</v>
      </c>
      <c r="D430" s="170">
        <f>C430*B430</f>
        <v>1500</v>
      </c>
    </row>
    <row r="431" spans="1:10" ht="15" x14ac:dyDescent="0.4">
      <c r="A431" s="2" t="s">
        <v>2284</v>
      </c>
      <c r="B431" s="2">
        <v>1</v>
      </c>
      <c r="C431" s="8">
        <v>4500</v>
      </c>
      <c r="D431" s="9">
        <f>C431*B431</f>
        <v>4500</v>
      </c>
    </row>
    <row r="432" spans="1:10" x14ac:dyDescent="0.25">
      <c r="A432" s="24" t="s">
        <v>1247</v>
      </c>
      <c r="D432" s="2">
        <f>SUM(D428:D431)</f>
        <v>12500</v>
      </c>
    </row>
    <row r="434" spans="1:10" ht="13.8" x14ac:dyDescent="0.3">
      <c r="A434" s="54" t="s">
        <v>3</v>
      </c>
      <c r="B434" s="19"/>
      <c r="C434" s="19"/>
      <c r="D434" s="19"/>
      <c r="E434" s="2">
        <v>307000</v>
      </c>
      <c r="F434" s="2">
        <v>330000</v>
      </c>
      <c r="G434" s="2">
        <v>330000</v>
      </c>
      <c r="H434" s="2">
        <v>330000</v>
      </c>
      <c r="I434" s="2">
        <v>330000</v>
      </c>
      <c r="J434" s="2">
        <v>330000</v>
      </c>
    </row>
    <row r="435" spans="1:10" x14ac:dyDescent="0.25">
      <c r="A435" s="2" t="s">
        <v>552</v>
      </c>
      <c r="D435" s="2">
        <v>250000</v>
      </c>
    </row>
    <row r="436" spans="1:10" ht="15" x14ac:dyDescent="0.4">
      <c r="A436" s="2" t="s">
        <v>29</v>
      </c>
      <c r="C436" s="11"/>
      <c r="D436" s="11">
        <v>80000</v>
      </c>
    </row>
    <row r="437" spans="1:10" x14ac:dyDescent="0.25">
      <c r="A437" s="2" t="s">
        <v>1247</v>
      </c>
      <c r="D437" s="2">
        <f>SUM(D435:D436)</f>
        <v>330000</v>
      </c>
    </row>
    <row r="440" spans="1:10" ht="15" x14ac:dyDescent="0.4">
      <c r="A440" s="54" t="s">
        <v>1322</v>
      </c>
      <c r="E440" s="11">
        <v>396011.88</v>
      </c>
      <c r="F440" s="18">
        <v>434000</v>
      </c>
      <c r="G440" s="18">
        <v>47000</v>
      </c>
      <c r="H440" s="18">
        <v>47000</v>
      </c>
      <c r="I440" s="18">
        <v>47000</v>
      </c>
      <c r="J440" s="18">
        <v>47000</v>
      </c>
    </row>
    <row r="441" spans="1:10" ht="15" x14ac:dyDescent="0.4">
      <c r="A441" s="54"/>
      <c r="B441" s="281" t="s">
        <v>1794</v>
      </c>
      <c r="C441" s="281" t="s">
        <v>1970</v>
      </c>
      <c r="D441" s="281" t="s">
        <v>2129</v>
      </c>
      <c r="E441" s="11"/>
      <c r="F441" s="18"/>
      <c r="G441" s="18"/>
      <c r="H441" s="18"/>
      <c r="I441" s="18"/>
      <c r="J441" s="18"/>
    </row>
    <row r="442" spans="1:10" ht="15" x14ac:dyDescent="0.4">
      <c r="A442" s="53" t="s">
        <v>2316</v>
      </c>
      <c r="B442" s="281"/>
      <c r="C442" s="16">
        <v>25000</v>
      </c>
      <c r="D442" s="16"/>
      <c r="E442" s="11"/>
      <c r="F442" s="18"/>
      <c r="G442" s="18"/>
      <c r="H442" s="18"/>
      <c r="I442" s="18"/>
      <c r="J442" s="18"/>
    </row>
    <row r="443" spans="1:10" ht="15" x14ac:dyDescent="0.4">
      <c r="A443" s="46" t="s">
        <v>2087</v>
      </c>
      <c r="B443" s="281"/>
      <c r="C443" s="16">
        <v>25000</v>
      </c>
      <c r="D443" s="16"/>
      <c r="E443" s="11"/>
      <c r="F443" s="18"/>
      <c r="G443" s="18"/>
      <c r="H443" s="18"/>
      <c r="I443" s="18"/>
      <c r="J443" s="18"/>
    </row>
    <row r="444" spans="1:10" ht="15" x14ac:dyDescent="0.4">
      <c r="A444" s="46" t="s">
        <v>2088</v>
      </c>
      <c r="B444" s="281"/>
      <c r="C444" s="16">
        <v>15000</v>
      </c>
      <c r="D444" s="16">
        <v>15000</v>
      </c>
      <c r="E444" s="11"/>
      <c r="F444" s="18"/>
      <c r="G444" s="18"/>
      <c r="H444" s="18"/>
      <c r="I444" s="18"/>
      <c r="J444" s="18"/>
    </row>
    <row r="445" spans="1:10" ht="15" x14ac:dyDescent="0.4">
      <c r="A445" s="46" t="s">
        <v>2112</v>
      </c>
      <c r="B445" s="281"/>
      <c r="C445" s="16">
        <v>39000</v>
      </c>
      <c r="D445" s="16"/>
      <c r="E445" s="11"/>
      <c r="F445" s="18"/>
      <c r="G445" s="18"/>
      <c r="H445" s="18"/>
      <c r="I445" s="18"/>
      <c r="J445" s="18"/>
    </row>
    <row r="446" spans="1:10" ht="15" x14ac:dyDescent="0.4">
      <c r="A446" s="46" t="s">
        <v>2089</v>
      </c>
      <c r="B446" s="281"/>
      <c r="C446" s="16">
        <v>17000</v>
      </c>
      <c r="D446" s="16">
        <v>17000</v>
      </c>
      <c r="E446" s="11"/>
      <c r="F446" s="18"/>
      <c r="G446" s="18"/>
      <c r="H446" s="18"/>
      <c r="I446" s="18"/>
      <c r="J446" s="18"/>
    </row>
    <row r="447" spans="1:10" ht="15" x14ac:dyDescent="0.4">
      <c r="A447" s="46" t="s">
        <v>2086</v>
      </c>
      <c r="B447" s="281"/>
      <c r="C447" s="16">
        <v>298000</v>
      </c>
      <c r="D447" s="16"/>
      <c r="E447" s="11"/>
      <c r="F447" s="18"/>
      <c r="G447" s="18"/>
      <c r="H447" s="18"/>
      <c r="I447" s="18"/>
      <c r="J447" s="18"/>
    </row>
    <row r="448" spans="1:10" ht="15" x14ac:dyDescent="0.4">
      <c r="A448" s="44" t="s">
        <v>1650</v>
      </c>
      <c r="B448" s="8">
        <v>235000</v>
      </c>
      <c r="C448" s="8">
        <v>0</v>
      </c>
      <c r="D448" s="8"/>
      <c r="E448" s="11"/>
      <c r="F448" s="18"/>
      <c r="G448" s="18"/>
      <c r="H448" s="18"/>
    </row>
    <row r="449" spans="1:10" ht="15" x14ac:dyDescent="0.4">
      <c r="A449" s="44" t="s">
        <v>1873</v>
      </c>
      <c r="B449" s="8">
        <v>13000</v>
      </c>
      <c r="C449" s="8">
        <v>15000</v>
      </c>
      <c r="D449" s="8">
        <v>15000</v>
      </c>
      <c r="E449" s="11"/>
      <c r="F449" s="18"/>
      <c r="G449" s="18"/>
      <c r="H449" s="18"/>
    </row>
    <row r="450" spans="1:10" ht="15" x14ac:dyDescent="0.4">
      <c r="A450" s="44" t="s">
        <v>1651</v>
      </c>
      <c r="B450" s="8">
        <v>0</v>
      </c>
      <c r="C450" s="8">
        <v>0</v>
      </c>
      <c r="D450" s="8"/>
      <c r="E450" s="11"/>
      <c r="F450" s="18"/>
      <c r="G450" s="18"/>
      <c r="H450" s="18"/>
    </row>
    <row r="451" spans="1:10" ht="15" x14ac:dyDescent="0.4">
      <c r="A451" s="44" t="s">
        <v>1792</v>
      </c>
      <c r="B451" s="8">
        <v>0</v>
      </c>
      <c r="C451" s="8">
        <v>0</v>
      </c>
      <c r="D451" s="8"/>
      <c r="E451" s="11"/>
      <c r="F451" s="18"/>
      <c r="G451" s="18"/>
      <c r="H451" s="18"/>
    </row>
    <row r="452" spans="1:10" ht="15" x14ac:dyDescent="0.4">
      <c r="A452" s="44" t="s">
        <v>1793</v>
      </c>
      <c r="B452" s="8">
        <v>0</v>
      </c>
      <c r="C452" s="8">
        <v>0</v>
      </c>
      <c r="D452" s="8"/>
      <c r="E452" s="11"/>
      <c r="F452" s="18"/>
      <c r="G452" s="18"/>
      <c r="H452" s="18"/>
    </row>
    <row r="453" spans="1:10" ht="15" x14ac:dyDescent="0.4">
      <c r="A453" s="44" t="s">
        <v>1912</v>
      </c>
      <c r="B453" s="9">
        <v>40000</v>
      </c>
      <c r="C453" s="9">
        <v>0</v>
      </c>
      <c r="D453" s="9">
        <v>0</v>
      </c>
      <c r="E453" s="11"/>
      <c r="F453" s="18"/>
      <c r="G453" s="18"/>
      <c r="H453" s="18"/>
    </row>
    <row r="454" spans="1:10" x14ac:dyDescent="0.25">
      <c r="A454" s="2" t="s">
        <v>1247</v>
      </c>
      <c r="B454" s="2">
        <f>SUM(B448:B453)</f>
        <v>288000</v>
      </c>
      <c r="C454" s="2">
        <f>SUM(C442:C453)</f>
        <v>434000</v>
      </c>
      <c r="D454" s="2">
        <f>SUM(D442:D453)</f>
        <v>47000</v>
      </c>
    </row>
    <row r="456" spans="1:10" x14ac:dyDescent="0.25">
      <c r="A456" s="1" t="s">
        <v>1332</v>
      </c>
      <c r="E456" s="2">
        <f>SUM(E1:E440)</f>
        <v>6085010.0599999996</v>
      </c>
      <c r="F456" s="2">
        <f>SUM(F1:F440)</f>
        <v>6855456</v>
      </c>
      <c r="G456" s="2">
        <f>SUM(G1:G440)</f>
        <v>7151946.2726190472</v>
      </c>
      <c r="H456" s="2">
        <f>SUM(H1:H440)</f>
        <v>6641517.333333333</v>
      </c>
      <c r="I456" s="2">
        <f>SUM(I6:I440)</f>
        <v>6602075.333333333</v>
      </c>
      <c r="J456" s="2">
        <f>SUM(J6:J440)</f>
        <v>6714194</v>
      </c>
    </row>
    <row r="458" spans="1:10" x14ac:dyDescent="0.25">
      <c r="A458" s="2" t="s">
        <v>2110</v>
      </c>
      <c r="E458" s="2">
        <f t="shared" ref="E458:J458" si="15">SUM(E6:E166)</f>
        <v>4825376.68</v>
      </c>
      <c r="F458" s="2">
        <f t="shared" si="15"/>
        <v>5508269</v>
      </c>
      <c r="G458" s="2">
        <f t="shared" si="15"/>
        <v>6058852.1726190476</v>
      </c>
      <c r="H458" s="2">
        <f t="shared" si="15"/>
        <v>5623423.333333333</v>
      </c>
      <c r="I458" s="2">
        <f t="shared" si="15"/>
        <v>5604731.333333333</v>
      </c>
      <c r="J458" s="2">
        <f t="shared" si="15"/>
        <v>5716850</v>
      </c>
    </row>
    <row r="459" spans="1:10" x14ac:dyDescent="0.25">
      <c r="A459" s="2" t="s">
        <v>1515</v>
      </c>
      <c r="E459" s="2">
        <f t="shared" ref="E459:J459" si="16">SUM(E169:E402)</f>
        <v>476248.79999999993</v>
      </c>
      <c r="F459" s="2">
        <f t="shared" si="16"/>
        <v>525587</v>
      </c>
      <c r="G459" s="2">
        <f t="shared" si="16"/>
        <v>566794.1</v>
      </c>
      <c r="H459" s="2">
        <f t="shared" si="16"/>
        <v>566794</v>
      </c>
      <c r="I459" s="2">
        <f t="shared" si="16"/>
        <v>546044</v>
      </c>
      <c r="J459" s="2">
        <f t="shared" si="16"/>
        <v>546044</v>
      </c>
    </row>
    <row r="460" spans="1:10" ht="15" x14ac:dyDescent="0.4">
      <c r="A460" s="2" t="s">
        <v>1516</v>
      </c>
      <c r="E460" s="11">
        <f t="shared" ref="E460:J460" si="17">SUM(E404:E440)</f>
        <v>783384.58000000007</v>
      </c>
      <c r="F460" s="11">
        <f t="shared" si="17"/>
        <v>821600</v>
      </c>
      <c r="G460" s="11">
        <f t="shared" si="17"/>
        <v>526300</v>
      </c>
      <c r="H460" s="11">
        <f t="shared" si="17"/>
        <v>451300</v>
      </c>
      <c r="I460" s="11">
        <f t="shared" si="17"/>
        <v>451300</v>
      </c>
      <c r="J460" s="11">
        <f t="shared" si="17"/>
        <v>451300</v>
      </c>
    </row>
    <row r="461" spans="1:10" x14ac:dyDescent="0.25">
      <c r="A461" s="2" t="s">
        <v>1247</v>
      </c>
      <c r="E461" s="2">
        <f t="shared" ref="E461:J461" si="18">SUM(E458:E460)</f>
        <v>6085010.0599999996</v>
      </c>
      <c r="F461" s="2">
        <f t="shared" si="18"/>
        <v>6855456</v>
      </c>
      <c r="G461" s="2">
        <f t="shared" si="18"/>
        <v>7151946.2726190472</v>
      </c>
      <c r="H461" s="2">
        <f t="shared" si="18"/>
        <v>6641517.333333333</v>
      </c>
      <c r="I461" s="2">
        <f t="shared" si="18"/>
        <v>6602075.333333333</v>
      </c>
      <c r="J461" s="2">
        <f t="shared" si="18"/>
        <v>6714194</v>
      </c>
    </row>
    <row r="462" spans="1:10" x14ac:dyDescent="0.25">
      <c r="G462" s="280"/>
      <c r="I462" s="280"/>
      <c r="J462" s="298"/>
    </row>
    <row r="463" spans="1:10" x14ac:dyDescent="0.25">
      <c r="G463" s="280"/>
      <c r="I463" s="280"/>
      <c r="J463" s="298"/>
    </row>
    <row r="464" spans="1:10" x14ac:dyDescent="0.25">
      <c r="G464" s="280"/>
      <c r="I464" s="280"/>
      <c r="J464" s="298"/>
    </row>
    <row r="465" spans="7:10" x14ac:dyDescent="0.25">
      <c r="G465" s="280"/>
      <c r="I465" s="2">
        <f>+I461-H461</f>
        <v>-39442</v>
      </c>
      <c r="J465" s="2">
        <f>+J461-I461</f>
        <v>112118.66666666698</v>
      </c>
    </row>
    <row r="466" spans="7:10" x14ac:dyDescent="0.25">
      <c r="G466" s="280"/>
      <c r="I466" s="280"/>
      <c r="J466" s="298"/>
    </row>
    <row r="467" spans="7:10" x14ac:dyDescent="0.25">
      <c r="G467" s="280"/>
      <c r="I467" s="280"/>
      <c r="J467" s="298"/>
    </row>
    <row r="468" spans="7:10" x14ac:dyDescent="0.25">
      <c r="G468" s="280"/>
      <c r="J468" s="2">
        <v>6659007</v>
      </c>
    </row>
    <row r="469" spans="7:10" x14ac:dyDescent="0.25">
      <c r="G469" s="280"/>
      <c r="J469" s="2">
        <f>+J468-J461</f>
        <v>-55187</v>
      </c>
    </row>
    <row r="470" spans="7:10" x14ac:dyDescent="0.25">
      <c r="G470" s="280"/>
    </row>
    <row r="471" spans="7:10" x14ac:dyDescent="0.25">
      <c r="G471" s="280"/>
    </row>
    <row r="472" spans="7:10" x14ac:dyDescent="0.25">
      <c r="G472" s="280"/>
    </row>
    <row r="473" spans="7:10" x14ac:dyDescent="0.25">
      <c r="G473" s="280"/>
    </row>
    <row r="474" spans="7:10" x14ac:dyDescent="0.25">
      <c r="G474" s="280"/>
    </row>
    <row r="475" spans="7:10" x14ac:dyDescent="0.25">
      <c r="G475" s="280"/>
    </row>
    <row r="476" spans="7:10" x14ac:dyDescent="0.25">
      <c r="G476" s="280"/>
    </row>
    <row r="477" spans="7:10" x14ac:dyDescent="0.25">
      <c r="G477" s="280"/>
    </row>
    <row r="478" spans="7:10" x14ac:dyDescent="0.25">
      <c r="G478" s="280"/>
    </row>
    <row r="479" spans="7:10" x14ac:dyDescent="0.25">
      <c r="G479" s="280"/>
    </row>
    <row r="480" spans="7:10" x14ac:dyDescent="0.25">
      <c r="G480" s="280"/>
    </row>
    <row r="481" spans="7:7" x14ac:dyDescent="0.25">
      <c r="G481" s="280"/>
    </row>
    <row r="482" spans="7:7" x14ac:dyDescent="0.25">
      <c r="G482" s="280"/>
    </row>
    <row r="483" spans="7:7" x14ac:dyDescent="0.25">
      <c r="G483" s="280"/>
    </row>
    <row r="484" spans="7:7" x14ac:dyDescent="0.25">
      <c r="G484" s="280"/>
    </row>
    <row r="485" spans="7:7" x14ac:dyDescent="0.25">
      <c r="G485" s="280"/>
    </row>
    <row r="486" spans="7:7" x14ac:dyDescent="0.25">
      <c r="G486" s="280"/>
    </row>
    <row r="487" spans="7:7" x14ac:dyDescent="0.25">
      <c r="G487" s="280"/>
    </row>
    <row r="488" spans="7:7" x14ac:dyDescent="0.25">
      <c r="G488" s="280"/>
    </row>
    <row r="489" spans="7:7" x14ac:dyDescent="0.25">
      <c r="G489" s="280"/>
    </row>
    <row r="490" spans="7:7" x14ac:dyDescent="0.25">
      <c r="G490" s="280"/>
    </row>
    <row r="491" spans="7:7" x14ac:dyDescent="0.25">
      <c r="G491" s="280"/>
    </row>
    <row r="492" spans="7:7" x14ac:dyDescent="0.25">
      <c r="G492" s="280"/>
    </row>
    <row r="493" spans="7:7" x14ac:dyDescent="0.25">
      <c r="G493" s="280"/>
    </row>
    <row r="494" spans="7:7" x14ac:dyDescent="0.25">
      <c r="G494" s="280"/>
    </row>
    <row r="495" spans="7:7" x14ac:dyDescent="0.25">
      <c r="G495" s="280"/>
    </row>
    <row r="496" spans="7:7" x14ac:dyDescent="0.25">
      <c r="G496" s="280"/>
    </row>
    <row r="497" spans="7:7" x14ac:dyDescent="0.25">
      <c r="G497" s="280"/>
    </row>
    <row r="498" spans="7:7" x14ac:dyDescent="0.25">
      <c r="G498" s="280"/>
    </row>
    <row r="499" spans="7:7" x14ac:dyDescent="0.25">
      <c r="G499" s="280"/>
    </row>
    <row r="500" spans="7:7" x14ac:dyDescent="0.25">
      <c r="G500" s="280"/>
    </row>
    <row r="501" spans="7:7" x14ac:dyDescent="0.25">
      <c r="G501" s="280"/>
    </row>
    <row r="502" spans="7:7" x14ac:dyDescent="0.25">
      <c r="G502" s="280"/>
    </row>
    <row r="503" spans="7:7" x14ac:dyDescent="0.25">
      <c r="G503" s="280"/>
    </row>
    <row r="504" spans="7:7" x14ac:dyDescent="0.25">
      <c r="G504" s="280"/>
    </row>
    <row r="505" spans="7:7" x14ac:dyDescent="0.25">
      <c r="G505" s="280"/>
    </row>
    <row r="506" spans="7:7" x14ac:dyDescent="0.25">
      <c r="G506" s="280"/>
    </row>
    <row r="507" spans="7:7" x14ac:dyDescent="0.25">
      <c r="G507" s="280"/>
    </row>
    <row r="508" spans="7:7" x14ac:dyDescent="0.25">
      <c r="G508" s="280"/>
    </row>
    <row r="509" spans="7:7" x14ac:dyDescent="0.25">
      <c r="G509" s="280"/>
    </row>
    <row r="510" spans="7:7" x14ac:dyDescent="0.25">
      <c r="G510" s="280"/>
    </row>
    <row r="511" spans="7:7" x14ac:dyDescent="0.25">
      <c r="G511" s="280"/>
    </row>
  </sheetData>
  <sortState ref="A31:D58">
    <sortCondition ref="A31:A58"/>
  </sortState>
  <mergeCells count="1">
    <mergeCell ref="A1:H1"/>
  </mergeCells>
  <phoneticPr fontId="0" type="noConversion"/>
  <printOptions gridLines="1"/>
  <pageMargins left="0.75" right="0.16" top="0.51" bottom="0.22" header="0.5" footer="0.17"/>
  <pageSetup scale="81" fitToHeight="23" orientation="landscape" r:id="rId1"/>
  <headerFooter alignWithMargins="0"/>
  <rowBreaks count="9" manualBreakCount="9">
    <brk id="45" max="9" man="1"/>
    <brk id="91" max="9" man="1"/>
    <brk id="174" max="9" man="1"/>
    <brk id="223" max="9" man="1"/>
    <brk id="260" max="9" man="1"/>
    <brk id="301" max="9" man="1"/>
    <brk id="349" max="9" man="1"/>
    <brk id="392" max="9" man="1"/>
    <brk id="433" max="9"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J318"/>
  <sheetViews>
    <sheetView view="pageBreakPreview" zoomScale="115" zoomScaleNormal="100" zoomScaleSheetLayoutView="115" workbookViewId="0">
      <selection activeCell="K1" sqref="K1:N1048576"/>
    </sheetView>
  </sheetViews>
  <sheetFormatPr defaultColWidth="9.109375" defaultRowHeight="13.2" x14ac:dyDescent="0.25"/>
  <cols>
    <col min="1" max="1" width="56.21875" style="62" customWidth="1"/>
    <col min="2" max="2" width="10.33203125" style="62" bestFit="1" customWidth="1"/>
    <col min="3" max="3" width="11.44140625" style="62" customWidth="1"/>
    <col min="4" max="4" width="11.33203125" style="62" bestFit="1" customWidth="1"/>
    <col min="5" max="5" width="13.6640625" style="62" customWidth="1"/>
    <col min="6" max="6" width="10.88671875" style="62" bestFit="1" customWidth="1"/>
    <col min="7" max="7" width="11.44140625" style="62" bestFit="1" customWidth="1"/>
    <col min="8" max="8" width="13.5546875" style="62" bestFit="1" customWidth="1"/>
    <col min="9" max="9" width="10.33203125" style="62" bestFit="1" customWidth="1"/>
    <col min="10" max="10" width="9.5546875" style="62" customWidth="1"/>
    <col min="11" max="16384" width="9.109375" style="62"/>
  </cols>
  <sheetData>
    <row r="1" spans="1:10" x14ac:dyDescent="0.25">
      <c r="A1" s="307" t="str">
        <f>'SUMMARY BY FUND'!A1:J1</f>
        <v>2019-20 BUDGET</v>
      </c>
      <c r="B1" s="308"/>
      <c r="C1" s="308"/>
      <c r="D1" s="308"/>
      <c r="E1" s="308"/>
      <c r="F1" s="308"/>
      <c r="G1" s="308"/>
      <c r="H1" s="308"/>
      <c r="I1" s="308"/>
      <c r="J1" s="308"/>
    </row>
    <row r="2" spans="1:10" ht="17.399999999999999" x14ac:dyDescent="0.3">
      <c r="A2" s="183" t="s">
        <v>1937</v>
      </c>
      <c r="B2" s="183"/>
      <c r="C2" s="183"/>
      <c r="D2" s="183"/>
      <c r="E2" s="183"/>
      <c r="F2" s="183"/>
      <c r="I2" s="3"/>
    </row>
    <row r="3" spans="1:10" x14ac:dyDescent="0.25">
      <c r="B3" s="3"/>
      <c r="C3" s="3"/>
      <c r="D3" s="3"/>
      <c r="E3" s="3"/>
      <c r="F3" s="3"/>
      <c r="I3" s="3"/>
    </row>
    <row r="4" spans="1:10" x14ac:dyDescent="0.25">
      <c r="B4" s="3"/>
      <c r="C4" s="3"/>
      <c r="D4" s="3"/>
      <c r="E4" s="195" t="s">
        <v>233</v>
      </c>
      <c r="F4" s="195" t="s">
        <v>234</v>
      </c>
      <c r="G4" s="195" t="s">
        <v>70</v>
      </c>
      <c r="H4" s="195" t="s">
        <v>409</v>
      </c>
      <c r="I4" s="16" t="s">
        <v>314</v>
      </c>
      <c r="J4" s="16" t="s">
        <v>345</v>
      </c>
    </row>
    <row r="5" spans="1:10" ht="15" x14ac:dyDescent="0.4">
      <c r="B5" s="3"/>
      <c r="C5" s="3"/>
      <c r="D5" s="3"/>
      <c r="E5" s="225" t="s">
        <v>1794</v>
      </c>
      <c r="F5" s="225" t="s">
        <v>1970</v>
      </c>
      <c r="G5" s="225" t="s">
        <v>2129</v>
      </c>
      <c r="H5" s="225" t="s">
        <v>2129</v>
      </c>
      <c r="I5" s="225" t="s">
        <v>2129</v>
      </c>
      <c r="J5" s="225" t="s">
        <v>2129</v>
      </c>
    </row>
    <row r="6" spans="1:10" ht="13.8" x14ac:dyDescent="0.3">
      <c r="A6" s="63" t="s">
        <v>930</v>
      </c>
      <c r="B6" s="3"/>
      <c r="C6" s="3"/>
      <c r="D6" s="3"/>
      <c r="E6" s="3">
        <v>151208.18</v>
      </c>
      <c r="F6" s="3">
        <v>161855</v>
      </c>
      <c r="G6" s="3">
        <v>162999</v>
      </c>
      <c r="H6" s="3">
        <v>162999</v>
      </c>
      <c r="I6" s="3">
        <v>164663</v>
      </c>
      <c r="J6" s="3">
        <v>166795</v>
      </c>
    </row>
    <row r="7" spans="1:10" ht="14.4" x14ac:dyDescent="0.3">
      <c r="A7" s="234" t="s">
        <v>738</v>
      </c>
      <c r="B7" s="3">
        <v>52</v>
      </c>
      <c r="C7" s="3">
        <v>1056</v>
      </c>
      <c r="D7" s="3">
        <f>ROUND(B7*C7,0)</f>
        <v>54912</v>
      </c>
      <c r="E7" s="3"/>
      <c r="F7" s="234"/>
      <c r="G7" s="3"/>
      <c r="H7" s="3"/>
      <c r="I7" s="3"/>
      <c r="J7" s="3"/>
    </row>
    <row r="8" spans="1:10" ht="14.4" x14ac:dyDescent="0.3">
      <c r="A8" s="234" t="s">
        <v>2143</v>
      </c>
      <c r="B8" s="3">
        <v>52</v>
      </c>
      <c r="C8" s="3">
        <v>741</v>
      </c>
      <c r="D8" s="3">
        <f>ROUND(B8*C8,0)</f>
        <v>38532</v>
      </c>
      <c r="E8" s="3"/>
      <c r="F8" s="234"/>
      <c r="G8" s="3"/>
      <c r="H8" s="3"/>
      <c r="I8" s="3"/>
      <c r="J8" s="3"/>
    </row>
    <row r="9" spans="1:10" ht="14.4" x14ac:dyDescent="0.3">
      <c r="A9" s="234" t="s">
        <v>2144</v>
      </c>
      <c r="B9" s="3">
        <v>52</v>
      </c>
      <c r="C9" s="3">
        <v>632</v>
      </c>
      <c r="D9" s="3">
        <f>ROUND(B9*C9,0)</f>
        <v>32864</v>
      </c>
      <c r="E9" s="3"/>
      <c r="F9" s="234"/>
      <c r="G9" s="3"/>
      <c r="H9" s="3"/>
      <c r="I9" s="3"/>
      <c r="J9" s="3"/>
    </row>
    <row r="10" spans="1:10" ht="14.4" x14ac:dyDescent="0.3">
      <c r="A10" s="234" t="s">
        <v>2145</v>
      </c>
      <c r="B10" s="3">
        <v>52</v>
      </c>
      <c r="C10" s="3">
        <v>764</v>
      </c>
      <c r="D10" s="3">
        <f>ROUND(B10*C10,0)</f>
        <v>39728</v>
      </c>
      <c r="E10" s="3"/>
      <c r="F10" s="234"/>
      <c r="G10" s="3"/>
      <c r="H10" s="3"/>
      <c r="I10" s="3"/>
      <c r="J10" s="3"/>
    </row>
    <row r="11" spans="1:10" ht="15" x14ac:dyDescent="0.4">
      <c r="A11" s="62" t="s">
        <v>973</v>
      </c>
      <c r="B11" s="3"/>
      <c r="C11" s="3"/>
      <c r="D11" s="31">
        <v>759</v>
      </c>
      <c r="E11" s="3"/>
      <c r="F11" s="3"/>
      <c r="G11" s="3"/>
      <c r="H11" s="3"/>
      <c r="I11" s="3"/>
      <c r="J11" s="3"/>
    </row>
    <row r="12" spans="1:10" x14ac:dyDescent="0.25">
      <c r="A12" s="62" t="s">
        <v>1247</v>
      </c>
      <c r="B12" s="3"/>
      <c r="C12" s="3"/>
      <c r="D12" s="3">
        <f>SUM(D7:D11)</f>
        <v>166795</v>
      </c>
      <c r="F12" s="3"/>
      <c r="G12" s="3"/>
      <c r="H12" s="3"/>
      <c r="I12" s="3"/>
      <c r="J12" s="3"/>
    </row>
    <row r="13" spans="1:10" x14ac:dyDescent="0.25">
      <c r="B13" s="3"/>
      <c r="C13" s="3"/>
      <c r="D13" s="3"/>
      <c r="E13" s="3"/>
      <c r="F13" s="3"/>
      <c r="G13" s="3"/>
      <c r="H13" s="3"/>
      <c r="I13" s="3"/>
      <c r="J13" s="3"/>
    </row>
    <row r="14" spans="1:10" ht="13.8" x14ac:dyDescent="0.3">
      <c r="A14" s="63" t="s">
        <v>579</v>
      </c>
      <c r="B14" s="3"/>
      <c r="C14" s="3"/>
      <c r="D14" s="3"/>
      <c r="E14" s="3">
        <v>725346.17</v>
      </c>
      <c r="F14" s="3">
        <v>835222</v>
      </c>
      <c r="G14" s="3">
        <v>836886</v>
      </c>
      <c r="H14" s="3">
        <v>836886</v>
      </c>
      <c r="I14" s="3">
        <v>844176</v>
      </c>
      <c r="J14" s="3">
        <v>855408</v>
      </c>
    </row>
    <row r="15" spans="1:10" ht="14.4" x14ac:dyDescent="0.3">
      <c r="A15" s="62" t="s">
        <v>349</v>
      </c>
      <c r="B15" s="3">
        <v>52</v>
      </c>
      <c r="C15" s="3">
        <v>2132</v>
      </c>
      <c r="D15" s="3">
        <f t="shared" ref="D15:D24" si="0">ROUND(B15*C15,0)</f>
        <v>110864</v>
      </c>
      <c r="E15" s="3"/>
      <c r="F15" s="234"/>
      <c r="G15" s="3"/>
      <c r="H15" s="3"/>
      <c r="I15" s="3"/>
      <c r="J15" s="3"/>
    </row>
    <row r="16" spans="1:10" ht="14.4" x14ac:dyDescent="0.3">
      <c r="A16" s="62" t="s">
        <v>1990</v>
      </c>
      <c r="B16" s="3">
        <v>52</v>
      </c>
      <c r="C16" s="3">
        <v>2040</v>
      </c>
      <c r="D16" s="3">
        <f t="shared" si="0"/>
        <v>106080</v>
      </c>
      <c r="E16" s="3"/>
      <c r="F16" s="234"/>
      <c r="G16" s="3"/>
      <c r="H16" s="3"/>
      <c r="I16" s="3"/>
      <c r="J16" s="3"/>
    </row>
    <row r="17" spans="1:10" ht="14.4" x14ac:dyDescent="0.3">
      <c r="A17" s="62" t="s">
        <v>1449</v>
      </c>
      <c r="B17" s="3">
        <v>52</v>
      </c>
      <c r="C17" s="3">
        <v>1533</v>
      </c>
      <c r="D17" s="3">
        <f t="shared" si="0"/>
        <v>79716</v>
      </c>
      <c r="E17" s="3"/>
      <c r="F17" s="234"/>
      <c r="G17" s="3"/>
      <c r="H17" s="3"/>
      <c r="I17" s="3"/>
      <c r="J17" s="3"/>
    </row>
    <row r="18" spans="1:10" ht="14.4" x14ac:dyDescent="0.3">
      <c r="A18" s="234" t="s">
        <v>448</v>
      </c>
      <c r="B18" s="3">
        <v>52</v>
      </c>
      <c r="C18" s="3">
        <v>1903</v>
      </c>
      <c r="D18" s="3">
        <f t="shared" si="0"/>
        <v>98956</v>
      </c>
      <c r="E18" s="234"/>
      <c r="F18" s="3"/>
      <c r="G18" s="3"/>
      <c r="H18" s="3"/>
      <c r="I18" s="3"/>
      <c r="J18" s="3"/>
    </row>
    <row r="19" spans="1:10" ht="14.4" x14ac:dyDescent="0.3">
      <c r="A19" s="234" t="s">
        <v>448</v>
      </c>
      <c r="B19" s="3">
        <v>52</v>
      </c>
      <c r="C19" s="3">
        <v>1915</v>
      </c>
      <c r="D19" s="3">
        <f t="shared" si="0"/>
        <v>99580</v>
      </c>
      <c r="E19" s="234"/>
      <c r="F19" s="3"/>
      <c r="G19" s="3"/>
      <c r="H19" s="3"/>
      <c r="I19" s="3"/>
      <c r="J19" s="3"/>
    </row>
    <row r="20" spans="1:10" ht="14.4" x14ac:dyDescent="0.3">
      <c r="A20" s="234" t="s">
        <v>449</v>
      </c>
      <c r="B20" s="3">
        <v>52</v>
      </c>
      <c r="C20" s="3">
        <v>1680</v>
      </c>
      <c r="D20" s="3">
        <f t="shared" si="0"/>
        <v>87360</v>
      </c>
      <c r="E20" s="234"/>
      <c r="F20" s="3"/>
      <c r="G20" s="3"/>
      <c r="H20" s="3"/>
      <c r="I20" s="3"/>
      <c r="J20" s="3"/>
    </row>
    <row r="21" spans="1:10" ht="14.4" x14ac:dyDescent="0.3">
      <c r="A21" s="234" t="s">
        <v>449</v>
      </c>
      <c r="B21" s="3">
        <v>52</v>
      </c>
      <c r="C21" s="3">
        <v>1685</v>
      </c>
      <c r="D21" s="3">
        <f t="shared" si="0"/>
        <v>87620</v>
      </c>
      <c r="E21" s="234"/>
      <c r="F21" s="3"/>
      <c r="G21" s="3"/>
      <c r="H21" s="3"/>
      <c r="I21" s="3"/>
      <c r="J21" s="3"/>
    </row>
    <row r="22" spans="1:10" ht="14.4" x14ac:dyDescent="0.3">
      <c r="A22" s="234" t="s">
        <v>449</v>
      </c>
      <c r="B22" s="3">
        <v>52</v>
      </c>
      <c r="C22" s="3">
        <v>1685</v>
      </c>
      <c r="D22" s="3">
        <f t="shared" si="0"/>
        <v>87620</v>
      </c>
      <c r="E22" s="234"/>
      <c r="F22" s="3"/>
      <c r="G22" s="3"/>
      <c r="H22" s="3"/>
      <c r="I22" s="3"/>
      <c r="J22" s="3"/>
    </row>
    <row r="23" spans="1:10" ht="14.4" x14ac:dyDescent="0.3">
      <c r="A23" s="234" t="s">
        <v>449</v>
      </c>
      <c r="B23" s="3">
        <v>52</v>
      </c>
      <c r="C23" s="3">
        <v>1680</v>
      </c>
      <c r="D23" s="3">
        <f t="shared" si="0"/>
        <v>87360</v>
      </c>
      <c r="E23" s="234"/>
      <c r="F23" s="3"/>
      <c r="G23" s="3"/>
      <c r="H23" s="3"/>
      <c r="I23" s="3"/>
      <c r="J23" s="3"/>
    </row>
    <row r="24" spans="1:10" ht="14.4" x14ac:dyDescent="0.3">
      <c r="A24" s="234" t="s">
        <v>2333</v>
      </c>
      <c r="B24" s="3">
        <v>52</v>
      </c>
      <c r="C24" s="3">
        <v>16</v>
      </c>
      <c r="D24" s="3">
        <f t="shared" si="0"/>
        <v>832</v>
      </c>
      <c r="E24" s="234"/>
      <c r="F24" s="3"/>
      <c r="G24" s="3"/>
      <c r="H24" s="3"/>
      <c r="I24" s="3"/>
      <c r="J24" s="3"/>
    </row>
    <row r="25" spans="1:10" ht="15" x14ac:dyDescent="0.4">
      <c r="A25" s="3" t="s">
        <v>973</v>
      </c>
      <c r="B25" s="3"/>
      <c r="C25" s="3"/>
      <c r="D25" s="31">
        <v>9420</v>
      </c>
      <c r="E25" s="3"/>
      <c r="F25" s="3"/>
      <c r="G25" s="3"/>
      <c r="H25" s="3"/>
      <c r="I25" s="3"/>
      <c r="J25" s="3"/>
    </row>
    <row r="26" spans="1:10" x14ac:dyDescent="0.25">
      <c r="A26" s="3" t="s">
        <v>1247</v>
      </c>
      <c r="B26" s="3"/>
      <c r="C26" s="3"/>
      <c r="D26" s="3">
        <f>SUM(D15:D25)</f>
        <v>855408</v>
      </c>
      <c r="F26" s="3"/>
      <c r="G26" s="3"/>
      <c r="H26" s="3"/>
      <c r="I26" s="3"/>
      <c r="J26" s="3"/>
    </row>
    <row r="27" spans="1:10" x14ac:dyDescent="0.25">
      <c r="A27" s="3"/>
      <c r="B27" s="3"/>
      <c r="C27" s="3"/>
      <c r="D27" s="3"/>
      <c r="E27" s="3"/>
      <c r="F27" s="3"/>
      <c r="G27" s="3"/>
      <c r="H27" s="3"/>
      <c r="I27" s="3"/>
      <c r="J27" s="3"/>
    </row>
    <row r="28" spans="1:10" ht="13.8" x14ac:dyDescent="0.3">
      <c r="A28" s="63" t="s">
        <v>833</v>
      </c>
      <c r="B28" s="3"/>
      <c r="C28" s="3"/>
      <c r="D28" s="3"/>
      <c r="E28" s="3">
        <v>2026653.58</v>
      </c>
      <c r="F28" s="3">
        <v>2386757</v>
      </c>
      <c r="G28" s="3">
        <v>2431318</v>
      </c>
      <c r="H28" s="3">
        <v>2429151</v>
      </c>
      <c r="I28" s="3">
        <v>2406323</v>
      </c>
      <c r="J28" s="3">
        <v>2406323</v>
      </c>
    </row>
    <row r="29" spans="1:10" x14ac:dyDescent="0.25">
      <c r="A29" s="235" t="s">
        <v>88</v>
      </c>
      <c r="B29" s="235">
        <v>52</v>
      </c>
      <c r="C29" s="235">
        <v>1405</v>
      </c>
      <c r="D29" s="3">
        <f t="shared" ref="D29:D63" si="1">ROUND(B29*C29,0)</f>
        <v>73060</v>
      </c>
      <c r="E29" s="3"/>
      <c r="F29" s="207"/>
      <c r="G29" s="236"/>
      <c r="H29" s="236"/>
      <c r="I29" s="236"/>
      <c r="J29" s="236"/>
    </row>
    <row r="30" spans="1:10" x14ac:dyDescent="0.25">
      <c r="A30" s="235" t="s">
        <v>835</v>
      </c>
      <c r="B30" s="235">
        <v>52</v>
      </c>
      <c r="C30" s="235">
        <v>1407</v>
      </c>
      <c r="D30" s="3">
        <f t="shared" si="1"/>
        <v>73164</v>
      </c>
      <c r="E30" s="3"/>
      <c r="F30" s="207"/>
      <c r="G30" s="207"/>
      <c r="H30" s="207"/>
      <c r="I30" s="207"/>
      <c r="J30" s="207"/>
    </row>
    <row r="31" spans="1:10" x14ac:dyDescent="0.25">
      <c r="A31" s="235" t="s">
        <v>835</v>
      </c>
      <c r="B31" s="235">
        <v>52</v>
      </c>
      <c r="C31" s="235">
        <v>1407</v>
      </c>
      <c r="D31" s="3">
        <f t="shared" si="1"/>
        <v>73164</v>
      </c>
      <c r="E31" s="3"/>
      <c r="F31" s="207"/>
      <c r="G31" s="207"/>
      <c r="H31" s="207"/>
      <c r="I31" s="207"/>
      <c r="J31" s="207"/>
    </row>
    <row r="32" spans="1:10" x14ac:dyDescent="0.25">
      <c r="A32" s="235" t="s">
        <v>835</v>
      </c>
      <c r="B32" s="235">
        <v>52</v>
      </c>
      <c r="C32" s="235">
        <v>1370</v>
      </c>
      <c r="D32" s="3">
        <f t="shared" si="1"/>
        <v>71240</v>
      </c>
      <c r="E32" s="3"/>
      <c r="F32" s="207"/>
      <c r="G32" s="207"/>
      <c r="H32" s="207"/>
      <c r="I32" s="207"/>
      <c r="J32" s="207"/>
    </row>
    <row r="33" spans="1:10" x14ac:dyDescent="0.25">
      <c r="A33" s="235" t="s">
        <v>835</v>
      </c>
      <c r="B33" s="235">
        <v>52</v>
      </c>
      <c r="C33" s="235">
        <v>1388</v>
      </c>
      <c r="D33" s="3">
        <f t="shared" si="1"/>
        <v>72176</v>
      </c>
      <c r="E33" s="3"/>
      <c r="F33" s="207"/>
      <c r="G33" s="207"/>
      <c r="H33" s="207"/>
      <c r="I33" s="207"/>
      <c r="J33" s="207"/>
    </row>
    <row r="34" spans="1:10" x14ac:dyDescent="0.25">
      <c r="A34" s="235" t="s">
        <v>89</v>
      </c>
      <c r="B34" s="235">
        <v>52</v>
      </c>
      <c r="C34" s="235">
        <v>1319</v>
      </c>
      <c r="D34" s="3">
        <f t="shared" si="1"/>
        <v>68588</v>
      </c>
      <c r="E34" s="3"/>
      <c r="F34" s="207"/>
      <c r="G34" s="207"/>
      <c r="H34" s="207"/>
      <c r="I34" s="207"/>
      <c r="J34" s="207"/>
    </row>
    <row r="35" spans="1:10" x14ac:dyDescent="0.25">
      <c r="A35" s="235" t="s">
        <v>89</v>
      </c>
      <c r="B35" s="235">
        <v>52</v>
      </c>
      <c r="C35" s="235">
        <v>1331</v>
      </c>
      <c r="D35" s="3">
        <f t="shared" si="1"/>
        <v>69212</v>
      </c>
      <c r="E35" s="3"/>
      <c r="F35" s="207"/>
      <c r="G35" s="207"/>
      <c r="H35" s="207"/>
      <c r="I35" s="207"/>
      <c r="J35" s="207"/>
    </row>
    <row r="36" spans="1:10" x14ac:dyDescent="0.25">
      <c r="A36" s="235" t="s">
        <v>89</v>
      </c>
      <c r="B36" s="235">
        <v>52</v>
      </c>
      <c r="C36" s="235">
        <v>1332</v>
      </c>
      <c r="D36" s="3">
        <f t="shared" si="1"/>
        <v>69264</v>
      </c>
      <c r="E36" s="3"/>
      <c r="F36" s="207"/>
      <c r="G36" s="207"/>
      <c r="H36" s="207"/>
      <c r="I36" s="207"/>
      <c r="J36" s="207"/>
    </row>
    <row r="37" spans="1:10" x14ac:dyDescent="0.25">
      <c r="A37" s="235" t="s">
        <v>89</v>
      </c>
      <c r="B37" s="235">
        <v>52</v>
      </c>
      <c r="C37" s="235">
        <v>1332</v>
      </c>
      <c r="D37" s="3">
        <f t="shared" si="1"/>
        <v>69264</v>
      </c>
      <c r="E37" s="3"/>
      <c r="F37" s="207"/>
      <c r="G37" s="207"/>
      <c r="H37" s="207"/>
      <c r="I37" s="207"/>
      <c r="J37" s="207"/>
    </row>
    <row r="38" spans="1:10" x14ac:dyDescent="0.25">
      <c r="A38" s="235" t="s">
        <v>89</v>
      </c>
      <c r="B38" s="235">
        <v>52</v>
      </c>
      <c r="C38" s="235">
        <v>1506</v>
      </c>
      <c r="D38" s="3">
        <f t="shared" si="1"/>
        <v>78312</v>
      </c>
      <c r="E38" s="3"/>
      <c r="F38" s="207"/>
      <c r="G38" s="207"/>
      <c r="H38" s="207"/>
      <c r="I38" s="207"/>
      <c r="J38" s="207"/>
    </row>
    <row r="39" spans="1:10" x14ac:dyDescent="0.25">
      <c r="A39" s="235" t="s">
        <v>834</v>
      </c>
      <c r="B39" s="235">
        <v>52</v>
      </c>
      <c r="C39" s="297">
        <v>1478</v>
      </c>
      <c r="D39" s="3">
        <f t="shared" si="1"/>
        <v>76856</v>
      </c>
      <c r="E39" s="3"/>
      <c r="F39" s="207"/>
      <c r="G39" s="207"/>
      <c r="H39" s="207"/>
      <c r="I39" s="207"/>
      <c r="J39" s="207"/>
    </row>
    <row r="40" spans="1:10" x14ac:dyDescent="0.25">
      <c r="A40" s="235" t="s">
        <v>834</v>
      </c>
      <c r="B40" s="235">
        <v>52</v>
      </c>
      <c r="C40" s="235">
        <v>1534</v>
      </c>
      <c r="D40" s="3">
        <f t="shared" si="1"/>
        <v>79768</v>
      </c>
      <c r="E40" s="3"/>
      <c r="F40" s="207"/>
      <c r="G40" s="207"/>
      <c r="H40" s="207"/>
      <c r="I40" s="207"/>
      <c r="J40" s="207"/>
    </row>
    <row r="41" spans="1:10" x14ac:dyDescent="0.25">
      <c r="A41" s="235" t="s">
        <v>834</v>
      </c>
      <c r="B41" s="235">
        <v>52</v>
      </c>
      <c r="C41" s="235">
        <v>1534</v>
      </c>
      <c r="D41" s="3">
        <f t="shared" si="1"/>
        <v>79768</v>
      </c>
      <c r="E41" s="3"/>
      <c r="F41" s="207"/>
      <c r="G41" s="207"/>
      <c r="H41" s="207"/>
      <c r="I41" s="207"/>
      <c r="J41" s="207"/>
    </row>
    <row r="42" spans="1:10" x14ac:dyDescent="0.25">
      <c r="A42" s="235" t="s">
        <v>834</v>
      </c>
      <c r="B42" s="235">
        <v>52</v>
      </c>
      <c r="C42" s="235">
        <v>1538</v>
      </c>
      <c r="D42" s="3">
        <f t="shared" si="1"/>
        <v>79976</v>
      </c>
      <c r="E42" s="3"/>
      <c r="F42" s="207"/>
      <c r="G42" s="207"/>
      <c r="H42" s="207"/>
      <c r="I42" s="207"/>
      <c r="J42" s="207"/>
    </row>
    <row r="43" spans="1:10" x14ac:dyDescent="0.25">
      <c r="A43" s="235" t="s">
        <v>834</v>
      </c>
      <c r="B43" s="235">
        <v>52</v>
      </c>
      <c r="C43" s="235">
        <v>1538</v>
      </c>
      <c r="D43" s="3">
        <f t="shared" si="1"/>
        <v>79976</v>
      </c>
      <c r="E43" s="3"/>
      <c r="F43" s="207"/>
      <c r="G43" s="207"/>
      <c r="H43" s="207"/>
      <c r="I43" s="207"/>
      <c r="J43" s="207"/>
    </row>
    <row r="44" spans="1:10" x14ac:dyDescent="0.25">
      <c r="A44" s="235" t="s">
        <v>834</v>
      </c>
      <c r="B44" s="235">
        <v>52</v>
      </c>
      <c r="C44" s="235">
        <v>1125</v>
      </c>
      <c r="D44" s="3">
        <f t="shared" si="1"/>
        <v>58500</v>
      </c>
      <c r="E44" s="3"/>
      <c r="F44" s="207"/>
      <c r="G44" s="207"/>
      <c r="H44" s="207"/>
      <c r="I44" s="207"/>
      <c r="J44" s="207"/>
    </row>
    <row r="45" spans="1:10" x14ac:dyDescent="0.25">
      <c r="A45" s="235" t="s">
        <v>487</v>
      </c>
      <c r="B45" s="235">
        <v>52</v>
      </c>
      <c r="C45" s="235">
        <v>1169</v>
      </c>
      <c r="D45" s="3">
        <f t="shared" ref="D45:D58" si="2">ROUND(B45*C45,0)</f>
        <v>60788</v>
      </c>
      <c r="E45" s="3"/>
      <c r="F45" s="207"/>
      <c r="G45" s="207"/>
      <c r="H45" s="207"/>
      <c r="I45" s="207"/>
      <c r="J45" s="207"/>
    </row>
    <row r="46" spans="1:10" x14ac:dyDescent="0.25">
      <c r="A46" s="235" t="s">
        <v>487</v>
      </c>
      <c r="B46" s="235">
        <v>52</v>
      </c>
      <c r="C46" s="235">
        <v>1191</v>
      </c>
      <c r="D46" s="3">
        <f t="shared" si="2"/>
        <v>61932</v>
      </c>
      <c r="E46" s="3"/>
      <c r="F46" s="207"/>
      <c r="G46" s="207"/>
      <c r="H46" s="207"/>
      <c r="I46" s="207"/>
      <c r="J46" s="207"/>
    </row>
    <row r="47" spans="1:10" x14ac:dyDescent="0.25">
      <c r="A47" s="235" t="s">
        <v>487</v>
      </c>
      <c r="B47" s="235">
        <v>52</v>
      </c>
      <c r="C47" s="235">
        <v>1192</v>
      </c>
      <c r="D47" s="3">
        <f t="shared" si="2"/>
        <v>61984</v>
      </c>
      <c r="E47" s="3"/>
      <c r="F47" s="207"/>
      <c r="G47" s="207"/>
      <c r="H47" s="207"/>
      <c r="I47" s="207"/>
      <c r="J47" s="207"/>
    </row>
    <row r="48" spans="1:10" x14ac:dyDescent="0.25">
      <c r="A48" s="235" t="s">
        <v>487</v>
      </c>
      <c r="B48" s="235">
        <v>52</v>
      </c>
      <c r="C48" s="235">
        <v>1214</v>
      </c>
      <c r="D48" s="3">
        <f t="shared" si="2"/>
        <v>63128</v>
      </c>
      <c r="E48" s="3"/>
      <c r="F48" s="207"/>
      <c r="G48" s="207"/>
      <c r="H48" s="207"/>
      <c r="I48" s="207"/>
      <c r="J48" s="207"/>
    </row>
    <row r="49" spans="1:10" x14ac:dyDescent="0.25">
      <c r="A49" s="235" t="s">
        <v>487</v>
      </c>
      <c r="B49" s="235">
        <v>52</v>
      </c>
      <c r="C49" s="235">
        <v>1214</v>
      </c>
      <c r="D49" s="3">
        <f t="shared" si="2"/>
        <v>63128</v>
      </c>
      <c r="E49" s="3"/>
      <c r="F49" s="207"/>
      <c r="G49" s="207"/>
      <c r="H49" s="207"/>
      <c r="I49" s="207"/>
      <c r="J49" s="207"/>
    </row>
    <row r="50" spans="1:10" x14ac:dyDescent="0.25">
      <c r="A50" s="235" t="s">
        <v>487</v>
      </c>
      <c r="B50" s="235">
        <v>52</v>
      </c>
      <c r="C50" s="235">
        <v>1214</v>
      </c>
      <c r="D50" s="3">
        <f t="shared" si="2"/>
        <v>63128</v>
      </c>
      <c r="E50" s="3"/>
      <c r="F50" s="207"/>
      <c r="G50" s="207"/>
      <c r="H50" s="207"/>
      <c r="I50" s="207"/>
      <c r="J50" s="207"/>
    </row>
    <row r="51" spans="1:10" x14ac:dyDescent="0.25">
      <c r="A51" s="235" t="s">
        <v>487</v>
      </c>
      <c r="B51" s="235">
        <v>52</v>
      </c>
      <c r="C51" s="235">
        <v>1214</v>
      </c>
      <c r="D51" s="3">
        <f t="shared" si="2"/>
        <v>63128</v>
      </c>
      <c r="E51" s="3"/>
      <c r="F51" s="207"/>
      <c r="G51" s="207"/>
      <c r="H51" s="207"/>
      <c r="I51" s="207"/>
      <c r="J51" s="207"/>
    </row>
    <row r="52" spans="1:10" x14ac:dyDescent="0.25">
      <c r="A52" s="235" t="s">
        <v>487</v>
      </c>
      <c r="B52" s="235">
        <v>52</v>
      </c>
      <c r="C52" s="235">
        <v>1234</v>
      </c>
      <c r="D52" s="3">
        <f t="shared" si="2"/>
        <v>64168</v>
      </c>
      <c r="E52" s="3"/>
      <c r="F52" s="207"/>
      <c r="G52" s="207"/>
      <c r="H52" s="207"/>
      <c r="I52" s="207"/>
      <c r="J52" s="207"/>
    </row>
    <row r="53" spans="1:10" x14ac:dyDescent="0.25">
      <c r="A53" s="235" t="s">
        <v>487</v>
      </c>
      <c r="B53" s="235">
        <v>52</v>
      </c>
      <c r="C53" s="235">
        <v>1234</v>
      </c>
      <c r="D53" s="3">
        <f t="shared" si="2"/>
        <v>64168</v>
      </c>
      <c r="E53" s="3"/>
      <c r="F53" s="207"/>
      <c r="G53" s="207"/>
      <c r="H53" s="207"/>
      <c r="I53" s="207"/>
      <c r="J53" s="207"/>
    </row>
    <row r="54" spans="1:10" x14ac:dyDescent="0.25">
      <c r="A54" s="235" t="s">
        <v>487</v>
      </c>
      <c r="B54" s="235">
        <v>52</v>
      </c>
      <c r="C54" s="235">
        <v>1234</v>
      </c>
      <c r="D54" s="3">
        <f t="shared" si="2"/>
        <v>64168</v>
      </c>
      <c r="E54" s="3"/>
      <c r="F54" s="207"/>
      <c r="G54" s="207"/>
      <c r="H54" s="207"/>
      <c r="I54" s="207"/>
      <c r="J54" s="207"/>
    </row>
    <row r="55" spans="1:10" x14ac:dyDescent="0.25">
      <c r="A55" s="235" t="s">
        <v>487</v>
      </c>
      <c r="B55" s="235">
        <v>52</v>
      </c>
      <c r="C55" s="235">
        <v>1234</v>
      </c>
      <c r="D55" s="3">
        <f t="shared" si="2"/>
        <v>64168</v>
      </c>
      <c r="E55" s="3"/>
      <c r="F55" s="207"/>
      <c r="G55" s="207"/>
      <c r="H55" s="207"/>
      <c r="I55" s="207"/>
      <c r="J55" s="207"/>
    </row>
    <row r="56" spans="1:10" x14ac:dyDescent="0.25">
      <c r="A56" s="235" t="s">
        <v>487</v>
      </c>
      <c r="B56" s="235">
        <v>52</v>
      </c>
      <c r="C56">
        <v>1214</v>
      </c>
      <c r="D56" s="3">
        <f t="shared" si="2"/>
        <v>63128</v>
      </c>
      <c r="E56" s="3"/>
      <c r="F56" s="207"/>
      <c r="G56" s="207"/>
      <c r="H56" s="207"/>
      <c r="I56" s="207"/>
      <c r="J56" s="207"/>
    </row>
    <row r="57" spans="1:10" x14ac:dyDescent="0.25">
      <c r="A57" s="235" t="s">
        <v>487</v>
      </c>
      <c r="B57" s="235">
        <v>52</v>
      </c>
      <c r="C57" s="235">
        <v>1083</v>
      </c>
      <c r="D57" s="3">
        <f t="shared" si="2"/>
        <v>56316</v>
      </c>
      <c r="E57" s="3"/>
      <c r="F57" s="207"/>
      <c r="G57" s="207"/>
      <c r="H57" s="207"/>
      <c r="I57" s="207"/>
      <c r="J57" s="207"/>
    </row>
    <row r="58" spans="1:10" x14ac:dyDescent="0.25">
      <c r="A58" s="235" t="s">
        <v>487</v>
      </c>
      <c r="B58" s="235">
        <v>52</v>
      </c>
      <c r="C58" s="297">
        <v>1154</v>
      </c>
      <c r="D58" s="3">
        <f t="shared" si="2"/>
        <v>60008</v>
      </c>
      <c r="E58" s="3"/>
      <c r="F58" s="207"/>
      <c r="G58" s="207"/>
      <c r="H58" s="207"/>
      <c r="I58" s="207"/>
      <c r="J58" s="207"/>
    </row>
    <row r="59" spans="1:10" x14ac:dyDescent="0.25">
      <c r="A59" s="235" t="s">
        <v>487</v>
      </c>
      <c r="B59" s="235">
        <v>52</v>
      </c>
      <c r="C59" s="297">
        <v>1173</v>
      </c>
      <c r="D59" s="3">
        <f t="shared" si="1"/>
        <v>60996</v>
      </c>
      <c r="E59" s="3"/>
      <c r="F59" s="207"/>
      <c r="G59" s="207"/>
      <c r="H59" s="207"/>
      <c r="I59" s="207"/>
      <c r="J59" s="207"/>
    </row>
    <row r="60" spans="1:10" x14ac:dyDescent="0.25">
      <c r="A60" s="235" t="s">
        <v>2150</v>
      </c>
      <c r="B60" s="235">
        <v>52</v>
      </c>
      <c r="C60">
        <v>1240</v>
      </c>
      <c r="D60" s="3">
        <f t="shared" si="1"/>
        <v>64480</v>
      </c>
      <c r="E60" s="3"/>
      <c r="F60" s="207"/>
      <c r="G60" s="207"/>
      <c r="H60" s="207"/>
      <c r="I60" s="207"/>
      <c r="J60" s="207"/>
    </row>
    <row r="61" spans="1:10" x14ac:dyDescent="0.25">
      <c r="A61" s="235" t="s">
        <v>90</v>
      </c>
      <c r="B61" s="235">
        <v>52</v>
      </c>
      <c r="C61" s="235">
        <v>1412</v>
      </c>
      <c r="D61" s="3">
        <f t="shared" si="1"/>
        <v>73424</v>
      </c>
      <c r="E61" s="3"/>
      <c r="F61" s="207"/>
      <c r="G61" s="207"/>
      <c r="H61" s="207"/>
      <c r="I61" s="207"/>
      <c r="J61" s="207"/>
    </row>
    <row r="62" spans="1:10" x14ac:dyDescent="0.25">
      <c r="A62" s="235" t="s">
        <v>90</v>
      </c>
      <c r="B62" s="235">
        <v>52</v>
      </c>
      <c r="C62" s="235">
        <v>1428</v>
      </c>
      <c r="D62" s="3">
        <f t="shared" si="1"/>
        <v>74256</v>
      </c>
      <c r="E62" s="3"/>
      <c r="F62" s="207"/>
      <c r="G62" s="207"/>
      <c r="H62" s="207"/>
      <c r="I62" s="207"/>
      <c r="J62" s="207"/>
    </row>
    <row r="63" spans="1:10" x14ac:dyDescent="0.25">
      <c r="A63" s="3" t="s">
        <v>1065</v>
      </c>
      <c r="B63" s="3">
        <v>2160</v>
      </c>
      <c r="C63" s="65">
        <f>SUM(C29:C62)/40/34</f>
        <v>32.788235294117648</v>
      </c>
      <c r="D63" s="3">
        <f t="shared" si="1"/>
        <v>70823</v>
      </c>
      <c r="E63" s="3"/>
      <c r="F63" s="207"/>
      <c r="G63" s="207"/>
      <c r="H63" s="207"/>
      <c r="I63" s="207"/>
      <c r="J63" s="207"/>
    </row>
    <row r="64" spans="1:10" ht="15" x14ac:dyDescent="0.4">
      <c r="A64" s="3" t="s">
        <v>973</v>
      </c>
      <c r="B64" s="3" t="s">
        <v>396</v>
      </c>
      <c r="C64" s="3" t="s">
        <v>396</v>
      </c>
      <c r="D64" s="31">
        <v>16716</v>
      </c>
      <c r="E64" s="3"/>
      <c r="F64" s="65"/>
      <c r="G64" s="3"/>
      <c r="H64" s="3"/>
      <c r="I64" s="3"/>
      <c r="J64" s="3"/>
    </row>
    <row r="65" spans="1:10" x14ac:dyDescent="0.25">
      <c r="A65" s="3" t="s">
        <v>1247</v>
      </c>
      <c r="B65" s="3"/>
      <c r="C65" s="3"/>
      <c r="D65" s="3">
        <f>SUM(D29:D64)</f>
        <v>2406323</v>
      </c>
      <c r="F65" s="3"/>
      <c r="G65" s="3"/>
      <c r="H65" s="3"/>
      <c r="I65" s="3"/>
      <c r="J65" s="3"/>
    </row>
    <row r="66" spans="1:10" x14ac:dyDescent="0.25">
      <c r="A66" s="3"/>
      <c r="B66" s="3"/>
      <c r="C66" s="3"/>
      <c r="D66" s="3"/>
      <c r="E66" s="3"/>
      <c r="F66" s="3"/>
      <c r="G66" s="3"/>
      <c r="H66" s="3"/>
      <c r="I66" s="3"/>
      <c r="J66" s="3"/>
    </row>
    <row r="67" spans="1:10" ht="13.8" x14ac:dyDescent="0.3">
      <c r="A67" s="63" t="s">
        <v>956</v>
      </c>
      <c r="B67" s="3"/>
      <c r="C67" s="3"/>
      <c r="D67" s="3"/>
      <c r="E67" s="3">
        <v>22216.97</v>
      </c>
      <c r="F67" s="3">
        <v>22376</v>
      </c>
      <c r="G67" s="3">
        <v>27556</v>
      </c>
      <c r="H67" s="3">
        <v>27556</v>
      </c>
      <c r="I67" s="3">
        <v>27419</v>
      </c>
      <c r="J67" s="3">
        <v>27419</v>
      </c>
    </row>
    <row r="68" spans="1:10" x14ac:dyDescent="0.25">
      <c r="A68" s="3" t="s">
        <v>949</v>
      </c>
      <c r="B68" s="3" t="s">
        <v>396</v>
      </c>
      <c r="C68" s="3" t="s">
        <v>396</v>
      </c>
      <c r="D68" s="3" t="s">
        <v>396</v>
      </c>
      <c r="E68" s="3"/>
      <c r="F68" s="3"/>
      <c r="G68" s="3"/>
      <c r="H68" s="3"/>
      <c r="I68" s="3"/>
      <c r="J68" s="3"/>
    </row>
    <row r="69" spans="1:10" x14ac:dyDescent="0.25">
      <c r="A69" s="3" t="s">
        <v>481</v>
      </c>
      <c r="B69" s="3">
        <v>443</v>
      </c>
      <c r="C69" s="65">
        <f>+SUM(C20:C23)/40*1.5/4</f>
        <v>63.09375</v>
      </c>
      <c r="D69" s="3">
        <f>ROUND(B69*C69,0)</f>
        <v>27951</v>
      </c>
      <c r="E69" s="3"/>
      <c r="F69" s="3"/>
      <c r="G69" s="3"/>
      <c r="H69" s="3"/>
      <c r="I69" s="3"/>
      <c r="J69" s="3"/>
    </row>
    <row r="70" spans="1:10" x14ac:dyDescent="0.25">
      <c r="A70" s="3"/>
      <c r="B70" s="3"/>
      <c r="C70" s="3"/>
      <c r="D70" s="3"/>
      <c r="E70" s="3"/>
      <c r="F70" s="3"/>
      <c r="G70" s="3"/>
      <c r="H70" s="3"/>
      <c r="I70" s="3"/>
      <c r="J70" s="3"/>
    </row>
    <row r="71" spans="1:10" ht="13.8" x14ac:dyDescent="0.3">
      <c r="A71" s="63" t="s">
        <v>1043</v>
      </c>
      <c r="B71" s="3"/>
      <c r="C71" s="3"/>
      <c r="D71" s="3"/>
      <c r="E71" s="3">
        <v>21284.23</v>
      </c>
      <c r="F71" s="3">
        <v>24232</v>
      </c>
      <c r="G71" s="3">
        <v>24960</v>
      </c>
      <c r="H71" s="3">
        <v>24960</v>
      </c>
      <c r="I71" s="3">
        <v>25480</v>
      </c>
      <c r="J71" s="3">
        <v>25480</v>
      </c>
    </row>
    <row r="72" spans="1:10" x14ac:dyDescent="0.25">
      <c r="A72" s="3" t="s">
        <v>1796</v>
      </c>
      <c r="B72" s="3">
        <v>52</v>
      </c>
      <c r="C72" s="3">
        <v>490</v>
      </c>
      <c r="D72" s="3">
        <f>ROUND(B72*C72,0)</f>
        <v>25480</v>
      </c>
      <c r="F72" s="3"/>
      <c r="G72" s="3"/>
      <c r="H72" s="3"/>
      <c r="I72" s="3"/>
      <c r="J72" s="3"/>
    </row>
    <row r="73" spans="1:10" x14ac:dyDescent="0.25">
      <c r="A73" s="3"/>
      <c r="B73" s="3"/>
      <c r="C73" s="3"/>
      <c r="D73" s="3"/>
      <c r="E73" s="3"/>
      <c r="F73" s="3"/>
      <c r="G73" s="3"/>
      <c r="H73" s="3"/>
      <c r="I73" s="3"/>
      <c r="J73" s="3"/>
    </row>
    <row r="74" spans="1:10" ht="13.8" x14ac:dyDescent="0.3">
      <c r="A74" s="63" t="s">
        <v>578</v>
      </c>
      <c r="B74" s="3"/>
      <c r="C74" s="3"/>
      <c r="D74" s="3"/>
      <c r="E74" s="3">
        <v>32109.71</v>
      </c>
      <c r="F74" s="3">
        <v>32119</v>
      </c>
      <c r="G74" s="3">
        <v>33133</v>
      </c>
      <c r="H74" s="3">
        <v>32119</v>
      </c>
      <c r="I74" s="3">
        <v>32119</v>
      </c>
      <c r="J74" s="3">
        <v>32119</v>
      </c>
    </row>
    <row r="75" spans="1:10" x14ac:dyDescent="0.25">
      <c r="A75" s="3" t="s">
        <v>2119</v>
      </c>
      <c r="B75" s="3">
        <v>571</v>
      </c>
      <c r="C75" s="65">
        <v>16.48</v>
      </c>
      <c r="D75" s="3">
        <f>ROUND(B75*C75,0)</f>
        <v>9410</v>
      </c>
      <c r="E75" s="3"/>
      <c r="F75" s="3"/>
      <c r="G75" s="3"/>
      <c r="H75" s="3"/>
      <c r="I75" s="3"/>
      <c r="J75" s="3"/>
    </row>
    <row r="76" spans="1:10" ht="15" x14ac:dyDescent="0.4">
      <c r="A76" s="3" t="s">
        <v>1399</v>
      </c>
      <c r="B76" s="3">
        <v>1378</v>
      </c>
      <c r="C76" s="65">
        <v>16.48</v>
      </c>
      <c r="D76" s="31">
        <f>ROUND(B76*C76,0)</f>
        <v>22709</v>
      </c>
      <c r="E76" s="3"/>
      <c r="F76" s="3"/>
      <c r="G76" s="3"/>
      <c r="H76" s="3"/>
      <c r="I76" s="3"/>
      <c r="J76" s="3"/>
    </row>
    <row r="77" spans="1:10" x14ac:dyDescent="0.25">
      <c r="A77" s="3" t="s">
        <v>1247</v>
      </c>
      <c r="B77" s="3"/>
      <c r="C77" s="3"/>
      <c r="D77" s="3">
        <f>SUM(D75:D76)</f>
        <v>32119</v>
      </c>
      <c r="F77" s="3"/>
      <c r="G77" s="3"/>
      <c r="H77" s="3"/>
      <c r="I77" s="3"/>
      <c r="J77" s="3"/>
    </row>
    <row r="78" spans="1:10" x14ac:dyDescent="0.25">
      <c r="A78" s="3"/>
      <c r="B78" s="3"/>
      <c r="C78" s="3"/>
      <c r="D78" s="3"/>
      <c r="E78" s="3"/>
      <c r="F78" s="3"/>
      <c r="G78" s="3"/>
      <c r="H78" s="3"/>
      <c r="I78" s="3"/>
      <c r="J78" s="3"/>
    </row>
    <row r="79" spans="1:10" ht="13.8" x14ac:dyDescent="0.3">
      <c r="A79" s="63" t="s">
        <v>1400</v>
      </c>
      <c r="B79" s="3"/>
      <c r="C79" s="3"/>
      <c r="D79" s="3"/>
      <c r="E79" s="3">
        <v>308545.61</v>
      </c>
      <c r="F79" s="3">
        <v>287917</v>
      </c>
      <c r="G79" s="3">
        <v>249173</v>
      </c>
      <c r="H79" s="3">
        <v>242114</v>
      </c>
      <c r="I79" s="3">
        <v>239963</v>
      </c>
      <c r="J79" s="3">
        <v>239963</v>
      </c>
    </row>
    <row r="80" spans="1:10" x14ac:dyDescent="0.25">
      <c r="A80" s="3" t="s">
        <v>117</v>
      </c>
      <c r="B80" s="3">
        <v>4675</v>
      </c>
      <c r="C80" s="65">
        <f>ROUND(C63*1.5,2)</f>
        <v>49.18</v>
      </c>
      <c r="D80" s="3">
        <f>ROUND(+C80*B80,0)</f>
        <v>229917</v>
      </c>
      <c r="E80" s="3"/>
      <c r="F80" s="3"/>
      <c r="G80" s="3"/>
      <c r="H80" s="3"/>
      <c r="I80" s="3"/>
      <c r="J80" s="3"/>
    </row>
    <row r="81" spans="1:10" ht="15" x14ac:dyDescent="0.4">
      <c r="A81" s="3" t="s">
        <v>2314</v>
      </c>
      <c r="B81" s="3"/>
      <c r="C81" s="65"/>
      <c r="D81" s="31">
        <v>10000</v>
      </c>
      <c r="E81" s="3"/>
      <c r="F81" s="3"/>
      <c r="G81" s="3"/>
      <c r="H81" s="3"/>
      <c r="I81" s="3"/>
      <c r="J81" s="3"/>
    </row>
    <row r="82" spans="1:10" x14ac:dyDescent="0.25">
      <c r="A82" s="3"/>
      <c r="B82" s="3"/>
      <c r="C82" s="65"/>
      <c r="D82" s="3">
        <f>SUM(D80:D81)</f>
        <v>239917</v>
      </c>
      <c r="E82" s="3"/>
      <c r="F82" s="3"/>
      <c r="G82" s="3"/>
      <c r="H82" s="3"/>
      <c r="I82" s="3"/>
      <c r="J82" s="3"/>
    </row>
    <row r="83" spans="1:10" x14ac:dyDescent="0.25">
      <c r="A83" s="3" t="s">
        <v>396</v>
      </c>
      <c r="B83" s="3" t="s">
        <v>396</v>
      </c>
      <c r="C83" s="3" t="s">
        <v>396</v>
      </c>
      <c r="D83" s="3" t="s">
        <v>396</v>
      </c>
      <c r="E83" s="3"/>
      <c r="F83" s="3"/>
      <c r="G83" s="3"/>
      <c r="H83" s="3"/>
      <c r="I83" s="3"/>
      <c r="J83" s="3"/>
    </row>
    <row r="84" spans="1:10" ht="13.8" x14ac:dyDescent="0.3">
      <c r="A84" s="63" t="s">
        <v>1401</v>
      </c>
      <c r="B84" s="3"/>
      <c r="C84" s="3"/>
      <c r="D84" s="3"/>
      <c r="E84" s="3">
        <v>62941.07</v>
      </c>
      <c r="F84" s="3">
        <v>72586</v>
      </c>
      <c r="G84" s="3">
        <v>73112</v>
      </c>
      <c r="H84" s="3">
        <v>73034</v>
      </c>
      <c r="I84" s="3">
        <v>72955</v>
      </c>
      <c r="J84" s="3">
        <v>73287</v>
      </c>
    </row>
    <row r="85" spans="1:10" x14ac:dyDescent="0.25">
      <c r="A85" s="3" t="s">
        <v>896</v>
      </c>
      <c r="B85" s="3">
        <f>+D12</f>
        <v>166795</v>
      </c>
      <c r="C85" s="77">
        <v>7.6499999999999999E-2</v>
      </c>
      <c r="D85" s="3">
        <f t="shared" ref="D85:D92" si="3">ROUND(B85*C85,0)</f>
        <v>12760</v>
      </c>
      <c r="E85" s="3"/>
      <c r="F85" s="3"/>
      <c r="G85" s="3"/>
      <c r="H85" s="3"/>
      <c r="I85" s="3"/>
      <c r="J85" s="3"/>
    </row>
    <row r="86" spans="1:10" x14ac:dyDescent="0.25">
      <c r="A86" s="3" t="s">
        <v>1468</v>
      </c>
      <c r="B86" s="3">
        <f>+D26</f>
        <v>855408</v>
      </c>
      <c r="C86" s="77">
        <v>1.4500000000000001E-2</v>
      </c>
      <c r="D86" s="3">
        <f t="shared" si="3"/>
        <v>12403</v>
      </c>
      <c r="E86" s="3"/>
      <c r="F86" s="3"/>
      <c r="G86" s="3"/>
      <c r="H86" s="3"/>
      <c r="I86" s="3"/>
      <c r="J86" s="3"/>
    </row>
    <row r="87" spans="1:10" x14ac:dyDescent="0.25">
      <c r="A87" s="3" t="s">
        <v>1450</v>
      </c>
      <c r="B87" s="3">
        <f>+D17</f>
        <v>79716</v>
      </c>
      <c r="C87" s="77">
        <v>6.2E-2</v>
      </c>
      <c r="D87" s="3">
        <f t="shared" si="3"/>
        <v>4942</v>
      </c>
      <c r="E87" s="3"/>
      <c r="F87" s="3"/>
      <c r="G87" s="3"/>
      <c r="H87" s="3"/>
      <c r="I87" s="3"/>
      <c r="J87" s="3"/>
    </row>
    <row r="88" spans="1:10" x14ac:dyDescent="0.25">
      <c r="A88" s="3" t="s">
        <v>807</v>
      </c>
      <c r="B88" s="3">
        <f>+D65</f>
        <v>2406323</v>
      </c>
      <c r="C88" s="77">
        <v>1.4500000000000001E-2</v>
      </c>
      <c r="D88" s="3">
        <f t="shared" si="3"/>
        <v>34892</v>
      </c>
      <c r="E88" s="3"/>
      <c r="F88" s="3"/>
      <c r="G88" s="3"/>
      <c r="H88" s="3"/>
      <c r="I88" s="3"/>
      <c r="J88" s="3"/>
    </row>
    <row r="89" spans="1:10" x14ac:dyDescent="0.25">
      <c r="A89" s="3" t="s">
        <v>897</v>
      </c>
      <c r="B89" s="3">
        <f>+D69</f>
        <v>27951</v>
      </c>
      <c r="C89" s="77">
        <v>1.4500000000000001E-2</v>
      </c>
      <c r="D89" s="3">
        <f t="shared" si="3"/>
        <v>405</v>
      </c>
      <c r="E89" s="3"/>
      <c r="F89" s="3"/>
      <c r="G89" s="3"/>
      <c r="H89" s="3"/>
      <c r="I89" s="3"/>
      <c r="J89" s="3"/>
    </row>
    <row r="90" spans="1:10" x14ac:dyDescent="0.25">
      <c r="A90" s="3" t="s">
        <v>1402</v>
      </c>
      <c r="B90" s="3">
        <f>+D72</f>
        <v>25480</v>
      </c>
      <c r="C90" s="77">
        <v>7.6499999999999999E-2</v>
      </c>
      <c r="D90" s="3">
        <f t="shared" si="3"/>
        <v>1949</v>
      </c>
      <c r="E90" s="3"/>
      <c r="F90" s="3"/>
      <c r="G90" s="3"/>
      <c r="H90" s="3"/>
      <c r="I90" s="3"/>
      <c r="J90" s="3"/>
    </row>
    <row r="91" spans="1:10" x14ac:dyDescent="0.25">
      <c r="A91" s="3" t="s">
        <v>184</v>
      </c>
      <c r="B91" s="3">
        <f>+D77</f>
        <v>32119</v>
      </c>
      <c r="C91" s="77">
        <v>7.6499999999999999E-2</v>
      </c>
      <c r="D91" s="3">
        <f t="shared" si="3"/>
        <v>2457</v>
      </c>
      <c r="E91" s="3"/>
      <c r="F91" s="3"/>
      <c r="G91" s="3"/>
      <c r="H91" s="3"/>
      <c r="I91" s="3"/>
      <c r="J91" s="3"/>
    </row>
    <row r="92" spans="1:10" ht="15" x14ac:dyDescent="0.4">
      <c r="A92" s="3" t="s">
        <v>185</v>
      </c>
      <c r="B92" s="3">
        <f>+D82</f>
        <v>239917</v>
      </c>
      <c r="C92" s="77">
        <v>1.4500000000000001E-2</v>
      </c>
      <c r="D92" s="31">
        <f t="shared" si="3"/>
        <v>3479</v>
      </c>
      <c r="E92" s="3"/>
      <c r="F92" s="3"/>
      <c r="G92" s="3"/>
      <c r="H92" s="3"/>
      <c r="I92" s="3"/>
      <c r="J92" s="3"/>
    </row>
    <row r="93" spans="1:10" x14ac:dyDescent="0.25">
      <c r="A93" s="3" t="s">
        <v>1247</v>
      </c>
      <c r="B93" s="3"/>
      <c r="C93" s="3"/>
      <c r="D93" s="3">
        <f>SUM(D85:D92)</f>
        <v>73287</v>
      </c>
      <c r="E93" s="3"/>
      <c r="F93" s="3"/>
      <c r="G93" s="3"/>
      <c r="H93" s="3"/>
      <c r="I93" s="3"/>
      <c r="J93" s="3"/>
    </row>
    <row r="94" spans="1:10" ht="13.8" x14ac:dyDescent="0.3">
      <c r="A94" s="179"/>
      <c r="B94" s="3"/>
      <c r="C94" s="3"/>
      <c r="D94" s="3"/>
      <c r="E94" s="3"/>
      <c r="F94" s="3"/>
      <c r="G94" s="3"/>
      <c r="H94" s="3"/>
      <c r="I94" s="3"/>
      <c r="J94" s="3"/>
    </row>
    <row r="95" spans="1:10" ht="13.8" x14ac:dyDescent="0.3">
      <c r="A95" s="63" t="s">
        <v>1403</v>
      </c>
      <c r="B95" s="3"/>
      <c r="C95" s="3"/>
      <c r="D95" s="3"/>
      <c r="E95" s="3">
        <v>916142.92</v>
      </c>
      <c r="F95" s="3">
        <v>1044381</v>
      </c>
      <c r="G95" s="3">
        <v>1012707</v>
      </c>
      <c r="H95" s="3">
        <v>1012707</v>
      </c>
      <c r="I95" s="3">
        <v>1004777</v>
      </c>
      <c r="J95" s="3">
        <v>1008359</v>
      </c>
    </row>
    <row r="96" spans="1:10" x14ac:dyDescent="0.25">
      <c r="A96" s="3" t="s">
        <v>896</v>
      </c>
      <c r="B96" s="3">
        <f>+D12</f>
        <v>166795</v>
      </c>
      <c r="C96" s="77">
        <v>0.11169999999999999</v>
      </c>
      <c r="D96" s="3">
        <f t="shared" ref="D96:D101" si="4">ROUND(B96*C96,0)</f>
        <v>18631</v>
      </c>
      <c r="E96" s="3"/>
      <c r="F96" s="3"/>
      <c r="G96" s="3"/>
      <c r="H96" s="3"/>
      <c r="I96" s="3"/>
      <c r="J96" s="3"/>
    </row>
    <row r="97" spans="1:10" x14ac:dyDescent="0.25">
      <c r="A97" s="3" t="s">
        <v>1468</v>
      </c>
      <c r="B97" s="3">
        <f>+D26-B87</f>
        <v>775692</v>
      </c>
      <c r="C97" s="77">
        <v>0.2843</v>
      </c>
      <c r="D97" s="3">
        <f t="shared" si="4"/>
        <v>220529</v>
      </c>
      <c r="E97" s="3"/>
      <c r="F97" s="3"/>
      <c r="G97" s="3"/>
      <c r="H97" s="3"/>
      <c r="I97" s="3"/>
      <c r="J97" s="3"/>
    </row>
    <row r="98" spans="1:10" x14ac:dyDescent="0.25">
      <c r="A98" s="3" t="s">
        <v>1450</v>
      </c>
      <c r="B98" s="3">
        <f>+B87</f>
        <v>79716</v>
      </c>
      <c r="C98" s="77">
        <v>0.11169999999999999</v>
      </c>
      <c r="D98" s="3">
        <f t="shared" si="4"/>
        <v>8904</v>
      </c>
      <c r="E98" s="3"/>
      <c r="F98" s="3"/>
      <c r="G98" s="3"/>
      <c r="H98" s="3"/>
      <c r="I98" s="3"/>
      <c r="J98" s="3"/>
    </row>
    <row r="99" spans="1:10" x14ac:dyDescent="0.25">
      <c r="A99" s="3" t="s">
        <v>807</v>
      </c>
      <c r="B99" s="3">
        <f>+D65</f>
        <v>2406323</v>
      </c>
      <c r="C99" s="77">
        <v>0.2843</v>
      </c>
      <c r="D99" s="3">
        <f t="shared" si="4"/>
        <v>684118</v>
      </c>
      <c r="E99" s="3"/>
      <c r="F99" s="3"/>
      <c r="G99" s="3"/>
      <c r="H99" s="3"/>
      <c r="I99" s="3"/>
      <c r="J99" s="3"/>
    </row>
    <row r="100" spans="1:10" x14ac:dyDescent="0.25">
      <c r="A100" s="3" t="s">
        <v>897</v>
      </c>
      <c r="B100" s="3">
        <f>+D69</f>
        <v>27951</v>
      </c>
      <c r="C100" s="77">
        <v>0.2843</v>
      </c>
      <c r="D100" s="3">
        <f t="shared" si="4"/>
        <v>7946</v>
      </c>
      <c r="E100" s="3"/>
      <c r="F100" s="3"/>
      <c r="G100" s="3"/>
      <c r="H100" s="3"/>
      <c r="I100" s="3"/>
      <c r="J100" s="3"/>
    </row>
    <row r="101" spans="1:10" x14ac:dyDescent="0.25">
      <c r="A101" s="3" t="s">
        <v>1402</v>
      </c>
      <c r="B101" s="3">
        <v>0</v>
      </c>
      <c r="C101" s="77">
        <v>0.11169999999999999</v>
      </c>
      <c r="D101" s="3">
        <f t="shared" si="4"/>
        <v>0</v>
      </c>
      <c r="E101" s="3"/>
      <c r="F101" s="3"/>
      <c r="G101" s="3"/>
      <c r="H101" s="3"/>
      <c r="I101" s="3"/>
      <c r="J101" s="3"/>
    </row>
    <row r="102" spans="1:10" ht="15" x14ac:dyDescent="0.4">
      <c r="A102" s="3" t="s">
        <v>185</v>
      </c>
      <c r="B102" s="3">
        <f>+D82</f>
        <v>239917</v>
      </c>
      <c r="C102" s="77">
        <v>0.2843</v>
      </c>
      <c r="D102" s="31">
        <f>ROUND(B102*C102,0)+23</f>
        <v>68231</v>
      </c>
      <c r="E102" s="3"/>
      <c r="F102" s="3"/>
      <c r="G102" s="3"/>
      <c r="H102" s="3"/>
      <c r="I102" s="3"/>
      <c r="J102" s="3"/>
    </row>
    <row r="103" spans="1:10" x14ac:dyDescent="0.25">
      <c r="A103" s="3" t="s">
        <v>1247</v>
      </c>
      <c r="B103" s="3"/>
      <c r="C103" s="3"/>
      <c r="D103" s="3">
        <f>SUM(D96:D102)</f>
        <v>1008359</v>
      </c>
      <c r="E103" s="3"/>
      <c r="F103" s="3"/>
      <c r="G103" s="3"/>
      <c r="H103" s="3"/>
      <c r="I103" s="3"/>
      <c r="J103" s="3"/>
    </row>
    <row r="104" spans="1:10" ht="13.8" x14ac:dyDescent="0.3">
      <c r="A104" s="179"/>
      <c r="B104" s="3"/>
      <c r="C104" s="3"/>
      <c r="D104" s="3"/>
      <c r="E104" s="3"/>
      <c r="F104" s="3"/>
      <c r="G104" s="3"/>
      <c r="H104" s="3"/>
      <c r="I104" s="3"/>
      <c r="J104" s="3"/>
    </row>
    <row r="105" spans="1:10" ht="13.8" x14ac:dyDescent="0.3">
      <c r="A105" s="63" t="s">
        <v>360</v>
      </c>
      <c r="B105" s="3"/>
      <c r="C105" s="3"/>
      <c r="D105" s="3"/>
      <c r="E105" s="3">
        <v>726447.5</v>
      </c>
      <c r="F105" s="3">
        <v>893700</v>
      </c>
      <c r="G105" s="3">
        <v>909000</v>
      </c>
      <c r="H105" s="3">
        <v>918625</v>
      </c>
      <c r="I105" s="3">
        <v>918625</v>
      </c>
      <c r="J105" s="3">
        <v>912979</v>
      </c>
    </row>
    <row r="106" spans="1:10" x14ac:dyDescent="0.25">
      <c r="A106" s="3" t="s">
        <v>1812</v>
      </c>
      <c r="B106" s="3">
        <v>34</v>
      </c>
      <c r="C106" s="3">
        <v>19025</v>
      </c>
      <c r="D106" s="3">
        <f>ROUND(B106*C106,0)</f>
        <v>646850</v>
      </c>
      <c r="E106" s="3"/>
      <c r="F106" s="3"/>
      <c r="G106" s="3"/>
      <c r="H106" s="3"/>
      <c r="I106" s="3"/>
      <c r="J106" s="3"/>
    </row>
    <row r="107" spans="1:10" x14ac:dyDescent="0.25">
      <c r="A107" s="3" t="s">
        <v>30</v>
      </c>
      <c r="B107" s="3">
        <v>6</v>
      </c>
      <c r="C107" s="3">
        <v>22159</v>
      </c>
      <c r="D107" s="3">
        <f>ROUND(B107*C107,0)</f>
        <v>132954</v>
      </c>
      <c r="E107" s="3"/>
      <c r="F107" s="3"/>
      <c r="G107" s="3"/>
      <c r="H107" s="3"/>
      <c r="I107" s="3"/>
      <c r="J107" s="3"/>
    </row>
    <row r="108" spans="1:10" x14ac:dyDescent="0.25">
      <c r="A108" s="3" t="s">
        <v>1223</v>
      </c>
      <c r="B108" s="3">
        <v>3</v>
      </c>
      <c r="C108" s="3">
        <v>19025</v>
      </c>
      <c r="D108" s="3">
        <f>ROUND(B108*C108,0)</f>
        <v>57075</v>
      </c>
      <c r="E108" s="3"/>
      <c r="F108" s="3"/>
      <c r="G108" s="3"/>
      <c r="H108" s="3"/>
      <c r="I108" s="3"/>
      <c r="J108" s="3"/>
    </row>
    <row r="109" spans="1:10" x14ac:dyDescent="0.25">
      <c r="A109" s="3" t="s">
        <v>299</v>
      </c>
      <c r="B109" s="3">
        <v>4</v>
      </c>
      <c r="C109" s="3">
        <v>19025</v>
      </c>
      <c r="D109" s="3">
        <f>ROUND(B109*C109,0)</f>
        <v>76100</v>
      </c>
      <c r="E109" s="3"/>
      <c r="F109" s="3"/>
      <c r="G109" s="3"/>
      <c r="H109" s="3"/>
      <c r="I109" s="3"/>
      <c r="J109" s="3"/>
    </row>
    <row r="110" spans="1:10" ht="15" x14ac:dyDescent="0.4">
      <c r="A110" s="3" t="s">
        <v>1813</v>
      </c>
      <c r="B110" s="3" t="s">
        <v>396</v>
      </c>
      <c r="C110" s="3" t="s">
        <v>396</v>
      </c>
      <c r="D110" s="31">
        <v>0</v>
      </c>
      <c r="E110" s="3"/>
      <c r="F110" s="3"/>
      <c r="G110" s="3"/>
      <c r="H110" s="3"/>
      <c r="I110" s="3"/>
      <c r="J110" s="3"/>
    </row>
    <row r="111" spans="1:10" x14ac:dyDescent="0.25">
      <c r="A111" s="3" t="s">
        <v>801</v>
      </c>
      <c r="B111" s="3"/>
      <c r="C111" s="3"/>
      <c r="D111" s="3">
        <f>SUM(D106:D110)</f>
        <v>912979</v>
      </c>
      <c r="E111" s="3"/>
      <c r="F111" s="3"/>
      <c r="G111" s="3"/>
      <c r="H111" s="3"/>
      <c r="I111" s="3"/>
      <c r="J111" s="3"/>
    </row>
    <row r="112" spans="1:10" x14ac:dyDescent="0.25">
      <c r="A112" s="3"/>
      <c r="B112" s="3"/>
      <c r="C112" s="3"/>
      <c r="D112" s="3"/>
      <c r="E112" s="3"/>
      <c r="F112" s="3"/>
      <c r="G112" s="3"/>
      <c r="H112" s="3"/>
      <c r="I112" s="3"/>
      <c r="J112" s="3"/>
    </row>
    <row r="113" spans="1:10" ht="13.8" x14ac:dyDescent="0.3">
      <c r="A113" s="63" t="s">
        <v>683</v>
      </c>
      <c r="B113" s="3"/>
      <c r="C113" s="3"/>
      <c r="D113" s="3"/>
      <c r="E113" s="3">
        <v>46471.15</v>
      </c>
      <c r="F113" s="3">
        <v>55510</v>
      </c>
      <c r="G113" s="3">
        <v>57005</v>
      </c>
      <c r="H113" s="3">
        <v>57645</v>
      </c>
      <c r="I113" s="3">
        <v>57645</v>
      </c>
      <c r="J113" s="3">
        <v>57645</v>
      </c>
    </row>
    <row r="114" spans="1:10" x14ac:dyDescent="0.25">
      <c r="A114" s="3" t="s">
        <v>298</v>
      </c>
      <c r="B114" s="3">
        <v>40</v>
      </c>
      <c r="C114" s="3">
        <v>1350</v>
      </c>
      <c r="D114" s="3">
        <f>ROUND(B114*C114,0)</f>
        <v>54000</v>
      </c>
      <c r="E114" s="3"/>
      <c r="F114" s="3"/>
      <c r="G114" s="3"/>
      <c r="H114" s="3"/>
      <c r="I114" s="3"/>
      <c r="J114" s="3"/>
    </row>
    <row r="115" spans="1:10" x14ac:dyDescent="0.25">
      <c r="A115" s="3" t="s">
        <v>1223</v>
      </c>
      <c r="B115" s="3">
        <v>3</v>
      </c>
      <c r="C115" s="3">
        <v>1350</v>
      </c>
      <c r="D115" s="3">
        <f>ROUND(B115*C115,0)</f>
        <v>4050</v>
      </c>
      <c r="E115" s="3"/>
      <c r="F115" s="3"/>
      <c r="G115" s="3"/>
      <c r="H115" s="3"/>
      <c r="I115" s="3"/>
      <c r="J115" s="3"/>
    </row>
    <row r="116" spans="1:10" x14ac:dyDescent="0.25">
      <c r="A116" s="3" t="s">
        <v>1389</v>
      </c>
      <c r="B116" s="3"/>
      <c r="C116" s="3"/>
      <c r="D116" s="3">
        <f>+C115*-0.1*39</f>
        <v>-5265</v>
      </c>
      <c r="E116" s="3"/>
      <c r="F116" s="3"/>
      <c r="G116" s="3"/>
      <c r="H116" s="3"/>
      <c r="I116" s="3"/>
      <c r="J116" s="3"/>
    </row>
    <row r="117" spans="1:10" x14ac:dyDescent="0.25">
      <c r="A117" s="3" t="s">
        <v>299</v>
      </c>
      <c r="B117" s="3">
        <v>4</v>
      </c>
      <c r="C117" s="3">
        <v>1350</v>
      </c>
      <c r="D117" s="3">
        <f>ROUND(B117*C117,0)</f>
        <v>5400</v>
      </c>
      <c r="E117" s="3"/>
      <c r="F117" s="3"/>
      <c r="G117" s="3"/>
      <c r="H117" s="3"/>
      <c r="I117" s="3"/>
      <c r="J117" s="3"/>
    </row>
    <row r="118" spans="1:10" ht="15" x14ac:dyDescent="0.4">
      <c r="A118" s="3" t="s">
        <v>227</v>
      </c>
      <c r="B118" s="3"/>
      <c r="C118" s="3"/>
      <c r="D118" s="31">
        <f>+C117*-0.1*B117</f>
        <v>-540</v>
      </c>
      <c r="E118" s="3"/>
      <c r="F118" s="3"/>
      <c r="G118" s="3"/>
      <c r="H118" s="3"/>
      <c r="I118" s="3"/>
      <c r="J118" s="3"/>
    </row>
    <row r="119" spans="1:10" x14ac:dyDescent="0.25">
      <c r="A119" s="3" t="s">
        <v>801</v>
      </c>
      <c r="B119" s="3"/>
      <c r="C119" s="3"/>
      <c r="D119" s="3">
        <f>SUM(D114:D118)</f>
        <v>57645</v>
      </c>
      <c r="F119" s="3"/>
      <c r="G119" s="3"/>
      <c r="H119" s="3"/>
      <c r="I119" s="3"/>
      <c r="J119" s="3"/>
    </row>
    <row r="120" spans="1:10" x14ac:dyDescent="0.25">
      <c r="A120" s="3"/>
      <c r="B120" s="3"/>
      <c r="C120" s="3"/>
      <c r="D120" s="3"/>
      <c r="E120" s="3"/>
      <c r="F120" s="3"/>
      <c r="G120" s="3"/>
      <c r="H120" s="3"/>
      <c r="I120" s="3"/>
      <c r="J120" s="3"/>
    </row>
    <row r="121" spans="1:10" ht="13.8" x14ac:dyDescent="0.3">
      <c r="A121" s="63" t="s">
        <v>684</v>
      </c>
      <c r="B121" s="3"/>
      <c r="C121" s="3"/>
      <c r="D121" s="3"/>
      <c r="E121" s="3">
        <v>2703.76</v>
      </c>
      <c r="F121" s="3">
        <v>2945</v>
      </c>
      <c r="G121" s="3">
        <v>2945</v>
      </c>
      <c r="H121" s="3">
        <v>2945</v>
      </c>
      <c r="I121" s="3">
        <v>2945</v>
      </c>
      <c r="J121" s="3">
        <v>2945</v>
      </c>
    </row>
    <row r="122" spans="1:10" hidden="1" x14ac:dyDescent="0.25">
      <c r="A122" s="3" t="s">
        <v>223</v>
      </c>
      <c r="B122" s="3">
        <v>4</v>
      </c>
      <c r="C122" s="3">
        <v>135</v>
      </c>
      <c r="D122" s="3">
        <f>ROUND(B122*C122,0)</f>
        <v>540</v>
      </c>
      <c r="E122" s="3"/>
      <c r="F122" s="3"/>
      <c r="G122" s="3"/>
      <c r="H122" s="3"/>
      <c r="I122" s="3"/>
      <c r="J122" s="3"/>
    </row>
    <row r="123" spans="1:10" hidden="1" x14ac:dyDescent="0.25">
      <c r="A123" s="3" t="s">
        <v>1224</v>
      </c>
      <c r="B123" s="3">
        <v>3</v>
      </c>
      <c r="C123" s="3">
        <v>135</v>
      </c>
      <c r="D123" s="3">
        <f>ROUND(B123*C123,0)</f>
        <v>405</v>
      </c>
      <c r="E123" s="3"/>
      <c r="F123" s="3"/>
      <c r="G123" s="3"/>
      <c r="H123" s="3"/>
      <c r="I123" s="3"/>
      <c r="J123" s="3"/>
    </row>
    <row r="124" spans="1:10" hidden="1" x14ac:dyDescent="0.25">
      <c r="A124" s="3" t="s">
        <v>1822</v>
      </c>
      <c r="B124" s="3">
        <v>6</v>
      </c>
      <c r="C124" s="3">
        <v>135</v>
      </c>
      <c r="D124" s="3">
        <f>ROUND(B124*C124,0)</f>
        <v>810</v>
      </c>
      <c r="E124" s="3"/>
      <c r="F124" s="3"/>
      <c r="G124" s="3"/>
      <c r="H124" s="3"/>
      <c r="I124" s="3"/>
      <c r="J124" s="3"/>
    </row>
    <row r="125" spans="1:10" ht="15" hidden="1" x14ac:dyDescent="0.4">
      <c r="A125" s="3" t="s">
        <v>1992</v>
      </c>
      <c r="B125" s="3">
        <v>34</v>
      </c>
      <c r="C125" s="3">
        <v>35</v>
      </c>
      <c r="D125" s="31">
        <f>ROUND(B125*C125,0)</f>
        <v>1190</v>
      </c>
      <c r="E125" s="3"/>
      <c r="F125" s="3"/>
      <c r="G125" s="3"/>
      <c r="H125" s="3"/>
      <c r="I125" s="3"/>
      <c r="J125" s="3"/>
    </row>
    <row r="126" spans="1:10" hidden="1" x14ac:dyDescent="0.25">
      <c r="A126" s="3" t="s">
        <v>1247</v>
      </c>
      <c r="B126" s="3"/>
      <c r="C126" s="3"/>
      <c r="D126" s="3">
        <f>SUM(D122:D125)</f>
        <v>2945</v>
      </c>
      <c r="E126" s="3"/>
      <c r="F126" s="3"/>
      <c r="G126" s="3"/>
      <c r="H126" s="3"/>
      <c r="I126" s="3"/>
      <c r="J126" s="3"/>
    </row>
    <row r="127" spans="1:10" x14ac:dyDescent="0.25">
      <c r="A127" s="3"/>
      <c r="B127" s="3"/>
      <c r="C127" s="3"/>
      <c r="D127" s="3"/>
      <c r="E127" s="3"/>
      <c r="F127" s="3"/>
      <c r="G127" s="3"/>
      <c r="H127" s="3"/>
      <c r="I127" s="3"/>
      <c r="J127" s="3"/>
    </row>
    <row r="128" spans="1:10" ht="13.8" x14ac:dyDescent="0.3">
      <c r="A128" s="63" t="s">
        <v>685</v>
      </c>
      <c r="B128" s="3"/>
      <c r="C128" s="3"/>
      <c r="D128" s="3"/>
      <c r="E128" s="3">
        <v>21346.36</v>
      </c>
      <c r="F128" s="3">
        <v>29610</v>
      </c>
      <c r="G128" s="3">
        <v>28200</v>
      </c>
      <c r="H128" s="3">
        <v>28200</v>
      </c>
      <c r="I128" s="3">
        <v>28200</v>
      </c>
      <c r="J128" s="3">
        <v>28200</v>
      </c>
    </row>
    <row r="129" spans="1:10" hidden="1" x14ac:dyDescent="0.25">
      <c r="A129" s="3" t="s">
        <v>223</v>
      </c>
      <c r="B129" s="3">
        <v>4</v>
      </c>
      <c r="C129" s="3">
        <v>600</v>
      </c>
      <c r="D129" s="3">
        <f>ROUND(B129*C129,0)</f>
        <v>2400</v>
      </c>
      <c r="E129" s="3"/>
      <c r="F129" s="3"/>
      <c r="G129" s="3"/>
      <c r="H129" s="3"/>
      <c r="I129" s="3"/>
      <c r="J129" s="3"/>
    </row>
    <row r="130" spans="1:10" hidden="1" x14ac:dyDescent="0.25">
      <c r="A130" s="3" t="s">
        <v>1224</v>
      </c>
      <c r="B130" s="3">
        <v>3</v>
      </c>
      <c r="C130" s="3">
        <v>600</v>
      </c>
      <c r="D130" s="3">
        <f>ROUND(B130*C130,0)</f>
        <v>1800</v>
      </c>
      <c r="E130" s="3"/>
      <c r="F130" s="3"/>
      <c r="G130" s="3"/>
      <c r="H130" s="3"/>
      <c r="I130" s="3"/>
      <c r="J130" s="3"/>
    </row>
    <row r="131" spans="1:10" ht="15" hidden="1" x14ac:dyDescent="0.4">
      <c r="A131" s="3" t="s">
        <v>1406</v>
      </c>
      <c r="B131" s="3">
        <v>40</v>
      </c>
      <c r="C131" s="3">
        <v>600</v>
      </c>
      <c r="D131" s="31">
        <f>ROUND(B131*C131,0)</f>
        <v>24000</v>
      </c>
      <c r="E131" s="3"/>
      <c r="F131" s="3"/>
      <c r="G131" s="3"/>
      <c r="H131" s="3"/>
      <c r="I131" s="3"/>
      <c r="J131" s="3"/>
    </row>
    <row r="132" spans="1:10" hidden="1" x14ac:dyDescent="0.25">
      <c r="A132" s="3" t="s">
        <v>1247</v>
      </c>
      <c r="B132" s="3"/>
      <c r="C132" s="3"/>
      <c r="D132" s="3">
        <f>SUM(D129:D131)</f>
        <v>28200</v>
      </c>
      <c r="E132" s="3"/>
      <c r="F132" s="3"/>
      <c r="G132" s="3"/>
      <c r="H132" s="3"/>
      <c r="I132" s="3"/>
      <c r="J132" s="3"/>
    </row>
    <row r="133" spans="1:10" x14ac:dyDescent="0.25">
      <c r="A133" s="3"/>
      <c r="B133" s="3"/>
      <c r="C133" s="3"/>
      <c r="D133" s="3"/>
      <c r="E133" s="3"/>
      <c r="F133" s="3"/>
      <c r="G133" s="3"/>
      <c r="H133" s="3"/>
      <c r="I133" s="3"/>
      <c r="J133" s="3"/>
    </row>
    <row r="134" spans="1:10" ht="13.8" x14ac:dyDescent="0.3">
      <c r="A134" s="63" t="s">
        <v>1067</v>
      </c>
      <c r="B134" s="3"/>
      <c r="C134" s="3"/>
      <c r="D134" s="3"/>
      <c r="E134" s="3">
        <v>56197.02</v>
      </c>
      <c r="F134" s="3">
        <v>78742</v>
      </c>
      <c r="G134" s="3">
        <v>58638</v>
      </c>
      <c r="H134" s="3">
        <v>58621</v>
      </c>
      <c r="I134" s="3">
        <v>58161</v>
      </c>
      <c r="J134" s="3">
        <v>58357</v>
      </c>
    </row>
    <row r="135" spans="1:10" x14ac:dyDescent="0.25">
      <c r="A135" s="3" t="s">
        <v>896</v>
      </c>
      <c r="B135" s="3">
        <f>+D12</f>
        <v>166795</v>
      </c>
      <c r="C135" s="77">
        <v>1.5E-3</v>
      </c>
      <c r="D135" s="3">
        <f t="shared" ref="D135:D142" si="5">ROUND(B135*C135,0)</f>
        <v>250</v>
      </c>
      <c r="E135" s="3"/>
      <c r="F135" s="3"/>
      <c r="G135" s="3"/>
      <c r="H135" s="3"/>
      <c r="I135" s="3"/>
      <c r="J135" s="3"/>
    </row>
    <row r="136" spans="1:10" x14ac:dyDescent="0.25">
      <c r="A136" s="3" t="s">
        <v>1468</v>
      </c>
      <c r="B136" s="3">
        <f>+D26</f>
        <v>855408</v>
      </c>
      <c r="C136" s="77">
        <v>1.6199999999999999E-2</v>
      </c>
      <c r="D136" s="3">
        <f t="shared" si="5"/>
        <v>13858</v>
      </c>
      <c r="E136" s="3"/>
      <c r="F136" s="3"/>
      <c r="G136" s="3"/>
      <c r="H136" s="3"/>
      <c r="I136" s="3"/>
      <c r="J136" s="3"/>
    </row>
    <row r="137" spans="1:10" x14ac:dyDescent="0.25">
      <c r="A137" s="3" t="str">
        <f>+A98</f>
        <v>8103 Prosecutor</v>
      </c>
      <c r="B137" s="3">
        <f>+B98</f>
        <v>79716</v>
      </c>
      <c r="C137" s="77">
        <v>1.5E-3</v>
      </c>
      <c r="D137" s="3">
        <f t="shared" si="5"/>
        <v>120</v>
      </c>
      <c r="E137" s="3"/>
      <c r="F137" s="3"/>
      <c r="G137" s="3"/>
      <c r="H137" s="3"/>
      <c r="I137" s="3"/>
      <c r="J137" s="3"/>
    </row>
    <row r="138" spans="1:10" x14ac:dyDescent="0.25">
      <c r="A138" s="3" t="s">
        <v>807</v>
      </c>
      <c r="B138" s="3">
        <f>+D65</f>
        <v>2406323</v>
      </c>
      <c r="C138" s="77">
        <v>1.6199999999999999E-2</v>
      </c>
      <c r="D138" s="3">
        <f>ROUND(B138*C138,0)-34</f>
        <v>38948</v>
      </c>
      <c r="E138" s="3"/>
      <c r="F138" s="3"/>
      <c r="G138" s="3"/>
      <c r="H138" s="3"/>
      <c r="I138" s="3"/>
      <c r="J138" s="3"/>
    </row>
    <row r="139" spans="1:10" x14ac:dyDescent="0.25">
      <c r="A139" s="199" t="s">
        <v>897</v>
      </c>
      <c r="B139" s="3">
        <f>ROUND(B100,0)</f>
        <v>27951</v>
      </c>
      <c r="C139" s="77">
        <v>1.6199999999999999E-2</v>
      </c>
      <c r="D139" s="3">
        <f t="shared" si="5"/>
        <v>453</v>
      </c>
      <c r="E139" s="3"/>
      <c r="F139" s="3"/>
      <c r="G139" s="3"/>
      <c r="H139" s="3"/>
      <c r="I139" s="3"/>
      <c r="J139" s="3"/>
    </row>
    <row r="140" spans="1:10" x14ac:dyDescent="0.25">
      <c r="A140" s="3" t="s">
        <v>1402</v>
      </c>
      <c r="B140" s="3">
        <f>+D72</f>
        <v>25480</v>
      </c>
      <c r="C140" s="77">
        <v>1.2500000000000001E-2</v>
      </c>
      <c r="D140" s="3">
        <f t="shared" si="5"/>
        <v>319</v>
      </c>
      <c r="E140" s="3"/>
      <c r="F140" s="3"/>
      <c r="G140" s="3"/>
      <c r="H140" s="3"/>
      <c r="I140" s="3"/>
      <c r="J140" s="3"/>
    </row>
    <row r="141" spans="1:10" x14ac:dyDescent="0.25">
      <c r="A141" s="3" t="s">
        <v>184</v>
      </c>
      <c r="B141" s="3">
        <f>+D77</f>
        <v>32119</v>
      </c>
      <c r="C141" s="77">
        <v>1.6199999999999999E-2</v>
      </c>
      <c r="D141" s="3">
        <f t="shared" si="5"/>
        <v>520</v>
      </c>
      <c r="E141" s="3"/>
      <c r="F141" s="3"/>
      <c r="G141" s="3"/>
      <c r="H141" s="3"/>
      <c r="I141" s="3"/>
      <c r="J141" s="3"/>
    </row>
    <row r="142" spans="1:10" ht="15" x14ac:dyDescent="0.4">
      <c r="A142" s="199" t="s">
        <v>185</v>
      </c>
      <c r="B142" s="3">
        <f>+D82</f>
        <v>239917</v>
      </c>
      <c r="C142" s="77">
        <v>1.6199999999999999E-2</v>
      </c>
      <c r="D142" s="31">
        <f t="shared" si="5"/>
        <v>3887</v>
      </c>
      <c r="E142" s="3"/>
      <c r="F142" s="3"/>
      <c r="G142" s="3"/>
      <c r="H142" s="3"/>
      <c r="I142" s="3"/>
      <c r="J142" s="3"/>
    </row>
    <row r="143" spans="1:10" x14ac:dyDescent="0.25">
      <c r="A143" s="3" t="s">
        <v>1247</v>
      </c>
      <c r="B143" s="3"/>
      <c r="C143" s="3"/>
      <c r="D143" s="3">
        <f>SUM(D135:D142)+2</f>
        <v>58357</v>
      </c>
      <c r="E143" s="3"/>
      <c r="F143" s="3"/>
      <c r="G143" s="3"/>
      <c r="H143" s="3"/>
      <c r="I143" s="3"/>
      <c r="J143" s="3"/>
    </row>
    <row r="144" spans="1:10" x14ac:dyDescent="0.25">
      <c r="A144" s="3"/>
      <c r="B144" s="3"/>
      <c r="C144" s="3"/>
      <c r="D144" s="3"/>
      <c r="E144" s="3"/>
      <c r="F144" s="3"/>
      <c r="G144" s="3"/>
      <c r="H144" s="3"/>
      <c r="I144" s="3"/>
      <c r="J144" s="3"/>
    </row>
    <row r="145" spans="1:10" ht="13.8" x14ac:dyDescent="0.3">
      <c r="A145" s="63" t="s">
        <v>144</v>
      </c>
      <c r="B145" s="3"/>
      <c r="C145" s="3"/>
      <c r="D145" s="3"/>
      <c r="E145" s="3">
        <v>1036.4000000000001</v>
      </c>
      <c r="F145" s="3">
        <v>1302</v>
      </c>
      <c r="G145" s="3">
        <v>1306</v>
      </c>
      <c r="H145" s="3">
        <v>1306</v>
      </c>
      <c r="I145" s="3">
        <v>1304</v>
      </c>
      <c r="J145" s="3">
        <v>1304</v>
      </c>
    </row>
    <row r="146" spans="1:10" x14ac:dyDescent="0.25">
      <c r="A146" s="3" t="s">
        <v>863</v>
      </c>
      <c r="B146" s="3">
        <v>4</v>
      </c>
      <c r="C146" s="3">
        <v>26</v>
      </c>
      <c r="D146" s="3">
        <f>ROUND(B146*C146,0)</f>
        <v>104</v>
      </c>
      <c r="E146" s="3"/>
      <c r="F146" s="3"/>
      <c r="G146" s="3"/>
      <c r="H146" s="3"/>
      <c r="I146" s="3"/>
      <c r="J146" s="3"/>
    </row>
    <row r="147" spans="1:10" x14ac:dyDescent="0.25">
      <c r="A147" s="3" t="s">
        <v>1468</v>
      </c>
      <c r="B147" s="3">
        <v>9</v>
      </c>
      <c r="C147" s="3">
        <v>26</v>
      </c>
      <c r="D147" s="3">
        <f>ROUND(B147*C147,0)</f>
        <v>234</v>
      </c>
      <c r="E147" s="3"/>
      <c r="F147" s="3"/>
      <c r="G147" s="3"/>
      <c r="H147" s="3"/>
      <c r="I147" s="3"/>
      <c r="J147" s="3"/>
    </row>
    <row r="148" spans="1:10" x14ac:dyDescent="0.25">
      <c r="A148" s="3" t="s">
        <v>807</v>
      </c>
      <c r="B148" s="3">
        <v>34</v>
      </c>
      <c r="C148" s="3">
        <v>26</v>
      </c>
      <c r="D148" s="3">
        <f>ROUND(B148*C148,0)</f>
        <v>884</v>
      </c>
      <c r="E148" s="3"/>
      <c r="F148" s="3"/>
      <c r="G148" s="3"/>
      <c r="H148" s="3"/>
      <c r="I148" s="3"/>
      <c r="J148" s="3"/>
    </row>
    <row r="149" spans="1:10" x14ac:dyDescent="0.25">
      <c r="A149" s="3" t="s">
        <v>864</v>
      </c>
      <c r="B149" s="3">
        <v>1</v>
      </c>
      <c r="C149" s="3">
        <v>26</v>
      </c>
      <c r="D149" s="3">
        <f>ROUND(B149*C149,0)</f>
        <v>26</v>
      </c>
      <c r="E149" s="3"/>
      <c r="F149" s="3"/>
      <c r="G149" s="3"/>
      <c r="H149" s="3"/>
      <c r="I149" s="3"/>
      <c r="J149" s="3"/>
    </row>
    <row r="150" spans="1:10" ht="15" x14ac:dyDescent="0.4">
      <c r="A150" s="3" t="s">
        <v>184</v>
      </c>
      <c r="B150" s="3">
        <f>+D77</f>
        <v>32119</v>
      </c>
      <c r="C150" s="201">
        <v>1.8E-3</v>
      </c>
      <c r="D150" s="31">
        <f>ROUND(B150*C150,0)-2</f>
        <v>56</v>
      </c>
      <c r="E150" s="3"/>
      <c r="F150" s="3"/>
      <c r="G150" s="3"/>
      <c r="H150" s="3"/>
      <c r="I150" s="3"/>
      <c r="J150" s="3"/>
    </row>
    <row r="151" spans="1:10" x14ac:dyDescent="0.25">
      <c r="A151" s="3" t="s">
        <v>1247</v>
      </c>
      <c r="B151" s="3"/>
      <c r="C151" s="3"/>
      <c r="D151" s="3">
        <f>SUM(D146:D150)</f>
        <v>1304</v>
      </c>
      <c r="E151" s="3"/>
      <c r="F151" s="3"/>
      <c r="G151" s="3"/>
      <c r="H151" s="3"/>
      <c r="I151" s="3"/>
      <c r="J151" s="3"/>
    </row>
    <row r="152" spans="1:10" ht="13.8" x14ac:dyDescent="0.3">
      <c r="A152" s="179"/>
      <c r="B152" s="3"/>
      <c r="C152" s="3"/>
      <c r="D152" s="3"/>
      <c r="E152" s="3"/>
      <c r="F152" s="3"/>
      <c r="G152" s="3"/>
      <c r="H152" s="3"/>
      <c r="I152" s="3"/>
      <c r="J152" s="3"/>
    </row>
    <row r="153" spans="1:10" ht="13.8" x14ac:dyDescent="0.3">
      <c r="A153" s="179" t="s">
        <v>2115</v>
      </c>
      <c r="B153" s="3"/>
      <c r="C153" s="3"/>
      <c r="D153" s="3"/>
      <c r="E153" s="3"/>
      <c r="F153" s="3">
        <v>0</v>
      </c>
      <c r="G153" s="3"/>
      <c r="H153" s="3"/>
      <c r="I153" s="3"/>
      <c r="J153" s="3"/>
    </row>
    <row r="154" spans="1:10" x14ac:dyDescent="0.25">
      <c r="A154" s="73" t="s">
        <v>2224</v>
      </c>
      <c r="B154" s="3"/>
      <c r="C154" s="3"/>
      <c r="D154" s="3">
        <v>187538.33</v>
      </c>
      <c r="E154" s="3"/>
      <c r="F154" s="3"/>
      <c r="G154" s="3">
        <v>187538</v>
      </c>
      <c r="H154" s="3">
        <v>0</v>
      </c>
      <c r="I154" s="3">
        <v>0</v>
      </c>
      <c r="J154" s="3">
        <v>0</v>
      </c>
    </row>
    <row r="155" spans="1:10" ht="13.8" x14ac:dyDescent="0.3">
      <c r="A155" s="179"/>
      <c r="B155" s="3"/>
      <c r="C155" s="3"/>
      <c r="D155" s="3"/>
      <c r="E155" s="3"/>
      <c r="F155" s="3"/>
      <c r="G155" s="3"/>
      <c r="H155" s="3"/>
      <c r="I155" s="3"/>
      <c r="J155" s="3"/>
    </row>
    <row r="156" spans="1:10" ht="13.8" x14ac:dyDescent="0.3">
      <c r="A156" s="179"/>
      <c r="B156" s="3"/>
      <c r="C156" s="3"/>
      <c r="D156" s="3"/>
      <c r="E156" s="3"/>
      <c r="F156" s="3"/>
      <c r="G156" s="3"/>
      <c r="H156" s="3"/>
      <c r="I156" s="3"/>
      <c r="J156" s="3"/>
    </row>
    <row r="157" spans="1:10" ht="13.8" x14ac:dyDescent="0.3">
      <c r="A157" s="63" t="s">
        <v>865</v>
      </c>
      <c r="B157" s="3"/>
      <c r="C157" s="3"/>
      <c r="D157" s="3"/>
      <c r="E157" s="3">
        <v>5347.29</v>
      </c>
      <c r="F157" s="3">
        <v>8599</v>
      </c>
      <c r="G157" s="3">
        <v>8599</v>
      </c>
      <c r="H157" s="3">
        <v>8599</v>
      </c>
      <c r="I157" s="3">
        <v>8599</v>
      </c>
      <c r="J157" s="3">
        <v>8599</v>
      </c>
    </row>
    <row r="158" spans="1:10" x14ac:dyDescent="0.25">
      <c r="A158" s="3" t="s">
        <v>866</v>
      </c>
      <c r="B158" s="3"/>
      <c r="C158" s="3"/>
      <c r="D158" s="3">
        <v>4038</v>
      </c>
      <c r="E158" s="3"/>
      <c r="F158" s="3"/>
      <c r="G158" s="3"/>
      <c r="H158" s="3"/>
      <c r="I158" s="3"/>
      <c r="J158" s="3"/>
    </row>
    <row r="159" spans="1:10" x14ac:dyDescent="0.25">
      <c r="A159" s="3" t="s">
        <v>1483</v>
      </c>
      <c r="B159" s="3"/>
      <c r="C159" s="3"/>
      <c r="D159" s="3">
        <v>2161</v>
      </c>
      <c r="E159" s="3"/>
      <c r="F159" s="3"/>
      <c r="G159" s="3"/>
      <c r="H159" s="3"/>
      <c r="I159" s="3"/>
      <c r="J159" s="3"/>
    </row>
    <row r="160" spans="1:10" ht="15" x14ac:dyDescent="0.4">
      <c r="A160" s="3" t="s">
        <v>1484</v>
      </c>
      <c r="B160" s="3"/>
      <c r="C160" s="3"/>
      <c r="D160" s="31">
        <v>2400</v>
      </c>
      <c r="E160" s="3"/>
      <c r="F160" s="3"/>
      <c r="G160" s="3"/>
      <c r="H160" s="3"/>
      <c r="I160" s="3"/>
      <c r="J160" s="3"/>
    </row>
    <row r="161" spans="1:10" x14ac:dyDescent="0.25">
      <c r="A161" s="3" t="s">
        <v>1247</v>
      </c>
      <c r="B161" s="3"/>
      <c r="C161" s="3"/>
      <c r="D161" s="3">
        <f>SUM(D158:D160)</f>
        <v>8599</v>
      </c>
      <c r="F161" s="3"/>
      <c r="G161" s="3"/>
      <c r="H161" s="3"/>
      <c r="I161" s="3"/>
      <c r="J161" s="3"/>
    </row>
    <row r="162" spans="1:10" x14ac:dyDescent="0.25">
      <c r="A162" s="3"/>
      <c r="B162" s="3"/>
      <c r="C162" s="3"/>
      <c r="D162" s="3"/>
      <c r="E162" s="3"/>
      <c r="F162" s="3"/>
      <c r="G162" s="3"/>
      <c r="H162" s="3"/>
      <c r="I162" s="3"/>
      <c r="J162" s="3"/>
    </row>
    <row r="163" spans="1:10" ht="13.8" x14ac:dyDescent="0.3">
      <c r="A163" s="63" t="s">
        <v>1485</v>
      </c>
      <c r="B163" s="3"/>
      <c r="C163" s="3"/>
      <c r="D163" s="3"/>
      <c r="E163" s="3">
        <v>10638.28</v>
      </c>
      <c r="F163" s="3">
        <v>19629</v>
      </c>
      <c r="G163" s="3">
        <v>19629</v>
      </c>
      <c r="H163" s="3">
        <v>19629</v>
      </c>
      <c r="I163" s="3">
        <v>19629</v>
      </c>
      <c r="J163" s="3">
        <v>19629</v>
      </c>
    </row>
    <row r="164" spans="1:10" x14ac:dyDescent="0.25">
      <c r="A164" s="3" t="s">
        <v>1486</v>
      </c>
      <c r="B164" s="3" t="s">
        <v>396</v>
      </c>
      <c r="C164" s="3"/>
      <c r="D164" s="3">
        <v>1600</v>
      </c>
      <c r="E164" s="3"/>
      <c r="F164" s="3"/>
      <c r="G164" s="3"/>
      <c r="H164" s="3"/>
      <c r="I164" s="3"/>
      <c r="J164" s="3"/>
    </row>
    <row r="165" spans="1:10" x14ac:dyDescent="0.25">
      <c r="A165" s="3" t="s">
        <v>908</v>
      </c>
      <c r="B165" s="3"/>
      <c r="C165" s="3"/>
      <c r="D165" s="3">
        <v>2100</v>
      </c>
      <c r="E165" s="3"/>
      <c r="F165" s="3"/>
      <c r="G165" s="3"/>
      <c r="H165" s="3"/>
      <c r="I165" s="3"/>
      <c r="J165" s="3"/>
    </row>
    <row r="166" spans="1:10" x14ac:dyDescent="0.25">
      <c r="A166" s="3" t="s">
        <v>909</v>
      </c>
      <c r="B166" s="3"/>
      <c r="C166" s="3"/>
      <c r="D166" s="3">
        <v>500</v>
      </c>
      <c r="E166" s="3"/>
      <c r="F166" s="3"/>
      <c r="G166" s="3"/>
      <c r="H166" s="3"/>
      <c r="I166" s="3"/>
      <c r="J166" s="3"/>
    </row>
    <row r="167" spans="1:10" ht="15" x14ac:dyDescent="0.4">
      <c r="A167" s="3" t="s">
        <v>186</v>
      </c>
      <c r="B167" s="3"/>
      <c r="C167" s="3"/>
      <c r="D167" s="31">
        <f>-431+10860+5000</f>
        <v>15429</v>
      </c>
      <c r="E167" s="3"/>
      <c r="F167" s="3"/>
      <c r="G167" s="3"/>
      <c r="H167" s="3"/>
      <c r="I167" s="3"/>
      <c r="J167" s="3"/>
    </row>
    <row r="168" spans="1:10" x14ac:dyDescent="0.25">
      <c r="A168" s="3" t="s">
        <v>1247</v>
      </c>
      <c r="B168" s="3"/>
      <c r="C168" s="3"/>
      <c r="D168" s="3">
        <f>SUM(D164:D167)</f>
        <v>19629</v>
      </c>
      <c r="F168" s="3"/>
      <c r="G168" s="3"/>
      <c r="H168" s="3"/>
      <c r="I168" s="3"/>
      <c r="J168" s="3"/>
    </row>
    <row r="169" spans="1:10" x14ac:dyDescent="0.25">
      <c r="A169" s="3"/>
      <c r="B169" s="3"/>
      <c r="C169" s="3"/>
      <c r="D169" s="3"/>
      <c r="E169" s="3"/>
      <c r="F169" s="3"/>
      <c r="G169" s="3"/>
      <c r="H169" s="3"/>
      <c r="I169" s="3"/>
      <c r="J169" s="3"/>
    </row>
    <row r="170" spans="1:10" ht="13.8" x14ac:dyDescent="0.3">
      <c r="A170" s="63" t="s">
        <v>496</v>
      </c>
      <c r="B170" s="3"/>
      <c r="C170" s="3"/>
      <c r="D170" s="3"/>
      <c r="E170" s="3">
        <v>67133.77</v>
      </c>
      <c r="F170" s="3">
        <v>42750</v>
      </c>
      <c r="G170" s="3">
        <v>43650</v>
      </c>
      <c r="H170" s="3">
        <v>43650</v>
      </c>
      <c r="I170" s="3">
        <v>43650</v>
      </c>
      <c r="J170" s="3">
        <v>43650</v>
      </c>
    </row>
    <row r="171" spans="1:10" x14ac:dyDescent="0.25">
      <c r="A171" s="3" t="s">
        <v>497</v>
      </c>
      <c r="B171" s="3">
        <v>2</v>
      </c>
      <c r="C171" s="3">
        <v>1800</v>
      </c>
      <c r="D171" s="3">
        <f>ROUND(B171*C171,0)</f>
        <v>3600</v>
      </c>
      <c r="E171" s="3"/>
      <c r="F171" s="3"/>
      <c r="G171" s="3"/>
      <c r="H171" s="3"/>
      <c r="I171" s="3"/>
      <c r="J171" s="3"/>
    </row>
    <row r="172" spans="1:10" x14ac:dyDescent="0.25">
      <c r="A172" s="3" t="s">
        <v>1394</v>
      </c>
      <c r="B172" s="3" t="s">
        <v>396</v>
      </c>
      <c r="C172" s="3" t="s">
        <v>396</v>
      </c>
      <c r="D172" s="3" t="s">
        <v>396</v>
      </c>
      <c r="E172" s="3"/>
      <c r="F172" s="3"/>
      <c r="G172" s="3"/>
      <c r="H172" s="3"/>
      <c r="I172" s="3"/>
      <c r="J172" s="3"/>
    </row>
    <row r="173" spans="1:10" x14ac:dyDescent="0.25">
      <c r="A173" s="3" t="s">
        <v>1225</v>
      </c>
      <c r="B173" s="3">
        <v>10</v>
      </c>
      <c r="C173" s="3">
        <v>600</v>
      </c>
      <c r="D173" s="3">
        <f t="shared" ref="D173:D184" si="6">ROUND(B173*C173,0)</f>
        <v>6000</v>
      </c>
      <c r="E173" s="3"/>
      <c r="F173" s="3"/>
      <c r="G173" s="3"/>
      <c r="H173" s="3"/>
      <c r="I173" s="3"/>
      <c r="J173" s="3"/>
    </row>
    <row r="174" spans="1:10" x14ac:dyDescent="0.25">
      <c r="A174" s="3" t="s">
        <v>1226</v>
      </c>
      <c r="B174" s="3">
        <v>10</v>
      </c>
      <c r="C174" s="3">
        <v>700</v>
      </c>
      <c r="D174" s="3">
        <f t="shared" si="6"/>
        <v>7000</v>
      </c>
      <c r="E174" s="3"/>
      <c r="F174" s="3"/>
      <c r="G174" s="3"/>
      <c r="H174" s="3"/>
      <c r="I174" s="3"/>
      <c r="J174" s="3"/>
    </row>
    <row r="175" spans="1:10" x14ac:dyDescent="0.25">
      <c r="A175" s="3" t="s">
        <v>1227</v>
      </c>
      <c r="B175" s="3">
        <v>6</v>
      </c>
      <c r="C175" s="3">
        <v>800</v>
      </c>
      <c r="D175" s="3">
        <f t="shared" si="6"/>
        <v>4800</v>
      </c>
      <c r="E175" s="3"/>
      <c r="F175" s="3"/>
      <c r="G175" s="3"/>
      <c r="H175" s="3"/>
      <c r="I175" s="3"/>
      <c r="J175" s="3"/>
    </row>
    <row r="176" spans="1:10" x14ac:dyDescent="0.25">
      <c r="A176" s="3" t="s">
        <v>1228</v>
      </c>
      <c r="B176" s="3">
        <v>1</v>
      </c>
      <c r="C176" s="3">
        <v>100</v>
      </c>
      <c r="D176" s="3">
        <f t="shared" si="6"/>
        <v>100</v>
      </c>
      <c r="E176" s="3"/>
      <c r="F176" s="3"/>
      <c r="G176" s="3"/>
      <c r="H176" s="3"/>
      <c r="I176" s="3"/>
      <c r="J176" s="3"/>
    </row>
    <row r="177" spans="1:10" x14ac:dyDescent="0.25">
      <c r="A177" s="3" t="s">
        <v>498</v>
      </c>
      <c r="B177" s="3">
        <v>6</v>
      </c>
      <c r="C177" s="3">
        <v>900</v>
      </c>
      <c r="D177" s="3">
        <v>4500</v>
      </c>
      <c r="E177" s="3"/>
      <c r="F177" s="3"/>
      <c r="G177" s="3"/>
      <c r="H177" s="3"/>
      <c r="I177" s="3"/>
      <c r="J177" s="3"/>
    </row>
    <row r="178" spans="1:10" x14ac:dyDescent="0.25">
      <c r="A178" s="3" t="s">
        <v>1436</v>
      </c>
      <c r="B178" s="3">
        <v>14</v>
      </c>
      <c r="C178" s="3">
        <v>400</v>
      </c>
      <c r="D178" s="3">
        <f t="shared" si="6"/>
        <v>5600</v>
      </c>
      <c r="E178" s="3"/>
      <c r="F178" s="3"/>
      <c r="G178" s="3"/>
      <c r="H178" s="3"/>
      <c r="I178" s="3"/>
      <c r="J178" s="3"/>
    </row>
    <row r="179" spans="1:10" x14ac:dyDescent="0.25">
      <c r="A179" s="3" t="s">
        <v>1958</v>
      </c>
      <c r="B179" s="3">
        <v>1</v>
      </c>
      <c r="C179" s="3">
        <v>350</v>
      </c>
      <c r="D179" s="3">
        <f t="shared" si="6"/>
        <v>350</v>
      </c>
      <c r="E179" s="3"/>
      <c r="F179" s="3"/>
      <c r="G179" s="3"/>
      <c r="H179" s="3"/>
      <c r="I179" s="3"/>
      <c r="J179" s="3"/>
    </row>
    <row r="180" spans="1:10" x14ac:dyDescent="0.25">
      <c r="A180" s="3" t="s">
        <v>1399</v>
      </c>
      <c r="B180" s="3">
        <v>3</v>
      </c>
      <c r="C180" s="3">
        <v>200</v>
      </c>
      <c r="D180" s="3">
        <f t="shared" si="6"/>
        <v>600</v>
      </c>
      <c r="E180" s="3"/>
      <c r="F180" s="3"/>
      <c r="G180" s="3"/>
      <c r="H180" s="3"/>
      <c r="I180" s="3"/>
      <c r="J180" s="3"/>
    </row>
    <row r="181" spans="1:10" x14ac:dyDescent="0.25">
      <c r="A181" s="3" t="s">
        <v>31</v>
      </c>
      <c r="B181" s="3">
        <v>0</v>
      </c>
      <c r="C181" s="3">
        <v>200</v>
      </c>
      <c r="D181" s="3">
        <f t="shared" si="6"/>
        <v>0</v>
      </c>
      <c r="E181" s="3"/>
      <c r="F181" s="3"/>
      <c r="G181" s="3"/>
      <c r="H181" s="3"/>
      <c r="I181" s="3"/>
      <c r="J181" s="3"/>
    </row>
    <row r="182" spans="1:10" x14ac:dyDescent="0.25">
      <c r="A182" s="3" t="s">
        <v>812</v>
      </c>
      <c r="B182" s="3">
        <v>39</v>
      </c>
      <c r="C182" s="3">
        <v>200</v>
      </c>
      <c r="D182" s="3">
        <f t="shared" si="6"/>
        <v>7800</v>
      </c>
      <c r="E182" s="3"/>
      <c r="F182" s="3"/>
      <c r="G182" s="3"/>
      <c r="H182" s="3"/>
      <c r="I182" s="3"/>
      <c r="J182" s="3"/>
    </row>
    <row r="183" spans="1:10" x14ac:dyDescent="0.25">
      <c r="A183" s="3" t="s">
        <v>1968</v>
      </c>
      <c r="B183" s="3">
        <v>33</v>
      </c>
      <c r="C183" s="3">
        <v>100</v>
      </c>
      <c r="D183" s="3">
        <f t="shared" si="6"/>
        <v>3300</v>
      </c>
      <c r="E183" s="3"/>
      <c r="F183" s="3"/>
      <c r="G183" s="3"/>
      <c r="H183" s="3"/>
      <c r="I183" s="3"/>
      <c r="J183" s="3"/>
    </row>
    <row r="184" spans="1:10" ht="15" x14ac:dyDescent="0.4">
      <c r="A184" s="3" t="s">
        <v>813</v>
      </c>
      <c r="B184" s="3">
        <v>0</v>
      </c>
      <c r="C184" s="3">
        <v>0</v>
      </c>
      <c r="D184" s="31">
        <f t="shared" si="6"/>
        <v>0</v>
      </c>
      <c r="E184" s="3"/>
      <c r="F184" s="3"/>
      <c r="G184" s="3"/>
      <c r="H184" s="3"/>
      <c r="I184" s="3"/>
      <c r="J184" s="3"/>
    </row>
    <row r="185" spans="1:10" x14ac:dyDescent="0.25">
      <c r="A185" s="3" t="s">
        <v>1247</v>
      </c>
      <c r="B185" s="3"/>
      <c r="C185" s="3"/>
      <c r="D185" s="3">
        <f>SUM(D171:D184)</f>
        <v>43650</v>
      </c>
      <c r="F185" s="3"/>
      <c r="G185" s="3"/>
      <c r="H185" s="3"/>
      <c r="I185" s="3"/>
      <c r="J185" s="3"/>
    </row>
    <row r="186" spans="1:10" x14ac:dyDescent="0.25">
      <c r="C186" s="3"/>
      <c r="D186" s="3"/>
      <c r="E186" s="3"/>
      <c r="F186" s="3"/>
      <c r="G186" s="3"/>
      <c r="H186" s="3"/>
      <c r="I186" s="3"/>
      <c r="J186" s="3"/>
    </row>
    <row r="187" spans="1:10" ht="13.8" x14ac:dyDescent="0.3">
      <c r="A187" s="63" t="s">
        <v>814</v>
      </c>
      <c r="C187" s="3"/>
      <c r="D187" s="3"/>
      <c r="E187" s="3">
        <v>1464.19</v>
      </c>
      <c r="F187" s="3">
        <v>2019</v>
      </c>
      <c r="G187" s="3">
        <v>2019</v>
      </c>
      <c r="H187" s="3">
        <v>2019</v>
      </c>
      <c r="I187" s="3">
        <v>2019</v>
      </c>
      <c r="J187" s="3">
        <v>2019</v>
      </c>
    </row>
    <row r="188" spans="1:10" x14ac:dyDescent="0.25">
      <c r="A188" s="62" t="s">
        <v>815</v>
      </c>
      <c r="C188" s="3"/>
      <c r="D188" s="3">
        <v>2019</v>
      </c>
      <c r="F188" s="3"/>
      <c r="G188" s="3"/>
      <c r="H188" s="3"/>
      <c r="I188" s="3"/>
      <c r="J188" s="3"/>
    </row>
    <row r="189" spans="1:10" x14ac:dyDescent="0.25">
      <c r="C189" s="3"/>
      <c r="D189" s="3"/>
      <c r="E189" s="3"/>
      <c r="F189" s="3"/>
      <c r="G189" s="3"/>
      <c r="H189" s="3"/>
      <c r="I189" s="3"/>
      <c r="J189" s="3"/>
    </row>
    <row r="190" spans="1:10" ht="13.8" x14ac:dyDescent="0.3">
      <c r="A190" s="63" t="s">
        <v>725</v>
      </c>
      <c r="C190" s="3"/>
      <c r="D190" s="3"/>
      <c r="E190" s="3">
        <v>255.53</v>
      </c>
      <c r="F190" s="3">
        <v>2450</v>
      </c>
      <c r="G190" s="3">
        <v>1700</v>
      </c>
      <c r="H190" s="3">
        <v>1700</v>
      </c>
      <c r="I190" s="3">
        <v>1700</v>
      </c>
      <c r="J190" s="3">
        <v>1700</v>
      </c>
    </row>
    <row r="191" spans="1:10" x14ac:dyDescent="0.25">
      <c r="A191" s="62" t="s">
        <v>323</v>
      </c>
      <c r="B191" s="3" t="s">
        <v>396</v>
      </c>
      <c r="C191" s="3"/>
      <c r="D191" s="3">
        <v>1700</v>
      </c>
      <c r="F191" s="3"/>
      <c r="G191" s="3"/>
      <c r="H191" s="3"/>
      <c r="I191" s="3"/>
      <c r="J191" s="3"/>
    </row>
    <row r="192" spans="1:10" x14ac:dyDescent="0.25">
      <c r="C192" s="3"/>
      <c r="D192" s="3"/>
      <c r="E192" s="3"/>
      <c r="F192" s="3"/>
      <c r="G192" s="3"/>
      <c r="H192" s="3"/>
      <c r="I192" s="3"/>
      <c r="J192" s="3"/>
    </row>
    <row r="193" spans="1:10" ht="13.8" x14ac:dyDescent="0.3">
      <c r="A193" s="63" t="s">
        <v>1491</v>
      </c>
      <c r="C193" s="3"/>
      <c r="D193" s="3"/>
      <c r="E193" s="3">
        <v>21710.22</v>
      </c>
      <c r="F193" s="3">
        <v>23635</v>
      </c>
      <c r="G193" s="3">
        <v>21750</v>
      </c>
      <c r="H193" s="3">
        <v>21750</v>
      </c>
      <c r="I193" s="3">
        <v>21750</v>
      </c>
      <c r="J193" s="3">
        <v>21750</v>
      </c>
    </row>
    <row r="194" spans="1:10" x14ac:dyDescent="0.25">
      <c r="A194" s="62" t="s">
        <v>1910</v>
      </c>
      <c r="C194" s="3"/>
      <c r="D194" s="3">
        <v>1460</v>
      </c>
      <c r="E194" s="3"/>
      <c r="F194" s="3"/>
      <c r="G194" s="3"/>
      <c r="H194" s="3"/>
      <c r="I194" s="3"/>
      <c r="J194" s="3"/>
    </row>
    <row r="195" spans="1:10" ht="15" x14ac:dyDescent="0.4">
      <c r="A195" s="62" t="s">
        <v>872</v>
      </c>
      <c r="C195" s="3"/>
      <c r="D195" s="31">
        <v>22175</v>
      </c>
      <c r="E195" s="3"/>
      <c r="F195" s="3"/>
      <c r="G195" s="3"/>
      <c r="H195" s="3"/>
      <c r="I195" s="3"/>
      <c r="J195" s="3"/>
    </row>
    <row r="196" spans="1:10" x14ac:dyDescent="0.25">
      <c r="A196" s="62" t="s">
        <v>1247</v>
      </c>
      <c r="C196" s="3"/>
      <c r="D196" s="3">
        <f>SUM(D194:D195)</f>
        <v>23635</v>
      </c>
      <c r="E196" s="3"/>
      <c r="F196" s="3"/>
      <c r="G196" s="3"/>
      <c r="H196" s="3"/>
      <c r="I196" s="3"/>
      <c r="J196" s="3"/>
    </row>
    <row r="197" spans="1:10" x14ac:dyDescent="0.25">
      <c r="C197" s="3"/>
      <c r="D197" s="3"/>
      <c r="E197" s="3"/>
      <c r="F197" s="3"/>
      <c r="G197" s="3"/>
      <c r="H197" s="3"/>
      <c r="I197" s="3"/>
      <c r="J197" s="3"/>
    </row>
    <row r="198" spans="1:10" ht="13.8" x14ac:dyDescent="0.3">
      <c r="A198" s="63" t="s">
        <v>383</v>
      </c>
      <c r="C198" s="3"/>
      <c r="D198" s="3"/>
      <c r="E198" s="3">
        <v>4678.2</v>
      </c>
      <c r="F198" s="3">
        <v>3950</v>
      </c>
      <c r="G198" s="3">
        <v>4700</v>
      </c>
      <c r="H198" s="3">
        <v>4700</v>
      </c>
      <c r="I198" s="3">
        <v>4700</v>
      </c>
      <c r="J198" s="3">
        <v>4700</v>
      </c>
    </row>
    <row r="199" spans="1:10" x14ac:dyDescent="0.25">
      <c r="A199" s="62" t="s">
        <v>872</v>
      </c>
      <c r="C199" s="3"/>
      <c r="D199" s="3">
        <v>3950</v>
      </c>
      <c r="F199" s="3"/>
      <c r="G199" s="3"/>
      <c r="H199" s="3"/>
      <c r="I199" s="3"/>
      <c r="J199" s="3"/>
    </row>
    <row r="200" spans="1:10" x14ac:dyDescent="0.25">
      <c r="D200" s="3"/>
      <c r="E200" s="3"/>
      <c r="F200" s="3"/>
      <c r="G200" s="3"/>
      <c r="H200" s="3"/>
      <c r="I200" s="3"/>
      <c r="J200" s="3"/>
    </row>
    <row r="201" spans="1:10" ht="13.8" x14ac:dyDescent="0.3">
      <c r="A201" s="63" t="s">
        <v>1492</v>
      </c>
      <c r="D201" s="3"/>
      <c r="E201" s="3">
        <v>1325.33</v>
      </c>
      <c r="F201" s="3">
        <v>1200</v>
      </c>
      <c r="G201" s="3">
        <v>1450</v>
      </c>
      <c r="H201" s="3">
        <v>1450</v>
      </c>
      <c r="I201" s="3">
        <v>1450</v>
      </c>
      <c r="J201" s="3">
        <v>1450</v>
      </c>
    </row>
    <row r="202" spans="1:10" x14ac:dyDescent="0.25">
      <c r="A202" s="62" t="s">
        <v>872</v>
      </c>
      <c r="C202" s="3"/>
      <c r="D202" s="3">
        <v>1450</v>
      </c>
      <c r="F202" s="3"/>
      <c r="G202" s="3"/>
      <c r="H202" s="3"/>
      <c r="I202" s="3"/>
      <c r="J202" s="3"/>
    </row>
    <row r="203" spans="1:10" x14ac:dyDescent="0.25">
      <c r="C203" s="3"/>
      <c r="D203" s="3"/>
      <c r="E203" s="3"/>
      <c r="F203" s="3"/>
      <c r="G203" s="3"/>
      <c r="H203" s="3"/>
      <c r="I203" s="3"/>
      <c r="J203" s="3"/>
    </row>
    <row r="204" spans="1:10" ht="13.8" x14ac:dyDescent="0.3">
      <c r="A204" s="63" t="s">
        <v>1493</v>
      </c>
      <c r="C204" s="3"/>
      <c r="D204" s="3"/>
      <c r="E204" s="3">
        <v>298.5</v>
      </c>
      <c r="F204" s="3">
        <v>242</v>
      </c>
      <c r="G204" s="3">
        <v>314</v>
      </c>
      <c r="H204" s="3">
        <v>314</v>
      </c>
      <c r="I204" s="3">
        <v>314</v>
      </c>
      <c r="J204" s="3">
        <v>314</v>
      </c>
    </row>
    <row r="205" spans="1:10" x14ac:dyDescent="0.25">
      <c r="A205" s="62" t="s">
        <v>872</v>
      </c>
      <c r="C205" s="3"/>
      <c r="D205" s="3">
        <f>264+50</f>
        <v>314</v>
      </c>
      <c r="F205" s="3"/>
      <c r="G205" s="3"/>
      <c r="H205" s="3"/>
      <c r="I205" s="3"/>
      <c r="J205" s="3"/>
    </row>
    <row r="206" spans="1:10" x14ac:dyDescent="0.25">
      <c r="C206" s="3"/>
      <c r="D206" s="3"/>
      <c r="E206" s="3"/>
      <c r="F206" s="3"/>
      <c r="G206" s="3"/>
      <c r="H206" s="3"/>
      <c r="I206" s="3"/>
      <c r="J206" s="3"/>
    </row>
    <row r="207" spans="1:10" x14ac:dyDescent="0.25">
      <c r="C207" s="3"/>
      <c r="D207" s="3"/>
      <c r="E207" s="3"/>
      <c r="F207" s="3"/>
      <c r="G207" s="3"/>
      <c r="H207" s="3"/>
      <c r="I207" s="3"/>
      <c r="J207" s="3"/>
    </row>
    <row r="208" spans="1:10" ht="13.8" x14ac:dyDescent="0.3">
      <c r="A208" s="63" t="s">
        <v>993</v>
      </c>
      <c r="C208" s="3"/>
      <c r="D208" s="3"/>
      <c r="E208" s="3">
        <v>52475.8</v>
      </c>
      <c r="F208" s="3">
        <v>62644</v>
      </c>
      <c r="G208" s="3">
        <v>66564</v>
      </c>
      <c r="H208" s="3">
        <v>66564</v>
      </c>
      <c r="I208" s="3">
        <v>66564</v>
      </c>
      <c r="J208" s="3">
        <v>66564</v>
      </c>
    </row>
    <row r="209" spans="1:10" x14ac:dyDescent="0.25">
      <c r="A209" s="62" t="s">
        <v>1284</v>
      </c>
      <c r="B209" s="3">
        <v>25800</v>
      </c>
      <c r="C209" s="65">
        <v>2.58</v>
      </c>
      <c r="D209" s="3">
        <f>ROUND(B209*C209,0)</f>
        <v>66564</v>
      </c>
      <c r="F209" s="3"/>
      <c r="G209" s="3"/>
      <c r="H209" s="3"/>
      <c r="I209" s="3"/>
      <c r="J209" s="3"/>
    </row>
    <row r="210" spans="1:10" x14ac:dyDescent="0.25">
      <c r="B210" s="3"/>
      <c r="C210" s="3"/>
      <c r="D210" s="3"/>
      <c r="E210" s="3"/>
      <c r="F210" s="3"/>
      <c r="G210" s="3"/>
      <c r="H210" s="3"/>
      <c r="I210" s="3"/>
      <c r="J210" s="3"/>
    </row>
    <row r="211" spans="1:10" ht="13.8" x14ac:dyDescent="0.3">
      <c r="A211" s="63" t="s">
        <v>994</v>
      </c>
      <c r="C211" s="74" t="s">
        <v>396</v>
      </c>
      <c r="D211" s="74" t="s">
        <v>396</v>
      </c>
      <c r="E211" s="3">
        <v>5875</v>
      </c>
      <c r="F211" s="3">
        <v>4760</v>
      </c>
      <c r="G211" s="3">
        <v>6600</v>
      </c>
      <c r="H211" s="3">
        <v>6600</v>
      </c>
      <c r="I211" s="3">
        <v>6600</v>
      </c>
      <c r="J211" s="3">
        <v>6600</v>
      </c>
    </row>
    <row r="212" spans="1:10" x14ac:dyDescent="0.25">
      <c r="A212" s="62" t="s">
        <v>349</v>
      </c>
      <c r="B212" s="3" t="s">
        <v>396</v>
      </c>
      <c r="C212" s="3"/>
      <c r="D212" s="3">
        <v>600</v>
      </c>
      <c r="E212" s="3"/>
      <c r="F212" s="3"/>
      <c r="G212" s="3"/>
      <c r="H212" s="3"/>
      <c r="I212" s="3"/>
      <c r="J212" s="3"/>
    </row>
    <row r="213" spans="1:10" x14ac:dyDescent="0.25">
      <c r="A213" s="62" t="s">
        <v>482</v>
      </c>
      <c r="C213" s="3"/>
      <c r="D213" s="3">
        <v>250</v>
      </c>
      <c r="E213" s="3"/>
      <c r="F213" s="3"/>
      <c r="G213" s="3"/>
      <c r="H213" s="3"/>
      <c r="I213" s="3"/>
      <c r="J213" s="3"/>
    </row>
    <row r="214" spans="1:10" x14ac:dyDescent="0.25">
      <c r="A214" s="62" t="s">
        <v>799</v>
      </c>
      <c r="C214" s="3"/>
      <c r="D214" s="3">
        <v>100</v>
      </c>
      <c r="E214" s="3"/>
      <c r="F214" s="3"/>
      <c r="G214" s="3"/>
      <c r="H214" s="3"/>
      <c r="I214" s="3"/>
      <c r="J214" s="3"/>
    </row>
    <row r="215" spans="1:10" x14ac:dyDescent="0.25">
      <c r="A215" s="62" t="s">
        <v>32</v>
      </c>
      <c r="C215" s="3"/>
      <c r="D215" s="3">
        <v>3000</v>
      </c>
      <c r="E215" s="3"/>
      <c r="F215" s="3"/>
      <c r="G215" s="3"/>
      <c r="H215" s="3"/>
      <c r="I215" s="3"/>
      <c r="J215" s="3"/>
    </row>
    <row r="216" spans="1:10" x14ac:dyDescent="0.25">
      <c r="A216" s="62" t="s">
        <v>1590</v>
      </c>
      <c r="C216" s="3"/>
      <c r="D216" s="3">
        <v>450</v>
      </c>
      <c r="E216" s="3"/>
      <c r="F216" s="3"/>
      <c r="G216" s="3"/>
      <c r="H216" s="3"/>
      <c r="I216" s="3"/>
      <c r="J216" s="3"/>
    </row>
    <row r="217" spans="1:10" ht="15" x14ac:dyDescent="0.4">
      <c r="A217" s="62" t="s">
        <v>1509</v>
      </c>
      <c r="C217" s="31"/>
      <c r="D217" s="3">
        <v>160</v>
      </c>
      <c r="E217" s="3"/>
      <c r="F217" s="3"/>
      <c r="G217" s="3"/>
      <c r="H217" s="3"/>
      <c r="I217" s="3"/>
      <c r="J217" s="3"/>
    </row>
    <row r="218" spans="1:10" ht="15" x14ac:dyDescent="0.4">
      <c r="A218" s="62" t="s">
        <v>2221</v>
      </c>
      <c r="C218" s="31"/>
      <c r="D218" s="3">
        <v>1500</v>
      </c>
      <c r="E218" s="3"/>
      <c r="F218" s="3"/>
      <c r="G218" s="3"/>
      <c r="H218" s="3"/>
      <c r="I218" s="3"/>
      <c r="J218" s="3"/>
    </row>
    <row r="219" spans="1:10" ht="28.2" x14ac:dyDescent="0.4">
      <c r="A219" s="217" t="s">
        <v>2113</v>
      </c>
      <c r="C219" s="31"/>
      <c r="D219" s="31">
        <v>600</v>
      </c>
      <c r="E219" s="3"/>
      <c r="F219" s="3"/>
      <c r="G219" s="3"/>
      <c r="H219" s="3"/>
      <c r="I219" s="3"/>
      <c r="J219" s="3"/>
    </row>
    <row r="220" spans="1:10" x14ac:dyDescent="0.25">
      <c r="A220" s="62" t="s">
        <v>1247</v>
      </c>
      <c r="C220" s="3"/>
      <c r="D220" s="3">
        <f>SUM(D212:D219)</f>
        <v>6660</v>
      </c>
      <c r="F220" s="3"/>
      <c r="G220" s="3"/>
      <c r="H220" s="3"/>
      <c r="I220" s="3"/>
      <c r="J220" s="3"/>
    </row>
    <row r="221" spans="1:10" x14ac:dyDescent="0.25">
      <c r="C221" s="3"/>
      <c r="D221" s="3"/>
      <c r="F221" s="3"/>
      <c r="G221" s="3"/>
      <c r="H221" s="3"/>
      <c r="I221" s="3"/>
      <c r="J221" s="3"/>
    </row>
    <row r="222" spans="1:10" x14ac:dyDescent="0.25">
      <c r="C222" s="3"/>
      <c r="D222" s="3"/>
      <c r="F222" s="3"/>
      <c r="G222" s="3"/>
      <c r="H222" s="3"/>
      <c r="I222" s="3"/>
      <c r="J222" s="3"/>
    </row>
    <row r="223" spans="1:10" ht="13.8" x14ac:dyDescent="0.3">
      <c r="A223" s="178" t="s">
        <v>843</v>
      </c>
      <c r="C223" s="74"/>
      <c r="D223" s="74" t="s">
        <v>396</v>
      </c>
      <c r="E223" s="3">
        <v>57522.89</v>
      </c>
      <c r="F223" s="3">
        <v>57920</v>
      </c>
      <c r="G223" s="3">
        <v>55234</v>
      </c>
      <c r="H223" s="3">
        <v>55234</v>
      </c>
      <c r="I223" s="3">
        <v>55234</v>
      </c>
      <c r="J223" s="3">
        <v>55234</v>
      </c>
    </row>
    <row r="224" spans="1:10" x14ac:dyDescent="0.25">
      <c r="A224" s="62" t="s">
        <v>1061</v>
      </c>
      <c r="C224" s="3"/>
      <c r="D224" s="3">
        <v>55234</v>
      </c>
      <c r="F224" s="3"/>
      <c r="G224" s="3"/>
      <c r="H224" s="3"/>
      <c r="I224" s="3"/>
      <c r="J224" s="3"/>
    </row>
    <row r="225" spans="1:10" x14ac:dyDescent="0.25">
      <c r="C225" s="3"/>
      <c r="D225" s="3"/>
      <c r="E225" s="3"/>
      <c r="F225" s="3"/>
      <c r="G225" s="3"/>
      <c r="H225" s="3"/>
      <c r="I225" s="3"/>
      <c r="J225" s="3"/>
    </row>
    <row r="226" spans="1:10" ht="13.8" x14ac:dyDescent="0.3">
      <c r="A226" s="63" t="s">
        <v>844</v>
      </c>
      <c r="C226" s="74"/>
      <c r="D226" s="74" t="s">
        <v>396</v>
      </c>
      <c r="E226" s="3">
        <v>920.57</v>
      </c>
      <c r="F226" s="3">
        <v>5350</v>
      </c>
      <c r="G226" s="3">
        <v>7850</v>
      </c>
      <c r="H226" s="3">
        <v>7850</v>
      </c>
      <c r="I226" s="3">
        <v>7850</v>
      </c>
      <c r="J226" s="3">
        <v>7850</v>
      </c>
    </row>
    <row r="227" spans="1:10" x14ac:dyDescent="0.25">
      <c r="A227" s="62" t="s">
        <v>845</v>
      </c>
      <c r="C227" s="3"/>
      <c r="D227" s="3">
        <v>7500</v>
      </c>
      <c r="E227" s="3"/>
      <c r="F227" s="3"/>
      <c r="G227" s="3"/>
      <c r="H227" s="3"/>
      <c r="I227" s="3"/>
      <c r="J227" s="3"/>
    </row>
    <row r="228" spans="1:10" ht="15" x14ac:dyDescent="0.4">
      <c r="A228" s="62" t="s">
        <v>542</v>
      </c>
      <c r="C228" s="31"/>
      <c r="D228" s="31">
        <v>350</v>
      </c>
      <c r="E228" s="3"/>
      <c r="F228" s="3"/>
      <c r="G228" s="3"/>
      <c r="H228" s="3"/>
      <c r="I228" s="3"/>
      <c r="J228" s="3"/>
    </row>
    <row r="229" spans="1:10" x14ac:dyDescent="0.25">
      <c r="A229" s="62" t="s">
        <v>1247</v>
      </c>
      <c r="C229" s="3"/>
      <c r="D229" s="3">
        <f>SUM(D227:D228)</f>
        <v>7850</v>
      </c>
      <c r="F229" s="3"/>
      <c r="G229" s="3"/>
      <c r="H229" s="3"/>
      <c r="I229" s="3"/>
      <c r="J229" s="3"/>
    </row>
    <row r="230" spans="1:10" x14ac:dyDescent="0.25">
      <c r="C230" s="3"/>
      <c r="D230" s="3"/>
      <c r="E230" s="3"/>
      <c r="F230" s="3"/>
      <c r="G230" s="3"/>
      <c r="H230" s="3"/>
      <c r="I230" s="3"/>
      <c r="J230" s="3"/>
    </row>
    <row r="231" spans="1:10" ht="13.8" x14ac:dyDescent="0.3">
      <c r="A231" s="63" t="s">
        <v>644</v>
      </c>
      <c r="C231" s="3"/>
      <c r="D231" s="3"/>
      <c r="E231" s="3">
        <v>38911.730000000003</v>
      </c>
      <c r="F231" s="3">
        <v>15000</v>
      </c>
      <c r="G231" s="3">
        <v>15000</v>
      </c>
      <c r="H231" s="3">
        <v>15000</v>
      </c>
      <c r="I231" s="3">
        <v>15000</v>
      </c>
      <c r="J231" s="3">
        <v>15000</v>
      </c>
    </row>
    <row r="232" spans="1:10" x14ac:dyDescent="0.25">
      <c r="A232" s="42" t="s">
        <v>1591</v>
      </c>
      <c r="C232" s="3"/>
      <c r="D232" s="3">
        <v>15000</v>
      </c>
      <c r="E232" s="3"/>
      <c r="F232" s="3"/>
      <c r="G232" s="3"/>
      <c r="H232" s="3"/>
      <c r="I232" s="3"/>
      <c r="J232" s="3"/>
    </row>
    <row r="233" spans="1:10" x14ac:dyDescent="0.25">
      <c r="C233" s="3"/>
      <c r="D233" s="3"/>
      <c r="E233" s="3"/>
      <c r="F233" s="3"/>
      <c r="G233" s="3"/>
      <c r="H233" s="3"/>
      <c r="I233" s="3"/>
      <c r="J233" s="3"/>
    </row>
    <row r="234" spans="1:10" ht="13.8" x14ac:dyDescent="0.3">
      <c r="A234" s="63" t="s">
        <v>543</v>
      </c>
      <c r="C234" s="3"/>
      <c r="D234" s="3"/>
      <c r="E234" s="3">
        <v>33450.410000000003</v>
      </c>
      <c r="F234" s="3">
        <v>50200</v>
      </c>
      <c r="G234" s="3">
        <v>38300</v>
      </c>
      <c r="H234" s="3">
        <v>38300</v>
      </c>
      <c r="I234" s="3">
        <v>38300</v>
      </c>
      <c r="J234" s="3">
        <v>38300</v>
      </c>
    </row>
    <row r="235" spans="1:10" x14ac:dyDescent="0.25">
      <c r="A235" s="62" t="s">
        <v>544</v>
      </c>
      <c r="C235" s="3"/>
      <c r="D235" s="3">
        <f>20300+15000</f>
        <v>35300</v>
      </c>
      <c r="E235" s="3"/>
      <c r="F235" s="3"/>
      <c r="G235" s="3"/>
      <c r="H235" s="3"/>
      <c r="I235" s="3"/>
      <c r="J235" s="3"/>
    </row>
    <row r="236" spans="1:10" x14ac:dyDescent="0.25">
      <c r="A236" s="62" t="s">
        <v>2222</v>
      </c>
      <c r="C236" s="3"/>
      <c r="D236" s="3">
        <v>3000</v>
      </c>
      <c r="E236" s="3"/>
      <c r="F236" s="3"/>
      <c r="G236" s="3"/>
      <c r="H236" s="3"/>
      <c r="I236" s="3"/>
      <c r="J236" s="3"/>
    </row>
    <row r="237" spans="1:10" ht="15" x14ac:dyDescent="0.4">
      <c r="A237" s="62" t="s">
        <v>2093</v>
      </c>
      <c r="C237" s="3"/>
      <c r="D237" s="31">
        <v>0</v>
      </c>
      <c r="E237" s="3"/>
      <c r="F237" s="3"/>
      <c r="G237" s="3"/>
      <c r="H237" s="3"/>
      <c r="I237" s="3"/>
      <c r="J237" s="3"/>
    </row>
    <row r="238" spans="1:10" x14ac:dyDescent="0.25">
      <c r="C238" s="3"/>
      <c r="D238" s="3">
        <f>SUM(D235:D237)</f>
        <v>38300</v>
      </c>
      <c r="E238" s="3"/>
      <c r="F238" s="3"/>
      <c r="G238" s="3"/>
      <c r="H238" s="3"/>
      <c r="I238" s="3"/>
      <c r="J238" s="3"/>
    </row>
    <row r="239" spans="1:10" x14ac:dyDescent="0.25">
      <c r="C239" s="3"/>
      <c r="D239" s="3"/>
      <c r="E239" s="3"/>
      <c r="F239" s="3"/>
      <c r="G239" s="3"/>
      <c r="H239" s="3"/>
      <c r="I239" s="3"/>
      <c r="J239" s="3"/>
    </row>
    <row r="240" spans="1:10" x14ac:dyDescent="0.25">
      <c r="C240" s="3"/>
      <c r="D240" s="3"/>
      <c r="E240" s="3"/>
      <c r="F240" s="3"/>
      <c r="G240" s="3"/>
      <c r="H240" s="3"/>
      <c r="I240" s="3"/>
      <c r="J240" s="3"/>
    </row>
    <row r="241" spans="1:10" ht="13.8" x14ac:dyDescent="0.3">
      <c r="A241" s="63" t="s">
        <v>808</v>
      </c>
      <c r="C241" s="3"/>
      <c r="D241" s="3"/>
      <c r="E241" s="3">
        <v>7263.91</v>
      </c>
      <c r="F241" s="3">
        <v>18018</v>
      </c>
      <c r="G241" s="3">
        <v>8641</v>
      </c>
      <c r="H241" s="3">
        <v>8641</v>
      </c>
      <c r="I241" s="3">
        <v>8641</v>
      </c>
      <c r="J241" s="3">
        <v>8641</v>
      </c>
    </row>
    <row r="242" spans="1:10" x14ac:dyDescent="0.25">
      <c r="A242" s="62" t="s">
        <v>809</v>
      </c>
      <c r="C242" s="3"/>
      <c r="D242" s="3">
        <v>2715</v>
      </c>
      <c r="E242" s="3"/>
      <c r="F242" s="3"/>
      <c r="G242" s="3"/>
      <c r="H242" s="3"/>
      <c r="I242" s="3"/>
      <c r="J242" s="3"/>
    </row>
    <row r="243" spans="1:10" x14ac:dyDescent="0.25">
      <c r="A243" s="62" t="s">
        <v>2315</v>
      </c>
      <c r="C243" s="3"/>
      <c r="D243" s="3">
        <v>410</v>
      </c>
      <c r="E243" s="3"/>
      <c r="F243" s="3"/>
      <c r="G243" s="3"/>
      <c r="H243" s="3"/>
      <c r="I243" s="3"/>
      <c r="J243" s="3"/>
    </row>
    <row r="244" spans="1:10" x14ac:dyDescent="0.25">
      <c r="A244" s="62" t="s">
        <v>2118</v>
      </c>
      <c r="C244" s="3"/>
      <c r="D244" s="3">
        <v>5000</v>
      </c>
      <c r="E244" s="3"/>
      <c r="F244" s="3"/>
      <c r="G244" s="3"/>
      <c r="H244" s="3"/>
      <c r="I244" s="3"/>
      <c r="J244" s="3"/>
    </row>
    <row r="245" spans="1:10" ht="15" x14ac:dyDescent="0.4">
      <c r="A245" s="62" t="s">
        <v>859</v>
      </c>
      <c r="C245" s="31"/>
      <c r="D245" s="31">
        <v>516</v>
      </c>
      <c r="E245" s="3"/>
      <c r="F245" s="3"/>
      <c r="G245" s="3"/>
      <c r="H245" s="3"/>
      <c r="I245" s="3"/>
      <c r="J245" s="3"/>
    </row>
    <row r="246" spans="1:10" x14ac:dyDescent="0.25">
      <c r="A246" s="62" t="s">
        <v>1247</v>
      </c>
      <c r="C246" s="3"/>
      <c r="D246" s="3">
        <f>SUM(D242:D245)</f>
        <v>8641</v>
      </c>
      <c r="E246" s="3"/>
      <c r="F246" s="3"/>
      <c r="G246" s="3"/>
      <c r="H246" s="3"/>
      <c r="I246" s="3"/>
      <c r="J246" s="3"/>
    </row>
    <row r="247" spans="1:10" x14ac:dyDescent="0.25">
      <c r="C247" s="3"/>
      <c r="D247" s="3"/>
      <c r="E247" s="3"/>
      <c r="F247" s="3"/>
      <c r="G247" s="3"/>
      <c r="H247" s="3"/>
      <c r="I247" s="3"/>
      <c r="J247" s="3"/>
    </row>
    <row r="248" spans="1:10" ht="13.8" x14ac:dyDescent="0.3">
      <c r="A248" s="63" t="s">
        <v>796</v>
      </c>
      <c r="B248" s="64"/>
      <c r="C248" s="3"/>
      <c r="D248" s="3"/>
      <c r="E248" s="3">
        <v>1991.39</v>
      </c>
      <c r="F248" s="3">
        <v>12200</v>
      </c>
      <c r="G248" s="3">
        <v>12200</v>
      </c>
      <c r="H248" s="3">
        <v>12200</v>
      </c>
      <c r="I248" s="3">
        <v>12200</v>
      </c>
      <c r="J248" s="3">
        <v>12200</v>
      </c>
    </row>
    <row r="249" spans="1:10" x14ac:dyDescent="0.25">
      <c r="A249" s="62" t="s">
        <v>797</v>
      </c>
      <c r="C249" s="3"/>
      <c r="D249" s="3">
        <v>12200</v>
      </c>
      <c r="E249" s="3"/>
      <c r="F249" s="3"/>
      <c r="G249" s="3"/>
      <c r="H249" s="3"/>
      <c r="I249" s="3"/>
      <c r="J249" s="3"/>
    </row>
    <row r="250" spans="1:10" x14ac:dyDescent="0.25">
      <c r="A250" s="62" t="s">
        <v>396</v>
      </c>
      <c r="C250" s="3"/>
      <c r="D250" s="3"/>
      <c r="E250" s="3"/>
      <c r="F250" s="3"/>
      <c r="G250" s="3"/>
      <c r="H250" s="3"/>
      <c r="I250" s="3"/>
      <c r="J250" s="3"/>
    </row>
    <row r="251" spans="1:10" ht="13.8" x14ac:dyDescent="0.3">
      <c r="A251" s="63" t="s">
        <v>1048</v>
      </c>
      <c r="C251" s="74" t="s">
        <v>396</v>
      </c>
      <c r="D251" s="74" t="s">
        <v>396</v>
      </c>
      <c r="E251" s="3">
        <v>25110.75</v>
      </c>
      <c r="F251" s="3">
        <v>36500</v>
      </c>
      <c r="G251" s="3">
        <v>42500</v>
      </c>
      <c r="H251" s="3">
        <v>42500</v>
      </c>
      <c r="I251" s="3">
        <v>42500</v>
      </c>
      <c r="J251" s="3">
        <v>42500</v>
      </c>
    </row>
    <row r="252" spans="1:10" x14ac:dyDescent="0.25">
      <c r="A252" s="62" t="s">
        <v>1911</v>
      </c>
      <c r="C252" s="3"/>
      <c r="D252" s="3">
        <v>20000</v>
      </c>
      <c r="E252" s="3"/>
      <c r="F252" s="3"/>
      <c r="G252" s="3"/>
      <c r="H252" s="3"/>
      <c r="I252" s="3"/>
      <c r="J252" s="3"/>
    </row>
    <row r="253" spans="1:10" x14ac:dyDescent="0.25">
      <c r="A253" s="62" t="s">
        <v>1265</v>
      </c>
      <c r="C253" s="3"/>
      <c r="D253" s="3">
        <v>5000</v>
      </c>
      <c r="E253" s="3"/>
      <c r="F253" s="3"/>
      <c r="G253" s="3"/>
      <c r="H253" s="3"/>
      <c r="I253" s="3"/>
      <c r="J253" s="3"/>
    </row>
    <row r="254" spans="1:10" x14ac:dyDescent="0.25">
      <c r="A254" s="62" t="s">
        <v>943</v>
      </c>
      <c r="C254" s="3"/>
      <c r="D254" s="3">
        <v>15000</v>
      </c>
      <c r="E254" s="3"/>
      <c r="F254" s="3"/>
      <c r="G254" s="3"/>
      <c r="H254" s="3"/>
      <c r="I254" s="3"/>
      <c r="J254" s="3"/>
    </row>
    <row r="255" spans="1:10" x14ac:dyDescent="0.25">
      <c r="A255" s="62" t="s">
        <v>189</v>
      </c>
      <c r="C255" s="3"/>
      <c r="D255" s="3">
        <v>1500</v>
      </c>
      <c r="E255" s="3"/>
      <c r="F255" s="3"/>
      <c r="G255" s="3"/>
      <c r="H255" s="3"/>
      <c r="I255" s="3"/>
      <c r="J255" s="3"/>
    </row>
    <row r="256" spans="1:10" ht="15" x14ac:dyDescent="0.4">
      <c r="A256" s="62" t="s">
        <v>1266</v>
      </c>
      <c r="C256" s="31"/>
      <c r="D256" s="31">
        <v>1000</v>
      </c>
      <c r="E256" s="3"/>
      <c r="F256" s="3"/>
      <c r="G256" s="3"/>
      <c r="H256" s="3"/>
      <c r="I256" s="3"/>
      <c r="J256" s="3"/>
    </row>
    <row r="257" spans="1:10" x14ac:dyDescent="0.25">
      <c r="A257" s="62" t="s">
        <v>1247</v>
      </c>
      <c r="C257" s="3"/>
      <c r="D257" s="3">
        <f>SUM(D252:D256)</f>
        <v>42500</v>
      </c>
      <c r="E257" s="3"/>
      <c r="F257" s="3"/>
      <c r="G257" s="3"/>
      <c r="H257" s="3"/>
      <c r="I257" s="3"/>
      <c r="J257" s="3"/>
    </row>
    <row r="258" spans="1:10" x14ac:dyDescent="0.25">
      <c r="C258" s="3"/>
      <c r="D258" s="3"/>
      <c r="E258" s="3"/>
      <c r="F258" s="3"/>
      <c r="G258" s="3"/>
      <c r="H258" s="3"/>
      <c r="I258" s="3"/>
      <c r="J258" s="3"/>
    </row>
    <row r="259" spans="1:10" ht="13.8" x14ac:dyDescent="0.3">
      <c r="A259" s="63" t="s">
        <v>1267</v>
      </c>
      <c r="C259" s="3"/>
      <c r="D259" s="3"/>
      <c r="E259" s="3">
        <v>0</v>
      </c>
      <c r="F259" s="3">
        <v>197</v>
      </c>
      <c r="G259" s="3">
        <v>197</v>
      </c>
      <c r="H259" s="3">
        <v>197</v>
      </c>
      <c r="I259" s="3">
        <v>197</v>
      </c>
      <c r="J259" s="3">
        <v>197</v>
      </c>
    </row>
    <row r="260" spans="1:10" x14ac:dyDescent="0.25">
      <c r="A260" s="62" t="s">
        <v>519</v>
      </c>
      <c r="C260" s="3"/>
      <c r="D260" s="3">
        <v>197</v>
      </c>
      <c r="E260" s="3"/>
      <c r="F260" s="3"/>
      <c r="G260" s="3"/>
      <c r="H260" s="3"/>
      <c r="I260" s="3"/>
      <c r="J260" s="3"/>
    </row>
    <row r="261" spans="1:10" x14ac:dyDescent="0.25">
      <c r="C261" s="3"/>
      <c r="D261" s="3"/>
      <c r="E261" s="3"/>
      <c r="F261" s="3"/>
      <c r="G261" s="3"/>
      <c r="H261" s="3"/>
      <c r="I261" s="3"/>
      <c r="J261" s="3"/>
    </row>
    <row r="262" spans="1:10" ht="13.8" x14ac:dyDescent="0.3">
      <c r="A262" s="86" t="s">
        <v>393</v>
      </c>
      <c r="C262" s="74" t="s">
        <v>396</v>
      </c>
      <c r="D262" s="74" t="s">
        <v>396</v>
      </c>
      <c r="E262" s="3">
        <v>1280</v>
      </c>
      <c r="F262" s="3">
        <v>700</v>
      </c>
      <c r="G262" s="3">
        <v>700</v>
      </c>
      <c r="H262" s="3">
        <v>700</v>
      </c>
      <c r="I262" s="3">
        <v>700</v>
      </c>
      <c r="J262" s="3">
        <v>700</v>
      </c>
    </row>
    <row r="263" spans="1:10" x14ac:dyDescent="0.25">
      <c r="A263" s="62" t="s">
        <v>853</v>
      </c>
      <c r="B263" s="3"/>
      <c r="C263" s="3"/>
      <c r="D263" s="3">
        <v>500</v>
      </c>
      <c r="E263" s="3"/>
      <c r="F263" s="3"/>
      <c r="G263" s="3"/>
      <c r="H263" s="3"/>
      <c r="I263" s="3"/>
      <c r="J263" s="3"/>
    </row>
    <row r="264" spans="1:10" ht="15" x14ac:dyDescent="0.4">
      <c r="A264" s="62" t="s">
        <v>190</v>
      </c>
      <c r="C264" s="31"/>
      <c r="D264" s="31">
        <v>200</v>
      </c>
      <c r="E264" s="3"/>
      <c r="F264" s="3"/>
      <c r="G264" s="3"/>
      <c r="H264" s="3"/>
      <c r="I264" s="3"/>
      <c r="J264" s="3"/>
    </row>
    <row r="265" spans="1:10" x14ac:dyDescent="0.25">
      <c r="A265" s="62" t="s">
        <v>1247</v>
      </c>
      <c r="C265" s="3"/>
      <c r="D265" s="3">
        <f>SUM(D263:D264)</f>
        <v>700</v>
      </c>
      <c r="E265" s="3"/>
      <c r="F265" s="3"/>
      <c r="G265" s="3"/>
      <c r="H265" s="3"/>
      <c r="I265" s="3"/>
      <c r="J265" s="3"/>
    </row>
    <row r="266" spans="1:10" x14ac:dyDescent="0.25">
      <c r="C266" s="3"/>
      <c r="D266" s="3"/>
      <c r="E266" s="3"/>
      <c r="F266" s="3"/>
      <c r="G266" s="3"/>
      <c r="H266" s="3"/>
      <c r="I266" s="3"/>
      <c r="J266" s="3"/>
    </row>
    <row r="267" spans="1:10" ht="13.8" x14ac:dyDescent="0.3">
      <c r="A267" s="63" t="s">
        <v>69</v>
      </c>
      <c r="C267" s="74" t="s">
        <v>396</v>
      </c>
      <c r="D267" s="74" t="s">
        <v>396</v>
      </c>
      <c r="E267" s="3">
        <v>1673.05</v>
      </c>
      <c r="F267" s="3">
        <v>5000</v>
      </c>
      <c r="G267" s="3">
        <v>5000</v>
      </c>
      <c r="H267" s="3">
        <v>5000</v>
      </c>
      <c r="I267" s="3">
        <v>5000</v>
      </c>
      <c r="J267" s="3">
        <v>5000</v>
      </c>
    </row>
    <row r="268" spans="1:10" x14ac:dyDescent="0.25">
      <c r="A268" s="62" t="s">
        <v>1489</v>
      </c>
      <c r="C268" s="3"/>
      <c r="D268" s="3">
        <v>5000</v>
      </c>
      <c r="F268" s="3"/>
      <c r="G268" s="3"/>
      <c r="H268" s="3"/>
      <c r="I268" s="3"/>
      <c r="J268" s="3"/>
    </row>
    <row r="269" spans="1:10" ht="15" x14ac:dyDescent="0.4">
      <c r="A269" s="62" t="s">
        <v>1318</v>
      </c>
      <c r="C269" s="31"/>
      <c r="D269" s="31">
        <v>0</v>
      </c>
      <c r="F269" s="3"/>
      <c r="G269" s="3"/>
      <c r="H269" s="3"/>
      <c r="I269" s="3"/>
      <c r="J269" s="3"/>
    </row>
    <row r="270" spans="1:10" x14ac:dyDescent="0.25">
      <c r="A270" s="62" t="s">
        <v>1108</v>
      </c>
      <c r="C270" s="3"/>
      <c r="D270" s="3">
        <f>SUM(D268:D269)</f>
        <v>5000</v>
      </c>
      <c r="F270" s="3"/>
      <c r="G270" s="3"/>
      <c r="H270" s="3"/>
      <c r="I270" s="3"/>
      <c r="J270" s="3"/>
    </row>
    <row r="271" spans="1:10" x14ac:dyDescent="0.25">
      <c r="C271" s="3"/>
      <c r="D271" s="3"/>
      <c r="F271" s="3"/>
      <c r="G271" s="3"/>
      <c r="H271" s="3"/>
      <c r="I271" s="3"/>
      <c r="J271" s="3"/>
    </row>
    <row r="272" spans="1:10" ht="13.8" x14ac:dyDescent="0.3">
      <c r="A272" s="63" t="s">
        <v>22</v>
      </c>
      <c r="C272" s="74" t="s">
        <v>396</v>
      </c>
      <c r="D272" s="74" t="s">
        <v>396</v>
      </c>
      <c r="E272" s="3">
        <v>9072.44</v>
      </c>
      <c r="F272" s="3">
        <v>15637</v>
      </c>
      <c r="G272" s="3">
        <v>15637</v>
      </c>
      <c r="H272" s="3">
        <v>15637</v>
      </c>
      <c r="I272" s="3">
        <v>15637</v>
      </c>
      <c r="J272" s="3">
        <v>15637</v>
      </c>
    </row>
    <row r="273" spans="1:10" x14ac:dyDescent="0.25">
      <c r="A273" s="62" t="s">
        <v>2038</v>
      </c>
      <c r="B273" s="3" t="s">
        <v>396</v>
      </c>
      <c r="C273" s="3"/>
      <c r="D273" s="3">
        <v>3772</v>
      </c>
      <c r="E273" s="3"/>
      <c r="F273" s="3"/>
      <c r="G273" s="3"/>
      <c r="H273" s="3"/>
      <c r="I273" s="3"/>
      <c r="J273" s="3"/>
    </row>
    <row r="274" spans="1:10" x14ac:dyDescent="0.25">
      <c r="A274" s="62" t="s">
        <v>1102</v>
      </c>
      <c r="C274" s="3"/>
      <c r="D274" s="3">
        <v>154</v>
      </c>
      <c r="E274" s="3"/>
      <c r="F274" s="3"/>
      <c r="G274" s="3"/>
      <c r="H274" s="3"/>
      <c r="I274" s="3"/>
      <c r="J274" s="3"/>
    </row>
    <row r="275" spans="1:10" x14ac:dyDescent="0.25">
      <c r="A275" s="62" t="s">
        <v>1103</v>
      </c>
      <c r="C275" s="3"/>
      <c r="D275" s="3">
        <v>1548</v>
      </c>
      <c r="E275" s="3"/>
      <c r="F275" s="3"/>
      <c r="G275" s="3"/>
      <c r="H275" s="3"/>
      <c r="I275" s="3"/>
      <c r="J275" s="3"/>
    </row>
    <row r="276" spans="1:10" x14ac:dyDescent="0.25">
      <c r="A276" s="62" t="s">
        <v>1395</v>
      </c>
      <c r="C276" s="3"/>
      <c r="D276" s="3">
        <v>5000</v>
      </c>
      <c r="E276" s="3"/>
      <c r="F276" s="3"/>
      <c r="G276" s="3"/>
      <c r="H276" s="3"/>
      <c r="I276" s="3"/>
      <c r="J276" s="3"/>
    </row>
    <row r="277" spans="1:10" x14ac:dyDescent="0.25">
      <c r="A277" s="62" t="s">
        <v>1396</v>
      </c>
      <c r="C277" s="3"/>
      <c r="D277" s="3">
        <v>1050</v>
      </c>
      <c r="E277" s="3"/>
      <c r="F277" s="3"/>
      <c r="G277" s="3"/>
      <c r="H277" s="3"/>
      <c r="I277" s="3"/>
      <c r="J277" s="3"/>
    </row>
    <row r="278" spans="1:10" ht="15" x14ac:dyDescent="0.4">
      <c r="A278" s="62" t="s">
        <v>1104</v>
      </c>
      <c r="C278" s="31"/>
      <c r="D278" s="3">
        <v>463</v>
      </c>
      <c r="E278" s="3"/>
      <c r="F278" s="3"/>
      <c r="G278" s="3"/>
      <c r="H278" s="3"/>
      <c r="I278" s="3"/>
      <c r="J278" s="3"/>
    </row>
    <row r="279" spans="1:10" ht="15" x14ac:dyDescent="0.4">
      <c r="A279" s="62" t="s">
        <v>1966</v>
      </c>
      <c r="C279" s="31"/>
      <c r="D279" s="31">
        <v>3650</v>
      </c>
      <c r="E279" s="3"/>
      <c r="F279" s="3"/>
      <c r="G279" s="3"/>
      <c r="H279" s="3"/>
      <c r="I279" s="3"/>
      <c r="J279" s="3"/>
    </row>
    <row r="280" spans="1:10" x14ac:dyDescent="0.25">
      <c r="A280" s="62" t="s">
        <v>1247</v>
      </c>
      <c r="C280" s="3"/>
      <c r="D280" s="3">
        <f>SUM(D273:D279)</f>
        <v>15637</v>
      </c>
      <c r="E280" s="3"/>
      <c r="F280" s="3"/>
      <c r="G280" s="3"/>
      <c r="H280" s="3"/>
      <c r="I280" s="3"/>
      <c r="J280" s="3"/>
    </row>
    <row r="281" spans="1:10" x14ac:dyDescent="0.25">
      <c r="C281" s="3"/>
      <c r="D281" s="3"/>
      <c r="E281" s="3"/>
      <c r="F281" s="3"/>
      <c r="G281" s="3"/>
      <c r="H281" s="3"/>
      <c r="I281" s="3"/>
      <c r="J281" s="3"/>
    </row>
    <row r="282" spans="1:10" ht="13.8" x14ac:dyDescent="0.3">
      <c r="A282" s="63" t="s">
        <v>1105</v>
      </c>
      <c r="C282" s="74" t="s">
        <v>396</v>
      </c>
      <c r="D282" s="74" t="s">
        <v>396</v>
      </c>
      <c r="E282" s="3">
        <v>105125.66</v>
      </c>
      <c r="F282" s="3">
        <v>90000</v>
      </c>
      <c r="G282" s="3">
        <v>140000</v>
      </c>
      <c r="H282" s="3">
        <v>140000</v>
      </c>
      <c r="I282" s="3">
        <v>140000</v>
      </c>
      <c r="J282" s="3">
        <v>140000</v>
      </c>
    </row>
    <row r="283" spans="1:10" x14ac:dyDescent="0.25">
      <c r="A283" s="42" t="s">
        <v>2223</v>
      </c>
      <c r="B283" s="3"/>
      <c r="C283" s="3">
        <v>0</v>
      </c>
      <c r="D283" s="73">
        <v>140000</v>
      </c>
      <c r="E283" s="3"/>
      <c r="F283" s="3"/>
      <c r="G283" s="3"/>
      <c r="H283" s="3"/>
      <c r="I283" s="3"/>
      <c r="J283" s="3"/>
    </row>
    <row r="284" spans="1:10" ht="15" x14ac:dyDescent="0.4">
      <c r="A284" s="42" t="s">
        <v>1763</v>
      </c>
      <c r="B284" s="3"/>
      <c r="C284" s="3"/>
      <c r="D284" s="154">
        <v>0</v>
      </c>
      <c r="E284" s="3"/>
      <c r="F284" s="3"/>
      <c r="G284" s="3"/>
      <c r="H284" s="3"/>
      <c r="I284" s="3"/>
      <c r="J284" s="3"/>
    </row>
    <row r="285" spans="1:10" x14ac:dyDescent="0.25">
      <c r="A285" s="42"/>
      <c r="B285" s="3"/>
      <c r="C285" s="3"/>
      <c r="D285" s="73">
        <f>SUM(D283:D284)</f>
        <v>140000</v>
      </c>
      <c r="E285" s="3"/>
      <c r="F285" s="3"/>
      <c r="G285" s="3"/>
      <c r="H285" s="3"/>
      <c r="I285" s="3"/>
      <c r="J285" s="3"/>
    </row>
    <row r="286" spans="1:10" x14ac:dyDescent="0.25">
      <c r="C286" s="3"/>
      <c r="D286" s="3"/>
      <c r="E286" s="3"/>
      <c r="F286" s="3"/>
      <c r="G286" s="3"/>
      <c r="H286" s="3"/>
      <c r="I286" s="3"/>
      <c r="J286" s="3"/>
    </row>
    <row r="287" spans="1:10" ht="13.8" x14ac:dyDescent="0.3">
      <c r="A287" s="63" t="s">
        <v>1106</v>
      </c>
      <c r="C287" s="74" t="s">
        <v>396</v>
      </c>
      <c r="D287" s="74" t="s">
        <v>396</v>
      </c>
      <c r="E287" s="3">
        <v>4662.3900000000003</v>
      </c>
      <c r="F287" s="3">
        <v>7000</v>
      </c>
      <c r="G287" s="3">
        <v>7000</v>
      </c>
      <c r="H287" s="3">
        <v>7000</v>
      </c>
      <c r="I287" s="3">
        <v>7000</v>
      </c>
      <c r="J287" s="3">
        <v>7000</v>
      </c>
    </row>
    <row r="288" spans="1:10" x14ac:dyDescent="0.25">
      <c r="A288" s="62" t="s">
        <v>248</v>
      </c>
      <c r="C288" s="3"/>
      <c r="D288" s="3">
        <v>7000</v>
      </c>
      <c r="E288" s="3"/>
      <c r="F288" s="3"/>
      <c r="G288" s="3"/>
      <c r="H288" s="3"/>
      <c r="I288" s="3"/>
      <c r="J288" s="3"/>
    </row>
    <row r="289" spans="1:10" x14ac:dyDescent="0.25">
      <c r="C289" s="3"/>
      <c r="D289" s="3"/>
      <c r="E289" s="3"/>
      <c r="F289" s="3"/>
      <c r="G289" s="3"/>
      <c r="H289" s="3"/>
      <c r="I289" s="3"/>
      <c r="J289" s="3"/>
    </row>
    <row r="290" spans="1:10" ht="15" x14ac:dyDescent="0.4">
      <c r="A290" s="63" t="s">
        <v>1107</v>
      </c>
      <c r="C290" s="3" t="s">
        <v>396</v>
      </c>
      <c r="D290" s="3" t="s">
        <v>396</v>
      </c>
      <c r="E290" s="31">
        <v>2450.2199999999998</v>
      </c>
      <c r="F290" s="31">
        <v>3905</v>
      </c>
      <c r="G290" s="31">
        <v>4000</v>
      </c>
      <c r="H290" s="31">
        <v>4000</v>
      </c>
      <c r="I290" s="31">
        <v>4000</v>
      </c>
      <c r="J290" s="31">
        <v>4000</v>
      </c>
    </row>
    <row r="291" spans="1:10" x14ac:dyDescent="0.25">
      <c r="A291" s="42" t="s">
        <v>1764</v>
      </c>
      <c r="C291" s="3"/>
      <c r="D291" s="3">
        <v>2000</v>
      </c>
      <c r="E291" s="3"/>
      <c r="F291" s="3"/>
      <c r="G291" s="3"/>
      <c r="H291" s="3"/>
      <c r="I291" s="3"/>
      <c r="J291" s="3"/>
    </row>
    <row r="292" spans="1:10" x14ac:dyDescent="0.25">
      <c r="A292" s="42" t="s">
        <v>1765</v>
      </c>
      <c r="C292" s="3"/>
      <c r="D292" s="3">
        <v>1000</v>
      </c>
      <c r="E292" s="3"/>
      <c r="F292" s="3"/>
      <c r="G292" s="3"/>
      <c r="H292" s="3"/>
      <c r="I292" s="3"/>
      <c r="J292" s="3"/>
    </row>
    <row r="293" spans="1:10" ht="15" x14ac:dyDescent="0.4">
      <c r="A293" s="42" t="s">
        <v>1664</v>
      </c>
      <c r="C293" s="3"/>
      <c r="D293" s="31">
        <v>1000</v>
      </c>
      <c r="E293" s="31"/>
      <c r="F293" s="31"/>
      <c r="G293" s="31"/>
      <c r="H293" s="31"/>
      <c r="I293" s="31"/>
      <c r="J293" s="31"/>
    </row>
    <row r="294" spans="1:10" x14ac:dyDescent="0.25">
      <c r="D294" s="3">
        <f>SUM(D291:D293)</f>
        <v>4000</v>
      </c>
      <c r="E294" s="3"/>
      <c r="F294" s="3"/>
      <c r="G294" s="3"/>
      <c r="H294" s="3"/>
      <c r="I294" s="3"/>
      <c r="J294" s="3"/>
    </row>
    <row r="295" spans="1:10" x14ac:dyDescent="0.25">
      <c r="D295" s="3"/>
      <c r="E295" s="3"/>
      <c r="F295" s="3"/>
      <c r="G295" s="3"/>
      <c r="H295" s="3"/>
      <c r="I295" s="3"/>
      <c r="J295" s="3"/>
    </row>
    <row r="296" spans="1:10" ht="15" x14ac:dyDescent="0.4">
      <c r="A296" s="63" t="s">
        <v>2309</v>
      </c>
      <c r="C296" s="3">
        <v>0</v>
      </c>
      <c r="D296" s="31">
        <v>0</v>
      </c>
      <c r="E296" s="31">
        <v>7609</v>
      </c>
      <c r="F296" s="31">
        <v>0</v>
      </c>
      <c r="G296" s="31">
        <v>0</v>
      </c>
      <c r="H296" s="31">
        <v>0</v>
      </c>
      <c r="I296" s="31">
        <v>0</v>
      </c>
      <c r="J296" s="31">
        <v>0</v>
      </c>
    </row>
    <row r="297" spans="1:10" x14ac:dyDescent="0.25">
      <c r="D297" s="3"/>
      <c r="E297" s="3"/>
      <c r="F297" s="3"/>
      <c r="G297" s="3"/>
      <c r="H297" s="3"/>
      <c r="I297" s="3"/>
      <c r="J297" s="3"/>
    </row>
    <row r="298" spans="1:10" x14ac:dyDescent="0.25">
      <c r="D298" s="3"/>
      <c r="E298" s="3"/>
      <c r="F298" s="3"/>
      <c r="G298" s="3"/>
      <c r="H298" s="3"/>
      <c r="I298" s="3"/>
      <c r="J298" s="3"/>
    </row>
    <row r="299" spans="1:10" x14ac:dyDescent="0.25">
      <c r="D299" s="3"/>
      <c r="E299" s="3"/>
      <c r="F299" s="3"/>
      <c r="G299" s="3"/>
      <c r="H299" s="3"/>
      <c r="I299" s="3"/>
      <c r="J299" s="3"/>
    </row>
    <row r="300" spans="1:10" x14ac:dyDescent="0.25">
      <c r="D300" s="3"/>
      <c r="E300" s="3"/>
      <c r="F300" s="3"/>
      <c r="G300" s="3"/>
      <c r="H300" s="3"/>
      <c r="I300" s="3"/>
      <c r="J300" s="3"/>
    </row>
    <row r="301" spans="1:10" ht="15" x14ac:dyDescent="0.4">
      <c r="A301" s="63"/>
      <c r="D301" s="3"/>
      <c r="E301" s="31"/>
      <c r="F301" s="31"/>
      <c r="G301" s="31"/>
      <c r="H301" s="31"/>
    </row>
    <row r="302" spans="1:10" x14ac:dyDescent="0.25">
      <c r="A302" s="250" t="s">
        <v>1352</v>
      </c>
      <c r="D302" s="3"/>
      <c r="E302" s="3">
        <f t="shared" ref="E302:J302" si="7">SUM(E2:E301)</f>
        <v>5588897.1500000013</v>
      </c>
      <c r="F302" s="3">
        <f t="shared" si="7"/>
        <v>6418759</v>
      </c>
      <c r="G302" s="3">
        <f t="shared" si="7"/>
        <v>6625710</v>
      </c>
      <c r="H302" s="3">
        <f t="shared" si="7"/>
        <v>6438102</v>
      </c>
      <c r="I302" s="3">
        <f t="shared" si="7"/>
        <v>6413989</v>
      </c>
      <c r="J302" s="3">
        <f t="shared" si="7"/>
        <v>6425817</v>
      </c>
    </row>
    <row r="303" spans="1:10" ht="15" x14ac:dyDescent="0.4">
      <c r="A303" s="63"/>
      <c r="D303" s="3"/>
      <c r="E303" s="31"/>
      <c r="F303" s="31"/>
      <c r="G303" s="31"/>
      <c r="H303" s="31"/>
    </row>
    <row r="304" spans="1:10" x14ac:dyDescent="0.25">
      <c r="A304" s="62" t="s">
        <v>594</v>
      </c>
      <c r="E304" s="3">
        <f>SUM(E6:E152)</f>
        <v>5120650.6300000008</v>
      </c>
      <c r="F304" s="3">
        <f>SUM(F6:F152)</f>
        <v>5929254</v>
      </c>
      <c r="G304" s="3">
        <f>SUM(G6:G154)</f>
        <v>6096476</v>
      </c>
      <c r="H304" s="3">
        <f>SUM(H6:H154)</f>
        <v>5908868</v>
      </c>
      <c r="I304" s="3">
        <f>SUM(I6:I154)</f>
        <v>5884755</v>
      </c>
      <c r="J304" s="3">
        <f>SUM(J6:J154)</f>
        <v>5896583</v>
      </c>
    </row>
    <row r="305" spans="1:10" x14ac:dyDescent="0.25">
      <c r="A305" s="62" t="s">
        <v>957</v>
      </c>
      <c r="E305" s="3">
        <f t="shared" ref="E305:J305" si="8">SUM(E157:E272)+E296</f>
        <v>356008.24999999994</v>
      </c>
      <c r="F305" s="3">
        <f t="shared" si="8"/>
        <v>388600</v>
      </c>
      <c r="G305" s="3">
        <f t="shared" si="8"/>
        <v>378234</v>
      </c>
      <c r="H305" s="3">
        <f t="shared" si="8"/>
        <v>378234</v>
      </c>
      <c r="I305" s="3">
        <f t="shared" si="8"/>
        <v>378234</v>
      </c>
      <c r="J305" s="3">
        <f t="shared" si="8"/>
        <v>378234</v>
      </c>
    </row>
    <row r="306" spans="1:10" ht="15" x14ac:dyDescent="0.4">
      <c r="A306" s="62" t="s">
        <v>958</v>
      </c>
      <c r="E306" s="31">
        <f t="shared" ref="E306:J306" si="9">SUM(E279:E290)</f>
        <v>112238.27</v>
      </c>
      <c r="F306" s="31">
        <f t="shared" si="9"/>
        <v>100905</v>
      </c>
      <c r="G306" s="31">
        <f t="shared" si="9"/>
        <v>151000</v>
      </c>
      <c r="H306" s="31">
        <f t="shared" si="9"/>
        <v>151000</v>
      </c>
      <c r="I306" s="31">
        <f t="shared" si="9"/>
        <v>151000</v>
      </c>
      <c r="J306" s="31">
        <f t="shared" si="9"/>
        <v>151000</v>
      </c>
    </row>
    <row r="307" spans="1:10" x14ac:dyDescent="0.25">
      <c r="A307" s="62" t="s">
        <v>1247</v>
      </c>
      <c r="E307" s="3">
        <f t="shared" ref="E307:J307" si="10">SUM(E304:E306)</f>
        <v>5588897.1500000004</v>
      </c>
      <c r="F307" s="3">
        <f t="shared" si="10"/>
        <v>6418759</v>
      </c>
      <c r="G307" s="3">
        <f t="shared" si="10"/>
        <v>6625710</v>
      </c>
      <c r="H307" s="3">
        <f t="shared" si="10"/>
        <v>6438102</v>
      </c>
      <c r="I307" s="3">
        <f t="shared" si="10"/>
        <v>6413989</v>
      </c>
      <c r="J307" s="3">
        <f t="shared" si="10"/>
        <v>6425817</v>
      </c>
    </row>
    <row r="308" spans="1:10" x14ac:dyDescent="0.25">
      <c r="I308" s="3"/>
      <c r="J308" s="3"/>
    </row>
    <row r="309" spans="1:10" x14ac:dyDescent="0.25">
      <c r="E309" s="3">
        <f>+E302-E307</f>
        <v>0</v>
      </c>
      <c r="F309" s="3">
        <f>+F302-F307</f>
        <v>0</v>
      </c>
      <c r="G309" s="3">
        <f>+G302-G307</f>
        <v>0</v>
      </c>
      <c r="H309" s="3">
        <f>+H302-H307</f>
        <v>0</v>
      </c>
      <c r="I309" s="3" t="e">
        <f>+H302-#REF!</f>
        <v>#REF!</v>
      </c>
      <c r="J309" s="3" t="e">
        <f>+I302-#REF!</f>
        <v>#REF!</v>
      </c>
    </row>
    <row r="315" spans="1:10" x14ac:dyDescent="0.25">
      <c r="I315" s="62">
        <v>6400278</v>
      </c>
      <c r="J315" s="62">
        <v>6400278</v>
      </c>
    </row>
    <row r="317" spans="1:10" x14ac:dyDescent="0.25">
      <c r="J317" s="62">
        <v>6430367</v>
      </c>
    </row>
    <row r="318" spans="1:10" x14ac:dyDescent="0.25">
      <c r="J318" s="3">
        <f>+J317-J307</f>
        <v>4550</v>
      </c>
    </row>
  </sheetData>
  <mergeCells count="1">
    <mergeCell ref="A1:J1"/>
  </mergeCells>
  <phoneticPr fontId="0" type="noConversion"/>
  <printOptions gridLines="1"/>
  <pageMargins left="0.75" right="0.16" top="0.51" bottom="0.22" header="0.5" footer="0"/>
  <pageSetup scale="81" fitToHeight="12" orientation="landscape" r:id="rId1"/>
  <headerFooter alignWithMargins="0"/>
  <rowBreaks count="4" manualBreakCount="4">
    <brk id="112" max="10" man="1"/>
    <brk id="185" max="10" man="1"/>
    <brk id="232" max="10" man="1"/>
    <brk id="281" max="9"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J224"/>
  <sheetViews>
    <sheetView view="pageBreakPreview" zoomScaleNormal="100" zoomScaleSheetLayoutView="100" workbookViewId="0">
      <selection sqref="A1:J1"/>
    </sheetView>
  </sheetViews>
  <sheetFormatPr defaultColWidth="9.109375" defaultRowHeight="13.2" x14ac:dyDescent="0.25"/>
  <cols>
    <col min="1" max="1" width="50.6640625" style="214" bestFit="1" customWidth="1"/>
    <col min="2" max="2" width="8.88671875" style="214" bestFit="1" customWidth="1"/>
    <col min="3" max="4" width="10.109375" style="214" customWidth="1"/>
    <col min="5" max="5" width="13.6640625" style="214" customWidth="1"/>
    <col min="6" max="6" width="10.33203125" style="214" bestFit="1" customWidth="1"/>
    <col min="7" max="7" width="10.88671875" style="214" bestFit="1" customWidth="1"/>
    <col min="8" max="8" width="13.5546875" style="214" bestFit="1" customWidth="1"/>
    <col min="9" max="9" width="10.33203125" style="214" bestFit="1" customWidth="1"/>
    <col min="10" max="10" width="9.5546875" style="214" customWidth="1"/>
    <col min="11" max="16384" width="9.109375" style="214"/>
  </cols>
  <sheetData>
    <row r="1" spans="1:10" x14ac:dyDescent="0.25">
      <c r="A1" s="307" t="str">
        <f>'SUMMARY BY FUND'!A1:J1</f>
        <v>2019-20 BUDGET</v>
      </c>
      <c r="B1" s="308"/>
      <c r="C1" s="308"/>
      <c r="D1" s="308"/>
      <c r="E1" s="308"/>
      <c r="F1" s="308"/>
      <c r="G1" s="308"/>
      <c r="H1" s="308"/>
      <c r="I1" s="308"/>
      <c r="J1" s="308"/>
    </row>
    <row r="2" spans="1:10" ht="17.399999999999999" x14ac:dyDescent="0.3">
      <c r="A2" s="180" t="s">
        <v>1938</v>
      </c>
      <c r="B2" s="180"/>
      <c r="C2" s="180"/>
      <c r="D2" s="180"/>
      <c r="E2" s="180"/>
      <c r="F2" s="180"/>
    </row>
    <row r="3" spans="1:10" x14ac:dyDescent="0.25">
      <c r="B3" s="2"/>
      <c r="C3" s="2"/>
      <c r="D3" s="2"/>
      <c r="E3" s="2"/>
      <c r="F3" s="2"/>
    </row>
    <row r="4" spans="1:10" x14ac:dyDescent="0.25">
      <c r="B4" s="2"/>
      <c r="C4" s="2"/>
      <c r="D4" s="2"/>
      <c r="E4" s="195" t="s">
        <v>233</v>
      </c>
      <c r="F4" s="195" t="s">
        <v>234</v>
      </c>
      <c r="G4" s="195" t="s">
        <v>70</v>
      </c>
      <c r="H4" s="195" t="s">
        <v>409</v>
      </c>
      <c r="I4" s="16" t="s">
        <v>314</v>
      </c>
      <c r="J4" s="16" t="s">
        <v>345</v>
      </c>
    </row>
    <row r="5" spans="1:10" ht="15" x14ac:dyDescent="0.4">
      <c r="B5" s="2"/>
      <c r="C5" s="2"/>
      <c r="D5" s="2"/>
      <c r="E5" s="225" t="s">
        <v>1794</v>
      </c>
      <c r="F5" s="225" t="s">
        <v>1970</v>
      </c>
      <c r="G5" s="225" t="s">
        <v>2129</v>
      </c>
      <c r="H5" s="225" t="s">
        <v>2129</v>
      </c>
      <c r="I5" s="225" t="s">
        <v>2129</v>
      </c>
      <c r="J5" s="225" t="s">
        <v>2129</v>
      </c>
    </row>
    <row r="6" spans="1:10" ht="13.8" x14ac:dyDescent="0.3">
      <c r="A6" s="215" t="s">
        <v>258</v>
      </c>
      <c r="B6" s="2"/>
      <c r="C6" s="2"/>
      <c r="D6" s="2"/>
      <c r="E6" s="2">
        <v>53911.12</v>
      </c>
      <c r="F6" s="2">
        <v>56732</v>
      </c>
      <c r="G6" s="2">
        <v>56732</v>
      </c>
      <c r="H6" s="2">
        <v>56732</v>
      </c>
      <c r="I6" s="2">
        <v>56732</v>
      </c>
      <c r="J6" s="2">
        <v>57876</v>
      </c>
    </row>
    <row r="7" spans="1:10" x14ac:dyDescent="0.25">
      <c r="A7" s="214" t="s">
        <v>154</v>
      </c>
      <c r="B7" s="2">
        <v>52</v>
      </c>
      <c r="C7" s="2">
        <v>1113</v>
      </c>
      <c r="D7" s="2">
        <f>ROUND(B7*C7,0)</f>
        <v>57876</v>
      </c>
      <c r="E7" s="2"/>
      <c r="F7" s="2"/>
      <c r="G7" s="2"/>
      <c r="H7" s="2"/>
      <c r="I7" s="2"/>
      <c r="J7" s="2"/>
    </row>
    <row r="8" spans="1:10" x14ac:dyDescent="0.25">
      <c r="B8" s="2"/>
      <c r="C8" s="2"/>
      <c r="D8" s="2"/>
      <c r="E8" s="2"/>
      <c r="F8" s="2"/>
      <c r="G8" s="2"/>
      <c r="H8" s="2"/>
      <c r="I8" s="2"/>
      <c r="J8" s="2"/>
    </row>
    <row r="9" spans="1:10" ht="13.8" x14ac:dyDescent="0.3">
      <c r="A9" s="215" t="s">
        <v>532</v>
      </c>
      <c r="B9" s="2"/>
      <c r="C9" s="2"/>
      <c r="D9" s="2"/>
      <c r="E9" s="2">
        <v>286553.90000000002</v>
      </c>
      <c r="F9" s="2">
        <v>352337</v>
      </c>
      <c r="G9" s="2">
        <v>352337</v>
      </c>
      <c r="H9" s="2">
        <v>352337</v>
      </c>
      <c r="I9" s="2">
        <v>352337</v>
      </c>
      <c r="J9" s="2">
        <v>357555</v>
      </c>
    </row>
    <row r="10" spans="1:10" x14ac:dyDescent="0.25">
      <c r="A10" s="214" t="s">
        <v>732</v>
      </c>
      <c r="B10" s="2">
        <v>52</v>
      </c>
      <c r="C10" s="2">
        <v>961</v>
      </c>
      <c r="D10" s="2">
        <f t="shared" ref="D10:D17" si="0">ROUND(B10*C10,0)</f>
        <v>49972</v>
      </c>
      <c r="E10" s="2"/>
      <c r="F10" s="2"/>
      <c r="G10" s="2"/>
      <c r="H10" s="2"/>
      <c r="I10" s="2"/>
      <c r="J10" s="2"/>
    </row>
    <row r="11" spans="1:10" x14ac:dyDescent="0.25">
      <c r="A11" s="214" t="s">
        <v>732</v>
      </c>
      <c r="B11" s="2">
        <v>52</v>
      </c>
      <c r="C11" s="2">
        <v>961</v>
      </c>
      <c r="D11" s="2">
        <f t="shared" si="0"/>
        <v>49972</v>
      </c>
      <c r="E11" s="2"/>
      <c r="F11" s="2"/>
      <c r="G11" s="2"/>
      <c r="H11" s="2"/>
      <c r="I11" s="2"/>
      <c r="J11" s="2"/>
    </row>
    <row r="12" spans="1:10" x14ac:dyDescent="0.25">
      <c r="A12" s="214" t="s">
        <v>732</v>
      </c>
      <c r="B12" s="2">
        <v>52</v>
      </c>
      <c r="C12" s="2">
        <v>961</v>
      </c>
      <c r="D12" s="2">
        <f t="shared" si="0"/>
        <v>49972</v>
      </c>
      <c r="E12" s="2"/>
      <c r="F12" s="2"/>
      <c r="G12" s="2"/>
      <c r="H12" s="2"/>
      <c r="I12" s="2"/>
      <c r="J12" s="2"/>
    </row>
    <row r="13" spans="1:10" x14ac:dyDescent="0.25">
      <c r="A13" s="214" t="s">
        <v>732</v>
      </c>
      <c r="B13" s="2">
        <v>52</v>
      </c>
      <c r="C13" s="2">
        <v>961</v>
      </c>
      <c r="D13" s="2">
        <f t="shared" si="0"/>
        <v>49972</v>
      </c>
      <c r="E13" s="2"/>
      <c r="F13" s="2"/>
      <c r="G13" s="2"/>
      <c r="H13" s="2"/>
      <c r="I13" s="2"/>
      <c r="J13" s="2"/>
    </row>
    <row r="14" spans="1:10" x14ac:dyDescent="0.25">
      <c r="A14" s="214" t="s">
        <v>732</v>
      </c>
      <c r="B14" s="2">
        <v>52</v>
      </c>
      <c r="C14" s="2">
        <v>961</v>
      </c>
      <c r="D14" s="2">
        <f t="shared" si="0"/>
        <v>49972</v>
      </c>
      <c r="E14" s="2"/>
      <c r="F14" s="2"/>
      <c r="G14" s="2"/>
      <c r="H14" s="2"/>
      <c r="I14" s="2"/>
      <c r="J14" s="2"/>
    </row>
    <row r="15" spans="1:10" x14ac:dyDescent="0.25">
      <c r="A15" s="214" t="s">
        <v>732</v>
      </c>
      <c r="B15" s="2">
        <v>52</v>
      </c>
      <c r="C15" s="2">
        <v>961</v>
      </c>
      <c r="D15" s="2">
        <f t="shared" si="0"/>
        <v>49972</v>
      </c>
      <c r="E15" s="2"/>
      <c r="F15" s="2"/>
      <c r="G15" s="2"/>
      <c r="H15" s="2"/>
      <c r="I15" s="2"/>
      <c r="J15" s="2"/>
    </row>
    <row r="16" spans="1:10" x14ac:dyDescent="0.25">
      <c r="A16" s="214" t="s">
        <v>732</v>
      </c>
      <c r="B16" s="2">
        <v>52</v>
      </c>
      <c r="C16" s="2">
        <v>823</v>
      </c>
      <c r="D16" s="2">
        <f t="shared" si="0"/>
        <v>42796</v>
      </c>
      <c r="E16" s="2"/>
      <c r="F16" s="2"/>
      <c r="G16" s="2"/>
      <c r="H16" s="2"/>
      <c r="I16" s="2"/>
      <c r="J16" s="2"/>
    </row>
    <row r="17" spans="1:10" s="301" customFormat="1" x14ac:dyDescent="0.25">
      <c r="A17" s="301" t="s">
        <v>2331</v>
      </c>
      <c r="B17" s="2">
        <v>480</v>
      </c>
      <c r="C17" s="2">
        <v>1</v>
      </c>
      <c r="D17" s="2">
        <f t="shared" si="0"/>
        <v>480</v>
      </c>
      <c r="E17" s="2"/>
      <c r="F17" s="2"/>
      <c r="G17" s="2"/>
      <c r="H17" s="2"/>
      <c r="I17" s="2"/>
      <c r="J17" s="2"/>
    </row>
    <row r="18" spans="1:10" x14ac:dyDescent="0.25">
      <c r="A18" s="214" t="s">
        <v>973</v>
      </c>
      <c r="B18" s="2"/>
      <c r="C18" s="12"/>
      <c r="D18" s="2">
        <v>993</v>
      </c>
      <c r="E18" s="2"/>
      <c r="F18" s="2"/>
      <c r="G18" s="2"/>
      <c r="H18" s="2"/>
      <c r="I18" s="2"/>
      <c r="J18" s="2"/>
    </row>
    <row r="19" spans="1:10" ht="15" x14ac:dyDescent="0.4">
      <c r="A19" s="214" t="s">
        <v>1795</v>
      </c>
      <c r="B19" s="2">
        <v>560</v>
      </c>
      <c r="C19" s="12">
        <f>+SUM(C10:C15)/40/6</f>
        <v>24.025000000000002</v>
      </c>
      <c r="D19" s="11">
        <f>ROUND(B19*C19,0)</f>
        <v>13454</v>
      </c>
      <c r="E19" s="2"/>
      <c r="F19" s="2"/>
      <c r="G19" s="2"/>
      <c r="H19" s="2"/>
      <c r="I19" s="2"/>
      <c r="J19" s="2"/>
    </row>
    <row r="20" spans="1:10" x14ac:dyDescent="0.25">
      <c r="A20" s="214" t="s">
        <v>1247</v>
      </c>
      <c r="B20" s="2"/>
      <c r="C20" s="2"/>
      <c r="D20" s="2">
        <f>SUM(D10:D19)</f>
        <v>357555</v>
      </c>
      <c r="E20" s="2"/>
      <c r="F20" s="2"/>
      <c r="G20" s="2"/>
      <c r="H20" s="2"/>
      <c r="I20" s="2"/>
      <c r="J20" s="2"/>
    </row>
    <row r="21" spans="1:10" x14ac:dyDescent="0.25">
      <c r="D21" s="2"/>
      <c r="E21" s="2"/>
      <c r="F21" s="2"/>
      <c r="G21" s="2"/>
      <c r="H21" s="2"/>
      <c r="I21" s="2"/>
      <c r="J21" s="2"/>
    </row>
    <row r="22" spans="1:10" ht="13.8" x14ac:dyDescent="0.3">
      <c r="A22" s="215" t="s">
        <v>733</v>
      </c>
      <c r="D22" s="2"/>
      <c r="E22" s="2">
        <v>0</v>
      </c>
      <c r="F22" s="2">
        <v>3682</v>
      </c>
      <c r="G22" s="2">
        <v>3682</v>
      </c>
      <c r="H22" s="2">
        <v>3682</v>
      </c>
      <c r="I22" s="2">
        <v>3682</v>
      </c>
      <c r="J22" s="2">
        <v>3682</v>
      </c>
    </row>
    <row r="23" spans="1:10" x14ac:dyDescent="0.25">
      <c r="A23" s="214" t="s">
        <v>154</v>
      </c>
      <c r="B23" s="2">
        <v>88.21</v>
      </c>
      <c r="C23" s="12">
        <f>ROUND((((+C7)/40)*1.5),2)</f>
        <v>41.74</v>
      </c>
      <c r="D23" s="2">
        <f>ROUND(B23*C23,0)</f>
        <v>3682</v>
      </c>
      <c r="E23" s="2"/>
      <c r="F23" s="2"/>
      <c r="G23" s="2"/>
      <c r="H23" s="2"/>
      <c r="I23" s="2"/>
      <c r="J23" s="2"/>
    </row>
    <row r="24" spans="1:10" x14ac:dyDescent="0.25">
      <c r="B24" s="2"/>
      <c r="C24" s="12"/>
      <c r="D24" s="2"/>
      <c r="E24" s="2"/>
      <c r="F24" s="2"/>
      <c r="G24" s="2"/>
      <c r="H24" s="2"/>
      <c r="I24" s="2"/>
      <c r="J24" s="2"/>
    </row>
    <row r="25" spans="1:10" ht="13.8" x14ac:dyDescent="0.3">
      <c r="A25" s="215" t="s">
        <v>157</v>
      </c>
      <c r="B25" s="62"/>
      <c r="C25" s="3"/>
      <c r="D25" s="3"/>
      <c r="E25" s="3">
        <v>42713.64</v>
      </c>
      <c r="F25" s="2">
        <v>34319</v>
      </c>
      <c r="G25" s="2">
        <v>34319</v>
      </c>
      <c r="H25" s="2">
        <v>34319</v>
      </c>
      <c r="I25" s="2">
        <v>34319</v>
      </c>
      <c r="J25" s="2">
        <v>34766</v>
      </c>
    </row>
    <row r="26" spans="1:10" x14ac:dyDescent="0.25">
      <c r="A26" s="214" t="s">
        <v>1807</v>
      </c>
      <c r="B26" s="3">
        <v>800</v>
      </c>
      <c r="C26" s="65">
        <v>17.25</v>
      </c>
      <c r="D26" s="3">
        <f>ROUND(B26*C26,0)</f>
        <v>13800</v>
      </c>
      <c r="E26" s="2"/>
      <c r="F26" s="2"/>
      <c r="G26" s="2"/>
      <c r="H26" s="2"/>
      <c r="I26" s="2"/>
      <c r="J26" s="2"/>
    </row>
    <row r="27" spans="1:10" x14ac:dyDescent="0.25">
      <c r="A27" s="214" t="s">
        <v>493</v>
      </c>
      <c r="B27" s="3">
        <v>1040</v>
      </c>
      <c r="C27" s="65">
        <f>0.43+19.73</f>
        <v>20.16</v>
      </c>
      <c r="D27" s="72">
        <f>ROUND(B27*C27,0)</f>
        <v>20966</v>
      </c>
      <c r="E27" s="2"/>
      <c r="F27" s="2"/>
      <c r="G27" s="2"/>
      <c r="H27" s="2"/>
      <c r="I27" s="2"/>
      <c r="J27" s="2"/>
    </row>
    <row r="28" spans="1:10" x14ac:dyDescent="0.25">
      <c r="B28" s="3"/>
      <c r="C28" s="65"/>
      <c r="D28" s="3">
        <f>SUM(D26:D27)</f>
        <v>34766</v>
      </c>
      <c r="E28" s="2"/>
      <c r="F28" s="2"/>
      <c r="G28" s="2"/>
      <c r="H28" s="2"/>
      <c r="I28" s="2"/>
      <c r="J28" s="2"/>
    </row>
    <row r="29" spans="1:10" x14ac:dyDescent="0.25">
      <c r="B29" s="3"/>
      <c r="C29" s="3"/>
      <c r="D29" s="3"/>
      <c r="E29" s="2"/>
      <c r="F29" s="2"/>
      <c r="G29" s="2"/>
      <c r="H29" s="2"/>
      <c r="I29" s="2"/>
      <c r="J29" s="2"/>
    </row>
    <row r="30" spans="1:10" ht="13.8" x14ac:dyDescent="0.3">
      <c r="A30" s="215" t="s">
        <v>918</v>
      </c>
      <c r="D30" s="2"/>
      <c r="E30" s="2">
        <v>42713.05</v>
      </c>
      <c r="F30" s="2">
        <v>21195</v>
      </c>
      <c r="G30" s="2">
        <v>21195</v>
      </c>
      <c r="H30" s="2">
        <v>21195</v>
      </c>
      <c r="I30" s="2">
        <v>21195</v>
      </c>
      <c r="J30" s="2">
        <v>21195</v>
      </c>
    </row>
    <row r="31" spans="1:10" x14ac:dyDescent="0.25">
      <c r="A31" s="214" t="s">
        <v>919</v>
      </c>
      <c r="B31" s="2" t="s">
        <v>396</v>
      </c>
      <c r="C31" s="12" t="s">
        <v>396</v>
      </c>
      <c r="D31" s="2" t="s">
        <v>396</v>
      </c>
      <c r="E31" s="2"/>
      <c r="F31" s="2"/>
      <c r="G31" s="2"/>
      <c r="H31" s="2"/>
      <c r="I31" s="2"/>
      <c r="J31" s="2"/>
    </row>
    <row r="32" spans="1:10" x14ac:dyDescent="0.25">
      <c r="A32" s="214" t="s">
        <v>920</v>
      </c>
      <c r="B32" s="2">
        <v>588.15</v>
      </c>
      <c r="C32" s="12">
        <f>+C19*1.5</f>
        <v>36.037500000000001</v>
      </c>
      <c r="D32" s="2">
        <f>ROUND(B32*C32,0)</f>
        <v>21195</v>
      </c>
      <c r="E32" s="2"/>
      <c r="F32" s="2"/>
      <c r="G32" s="2"/>
      <c r="H32" s="2"/>
      <c r="I32" s="2"/>
      <c r="J32" s="2"/>
    </row>
    <row r="33" spans="1:10" ht="15.6" customHeight="1" x14ac:dyDescent="0.25">
      <c r="B33" s="2"/>
      <c r="C33" s="12"/>
      <c r="D33" s="2"/>
      <c r="E33" s="2"/>
      <c r="F33" s="2"/>
      <c r="G33" s="2"/>
      <c r="H33" s="2"/>
      <c r="I33" s="2"/>
      <c r="J33" s="2"/>
    </row>
    <row r="34" spans="1:10" ht="13.8" x14ac:dyDescent="0.3">
      <c r="A34" s="215" t="s">
        <v>921</v>
      </c>
      <c r="D34" s="2"/>
      <c r="E34" s="2">
        <v>33502.11</v>
      </c>
      <c r="F34" s="2">
        <v>35822</v>
      </c>
      <c r="G34" s="2">
        <v>35822</v>
      </c>
      <c r="H34" s="2">
        <v>35822</v>
      </c>
      <c r="I34" s="2">
        <v>35822</v>
      </c>
      <c r="J34" s="2">
        <v>36344</v>
      </c>
    </row>
    <row r="35" spans="1:10" x14ac:dyDescent="0.25">
      <c r="A35" s="13" t="s">
        <v>1468</v>
      </c>
      <c r="B35" s="2">
        <f>+D7</f>
        <v>57876</v>
      </c>
      <c r="C35" s="14">
        <v>7.6499999999999999E-2</v>
      </c>
      <c r="D35" s="2">
        <f>ROUND(B35*C35,0)</f>
        <v>4428</v>
      </c>
      <c r="E35" s="2"/>
      <c r="F35" s="2"/>
      <c r="G35" s="2"/>
      <c r="H35" s="2"/>
      <c r="I35" s="2"/>
      <c r="J35" s="2"/>
    </row>
    <row r="36" spans="1:10" x14ac:dyDescent="0.25">
      <c r="A36" s="13" t="s">
        <v>807</v>
      </c>
      <c r="B36" s="2">
        <f>+D20</f>
        <v>357555</v>
      </c>
      <c r="C36" s="14">
        <v>7.6499999999999999E-2</v>
      </c>
      <c r="D36" s="2">
        <f>ROUND(B36*C36,0)</f>
        <v>27353</v>
      </c>
      <c r="E36" s="2"/>
      <c r="F36" s="2"/>
      <c r="G36" s="2"/>
      <c r="H36" s="2"/>
      <c r="I36" s="2"/>
      <c r="J36" s="2"/>
    </row>
    <row r="37" spans="1:10" x14ac:dyDescent="0.25">
      <c r="A37" s="13" t="s">
        <v>897</v>
      </c>
      <c r="B37" s="2">
        <f>+D23</f>
        <v>3682</v>
      </c>
      <c r="C37" s="14">
        <v>7.6499999999999999E-2</v>
      </c>
      <c r="D37" s="2">
        <f>ROUND(B37*C37,0)</f>
        <v>282</v>
      </c>
      <c r="E37" s="2"/>
      <c r="F37" s="2"/>
      <c r="G37" s="2"/>
      <c r="H37" s="2"/>
      <c r="I37" s="2"/>
      <c r="J37" s="2"/>
    </row>
    <row r="38" spans="1:10" x14ac:dyDescent="0.25">
      <c r="A38" s="13" t="s">
        <v>184</v>
      </c>
      <c r="B38" s="2">
        <f>+D28</f>
        <v>34766</v>
      </c>
      <c r="C38" s="14">
        <v>7.6499999999999999E-2</v>
      </c>
      <c r="D38" s="2">
        <f>ROUND(B38*C38,0)</f>
        <v>2660</v>
      </c>
      <c r="E38" s="2"/>
      <c r="F38" s="2"/>
      <c r="G38" s="2"/>
      <c r="H38" s="2"/>
      <c r="I38" s="2"/>
      <c r="J38" s="2"/>
    </row>
    <row r="39" spans="1:10" ht="15" x14ac:dyDescent="0.4">
      <c r="A39" s="13" t="s">
        <v>185</v>
      </c>
      <c r="B39" s="2">
        <f>+D32</f>
        <v>21195</v>
      </c>
      <c r="C39" s="14">
        <v>7.6499999999999999E-2</v>
      </c>
      <c r="D39" s="11">
        <f>ROUND(B39*C39,0)</f>
        <v>1621</v>
      </c>
      <c r="E39" s="2"/>
      <c r="F39" s="2"/>
      <c r="G39" s="2"/>
      <c r="H39" s="2"/>
      <c r="I39" s="2"/>
      <c r="J39" s="2"/>
    </row>
    <row r="40" spans="1:10" x14ac:dyDescent="0.25">
      <c r="A40" s="214" t="s">
        <v>1247</v>
      </c>
      <c r="D40" s="2">
        <f>SUM(D35:D39)</f>
        <v>36344</v>
      </c>
      <c r="E40" s="2"/>
      <c r="F40" s="2"/>
      <c r="G40" s="2"/>
      <c r="H40" s="2"/>
      <c r="I40" s="2"/>
      <c r="J40" s="2"/>
    </row>
    <row r="41" spans="1:10" x14ac:dyDescent="0.25">
      <c r="D41" s="2"/>
      <c r="E41" s="2"/>
      <c r="F41" s="2"/>
      <c r="G41" s="2"/>
      <c r="H41" s="2"/>
      <c r="I41" s="2"/>
      <c r="J41" s="2"/>
    </row>
    <row r="42" spans="1:10" ht="13.8" x14ac:dyDescent="0.3">
      <c r="A42" s="15" t="s">
        <v>1051</v>
      </c>
      <c r="D42" s="2"/>
      <c r="E42" s="2">
        <v>42025.26</v>
      </c>
      <c r="F42" s="2">
        <v>47390</v>
      </c>
      <c r="G42" s="2">
        <v>46515</v>
      </c>
      <c r="H42" s="2">
        <v>46515</v>
      </c>
      <c r="I42" s="2">
        <v>46515</v>
      </c>
      <c r="J42" s="2">
        <v>49182</v>
      </c>
    </row>
    <row r="43" spans="1:10" x14ac:dyDescent="0.25">
      <c r="A43" s="13" t="s">
        <v>1468</v>
      </c>
      <c r="B43" s="2">
        <f>+B35+B37</f>
        <v>61558</v>
      </c>
      <c r="C43" s="14">
        <v>0.11169999999999999</v>
      </c>
      <c r="D43" s="2">
        <f>ROUND(B43*C43,0)</f>
        <v>6876</v>
      </c>
      <c r="E43" s="2"/>
      <c r="F43" s="2"/>
      <c r="G43" s="2"/>
      <c r="H43" s="2"/>
      <c r="I43" s="2"/>
      <c r="J43" s="2"/>
    </row>
    <row r="44" spans="1:10" ht="15" x14ac:dyDescent="0.4">
      <c r="A44" s="214" t="s">
        <v>1374</v>
      </c>
      <c r="B44" s="2">
        <f>+D20+D32</f>
        <v>378750</v>
      </c>
      <c r="C44" s="14">
        <v>0.11169999999999999</v>
      </c>
      <c r="D44" s="11">
        <f>ROUND(B44*C44,0)</f>
        <v>42306</v>
      </c>
      <c r="E44" s="2"/>
      <c r="F44" s="2"/>
      <c r="G44" s="2"/>
      <c r="H44" s="2"/>
      <c r="I44" s="2"/>
      <c r="J44" s="2"/>
    </row>
    <row r="45" spans="1:10" x14ac:dyDescent="0.25">
      <c r="A45" s="214" t="s">
        <v>1247</v>
      </c>
      <c r="D45" s="2">
        <f>SUM(D43:D44)</f>
        <v>49182</v>
      </c>
      <c r="E45" s="2"/>
      <c r="F45" s="2"/>
      <c r="G45" s="2"/>
      <c r="H45" s="2"/>
      <c r="I45" s="2"/>
      <c r="J45" s="2"/>
    </row>
    <row r="46" spans="1:10" x14ac:dyDescent="0.25">
      <c r="D46" s="2"/>
      <c r="E46" s="2"/>
      <c r="F46" s="2"/>
      <c r="G46" s="2"/>
      <c r="H46" s="2"/>
      <c r="I46" s="2"/>
      <c r="J46" s="2"/>
    </row>
    <row r="47" spans="1:10" ht="13.8" x14ac:dyDescent="0.3">
      <c r="A47" s="215" t="s">
        <v>1126</v>
      </c>
      <c r="D47" s="2"/>
      <c r="E47" s="2">
        <v>120878.26</v>
      </c>
      <c r="F47" s="2">
        <v>152000</v>
      </c>
      <c r="G47" s="2">
        <v>154600</v>
      </c>
      <c r="H47" s="2">
        <v>156275</v>
      </c>
      <c r="I47" s="2">
        <v>156275</v>
      </c>
      <c r="J47" s="2">
        <v>155334</v>
      </c>
    </row>
    <row r="48" spans="1:10" x14ac:dyDescent="0.25">
      <c r="A48" s="214" t="s">
        <v>1814</v>
      </c>
      <c r="B48" s="2">
        <v>1</v>
      </c>
      <c r="C48" s="2">
        <v>22159</v>
      </c>
      <c r="D48" s="2">
        <f>ROUND(B48*C48,0)</f>
        <v>22159</v>
      </c>
      <c r="E48" s="2"/>
      <c r="F48" s="2"/>
      <c r="G48" s="2"/>
      <c r="H48" s="2"/>
      <c r="I48" s="2"/>
      <c r="J48" s="2"/>
    </row>
    <row r="49" spans="1:10" ht="15" x14ac:dyDescent="0.4">
      <c r="A49" s="214" t="s">
        <v>1815</v>
      </c>
      <c r="B49" s="2">
        <v>7</v>
      </c>
      <c r="C49" s="2">
        <v>19025</v>
      </c>
      <c r="D49" s="11">
        <f>ROUND(B49*C49,0)</f>
        <v>133175</v>
      </c>
      <c r="E49" s="2"/>
      <c r="F49" s="2"/>
      <c r="G49" s="2"/>
      <c r="H49" s="2"/>
      <c r="I49" s="2"/>
      <c r="J49" s="2"/>
    </row>
    <row r="50" spans="1:10" x14ac:dyDescent="0.25">
      <c r="A50" s="214" t="s">
        <v>801</v>
      </c>
      <c r="B50" s="2"/>
      <c r="C50" s="2"/>
      <c r="D50" s="2">
        <f>SUM(D48:D49)</f>
        <v>155334</v>
      </c>
      <c r="E50" s="2"/>
      <c r="F50" s="2"/>
      <c r="G50" s="2"/>
      <c r="H50" s="2"/>
      <c r="I50" s="2"/>
      <c r="J50" s="2"/>
    </row>
    <row r="51" spans="1:10" x14ac:dyDescent="0.25">
      <c r="D51" s="2"/>
      <c r="E51" s="2"/>
      <c r="F51" s="2"/>
      <c r="G51" s="2"/>
      <c r="H51" s="2"/>
      <c r="I51" s="2"/>
      <c r="J51" s="2"/>
    </row>
    <row r="52" spans="1:10" ht="13.8" x14ac:dyDescent="0.3">
      <c r="A52" s="215" t="s">
        <v>193</v>
      </c>
      <c r="D52" s="2"/>
      <c r="E52" s="2">
        <v>7728.47</v>
      </c>
      <c r="F52" s="2">
        <v>9490</v>
      </c>
      <c r="G52" s="2">
        <v>9746</v>
      </c>
      <c r="H52" s="2">
        <v>9855</v>
      </c>
      <c r="I52" s="2">
        <v>9855</v>
      </c>
      <c r="J52" s="2">
        <v>9855</v>
      </c>
    </row>
    <row r="53" spans="1:10" x14ac:dyDescent="0.25">
      <c r="A53" s="214" t="s">
        <v>298</v>
      </c>
      <c r="B53" s="2">
        <v>1</v>
      </c>
      <c r="C53" s="2">
        <v>1350</v>
      </c>
      <c r="D53" s="2">
        <f>ROUND(B53*C53,0)</f>
        <v>1350</v>
      </c>
      <c r="E53" s="2"/>
      <c r="F53" s="2"/>
      <c r="G53" s="2"/>
      <c r="H53" s="2"/>
      <c r="I53" s="2"/>
      <c r="J53" s="2"/>
    </row>
    <row r="54" spans="1:10" x14ac:dyDescent="0.25">
      <c r="A54" s="214" t="s">
        <v>605</v>
      </c>
      <c r="B54" s="2">
        <v>7</v>
      </c>
      <c r="C54" s="2">
        <v>1350</v>
      </c>
      <c r="D54" s="2">
        <f>ROUND(B54*C54,0)</f>
        <v>9450</v>
      </c>
      <c r="E54" s="2"/>
      <c r="F54" s="2"/>
      <c r="G54" s="2"/>
      <c r="H54" s="2"/>
      <c r="I54" s="2"/>
      <c r="J54" s="2"/>
    </row>
    <row r="55" spans="1:10" x14ac:dyDescent="0.25">
      <c r="A55" s="214" t="s">
        <v>606</v>
      </c>
      <c r="B55" s="2"/>
      <c r="C55" s="2"/>
      <c r="D55" s="18">
        <f>+C54*-0.1*7</f>
        <v>-945</v>
      </c>
      <c r="E55" s="2"/>
      <c r="F55" s="2"/>
      <c r="G55" s="2"/>
      <c r="H55" s="2"/>
      <c r="I55" s="2"/>
      <c r="J55" s="2"/>
    </row>
    <row r="56" spans="1:10" x14ac:dyDescent="0.25">
      <c r="A56" s="214" t="s">
        <v>801</v>
      </c>
      <c r="B56" s="2"/>
      <c r="C56" s="2"/>
      <c r="D56" s="2">
        <f>SUM(D53:D55)</f>
        <v>9855</v>
      </c>
      <c r="E56" s="2"/>
      <c r="F56" s="2"/>
      <c r="G56" s="2"/>
      <c r="H56" s="2"/>
      <c r="I56" s="2"/>
      <c r="J56" s="2"/>
    </row>
    <row r="57" spans="1:10" x14ac:dyDescent="0.25">
      <c r="D57" s="2"/>
      <c r="E57" s="2"/>
      <c r="F57" s="2"/>
      <c r="G57" s="2"/>
      <c r="H57" s="2"/>
      <c r="I57" s="2"/>
      <c r="J57" s="2"/>
    </row>
    <row r="58" spans="1:10" ht="13.8" x14ac:dyDescent="0.3">
      <c r="A58" s="215" t="s">
        <v>194</v>
      </c>
      <c r="D58" s="2"/>
      <c r="E58" s="2">
        <v>772.42</v>
      </c>
      <c r="F58" s="2">
        <v>1080</v>
      </c>
      <c r="G58" s="2">
        <v>1080</v>
      </c>
      <c r="H58" s="2">
        <v>1080</v>
      </c>
      <c r="I58" s="2">
        <v>1080</v>
      </c>
      <c r="J58" s="2">
        <v>1080</v>
      </c>
    </row>
    <row r="59" spans="1:10" x14ac:dyDescent="0.25">
      <c r="A59" s="13" t="s">
        <v>1468</v>
      </c>
      <c r="B59" s="2">
        <v>1</v>
      </c>
      <c r="C59" s="2">
        <v>135</v>
      </c>
      <c r="D59" s="2">
        <f>ROUND(B59*C59,0)</f>
        <v>135</v>
      </c>
      <c r="E59" s="2"/>
      <c r="F59" s="2"/>
      <c r="G59" s="2"/>
      <c r="H59" s="2"/>
      <c r="I59" s="2"/>
      <c r="J59" s="2"/>
    </row>
    <row r="60" spans="1:10" ht="15" x14ac:dyDescent="0.4">
      <c r="A60" s="13" t="s">
        <v>807</v>
      </c>
      <c r="B60" s="2">
        <v>7</v>
      </c>
      <c r="C60" s="2">
        <v>135</v>
      </c>
      <c r="D60" s="11">
        <f>ROUND(B60*C60,0)</f>
        <v>945</v>
      </c>
      <c r="E60" s="2"/>
      <c r="F60" s="2"/>
      <c r="G60" s="2"/>
      <c r="H60" s="2"/>
      <c r="I60" s="2"/>
      <c r="J60" s="2"/>
    </row>
    <row r="61" spans="1:10" x14ac:dyDescent="0.25">
      <c r="A61" s="214" t="s">
        <v>1247</v>
      </c>
      <c r="B61" s="2"/>
      <c r="C61" s="2"/>
      <c r="D61" s="2">
        <f>SUM(D59:D60)</f>
        <v>1080</v>
      </c>
      <c r="E61" s="2"/>
      <c r="F61" s="2"/>
      <c r="G61" s="2"/>
      <c r="H61" s="2"/>
      <c r="I61" s="2"/>
      <c r="J61" s="2"/>
    </row>
    <row r="62" spans="1:10" x14ac:dyDescent="0.25">
      <c r="D62" s="2"/>
      <c r="E62" s="2"/>
      <c r="F62" s="2"/>
      <c r="G62" s="2"/>
      <c r="H62" s="2"/>
      <c r="I62" s="2"/>
      <c r="J62" s="2"/>
    </row>
    <row r="63" spans="1:10" ht="13.8" x14ac:dyDescent="0.3">
      <c r="A63" s="215" t="s">
        <v>195</v>
      </c>
      <c r="D63" s="2"/>
      <c r="E63" s="2">
        <v>3312.97</v>
      </c>
      <c r="F63" s="2">
        <v>5040</v>
      </c>
      <c r="G63" s="2">
        <v>4800</v>
      </c>
      <c r="H63" s="2">
        <v>4800</v>
      </c>
      <c r="I63" s="2">
        <v>4800</v>
      </c>
      <c r="J63" s="2">
        <v>4800</v>
      </c>
    </row>
    <row r="64" spans="1:10" x14ac:dyDescent="0.25">
      <c r="A64" s="13" t="s">
        <v>1468</v>
      </c>
      <c r="B64" s="2">
        <v>1</v>
      </c>
      <c r="C64" s="2">
        <v>600</v>
      </c>
      <c r="D64" s="2">
        <f>ROUND(B64*C64,0)</f>
        <v>600</v>
      </c>
      <c r="E64" s="2"/>
      <c r="F64" s="2"/>
      <c r="G64" s="2"/>
      <c r="H64" s="2"/>
      <c r="I64" s="2"/>
      <c r="J64" s="2"/>
    </row>
    <row r="65" spans="1:10" ht="15" x14ac:dyDescent="0.4">
      <c r="A65" s="13" t="s">
        <v>807</v>
      </c>
      <c r="B65" s="2">
        <v>7</v>
      </c>
      <c r="C65" s="2">
        <v>600</v>
      </c>
      <c r="D65" s="11">
        <f>ROUND(B65*C65,0)</f>
        <v>4200</v>
      </c>
      <c r="E65" s="2"/>
      <c r="F65" s="2"/>
      <c r="G65" s="2"/>
      <c r="H65" s="2"/>
      <c r="I65" s="2"/>
      <c r="J65" s="2"/>
    </row>
    <row r="66" spans="1:10" x14ac:dyDescent="0.25">
      <c r="A66" s="214" t="s">
        <v>1247</v>
      </c>
      <c r="B66" s="2"/>
      <c r="C66" s="2"/>
      <c r="D66" s="2">
        <f>SUM(D64:D65)</f>
        <v>4800</v>
      </c>
      <c r="E66" s="2"/>
      <c r="F66" s="2"/>
      <c r="G66" s="2"/>
      <c r="H66" s="2"/>
      <c r="I66" s="2"/>
      <c r="J66" s="2"/>
    </row>
    <row r="67" spans="1:10" x14ac:dyDescent="0.25">
      <c r="E67" s="2"/>
      <c r="F67" s="2"/>
      <c r="G67" s="2"/>
      <c r="H67" s="2"/>
      <c r="I67" s="2"/>
      <c r="J67" s="2"/>
    </row>
    <row r="68" spans="1:10" ht="13.8" x14ac:dyDescent="0.3">
      <c r="A68" s="215" t="s">
        <v>196</v>
      </c>
      <c r="B68" s="211"/>
      <c r="E68" s="2">
        <v>579.59</v>
      </c>
      <c r="F68" s="2">
        <v>750</v>
      </c>
      <c r="G68" s="2">
        <v>703</v>
      </c>
      <c r="H68" s="2">
        <v>703</v>
      </c>
      <c r="I68" s="2">
        <v>703</v>
      </c>
      <c r="J68" s="2">
        <v>715</v>
      </c>
    </row>
    <row r="69" spans="1:10" x14ac:dyDescent="0.25">
      <c r="A69" s="13" t="s">
        <v>1468</v>
      </c>
      <c r="B69" s="2">
        <f>+B35</f>
        <v>57876</v>
      </c>
      <c r="C69" s="14">
        <v>1.5E-3</v>
      </c>
      <c r="D69" s="2">
        <f>ROUND(B69*C69,0)</f>
        <v>87</v>
      </c>
      <c r="E69" s="2"/>
      <c r="F69" s="2"/>
      <c r="G69" s="2"/>
      <c r="H69" s="2"/>
      <c r="I69" s="2"/>
      <c r="J69" s="2"/>
    </row>
    <row r="70" spans="1:10" x14ac:dyDescent="0.25">
      <c r="A70" s="13" t="s">
        <v>807</v>
      </c>
      <c r="B70" s="2">
        <f>+D20</f>
        <v>357555</v>
      </c>
      <c r="C70" s="14">
        <v>1.5E-3</v>
      </c>
      <c r="D70" s="2">
        <f>ROUND(B70*C70,0)</f>
        <v>536</v>
      </c>
      <c r="E70" s="2"/>
      <c r="F70" s="2"/>
      <c r="G70" s="2"/>
      <c r="H70" s="2"/>
      <c r="I70" s="2"/>
      <c r="J70" s="2"/>
    </row>
    <row r="71" spans="1:10" x14ac:dyDescent="0.25">
      <c r="A71" s="13" t="s">
        <v>1982</v>
      </c>
      <c r="B71" s="2">
        <f>+D23</f>
        <v>3682</v>
      </c>
      <c r="C71" s="14">
        <v>1.5E-3</v>
      </c>
      <c r="D71" s="2">
        <f>ROUND(B71*C71,0)</f>
        <v>6</v>
      </c>
      <c r="F71" s="2"/>
      <c r="G71" s="2"/>
      <c r="H71" s="2"/>
      <c r="I71" s="2"/>
      <c r="J71" s="2"/>
    </row>
    <row r="72" spans="1:10" x14ac:dyDescent="0.25">
      <c r="A72" s="13" t="s">
        <v>184</v>
      </c>
      <c r="B72" s="2">
        <f>+D28</f>
        <v>34766</v>
      </c>
      <c r="C72" s="14">
        <v>1.5E-3</v>
      </c>
      <c r="D72" s="2">
        <f>ROUND(B72*C72,0)</f>
        <v>52</v>
      </c>
      <c r="E72" s="2"/>
      <c r="F72" s="2"/>
      <c r="G72" s="2"/>
      <c r="H72" s="2"/>
      <c r="I72" s="2"/>
      <c r="J72" s="2"/>
    </row>
    <row r="73" spans="1:10" ht="15" x14ac:dyDescent="0.4">
      <c r="A73" s="13" t="s">
        <v>1983</v>
      </c>
      <c r="B73" s="2">
        <f>ROUND(D32,0)</f>
        <v>21195</v>
      </c>
      <c r="C73" s="14">
        <v>1.5E-3</v>
      </c>
      <c r="D73" s="11">
        <f>ROUND(B73*C73,0)</f>
        <v>32</v>
      </c>
      <c r="E73" s="2"/>
      <c r="F73" s="2"/>
      <c r="G73" s="2"/>
      <c r="H73" s="2"/>
      <c r="I73" s="2"/>
      <c r="J73" s="2"/>
    </row>
    <row r="74" spans="1:10" x14ac:dyDescent="0.25">
      <c r="A74" s="214" t="s">
        <v>1247</v>
      </c>
      <c r="D74" s="2">
        <f>SUM(D69:D73)+2</f>
        <v>715</v>
      </c>
      <c r="E74" s="2"/>
      <c r="F74" s="2"/>
      <c r="G74" s="2"/>
      <c r="H74" s="2"/>
      <c r="I74" s="2"/>
      <c r="J74" s="2"/>
    </row>
    <row r="75" spans="1:10" x14ac:dyDescent="0.25">
      <c r="E75" s="2"/>
      <c r="F75" s="2"/>
      <c r="G75" s="2"/>
      <c r="H75" s="2"/>
      <c r="I75" s="2"/>
      <c r="J75" s="2"/>
    </row>
    <row r="76" spans="1:10" ht="13.8" x14ac:dyDescent="0.3">
      <c r="A76" s="215" t="s">
        <v>1349</v>
      </c>
      <c r="D76" s="2"/>
      <c r="E76" s="2">
        <v>237.76</v>
      </c>
      <c r="F76" s="2">
        <v>233</v>
      </c>
      <c r="G76" s="2">
        <v>233</v>
      </c>
      <c r="H76" s="2">
        <v>233</v>
      </c>
      <c r="I76" s="2">
        <v>233</v>
      </c>
      <c r="J76" s="2">
        <v>233</v>
      </c>
    </row>
    <row r="77" spans="1:10" x14ac:dyDescent="0.25">
      <c r="A77" s="13" t="s">
        <v>1468</v>
      </c>
      <c r="B77" s="2">
        <v>1</v>
      </c>
      <c r="C77" s="2">
        <v>26</v>
      </c>
      <c r="D77" s="2">
        <f>ROUND(B77*C77,0)</f>
        <v>26</v>
      </c>
      <c r="E77" s="2"/>
      <c r="F77" s="2"/>
      <c r="G77" s="2"/>
      <c r="H77" s="2"/>
      <c r="I77" s="2"/>
      <c r="J77" s="2"/>
    </row>
    <row r="78" spans="1:10" x14ac:dyDescent="0.25">
      <c r="A78" s="13" t="s">
        <v>807</v>
      </c>
      <c r="B78" s="2">
        <v>7</v>
      </c>
      <c r="C78" s="2">
        <v>26</v>
      </c>
      <c r="D78" s="2">
        <f>ROUND(B78*C78,0)</f>
        <v>182</v>
      </c>
      <c r="E78" s="2"/>
      <c r="F78" s="2"/>
      <c r="G78" s="2"/>
      <c r="H78" s="2"/>
      <c r="I78" s="2"/>
      <c r="J78" s="2"/>
    </row>
    <row r="79" spans="1:10" ht="15" x14ac:dyDescent="0.4">
      <c r="A79" s="13" t="s">
        <v>184</v>
      </c>
      <c r="B79" s="2">
        <f>+D26</f>
        <v>13800</v>
      </c>
      <c r="C79" s="14">
        <v>1.8E-3</v>
      </c>
      <c r="D79" s="11">
        <f>ROUND(B79*C79,0)</f>
        <v>25</v>
      </c>
      <c r="E79" s="2"/>
      <c r="F79" s="2"/>
      <c r="G79" s="2"/>
      <c r="H79" s="2"/>
      <c r="I79" s="2"/>
      <c r="J79" s="2"/>
    </row>
    <row r="80" spans="1:10" x14ac:dyDescent="0.25">
      <c r="A80" s="214" t="s">
        <v>1247</v>
      </c>
      <c r="D80" s="2">
        <f>SUM(D77:D79)</f>
        <v>233</v>
      </c>
      <c r="E80" s="2"/>
      <c r="F80" s="2"/>
      <c r="G80" s="2"/>
      <c r="H80" s="2"/>
      <c r="I80" s="2"/>
      <c r="J80" s="2"/>
    </row>
    <row r="81" spans="1:10" x14ac:dyDescent="0.25">
      <c r="D81" s="2"/>
      <c r="E81" s="2"/>
      <c r="F81" s="2"/>
      <c r="G81" s="2"/>
      <c r="H81" s="2"/>
      <c r="I81" s="2"/>
      <c r="J81" s="2"/>
    </row>
    <row r="82" spans="1:10" ht="13.8" x14ac:dyDescent="0.3">
      <c r="A82" s="241" t="s">
        <v>1350</v>
      </c>
      <c r="B82" s="239"/>
      <c r="C82" s="239"/>
      <c r="D82" s="2"/>
      <c r="E82" s="2">
        <v>1504.14</v>
      </c>
      <c r="F82" s="2">
        <v>4000</v>
      </c>
      <c r="G82" s="2">
        <v>4000</v>
      </c>
      <c r="H82" s="2">
        <v>4000</v>
      </c>
      <c r="I82" s="2">
        <v>4000</v>
      </c>
      <c r="J82" s="2">
        <v>4000</v>
      </c>
    </row>
    <row r="83" spans="1:10" ht="15" x14ac:dyDescent="0.4">
      <c r="A83" s="239" t="s">
        <v>786</v>
      </c>
      <c r="B83" s="239"/>
      <c r="C83" s="2"/>
      <c r="D83" s="11">
        <v>4000</v>
      </c>
      <c r="E83" s="2"/>
      <c r="F83" s="2"/>
      <c r="G83" s="2"/>
      <c r="H83" s="2"/>
      <c r="I83" s="2"/>
      <c r="J83" s="2"/>
    </row>
    <row r="84" spans="1:10" x14ac:dyDescent="0.25">
      <c r="A84" s="239"/>
      <c r="B84" s="239"/>
      <c r="C84" s="2"/>
      <c r="D84" s="2">
        <v>4000</v>
      </c>
      <c r="E84" s="2"/>
      <c r="F84" s="2"/>
      <c r="G84" s="2"/>
      <c r="H84" s="2"/>
      <c r="I84" s="2"/>
      <c r="J84" s="2"/>
    </row>
    <row r="85" spans="1:10" ht="13.8" x14ac:dyDescent="0.3">
      <c r="A85" s="241" t="s">
        <v>787</v>
      </c>
      <c r="B85" s="239"/>
      <c r="C85" s="2"/>
      <c r="D85" s="2"/>
      <c r="E85" s="2">
        <v>0</v>
      </c>
      <c r="F85" s="2">
        <v>500</v>
      </c>
      <c r="G85" s="2">
        <v>3500</v>
      </c>
      <c r="H85" s="2">
        <v>3500</v>
      </c>
      <c r="I85" s="2">
        <v>3500</v>
      </c>
      <c r="J85" s="2">
        <v>3500</v>
      </c>
    </row>
    <row r="86" spans="1:10" x14ac:dyDescent="0.25">
      <c r="A86" s="239" t="s">
        <v>1378</v>
      </c>
      <c r="B86" s="239"/>
      <c r="C86" s="2"/>
      <c r="D86" s="2">
        <v>3500</v>
      </c>
      <c r="E86" s="2"/>
      <c r="F86" s="2"/>
      <c r="G86" s="2"/>
      <c r="H86" s="2"/>
      <c r="I86" s="2"/>
      <c r="J86" s="2"/>
    </row>
    <row r="87" spans="1:10" x14ac:dyDescent="0.25">
      <c r="A87" s="239" t="s">
        <v>396</v>
      </c>
      <c r="B87" s="239"/>
      <c r="C87" s="2" t="s">
        <v>396</v>
      </c>
      <c r="D87" s="2" t="s">
        <v>396</v>
      </c>
      <c r="E87" s="2"/>
      <c r="F87" s="2"/>
      <c r="G87" s="2"/>
      <c r="H87" s="2"/>
      <c r="I87" s="2"/>
      <c r="J87" s="2"/>
    </row>
    <row r="88" spans="1:10" ht="13.8" x14ac:dyDescent="0.3">
      <c r="A88" s="241" t="s">
        <v>1379</v>
      </c>
      <c r="B88" s="239"/>
      <c r="C88" s="2" t="s">
        <v>396</v>
      </c>
      <c r="D88" s="2" t="s">
        <v>396</v>
      </c>
      <c r="E88" s="2">
        <v>3233.52</v>
      </c>
      <c r="F88" s="2">
        <v>3300</v>
      </c>
      <c r="G88" s="2">
        <v>3300</v>
      </c>
      <c r="H88" s="2">
        <v>3300</v>
      </c>
      <c r="I88" s="2">
        <v>3300</v>
      </c>
      <c r="J88" s="2">
        <v>3300</v>
      </c>
    </row>
    <row r="89" spans="1:10" x14ac:dyDescent="0.25">
      <c r="A89" s="239" t="s">
        <v>212</v>
      </c>
      <c r="B89" s="2">
        <v>7</v>
      </c>
      <c r="C89" s="2">
        <v>400</v>
      </c>
      <c r="D89" s="2">
        <f>ROUND(B89*C89,0)</f>
        <v>2800</v>
      </c>
      <c r="E89" s="2"/>
      <c r="F89" s="2"/>
      <c r="G89" s="2"/>
      <c r="H89" s="2"/>
      <c r="I89" s="2"/>
      <c r="J89" s="2"/>
    </row>
    <row r="90" spans="1:10" ht="15" x14ac:dyDescent="0.4">
      <c r="A90" s="239" t="s">
        <v>220</v>
      </c>
      <c r="B90" s="2">
        <v>1</v>
      </c>
      <c r="C90" s="11">
        <v>500</v>
      </c>
      <c r="D90" s="11">
        <f>ROUND(B90*C90,0)</f>
        <v>500</v>
      </c>
      <c r="E90" s="2"/>
      <c r="F90" s="2"/>
      <c r="G90" s="2"/>
      <c r="H90" s="2"/>
      <c r="I90" s="2"/>
      <c r="J90" s="2"/>
    </row>
    <row r="91" spans="1:10" x14ac:dyDescent="0.25">
      <c r="A91" s="239" t="s">
        <v>1247</v>
      </c>
      <c r="B91" s="239"/>
      <c r="C91" s="2">
        <f>SUM(C89:C90)</f>
        <v>900</v>
      </c>
      <c r="D91" s="2">
        <f>SUM(D89:D90)</f>
        <v>3300</v>
      </c>
      <c r="E91" s="2"/>
      <c r="F91" s="2"/>
      <c r="G91" s="2"/>
      <c r="H91" s="2"/>
      <c r="I91" s="2"/>
      <c r="J91" s="2"/>
    </row>
    <row r="92" spans="1:10" x14ac:dyDescent="0.25">
      <c r="A92" s="239"/>
      <c r="B92" s="239"/>
      <c r="C92" s="2"/>
      <c r="D92" s="2"/>
      <c r="E92" s="2"/>
      <c r="F92" s="2"/>
      <c r="G92" s="2"/>
      <c r="H92" s="2"/>
      <c r="I92" s="2"/>
      <c r="J92" s="2"/>
    </row>
    <row r="93" spans="1:10" ht="13.8" x14ac:dyDescent="0.3">
      <c r="A93" s="241" t="s">
        <v>221</v>
      </c>
      <c r="B93" s="239"/>
      <c r="C93" s="2"/>
      <c r="D93" s="2"/>
      <c r="E93" s="2">
        <v>0</v>
      </c>
      <c r="F93" s="2">
        <v>270</v>
      </c>
      <c r="G93" s="2">
        <v>270</v>
      </c>
      <c r="H93" s="2">
        <v>270</v>
      </c>
      <c r="I93" s="2">
        <v>270</v>
      </c>
      <c r="J93" s="2">
        <v>270</v>
      </c>
    </row>
    <row r="94" spans="1:10" x14ac:dyDescent="0.25">
      <c r="A94" s="239" t="s">
        <v>1125</v>
      </c>
      <c r="B94" s="239"/>
      <c r="C94" s="2"/>
      <c r="D94" s="2">
        <v>270</v>
      </c>
      <c r="E94" s="2"/>
      <c r="F94" s="2"/>
      <c r="G94" s="2"/>
      <c r="H94" s="2"/>
      <c r="I94" s="2"/>
      <c r="J94" s="2"/>
    </row>
    <row r="95" spans="1:10" x14ac:dyDescent="0.25">
      <c r="A95" s="239"/>
      <c r="B95" s="239"/>
      <c r="C95" s="2"/>
      <c r="D95" s="2"/>
      <c r="E95" s="2"/>
      <c r="F95" s="2"/>
      <c r="G95" s="2"/>
      <c r="H95" s="2"/>
      <c r="I95" s="2"/>
      <c r="J95" s="2"/>
    </row>
    <row r="96" spans="1:10" ht="13.8" x14ac:dyDescent="0.3">
      <c r="A96" s="241" t="s">
        <v>829</v>
      </c>
      <c r="B96" s="239"/>
      <c r="C96" s="2"/>
      <c r="D96" s="2"/>
      <c r="E96" s="2">
        <v>28675.19</v>
      </c>
      <c r="F96" s="2">
        <v>26640</v>
      </c>
      <c r="G96" s="2">
        <v>28960</v>
      </c>
      <c r="H96" s="2">
        <v>28960</v>
      </c>
      <c r="I96" s="2">
        <v>28960</v>
      </c>
      <c r="J96" s="2">
        <v>28960</v>
      </c>
    </row>
    <row r="97" spans="1:10" x14ac:dyDescent="0.25">
      <c r="A97" s="239" t="s">
        <v>959</v>
      </c>
      <c r="B97" s="239"/>
      <c r="C97" s="239"/>
      <c r="D97" s="2">
        <f>850+3500</f>
        <v>4350</v>
      </c>
      <c r="E97" s="239"/>
      <c r="F97" s="2"/>
      <c r="G97" s="2"/>
      <c r="H97" s="2"/>
      <c r="I97" s="2"/>
      <c r="J97" s="2"/>
    </row>
    <row r="98" spans="1:10" x14ac:dyDescent="0.25">
      <c r="A98" s="239" t="s">
        <v>2220</v>
      </c>
      <c r="B98" s="239"/>
      <c r="C98" s="2"/>
      <c r="D98" s="2">
        <v>5600</v>
      </c>
      <c r="E98" s="239"/>
      <c r="F98" s="2"/>
      <c r="G98" s="2"/>
      <c r="H98" s="2"/>
      <c r="I98" s="2"/>
      <c r="J98" s="2"/>
    </row>
    <row r="99" spans="1:10" s="229" customFormat="1" x14ac:dyDescent="0.25">
      <c r="A99" s="239" t="s">
        <v>2142</v>
      </c>
      <c r="B99" s="239"/>
      <c r="C99" s="2"/>
      <c r="D99" s="2">
        <v>4320</v>
      </c>
      <c r="E99" s="239"/>
      <c r="F99" s="2"/>
      <c r="G99" s="2"/>
      <c r="H99" s="2"/>
      <c r="I99" s="2"/>
      <c r="J99" s="2"/>
    </row>
    <row r="100" spans="1:10" x14ac:dyDescent="0.25">
      <c r="A100" s="239" t="s">
        <v>2039</v>
      </c>
      <c r="B100" s="239"/>
      <c r="C100" s="2"/>
      <c r="D100" s="2">
        <v>3600</v>
      </c>
      <c r="E100" s="239"/>
      <c r="F100" s="2"/>
      <c r="G100" s="2"/>
      <c r="H100" s="2"/>
      <c r="I100" s="2"/>
      <c r="J100" s="2"/>
    </row>
    <row r="101" spans="1:10" x14ac:dyDescent="0.25">
      <c r="A101" s="239" t="s">
        <v>1662</v>
      </c>
      <c r="B101" s="239"/>
      <c r="C101" s="2"/>
      <c r="D101" s="2">
        <v>7180</v>
      </c>
      <c r="E101" s="239"/>
      <c r="F101" s="2"/>
      <c r="G101" s="2"/>
      <c r="H101" s="2"/>
      <c r="I101" s="2"/>
      <c r="J101" s="2"/>
    </row>
    <row r="102" spans="1:10" ht="15" x14ac:dyDescent="0.4">
      <c r="A102" s="239" t="s">
        <v>1850</v>
      </c>
      <c r="B102" s="239"/>
      <c r="C102" s="239"/>
      <c r="D102" s="11">
        <v>3910</v>
      </c>
      <c r="E102" s="239"/>
      <c r="F102" s="2"/>
      <c r="G102" s="2"/>
      <c r="H102" s="2"/>
      <c r="I102" s="2"/>
      <c r="J102" s="2"/>
    </row>
    <row r="103" spans="1:10" x14ac:dyDescent="0.25">
      <c r="A103" s="239" t="s">
        <v>1247</v>
      </c>
      <c r="B103" s="239"/>
      <c r="C103" s="2"/>
      <c r="D103" s="2">
        <f>SUM(D97:D102)</f>
        <v>28960</v>
      </c>
      <c r="E103" s="239"/>
      <c r="F103" s="2"/>
      <c r="G103" s="2"/>
      <c r="H103" s="2"/>
      <c r="I103" s="2"/>
      <c r="J103" s="2"/>
    </row>
    <row r="104" spans="1:10" x14ac:dyDescent="0.25">
      <c r="A104" s="239"/>
      <c r="B104" s="239"/>
      <c r="C104" s="2"/>
      <c r="D104" s="2"/>
      <c r="E104" s="2"/>
      <c r="F104" s="2"/>
      <c r="G104" s="2"/>
      <c r="H104" s="2"/>
      <c r="I104" s="2"/>
      <c r="J104" s="2"/>
    </row>
    <row r="105" spans="1:10" ht="13.8" x14ac:dyDescent="0.3">
      <c r="A105" s="17" t="s">
        <v>50</v>
      </c>
      <c r="B105" s="239"/>
      <c r="C105" s="239"/>
      <c r="D105" s="2"/>
      <c r="E105" s="2">
        <v>3922.06</v>
      </c>
      <c r="F105" s="2">
        <v>4260</v>
      </c>
      <c r="G105" s="2">
        <v>4062</v>
      </c>
      <c r="H105" s="2">
        <v>4062</v>
      </c>
      <c r="I105" s="2">
        <v>4062</v>
      </c>
      <c r="J105" s="2">
        <v>4062</v>
      </c>
    </row>
    <row r="106" spans="1:10" x14ac:dyDescent="0.25">
      <c r="A106" s="239" t="s">
        <v>1472</v>
      </c>
      <c r="B106" s="239"/>
      <c r="C106" s="239"/>
      <c r="D106" s="2">
        <v>4062</v>
      </c>
      <c r="E106" s="2"/>
      <c r="F106" s="2"/>
      <c r="G106" s="2"/>
      <c r="H106" s="2"/>
      <c r="I106" s="2"/>
      <c r="J106" s="2"/>
    </row>
    <row r="107" spans="1:10" x14ac:dyDescent="0.25">
      <c r="A107" s="239"/>
      <c r="B107" s="239"/>
      <c r="C107" s="2"/>
      <c r="D107" s="2"/>
      <c r="E107" s="2"/>
      <c r="F107" s="2"/>
      <c r="G107" s="2"/>
      <c r="H107" s="2"/>
      <c r="I107" s="2"/>
      <c r="J107" s="2"/>
    </row>
    <row r="108" spans="1:10" ht="13.8" x14ac:dyDescent="0.3">
      <c r="A108" s="54" t="s">
        <v>1817</v>
      </c>
      <c r="B108" s="239"/>
      <c r="C108" s="2"/>
      <c r="D108" s="2"/>
      <c r="E108" s="2"/>
      <c r="F108" s="2"/>
      <c r="G108" s="2"/>
      <c r="H108" s="2"/>
      <c r="I108" s="2"/>
      <c r="J108" s="2"/>
    </row>
    <row r="109" spans="1:10" x14ac:dyDescent="0.25">
      <c r="A109" s="239"/>
      <c r="B109" s="239"/>
      <c r="C109" s="2"/>
      <c r="D109" s="2"/>
      <c r="E109" s="2"/>
      <c r="F109" s="2"/>
      <c r="G109" s="2"/>
      <c r="H109" s="2"/>
      <c r="I109" s="2"/>
      <c r="J109" s="2"/>
    </row>
    <row r="110" spans="1:10" ht="13.8" x14ac:dyDescent="0.3">
      <c r="A110" s="241" t="s">
        <v>6</v>
      </c>
      <c r="B110" s="239"/>
      <c r="C110" s="2"/>
      <c r="D110" s="8" t="s">
        <v>396</v>
      </c>
      <c r="E110" s="2">
        <v>17890.62</v>
      </c>
      <c r="F110" s="2">
        <v>11845</v>
      </c>
      <c r="G110" s="2">
        <v>25445</v>
      </c>
      <c r="H110" s="2">
        <v>25445</v>
      </c>
      <c r="I110" s="2">
        <v>20945</v>
      </c>
      <c r="J110" s="2">
        <v>20945</v>
      </c>
    </row>
    <row r="111" spans="1:10" x14ac:dyDescent="0.25">
      <c r="A111" s="293" t="s">
        <v>7</v>
      </c>
      <c r="B111" s="293"/>
      <c r="C111" s="292"/>
      <c r="D111" s="292">
        <v>2000</v>
      </c>
      <c r="E111" s="2"/>
      <c r="F111" s="2"/>
      <c r="G111" s="2"/>
      <c r="H111" s="2"/>
      <c r="I111" s="2"/>
      <c r="J111" s="2"/>
    </row>
    <row r="112" spans="1:10" x14ac:dyDescent="0.25">
      <c r="A112" s="239" t="s">
        <v>515</v>
      </c>
      <c r="B112" s="239"/>
      <c r="C112" s="2"/>
      <c r="D112" s="2">
        <v>350</v>
      </c>
      <c r="E112" s="2"/>
      <c r="F112" s="2"/>
      <c r="G112" s="2"/>
      <c r="H112" s="2"/>
      <c r="I112" s="2"/>
      <c r="J112" s="2"/>
    </row>
    <row r="113" spans="1:10" x14ac:dyDescent="0.25">
      <c r="A113" s="239" t="s">
        <v>8</v>
      </c>
      <c r="B113" s="239"/>
      <c r="C113" s="2"/>
      <c r="D113" s="2">
        <v>600</v>
      </c>
      <c r="E113" s="2"/>
      <c r="F113" s="2"/>
      <c r="G113" s="2"/>
      <c r="H113" s="2"/>
      <c r="I113" s="2"/>
      <c r="J113" s="2"/>
    </row>
    <row r="114" spans="1:10" x14ac:dyDescent="0.25">
      <c r="A114" s="239" t="s">
        <v>1732</v>
      </c>
      <c r="B114" s="239"/>
      <c r="C114" s="1"/>
      <c r="D114" s="2">
        <v>3000</v>
      </c>
      <c r="E114" s="1"/>
      <c r="F114" s="1"/>
      <c r="G114" s="1"/>
      <c r="H114" s="1"/>
      <c r="I114" s="1"/>
      <c r="J114" s="1"/>
    </row>
    <row r="115" spans="1:10" s="271" customFormat="1" x14ac:dyDescent="0.25">
      <c r="A115" s="271" t="s">
        <v>2305</v>
      </c>
      <c r="C115" s="1"/>
      <c r="D115" s="2">
        <v>13600</v>
      </c>
      <c r="E115" s="1"/>
      <c r="F115" s="1"/>
      <c r="G115" s="1"/>
      <c r="H115" s="1"/>
      <c r="I115" s="1"/>
      <c r="J115" s="1"/>
    </row>
    <row r="116" spans="1:10" ht="16.8" x14ac:dyDescent="0.55000000000000004">
      <c r="A116" s="239" t="s">
        <v>1851</v>
      </c>
      <c r="B116" s="239"/>
      <c r="C116" s="1"/>
      <c r="D116" s="2">
        <v>600</v>
      </c>
      <c r="E116" s="79"/>
      <c r="F116" s="1"/>
      <c r="G116" s="1"/>
      <c r="H116" s="1"/>
      <c r="I116" s="1"/>
      <c r="J116" s="1"/>
    </row>
    <row r="117" spans="1:10" ht="16.8" x14ac:dyDescent="0.55000000000000004">
      <c r="A117" s="239" t="s">
        <v>1435</v>
      </c>
      <c r="B117" s="239"/>
      <c r="C117" s="79"/>
      <c r="D117" s="11">
        <v>795</v>
      </c>
      <c r="E117" s="2"/>
      <c r="F117" s="79"/>
      <c r="G117" s="79"/>
      <c r="H117" s="79"/>
      <c r="I117" s="79"/>
      <c r="J117" s="79"/>
    </row>
    <row r="118" spans="1:10" x14ac:dyDescent="0.25">
      <c r="A118" s="239" t="s">
        <v>1247</v>
      </c>
      <c r="B118" s="239"/>
      <c r="C118" s="2"/>
      <c r="D118" s="2">
        <f>SUM(D111:D117)</f>
        <v>20945</v>
      </c>
      <c r="E118" s="2"/>
      <c r="F118" s="2"/>
      <c r="G118" s="2"/>
      <c r="H118" s="2"/>
      <c r="I118" s="2"/>
      <c r="J118" s="2"/>
    </row>
    <row r="119" spans="1:10" x14ac:dyDescent="0.25">
      <c r="A119" s="239"/>
      <c r="B119" s="239"/>
      <c r="C119" s="2"/>
      <c r="D119" s="2"/>
      <c r="E119" s="239"/>
      <c r="F119" s="2"/>
      <c r="G119" s="2"/>
      <c r="H119" s="2"/>
      <c r="I119" s="2"/>
      <c r="J119" s="2"/>
    </row>
    <row r="120" spans="1:10" ht="13.8" x14ac:dyDescent="0.3">
      <c r="A120" s="241" t="s">
        <v>9</v>
      </c>
      <c r="B120" s="239"/>
      <c r="C120" s="2"/>
      <c r="D120" s="2"/>
      <c r="E120" s="2">
        <v>6700.67</v>
      </c>
      <c r="F120" s="2">
        <v>8000</v>
      </c>
      <c r="G120" s="2">
        <v>8000</v>
      </c>
      <c r="H120" s="2">
        <v>8000</v>
      </c>
      <c r="I120" s="2">
        <v>8000</v>
      </c>
      <c r="J120" s="2">
        <v>8000</v>
      </c>
    </row>
    <row r="121" spans="1:10" x14ac:dyDescent="0.25">
      <c r="A121" s="239" t="s">
        <v>1037</v>
      </c>
      <c r="B121" s="239"/>
      <c r="C121" s="2"/>
      <c r="D121" s="2">
        <v>8000</v>
      </c>
      <c r="E121" s="2"/>
      <c r="F121" s="2"/>
      <c r="G121" s="2"/>
      <c r="H121" s="2"/>
      <c r="I121" s="2"/>
      <c r="J121" s="2"/>
    </row>
    <row r="122" spans="1:10" x14ac:dyDescent="0.25">
      <c r="A122" s="239"/>
      <c r="B122" s="239"/>
      <c r="C122" s="2"/>
      <c r="D122" s="239"/>
      <c r="E122" s="2"/>
      <c r="F122" s="2"/>
      <c r="G122" s="2"/>
      <c r="H122" s="2"/>
      <c r="I122" s="2"/>
      <c r="J122" s="2"/>
    </row>
    <row r="123" spans="1:10" ht="13.8" x14ac:dyDescent="0.3">
      <c r="A123" s="241" t="s">
        <v>1454</v>
      </c>
      <c r="B123" s="239"/>
      <c r="C123" s="2"/>
      <c r="D123" s="2"/>
      <c r="E123" s="2">
        <v>424.72</v>
      </c>
      <c r="F123" s="2">
        <v>5000</v>
      </c>
      <c r="G123" s="2">
        <v>5000</v>
      </c>
      <c r="H123" s="2">
        <v>5000</v>
      </c>
      <c r="I123" s="2">
        <v>5000</v>
      </c>
      <c r="J123" s="2">
        <v>5000</v>
      </c>
    </row>
    <row r="124" spans="1:10" x14ac:dyDescent="0.25">
      <c r="A124" s="239" t="s">
        <v>1663</v>
      </c>
      <c r="B124" s="239"/>
      <c r="C124" s="2"/>
      <c r="D124" s="2">
        <v>3000</v>
      </c>
      <c r="E124" s="2"/>
      <c r="F124" s="2"/>
      <c r="G124" s="2"/>
      <c r="H124" s="2"/>
      <c r="I124" s="2"/>
      <c r="J124" s="2"/>
    </row>
    <row r="125" spans="1:10" x14ac:dyDescent="0.25">
      <c r="A125" s="239" t="s">
        <v>1808</v>
      </c>
      <c r="B125" s="239"/>
      <c r="C125" s="2"/>
      <c r="D125" s="2">
        <v>1000</v>
      </c>
      <c r="E125" s="2"/>
      <c r="F125" s="2"/>
      <c r="G125" s="2"/>
      <c r="H125" s="2"/>
      <c r="I125" s="2"/>
      <c r="J125" s="2"/>
    </row>
    <row r="126" spans="1:10" ht="15" x14ac:dyDescent="0.4">
      <c r="A126" s="239" t="s">
        <v>1192</v>
      </c>
      <c r="B126" s="239"/>
      <c r="C126" s="11"/>
      <c r="D126" s="11">
        <v>1000</v>
      </c>
      <c r="E126" s="2"/>
      <c r="F126" s="2"/>
      <c r="G126" s="2"/>
      <c r="H126" s="2"/>
      <c r="I126" s="2"/>
      <c r="J126" s="2"/>
    </row>
    <row r="127" spans="1:10" x14ac:dyDescent="0.25">
      <c r="A127" s="239" t="s">
        <v>1247</v>
      </c>
      <c r="B127" s="239"/>
      <c r="C127" s="2"/>
      <c r="D127" s="2">
        <f>SUM(D124:D126)</f>
        <v>5000</v>
      </c>
      <c r="E127" s="2"/>
      <c r="F127" s="2"/>
      <c r="G127" s="2"/>
      <c r="H127" s="2"/>
      <c r="I127" s="2"/>
      <c r="J127" s="2"/>
    </row>
    <row r="128" spans="1:10" x14ac:dyDescent="0.25">
      <c r="A128" s="239"/>
      <c r="B128" s="239"/>
      <c r="C128" s="2"/>
      <c r="D128" s="2"/>
      <c r="E128" s="239"/>
      <c r="F128" s="239"/>
      <c r="G128" s="239"/>
      <c r="H128" s="247"/>
      <c r="I128" s="295"/>
      <c r="J128" s="298"/>
    </row>
    <row r="129" spans="1:10" ht="13.8" x14ac:dyDescent="0.3">
      <c r="A129" s="241" t="s">
        <v>126</v>
      </c>
      <c r="B129" s="239"/>
      <c r="C129" s="2"/>
      <c r="D129" s="2"/>
      <c r="E129" s="2">
        <v>27790.7</v>
      </c>
      <c r="F129" s="2">
        <v>1000</v>
      </c>
      <c r="G129" s="2">
        <v>1000</v>
      </c>
      <c r="H129" s="2">
        <v>1000</v>
      </c>
      <c r="I129" s="2">
        <v>1000</v>
      </c>
      <c r="J129" s="2">
        <v>1000</v>
      </c>
    </row>
    <row r="130" spans="1:10" x14ac:dyDescent="0.25">
      <c r="A130" s="23" t="s">
        <v>1762</v>
      </c>
      <c r="B130" s="239"/>
      <c r="C130" s="2"/>
      <c r="D130" s="2">
        <v>1000</v>
      </c>
      <c r="E130" s="239"/>
      <c r="F130" s="2"/>
      <c r="G130" s="2"/>
      <c r="H130" s="2"/>
      <c r="I130" s="2"/>
      <c r="J130" s="2"/>
    </row>
    <row r="131" spans="1:10" x14ac:dyDescent="0.25">
      <c r="A131" s="23"/>
      <c r="B131" s="239"/>
      <c r="C131" s="2"/>
      <c r="D131" s="2"/>
      <c r="E131" s="2"/>
      <c r="F131" s="2"/>
      <c r="G131" s="2"/>
      <c r="H131" s="2"/>
      <c r="I131" s="2"/>
      <c r="J131" s="2"/>
    </row>
    <row r="132" spans="1:10" x14ac:dyDescent="0.25">
      <c r="A132" s="239"/>
      <c r="B132" s="239"/>
      <c r="C132" s="2"/>
      <c r="D132" s="2"/>
      <c r="E132" s="2"/>
      <c r="F132" s="2"/>
      <c r="G132" s="2"/>
      <c r="H132" s="2"/>
      <c r="I132" s="2"/>
      <c r="J132" s="2"/>
    </row>
    <row r="133" spans="1:10" ht="13.8" x14ac:dyDescent="0.3">
      <c r="A133" s="241" t="s">
        <v>1420</v>
      </c>
      <c r="B133" s="239"/>
      <c r="C133" s="2"/>
      <c r="D133" s="2">
        <v>125000</v>
      </c>
      <c r="E133" s="2">
        <v>185000</v>
      </c>
      <c r="F133" s="2">
        <v>125000</v>
      </c>
      <c r="G133" s="2">
        <v>125000</v>
      </c>
      <c r="H133" s="2">
        <v>125000</v>
      </c>
      <c r="I133" s="2">
        <v>125000</v>
      </c>
      <c r="J133" s="2">
        <v>125000</v>
      </c>
    </row>
    <row r="134" spans="1:10" x14ac:dyDescent="0.25">
      <c r="A134" s="239" t="s">
        <v>551</v>
      </c>
      <c r="B134" s="239"/>
      <c r="C134" s="2"/>
      <c r="D134" s="239"/>
      <c r="E134" s="239"/>
      <c r="F134" s="2"/>
      <c r="G134" s="2"/>
      <c r="H134" s="2"/>
      <c r="I134" s="2"/>
      <c r="J134" s="2"/>
    </row>
    <row r="135" spans="1:10" x14ac:dyDescent="0.25">
      <c r="A135" s="239" t="s">
        <v>396</v>
      </c>
      <c r="B135" s="239"/>
      <c r="C135" s="2"/>
      <c r="D135" s="2"/>
      <c r="E135" s="2"/>
      <c r="F135" s="2"/>
      <c r="G135" s="2"/>
      <c r="H135" s="2"/>
      <c r="I135" s="2"/>
      <c r="J135" s="2"/>
    </row>
    <row r="136" spans="1:10" ht="15" x14ac:dyDescent="0.4">
      <c r="A136" s="54" t="s">
        <v>1518</v>
      </c>
      <c r="B136" s="239"/>
      <c r="C136" s="239"/>
      <c r="D136" s="239"/>
      <c r="E136" s="11">
        <v>506382.44</v>
      </c>
      <c r="F136" s="11">
        <v>0</v>
      </c>
      <c r="G136" s="11">
        <v>0</v>
      </c>
      <c r="H136" s="11">
        <v>0</v>
      </c>
      <c r="I136" s="11">
        <v>0</v>
      </c>
      <c r="J136" s="11">
        <v>0</v>
      </c>
    </row>
    <row r="137" spans="1:10" ht="15" x14ac:dyDescent="0.4">
      <c r="A137" s="54"/>
      <c r="B137" s="240" t="s">
        <v>1794</v>
      </c>
      <c r="C137" s="240" t="s">
        <v>1970</v>
      </c>
      <c r="D137" s="248" t="s">
        <v>2129</v>
      </c>
      <c r="E137" s="11"/>
      <c r="F137" s="11"/>
      <c r="G137" s="11"/>
      <c r="H137" s="11"/>
      <c r="I137" s="11"/>
      <c r="J137" s="11"/>
    </row>
    <row r="138" spans="1:10" x14ac:dyDescent="0.25">
      <c r="A138" s="53" t="s">
        <v>1852</v>
      </c>
      <c r="B138" s="16">
        <v>559000</v>
      </c>
      <c r="C138" s="16">
        <v>0</v>
      </c>
      <c r="D138" s="16">
        <v>0</v>
      </c>
      <c r="E138" s="239"/>
      <c r="F138" s="239"/>
      <c r="G138" s="239"/>
      <c r="H138" s="247"/>
      <c r="I138" s="295"/>
      <c r="J138" s="298"/>
    </row>
    <row r="139" spans="1:10" ht="15" x14ac:dyDescent="0.4">
      <c r="A139" s="44" t="s">
        <v>2301</v>
      </c>
      <c r="B139" s="11">
        <v>0</v>
      </c>
      <c r="C139" s="11">
        <v>0</v>
      </c>
      <c r="D139" s="11">
        <v>0</v>
      </c>
      <c r="E139" s="239"/>
      <c r="F139" s="239"/>
      <c r="G139" s="239"/>
      <c r="H139" s="247"/>
      <c r="I139" s="295"/>
      <c r="J139" s="298"/>
    </row>
    <row r="140" spans="1:10" x14ac:dyDescent="0.25">
      <c r="A140" s="109"/>
      <c r="B140" s="2">
        <f>SUM(B138:B139)</f>
        <v>559000</v>
      </c>
      <c r="C140" s="2">
        <f>SUM(C138:C139)</f>
        <v>0</v>
      </c>
      <c r="D140" s="2">
        <f>SUM(D138:D139)</f>
        <v>0</v>
      </c>
      <c r="E140" s="2"/>
      <c r="F140" s="2"/>
      <c r="G140" s="2"/>
      <c r="H140" s="2"/>
      <c r="I140" s="2"/>
      <c r="J140" s="2"/>
    </row>
    <row r="141" spans="1:10" x14ac:dyDescent="0.25">
      <c r="A141" s="214" t="s">
        <v>1332</v>
      </c>
      <c r="C141" s="2"/>
      <c r="D141" s="2"/>
      <c r="E141" s="2">
        <f t="shared" ref="E141:J141" si="1">SUM(E6:E136)</f>
        <v>1416452.6099999999</v>
      </c>
      <c r="F141" s="2">
        <f t="shared" si="1"/>
        <v>909885</v>
      </c>
      <c r="G141" s="2">
        <f t="shared" si="1"/>
        <v>930301</v>
      </c>
      <c r="H141" s="2">
        <f t="shared" si="1"/>
        <v>932085</v>
      </c>
      <c r="I141" s="2">
        <f t="shared" si="1"/>
        <v>927585</v>
      </c>
      <c r="J141" s="2">
        <f t="shared" si="1"/>
        <v>936654</v>
      </c>
    </row>
    <row r="142" spans="1:10" x14ac:dyDescent="0.25">
      <c r="H142" s="247"/>
      <c r="I142" s="295"/>
      <c r="J142" s="298"/>
    </row>
    <row r="143" spans="1:10" x14ac:dyDescent="0.25">
      <c r="A143" s="214" t="s">
        <v>594</v>
      </c>
      <c r="E143" s="2">
        <f t="shared" ref="E143:J143" si="2">SUM(E6:E76)</f>
        <v>634928.54999999993</v>
      </c>
      <c r="F143" s="2">
        <f t="shared" si="2"/>
        <v>720070</v>
      </c>
      <c r="G143" s="2">
        <f t="shared" si="2"/>
        <v>721764</v>
      </c>
      <c r="H143" s="2">
        <f t="shared" si="2"/>
        <v>723548</v>
      </c>
      <c r="I143" s="2">
        <f t="shared" si="2"/>
        <v>723548</v>
      </c>
      <c r="J143" s="2">
        <f t="shared" si="2"/>
        <v>732617</v>
      </c>
    </row>
    <row r="144" spans="1:10" x14ac:dyDescent="0.25">
      <c r="A144" s="214" t="s">
        <v>957</v>
      </c>
      <c r="E144" s="2">
        <f t="shared" ref="E144:J144" si="3">SUM(E82:E123)</f>
        <v>62350.92</v>
      </c>
      <c r="F144" s="2">
        <f t="shared" si="3"/>
        <v>63815</v>
      </c>
      <c r="G144" s="2">
        <f t="shared" si="3"/>
        <v>82537</v>
      </c>
      <c r="H144" s="2">
        <f t="shared" si="3"/>
        <v>82537</v>
      </c>
      <c r="I144" s="2">
        <f t="shared" si="3"/>
        <v>78037</v>
      </c>
      <c r="J144" s="2">
        <f t="shared" si="3"/>
        <v>78037</v>
      </c>
    </row>
    <row r="145" spans="1:10" ht="15" x14ac:dyDescent="0.4">
      <c r="A145" s="214" t="s">
        <v>958</v>
      </c>
      <c r="E145" s="11">
        <f t="shared" ref="E145:J145" si="4">SUM(E129:E136)</f>
        <v>719173.14</v>
      </c>
      <c r="F145" s="11">
        <f t="shared" si="4"/>
        <v>126000</v>
      </c>
      <c r="G145" s="11">
        <f t="shared" si="4"/>
        <v>126000</v>
      </c>
      <c r="H145" s="11">
        <f t="shared" si="4"/>
        <v>126000</v>
      </c>
      <c r="I145" s="11">
        <f t="shared" si="4"/>
        <v>126000</v>
      </c>
      <c r="J145" s="11">
        <f t="shared" si="4"/>
        <v>126000</v>
      </c>
    </row>
    <row r="146" spans="1:10" x14ac:dyDescent="0.25">
      <c r="A146" s="214" t="s">
        <v>1247</v>
      </c>
      <c r="E146" s="2">
        <f t="shared" ref="E146:J146" si="5">SUM(E143:E145)</f>
        <v>1416452.6099999999</v>
      </c>
      <c r="F146" s="2">
        <f t="shared" si="5"/>
        <v>909885</v>
      </c>
      <c r="G146" s="2">
        <f t="shared" si="5"/>
        <v>930301</v>
      </c>
      <c r="H146" s="2">
        <f t="shared" si="5"/>
        <v>932085</v>
      </c>
      <c r="I146" s="2">
        <f t="shared" si="5"/>
        <v>927585</v>
      </c>
      <c r="J146" s="2">
        <f t="shared" si="5"/>
        <v>936654</v>
      </c>
    </row>
    <row r="147" spans="1:10" x14ac:dyDescent="0.25">
      <c r="G147" s="211"/>
      <c r="H147" s="211"/>
      <c r="I147" s="211"/>
      <c r="J147" s="211"/>
    </row>
    <row r="148" spans="1:10" x14ac:dyDescent="0.25">
      <c r="G148" s="211"/>
      <c r="H148" s="211"/>
      <c r="I148" s="211"/>
      <c r="J148" s="211"/>
    </row>
    <row r="149" spans="1:10" x14ac:dyDescent="0.25">
      <c r="G149" s="211"/>
      <c r="H149" s="211"/>
      <c r="I149" s="211"/>
      <c r="J149" s="211"/>
    </row>
    <row r="150" spans="1:10" x14ac:dyDescent="0.25">
      <c r="G150" s="211"/>
      <c r="H150" s="211"/>
      <c r="I150" s="211"/>
      <c r="J150" s="211"/>
    </row>
    <row r="151" spans="1:10" x14ac:dyDescent="0.25">
      <c r="G151" s="211"/>
      <c r="H151" s="211"/>
      <c r="I151" s="211"/>
      <c r="J151" s="211"/>
    </row>
    <row r="152" spans="1:10" x14ac:dyDescent="0.25">
      <c r="G152" s="211"/>
      <c r="H152" s="211"/>
      <c r="I152" s="211"/>
      <c r="J152" s="211"/>
    </row>
    <row r="153" spans="1:10" x14ac:dyDescent="0.25">
      <c r="G153" s="211"/>
      <c r="H153" s="211"/>
      <c r="I153" s="211"/>
      <c r="J153" s="211"/>
    </row>
    <row r="154" spans="1:10" x14ac:dyDescent="0.25">
      <c r="G154" s="211"/>
      <c r="H154" s="211"/>
      <c r="I154" s="211"/>
      <c r="J154" s="211"/>
    </row>
    <row r="155" spans="1:10" x14ac:dyDescent="0.25">
      <c r="G155" s="211"/>
      <c r="H155" s="211"/>
      <c r="I155" s="211"/>
      <c r="J155" s="211"/>
    </row>
    <row r="156" spans="1:10" x14ac:dyDescent="0.25">
      <c r="G156" s="211"/>
      <c r="H156" s="211"/>
      <c r="I156" s="211"/>
      <c r="J156" s="211"/>
    </row>
    <row r="157" spans="1:10" x14ac:dyDescent="0.25">
      <c r="G157" s="211"/>
      <c r="H157" s="211"/>
      <c r="I157" s="211"/>
      <c r="J157" s="211"/>
    </row>
    <row r="158" spans="1:10" x14ac:dyDescent="0.25">
      <c r="G158" s="211"/>
      <c r="H158" s="211"/>
      <c r="I158" s="211"/>
      <c r="J158" s="211"/>
    </row>
    <row r="159" spans="1:10" x14ac:dyDescent="0.25">
      <c r="G159" s="211"/>
      <c r="H159" s="211"/>
      <c r="I159" s="211"/>
      <c r="J159" s="211"/>
    </row>
    <row r="160" spans="1:10" x14ac:dyDescent="0.25">
      <c r="G160" s="211"/>
      <c r="H160" s="211"/>
      <c r="I160" s="211"/>
      <c r="J160" s="211"/>
    </row>
    <row r="161" spans="7:10" x14ac:dyDescent="0.25">
      <c r="G161" s="211"/>
      <c r="H161" s="211"/>
      <c r="I161" s="211"/>
      <c r="J161" s="211"/>
    </row>
    <row r="162" spans="7:10" x14ac:dyDescent="0.25">
      <c r="G162" s="211"/>
      <c r="H162" s="211"/>
      <c r="I162" s="211"/>
      <c r="J162" s="211"/>
    </row>
    <row r="163" spans="7:10" x14ac:dyDescent="0.25">
      <c r="G163" s="211"/>
      <c r="H163" s="211"/>
      <c r="I163" s="211"/>
      <c r="J163" s="211"/>
    </row>
    <row r="164" spans="7:10" x14ac:dyDescent="0.25">
      <c r="G164" s="211"/>
      <c r="H164" s="211"/>
      <c r="I164" s="211"/>
      <c r="J164" s="211"/>
    </row>
    <row r="165" spans="7:10" x14ac:dyDescent="0.25">
      <c r="G165" s="211"/>
      <c r="H165" s="211"/>
      <c r="I165" s="211"/>
      <c r="J165" s="211"/>
    </row>
    <row r="166" spans="7:10" x14ac:dyDescent="0.25">
      <c r="G166" s="211"/>
      <c r="H166" s="211"/>
      <c r="I166" s="211"/>
      <c r="J166" s="211"/>
    </row>
    <row r="167" spans="7:10" x14ac:dyDescent="0.25">
      <c r="G167" s="211"/>
      <c r="H167" s="211"/>
      <c r="I167" s="211"/>
      <c r="J167" s="211"/>
    </row>
    <row r="168" spans="7:10" x14ac:dyDescent="0.25">
      <c r="G168" s="211"/>
      <c r="H168" s="211"/>
      <c r="I168" s="211"/>
      <c r="J168" s="211"/>
    </row>
    <row r="169" spans="7:10" x14ac:dyDescent="0.25">
      <c r="G169" s="211"/>
      <c r="H169" s="211"/>
      <c r="I169" s="211"/>
      <c r="J169" s="211"/>
    </row>
    <row r="170" spans="7:10" x14ac:dyDescent="0.25">
      <c r="G170" s="211"/>
      <c r="H170" s="211"/>
      <c r="I170" s="211"/>
      <c r="J170" s="211"/>
    </row>
    <row r="171" spans="7:10" x14ac:dyDescent="0.25">
      <c r="G171" s="211"/>
      <c r="H171" s="211"/>
      <c r="I171" s="211"/>
      <c r="J171" s="211"/>
    </row>
    <row r="172" spans="7:10" x14ac:dyDescent="0.25">
      <c r="G172" s="211"/>
      <c r="H172" s="211"/>
      <c r="I172" s="211"/>
      <c r="J172" s="211"/>
    </row>
    <row r="173" spans="7:10" x14ac:dyDescent="0.25">
      <c r="G173" s="211"/>
      <c r="H173" s="211"/>
      <c r="I173" s="211"/>
      <c r="J173" s="211"/>
    </row>
    <row r="174" spans="7:10" x14ac:dyDescent="0.25">
      <c r="G174" s="211"/>
      <c r="H174" s="211"/>
      <c r="I174" s="211"/>
      <c r="J174" s="211"/>
    </row>
    <row r="175" spans="7:10" x14ac:dyDescent="0.25">
      <c r="G175" s="211"/>
      <c r="H175" s="211"/>
      <c r="I175" s="211"/>
      <c r="J175" s="211"/>
    </row>
    <row r="176" spans="7:10" x14ac:dyDescent="0.25">
      <c r="G176" s="211"/>
      <c r="H176" s="211"/>
      <c r="I176" s="211"/>
      <c r="J176" s="211"/>
    </row>
    <row r="177" spans="7:10" x14ac:dyDescent="0.25">
      <c r="G177" s="211"/>
      <c r="H177" s="211"/>
      <c r="I177" s="211"/>
      <c r="J177" s="211"/>
    </row>
    <row r="178" spans="7:10" x14ac:dyDescent="0.25">
      <c r="G178" s="211"/>
      <c r="H178" s="211"/>
      <c r="I178" s="211"/>
      <c r="J178" s="211"/>
    </row>
    <row r="179" spans="7:10" x14ac:dyDescent="0.25">
      <c r="G179" s="211"/>
      <c r="H179" s="211"/>
      <c r="J179" s="298"/>
    </row>
    <row r="180" spans="7:10" x14ac:dyDescent="0.25">
      <c r="G180" s="211"/>
      <c r="H180" s="211"/>
      <c r="J180" s="298"/>
    </row>
    <row r="181" spans="7:10" x14ac:dyDescent="0.25">
      <c r="G181" s="211"/>
      <c r="H181" s="211"/>
      <c r="J181" s="298"/>
    </row>
    <row r="182" spans="7:10" x14ac:dyDescent="0.25">
      <c r="G182" s="211"/>
      <c r="H182" s="211"/>
      <c r="J182" s="298"/>
    </row>
    <row r="183" spans="7:10" x14ac:dyDescent="0.25">
      <c r="H183" s="247"/>
      <c r="J183" s="298"/>
    </row>
    <row r="184" spans="7:10" x14ac:dyDescent="0.25">
      <c r="H184" s="247"/>
      <c r="J184" s="298"/>
    </row>
    <row r="185" spans="7:10" x14ac:dyDescent="0.25">
      <c r="H185" s="247"/>
      <c r="J185" s="298"/>
    </row>
    <row r="186" spans="7:10" x14ac:dyDescent="0.25">
      <c r="H186" s="247"/>
      <c r="J186" s="298"/>
    </row>
    <row r="187" spans="7:10" x14ac:dyDescent="0.25">
      <c r="H187" s="247"/>
      <c r="J187" s="298"/>
    </row>
    <row r="188" spans="7:10" x14ac:dyDescent="0.25">
      <c r="H188" s="247"/>
      <c r="J188" s="298"/>
    </row>
    <row r="189" spans="7:10" x14ac:dyDescent="0.25">
      <c r="H189" s="247"/>
      <c r="J189" s="298"/>
    </row>
    <row r="190" spans="7:10" x14ac:dyDescent="0.25">
      <c r="H190" s="247"/>
      <c r="J190" s="298"/>
    </row>
    <row r="191" spans="7:10" x14ac:dyDescent="0.25">
      <c r="H191" s="247"/>
      <c r="J191" s="298"/>
    </row>
    <row r="192" spans="7:10" x14ac:dyDescent="0.25">
      <c r="H192" s="247"/>
      <c r="J192" s="298"/>
    </row>
    <row r="193" spans="8:10" x14ac:dyDescent="0.25">
      <c r="H193" s="247"/>
      <c r="J193" s="298"/>
    </row>
    <row r="194" spans="8:10" x14ac:dyDescent="0.25">
      <c r="H194" s="247"/>
      <c r="J194" s="298"/>
    </row>
    <row r="195" spans="8:10" x14ac:dyDescent="0.25">
      <c r="H195" s="247"/>
      <c r="J195" s="298"/>
    </row>
    <row r="196" spans="8:10" x14ac:dyDescent="0.25">
      <c r="H196" s="247"/>
      <c r="J196" s="298"/>
    </row>
    <row r="197" spans="8:10" x14ac:dyDescent="0.25">
      <c r="H197" s="247"/>
      <c r="J197" s="298"/>
    </row>
    <row r="198" spans="8:10" x14ac:dyDescent="0.25">
      <c r="H198" s="247"/>
      <c r="J198" s="298"/>
    </row>
    <row r="199" spans="8:10" x14ac:dyDescent="0.25">
      <c r="J199" s="298"/>
    </row>
    <row r="200" spans="8:10" x14ac:dyDescent="0.25">
      <c r="J200" s="298"/>
    </row>
    <row r="201" spans="8:10" x14ac:dyDescent="0.25">
      <c r="J201" s="298"/>
    </row>
    <row r="202" spans="8:10" x14ac:dyDescent="0.25">
      <c r="J202" s="298"/>
    </row>
    <row r="203" spans="8:10" x14ac:dyDescent="0.25">
      <c r="J203" s="298"/>
    </row>
    <row r="204" spans="8:10" x14ac:dyDescent="0.25">
      <c r="J204" s="298"/>
    </row>
    <row r="205" spans="8:10" x14ac:dyDescent="0.25">
      <c r="J205" s="298"/>
    </row>
    <row r="206" spans="8:10" x14ac:dyDescent="0.25">
      <c r="J206" s="298"/>
    </row>
    <row r="207" spans="8:10" x14ac:dyDescent="0.25">
      <c r="J207" s="298"/>
    </row>
    <row r="208" spans="8:10" x14ac:dyDescent="0.25">
      <c r="J208" s="298"/>
    </row>
    <row r="209" spans="10:10" x14ac:dyDescent="0.25">
      <c r="J209" s="298"/>
    </row>
    <row r="210" spans="10:10" x14ac:dyDescent="0.25">
      <c r="J210" s="298"/>
    </row>
    <row r="211" spans="10:10" x14ac:dyDescent="0.25">
      <c r="J211" s="298"/>
    </row>
    <row r="212" spans="10:10" x14ac:dyDescent="0.25">
      <c r="J212" s="298"/>
    </row>
    <row r="213" spans="10:10" x14ac:dyDescent="0.25">
      <c r="J213" s="298"/>
    </row>
    <row r="214" spans="10:10" x14ac:dyDescent="0.25">
      <c r="J214" s="298"/>
    </row>
    <row r="215" spans="10:10" x14ac:dyDescent="0.25">
      <c r="J215" s="298"/>
    </row>
    <row r="216" spans="10:10" x14ac:dyDescent="0.25">
      <c r="J216" s="298"/>
    </row>
    <row r="217" spans="10:10" x14ac:dyDescent="0.25">
      <c r="J217" s="298"/>
    </row>
    <row r="218" spans="10:10" x14ac:dyDescent="0.25">
      <c r="J218" s="298"/>
    </row>
    <row r="219" spans="10:10" x14ac:dyDescent="0.25">
      <c r="J219" s="298"/>
    </row>
    <row r="220" spans="10:10" x14ac:dyDescent="0.25">
      <c r="J220" s="298"/>
    </row>
    <row r="221" spans="10:10" x14ac:dyDescent="0.25">
      <c r="J221" s="298"/>
    </row>
    <row r="222" spans="10:10" x14ac:dyDescent="0.25">
      <c r="J222" s="298"/>
    </row>
    <row r="223" spans="10:10" x14ac:dyDescent="0.25">
      <c r="J223" s="298"/>
    </row>
    <row r="224" spans="10:10" x14ac:dyDescent="0.25">
      <c r="J224" s="298"/>
    </row>
  </sheetData>
  <mergeCells count="1">
    <mergeCell ref="A1:J1"/>
  </mergeCells>
  <phoneticPr fontId="0" type="noConversion"/>
  <printOptions gridLines="1"/>
  <pageMargins left="0.75" right="0.16" top="0.51" bottom="0.22" header="0.5" footer="0.5"/>
  <pageSetup scale="88" fitToHeight="17"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251"/>
  <sheetViews>
    <sheetView view="pageBreakPreview" zoomScaleNormal="100" zoomScaleSheetLayoutView="100" workbookViewId="0">
      <selection sqref="A1:J1"/>
    </sheetView>
  </sheetViews>
  <sheetFormatPr defaultColWidth="8.88671875" defaultRowHeight="12.75" customHeight="1" x14ac:dyDescent="0.25"/>
  <cols>
    <col min="1" max="1" width="44.44140625" style="273" customWidth="1"/>
    <col min="2" max="2" width="9.5546875" style="273" bestFit="1" customWidth="1"/>
    <col min="3" max="3" width="10.109375" style="273" customWidth="1"/>
    <col min="4" max="4" width="12" style="273" customWidth="1"/>
    <col min="5" max="6" width="9.109375" style="273" bestFit="1" customWidth="1"/>
    <col min="7" max="7" width="11" style="2" bestFit="1" customWidth="1"/>
    <col min="8" max="8" width="14.109375" style="273" bestFit="1" customWidth="1"/>
    <col min="9" max="10" width="9.5546875" style="273" customWidth="1"/>
    <col min="11" max="16384" width="8.88671875" style="273"/>
  </cols>
  <sheetData>
    <row r="1" spans="1:10" ht="13.2" x14ac:dyDescent="0.25">
      <c r="A1" s="307" t="str">
        <f>'SUMMARY BY FUND'!A1:J1</f>
        <v>2019-20 BUDGET</v>
      </c>
      <c r="B1" s="307"/>
      <c r="C1" s="307"/>
      <c r="D1" s="307"/>
      <c r="E1" s="307"/>
      <c r="F1" s="307"/>
      <c r="G1" s="307"/>
      <c r="H1" s="307"/>
      <c r="I1" s="307"/>
      <c r="J1" s="307"/>
    </row>
    <row r="2" spans="1:10" ht="17.399999999999999" x14ac:dyDescent="0.3">
      <c r="A2" s="180" t="s">
        <v>1939</v>
      </c>
      <c r="B2" s="180"/>
      <c r="C2" s="180"/>
      <c r="D2" s="180"/>
      <c r="E2" s="180"/>
      <c r="F2" s="180"/>
    </row>
    <row r="3" spans="1:10" ht="13.2" x14ac:dyDescent="0.25">
      <c r="B3" s="2"/>
      <c r="C3" s="2"/>
      <c r="D3" s="2"/>
      <c r="E3" s="2"/>
      <c r="F3" s="2"/>
    </row>
    <row r="4" spans="1:10" ht="13.2" x14ac:dyDescent="0.25">
      <c r="B4" s="2"/>
      <c r="C4" s="2"/>
      <c r="D4" s="2"/>
      <c r="E4" s="16" t="s">
        <v>233</v>
      </c>
      <c r="F4" s="16" t="s">
        <v>234</v>
      </c>
      <c r="G4" s="16" t="s">
        <v>70</v>
      </c>
      <c r="H4" s="16" t="s">
        <v>409</v>
      </c>
      <c r="I4" s="16" t="s">
        <v>314</v>
      </c>
      <c r="J4" s="16" t="s">
        <v>345</v>
      </c>
    </row>
    <row r="5" spans="1:10" ht="15" x14ac:dyDescent="0.4">
      <c r="B5" s="2"/>
      <c r="C5" s="2"/>
      <c r="D5" s="2"/>
      <c r="E5" s="274" t="s">
        <v>1794</v>
      </c>
      <c r="F5" s="274" t="s">
        <v>1970</v>
      </c>
      <c r="G5" s="274" t="s">
        <v>2129</v>
      </c>
      <c r="H5" s="274" t="s">
        <v>2129</v>
      </c>
      <c r="I5" s="274" t="s">
        <v>2129</v>
      </c>
      <c r="J5" s="274" t="s">
        <v>2129</v>
      </c>
    </row>
    <row r="6" spans="1:10" ht="13.8" x14ac:dyDescent="0.3">
      <c r="A6" s="276" t="s">
        <v>1148</v>
      </c>
      <c r="B6" s="2"/>
      <c r="C6" s="2"/>
      <c r="D6" s="2"/>
      <c r="E6" s="2">
        <v>40019.199999999997</v>
      </c>
      <c r="F6" s="66">
        <v>41288</v>
      </c>
      <c r="G6" s="66">
        <v>41288</v>
      </c>
      <c r="H6" s="66">
        <v>41288</v>
      </c>
      <c r="I6" s="66">
        <v>42432</v>
      </c>
      <c r="J6" s="66">
        <v>42432</v>
      </c>
    </row>
    <row r="7" spans="1:10" ht="13.2" x14ac:dyDescent="0.25">
      <c r="A7" s="273" t="s">
        <v>142</v>
      </c>
      <c r="B7" s="2">
        <v>52</v>
      </c>
      <c r="C7" s="2">
        <v>816</v>
      </c>
      <c r="D7" s="2">
        <f>ROUND(B7*C7,0)</f>
        <v>42432</v>
      </c>
      <c r="E7" s="2"/>
      <c r="F7" s="2"/>
      <c r="H7" s="2"/>
      <c r="I7" s="2"/>
      <c r="J7" s="2"/>
    </row>
    <row r="8" spans="1:10" ht="15" x14ac:dyDescent="0.4">
      <c r="A8" s="273" t="s">
        <v>2012</v>
      </c>
      <c r="B8" s="2">
        <v>0</v>
      </c>
      <c r="C8" s="2">
        <v>710</v>
      </c>
      <c r="D8" s="11">
        <f>ROUND(B8*C8,0)</f>
        <v>0</v>
      </c>
      <c r="E8" s="2"/>
      <c r="F8" s="2"/>
      <c r="H8" s="2"/>
      <c r="I8" s="2"/>
      <c r="J8" s="2"/>
    </row>
    <row r="9" spans="1:10" ht="13.2" x14ac:dyDescent="0.25">
      <c r="B9" s="2"/>
      <c r="C9" s="2"/>
      <c r="D9" s="2">
        <f>SUM(D7:D8)</f>
        <v>42432</v>
      </c>
      <c r="E9" s="2"/>
      <c r="F9" s="2"/>
      <c r="H9" s="2"/>
      <c r="I9" s="2"/>
      <c r="J9" s="2"/>
    </row>
    <row r="10" spans="1:10" ht="13.2" x14ac:dyDescent="0.25">
      <c r="B10" s="2"/>
      <c r="C10" s="2"/>
      <c r="D10" s="2"/>
      <c r="E10" s="2"/>
      <c r="F10" s="2"/>
      <c r="H10" s="2"/>
      <c r="I10" s="2"/>
      <c r="J10" s="2"/>
    </row>
    <row r="11" spans="1:10" ht="13.8" x14ac:dyDescent="0.3">
      <c r="A11" s="276" t="s">
        <v>1149</v>
      </c>
      <c r="B11" s="2"/>
      <c r="C11" s="2"/>
      <c r="D11" s="2"/>
      <c r="E11" s="2">
        <v>78955.240000000005</v>
      </c>
      <c r="F11" s="2">
        <v>84154</v>
      </c>
      <c r="G11" s="2">
        <v>76522</v>
      </c>
      <c r="H11" s="2">
        <v>76522</v>
      </c>
      <c r="I11" s="2">
        <v>78801</v>
      </c>
      <c r="J11" s="2">
        <v>78801</v>
      </c>
    </row>
    <row r="12" spans="1:10" ht="13.2" x14ac:dyDescent="0.25">
      <c r="A12" s="273" t="s">
        <v>390</v>
      </c>
      <c r="B12" s="2">
        <v>52</v>
      </c>
      <c r="C12" s="2">
        <v>1487</v>
      </c>
      <c r="D12" s="2">
        <f>ROUND(B12*C12,0)</f>
        <v>77324</v>
      </c>
      <c r="E12" s="2"/>
      <c r="F12" s="2"/>
      <c r="H12" s="2"/>
      <c r="I12" s="2"/>
      <c r="J12" s="2"/>
    </row>
    <row r="13" spans="1:10" ht="15" x14ac:dyDescent="0.4">
      <c r="A13" s="273" t="s">
        <v>973</v>
      </c>
      <c r="B13" s="2"/>
      <c r="C13" s="2"/>
      <c r="D13" s="11">
        <f>+C12-10</f>
        <v>1477</v>
      </c>
      <c r="E13" s="2"/>
      <c r="F13" s="75"/>
      <c r="G13" s="75"/>
      <c r="H13" s="75"/>
      <c r="I13" s="75"/>
      <c r="J13" s="75"/>
    </row>
    <row r="14" spans="1:10" ht="13.2" x14ac:dyDescent="0.25">
      <c r="A14" s="273" t="s">
        <v>1247</v>
      </c>
      <c r="B14" s="2"/>
      <c r="C14" s="2"/>
      <c r="D14" s="2">
        <f>SUM(D12:D13)</f>
        <v>78801</v>
      </c>
      <c r="E14" s="2"/>
      <c r="F14" s="2"/>
      <c r="H14" s="2"/>
      <c r="I14" s="2"/>
      <c r="J14" s="2"/>
    </row>
    <row r="15" spans="1:10" ht="13.2" x14ac:dyDescent="0.25">
      <c r="B15" s="2"/>
      <c r="C15" s="2"/>
      <c r="D15" s="2"/>
      <c r="E15" s="2"/>
      <c r="F15" s="2"/>
      <c r="H15" s="2"/>
      <c r="I15" s="2"/>
      <c r="J15" s="2"/>
    </row>
    <row r="16" spans="1:10" ht="13.8" x14ac:dyDescent="0.3">
      <c r="A16" s="276" t="s">
        <v>1150</v>
      </c>
      <c r="B16" s="2"/>
      <c r="C16" s="2"/>
      <c r="D16" s="2"/>
      <c r="E16" s="2">
        <v>64409.19</v>
      </c>
      <c r="F16" s="2">
        <v>65031</v>
      </c>
      <c r="G16" s="2">
        <v>60112</v>
      </c>
      <c r="H16" s="2">
        <v>60112</v>
      </c>
      <c r="I16" s="2">
        <v>61880</v>
      </c>
      <c r="J16" s="2">
        <v>61880</v>
      </c>
    </row>
    <row r="17" spans="1:10" ht="13.2" x14ac:dyDescent="0.25">
      <c r="A17" s="273" t="s">
        <v>623</v>
      </c>
      <c r="B17" s="2">
        <v>52</v>
      </c>
      <c r="C17" s="2">
        <v>1190</v>
      </c>
      <c r="D17" s="2">
        <f>ROUND(B17*C17,0)</f>
        <v>61880</v>
      </c>
      <c r="E17" s="2"/>
      <c r="F17" s="2"/>
      <c r="H17" s="2"/>
      <c r="I17" s="2"/>
      <c r="J17" s="2"/>
    </row>
    <row r="18" spans="1:10" ht="15" x14ac:dyDescent="0.4">
      <c r="A18" s="273" t="s">
        <v>973</v>
      </c>
      <c r="B18" s="2"/>
      <c r="C18" s="2"/>
      <c r="D18" s="11">
        <v>0</v>
      </c>
      <c r="E18" s="2"/>
      <c r="F18" s="66"/>
      <c r="G18" s="66"/>
      <c r="H18" s="66"/>
      <c r="I18" s="66"/>
      <c r="J18" s="66"/>
    </row>
    <row r="19" spans="1:10" ht="13.2" x14ac:dyDescent="0.25">
      <c r="A19" s="273" t="s">
        <v>1247</v>
      </c>
      <c r="B19" s="2"/>
      <c r="C19" s="2"/>
      <c r="D19" s="2">
        <f>SUM(D17:D18)</f>
        <v>61880</v>
      </c>
      <c r="E19" s="2"/>
      <c r="F19" s="2"/>
      <c r="H19" s="2"/>
      <c r="I19" s="2"/>
      <c r="J19" s="2"/>
    </row>
    <row r="20" spans="1:10" ht="13.2" x14ac:dyDescent="0.25">
      <c r="D20" s="2"/>
      <c r="E20" s="2"/>
      <c r="F20" s="2"/>
      <c r="H20" s="2"/>
      <c r="I20" s="2"/>
      <c r="J20" s="2"/>
    </row>
    <row r="21" spans="1:10" ht="13.8" x14ac:dyDescent="0.3">
      <c r="A21" s="276" t="s">
        <v>1151</v>
      </c>
      <c r="D21" s="2"/>
      <c r="E21" s="2">
        <v>30894.7</v>
      </c>
      <c r="F21" s="2">
        <v>64182</v>
      </c>
      <c r="G21" s="2">
        <v>66591</v>
      </c>
      <c r="H21" s="2">
        <v>66591</v>
      </c>
      <c r="I21" s="2">
        <v>66548</v>
      </c>
      <c r="J21" s="2">
        <v>66548</v>
      </c>
    </row>
    <row r="22" spans="1:10" ht="13.2" x14ac:dyDescent="0.25">
      <c r="A22" s="273" t="s">
        <v>610</v>
      </c>
      <c r="B22" s="2">
        <v>1325</v>
      </c>
      <c r="C22" s="12">
        <v>29.61</v>
      </c>
      <c r="D22" s="2">
        <f>ROUND(B22*C22,0)</f>
        <v>39233</v>
      </c>
      <c r="E22" s="2"/>
      <c r="F22" s="2"/>
      <c r="H22" s="2"/>
      <c r="I22" s="2"/>
      <c r="J22" s="2"/>
    </row>
    <row r="23" spans="1:10" ht="15" x14ac:dyDescent="0.4">
      <c r="A23" s="273" t="s">
        <v>1766</v>
      </c>
      <c r="B23" s="2">
        <v>1456</v>
      </c>
      <c r="C23" s="12">
        <v>18.760000000000002</v>
      </c>
      <c r="D23" s="11">
        <f>ROUND(B23*C23,0)</f>
        <v>27315</v>
      </c>
      <c r="E23" s="2"/>
      <c r="F23" s="66"/>
      <c r="G23" s="66"/>
      <c r="H23" s="66"/>
      <c r="I23" s="66"/>
      <c r="J23" s="66"/>
    </row>
    <row r="24" spans="1:10" ht="13.2" x14ac:dyDescent="0.25">
      <c r="B24" s="2"/>
      <c r="C24" s="12"/>
      <c r="D24" s="2">
        <f>SUM(D22:D23)</f>
        <v>66548</v>
      </c>
      <c r="E24" s="2"/>
      <c r="F24" s="2"/>
      <c r="H24" s="2"/>
      <c r="I24" s="2"/>
      <c r="J24" s="2"/>
    </row>
    <row r="25" spans="1:10" ht="13.2" x14ac:dyDescent="0.25">
      <c r="D25" s="2"/>
      <c r="E25" s="2"/>
      <c r="F25" s="2"/>
      <c r="H25" s="2"/>
      <c r="I25" s="2"/>
      <c r="J25" s="2"/>
    </row>
    <row r="26" spans="1:10" ht="13.8" x14ac:dyDescent="0.3">
      <c r="A26" s="54" t="s">
        <v>106</v>
      </c>
      <c r="B26" s="2"/>
      <c r="C26" s="12"/>
      <c r="D26" s="2"/>
      <c r="E26" s="2">
        <v>4428.41</v>
      </c>
      <c r="F26" s="2">
        <v>4276</v>
      </c>
      <c r="G26" s="2">
        <v>4276</v>
      </c>
      <c r="H26" s="2">
        <v>4276</v>
      </c>
      <c r="I26" s="2">
        <v>4329</v>
      </c>
      <c r="J26" s="2">
        <v>4329</v>
      </c>
    </row>
    <row r="27" spans="1:10" ht="13.2" x14ac:dyDescent="0.25">
      <c r="A27" s="53" t="s">
        <v>1734</v>
      </c>
      <c r="B27" s="2">
        <v>105</v>
      </c>
      <c r="C27" s="12">
        <f>+C7/40*1.5</f>
        <v>30.599999999999998</v>
      </c>
      <c r="D27" s="2">
        <f>C27*B27</f>
        <v>3213</v>
      </c>
      <c r="E27" s="2"/>
      <c r="F27" s="2"/>
      <c r="H27" s="2"/>
      <c r="I27" s="2"/>
      <c r="J27" s="2"/>
    </row>
    <row r="28" spans="1:10" ht="15" x14ac:dyDescent="0.4">
      <c r="A28" s="53" t="s">
        <v>1733</v>
      </c>
      <c r="B28" s="2">
        <v>25</v>
      </c>
      <c r="C28" s="12">
        <f>+C17/40*1.5</f>
        <v>44.625</v>
      </c>
      <c r="D28" s="11">
        <f>C28*B28</f>
        <v>1115.625</v>
      </c>
      <c r="E28" s="2"/>
      <c r="F28" s="2"/>
      <c r="H28" s="2"/>
      <c r="I28" s="2"/>
      <c r="J28" s="2"/>
    </row>
    <row r="29" spans="1:10" ht="13.2" x14ac:dyDescent="0.25">
      <c r="A29" s="53"/>
      <c r="B29" s="2"/>
      <c r="C29" s="12"/>
      <c r="D29" s="2">
        <f>SUM(D27:D28)</f>
        <v>4328.625</v>
      </c>
      <c r="E29" s="2"/>
      <c r="F29" s="2"/>
      <c r="H29" s="2"/>
      <c r="I29" s="2"/>
      <c r="J29" s="2"/>
    </row>
    <row r="30" spans="1:10" ht="13.2" x14ac:dyDescent="0.25">
      <c r="A30" s="16"/>
      <c r="B30" s="2"/>
      <c r="C30" s="12"/>
      <c r="D30" s="2"/>
      <c r="E30" s="2"/>
      <c r="F30" s="2"/>
      <c r="H30" s="2"/>
      <c r="I30" s="2"/>
      <c r="J30" s="2"/>
    </row>
    <row r="31" spans="1:10" ht="13.8" x14ac:dyDescent="0.3">
      <c r="A31" s="276" t="s">
        <v>1152</v>
      </c>
      <c r="B31" s="76"/>
      <c r="D31" s="2"/>
      <c r="E31" s="2">
        <v>17729.400000000001</v>
      </c>
      <c r="F31" s="2">
        <v>19809</v>
      </c>
      <c r="G31" s="2">
        <v>19021</v>
      </c>
      <c r="H31" s="2">
        <v>19021</v>
      </c>
      <c r="I31" s="2">
        <v>19430</v>
      </c>
      <c r="J31" s="2">
        <v>19430</v>
      </c>
    </row>
    <row r="32" spans="1:10" ht="13.2" x14ac:dyDescent="0.25">
      <c r="A32" s="13" t="s">
        <v>1248</v>
      </c>
      <c r="B32" s="2">
        <f>D9</f>
        <v>42432</v>
      </c>
      <c r="C32" s="14">
        <v>7.6499999999999999E-2</v>
      </c>
      <c r="D32" s="2">
        <f>ROUND(B32*C32,0)</f>
        <v>3246</v>
      </c>
      <c r="E32" s="2"/>
      <c r="F32" s="2"/>
      <c r="H32" s="2"/>
      <c r="I32" s="2"/>
      <c r="J32" s="2"/>
    </row>
    <row r="33" spans="1:10" ht="13.2" x14ac:dyDescent="0.25">
      <c r="A33" s="13" t="s">
        <v>1249</v>
      </c>
      <c r="B33" s="2">
        <f>+D14</f>
        <v>78801</v>
      </c>
      <c r="C33" s="14">
        <v>7.6499999999999999E-2</v>
      </c>
      <c r="D33" s="2">
        <f>ROUND(B33*C33,0)</f>
        <v>6028</v>
      </c>
      <c r="E33" s="2"/>
      <c r="F33" s="2"/>
      <c r="H33" s="2"/>
      <c r="I33" s="2"/>
      <c r="J33" s="2"/>
    </row>
    <row r="34" spans="1:10" ht="13.2" x14ac:dyDescent="0.25">
      <c r="A34" s="13" t="s">
        <v>1250</v>
      </c>
      <c r="B34" s="2">
        <f>+D19</f>
        <v>61880</v>
      </c>
      <c r="C34" s="14">
        <v>7.6499999999999999E-2</v>
      </c>
      <c r="D34" s="2">
        <f>ROUND(B34*C34,0)</f>
        <v>4734</v>
      </c>
      <c r="E34" s="2"/>
      <c r="F34" s="2"/>
      <c r="H34" s="2"/>
      <c r="I34" s="2"/>
      <c r="J34" s="2"/>
    </row>
    <row r="35" spans="1:10" ht="13.2" x14ac:dyDescent="0.25">
      <c r="A35" s="13" t="s">
        <v>1251</v>
      </c>
      <c r="B35" s="2">
        <f>+D24</f>
        <v>66548</v>
      </c>
      <c r="C35" s="14">
        <v>7.6499999999999999E-2</v>
      </c>
      <c r="D35" s="2">
        <f>ROUND(B35*C35,0)</f>
        <v>5091</v>
      </c>
      <c r="E35" s="2"/>
      <c r="F35" s="2"/>
      <c r="H35" s="2"/>
      <c r="I35" s="2"/>
      <c r="J35" s="2"/>
    </row>
    <row r="36" spans="1:10" ht="15" x14ac:dyDescent="0.4">
      <c r="A36" s="13" t="s">
        <v>1393</v>
      </c>
      <c r="B36" s="2">
        <f>+D29</f>
        <v>4328.625</v>
      </c>
      <c r="C36" s="14">
        <v>7.6499999999999999E-2</v>
      </c>
      <c r="D36" s="11">
        <f>ROUND(B36*C36,0)</f>
        <v>331</v>
      </c>
      <c r="E36" s="2"/>
      <c r="F36" s="2"/>
      <c r="H36" s="2"/>
      <c r="I36" s="2"/>
      <c r="J36" s="2"/>
    </row>
    <row r="37" spans="1:10" ht="13.2" x14ac:dyDescent="0.25">
      <c r="A37" s="273" t="s">
        <v>1247</v>
      </c>
      <c r="B37" s="2"/>
      <c r="C37" s="14"/>
      <c r="D37" s="2">
        <f>SUM(D32:D36)</f>
        <v>19430</v>
      </c>
      <c r="E37" s="2"/>
      <c r="F37" s="2"/>
      <c r="H37" s="2"/>
      <c r="I37" s="2"/>
      <c r="J37" s="2"/>
    </row>
    <row r="38" spans="1:10" ht="13.2" x14ac:dyDescent="0.25">
      <c r="D38" s="2"/>
      <c r="E38" s="2"/>
      <c r="F38" s="2"/>
      <c r="H38" s="2"/>
      <c r="I38" s="2"/>
      <c r="J38" s="2"/>
    </row>
    <row r="39" spans="1:10" ht="13.8" x14ac:dyDescent="0.3">
      <c r="A39" s="15" t="s">
        <v>1153</v>
      </c>
      <c r="D39" s="2"/>
      <c r="E39" s="2">
        <v>21372.87</v>
      </c>
      <c r="F39" s="2">
        <v>22164</v>
      </c>
      <c r="G39" s="2">
        <v>20345</v>
      </c>
      <c r="H39" s="2">
        <v>20345</v>
      </c>
      <c r="I39" s="2">
        <v>20938</v>
      </c>
      <c r="J39" s="2">
        <v>20938</v>
      </c>
    </row>
    <row r="40" spans="1:10" ht="13.2" x14ac:dyDescent="0.25">
      <c r="A40" s="13" t="s">
        <v>1248</v>
      </c>
      <c r="B40" s="2">
        <f>D9</f>
        <v>42432</v>
      </c>
      <c r="C40" s="14">
        <v>0.11169999999999999</v>
      </c>
      <c r="D40" s="2">
        <f>ROUND(B40*C40,0)</f>
        <v>4740</v>
      </c>
      <c r="E40" s="2"/>
      <c r="F40" s="2"/>
      <c r="H40" s="2"/>
      <c r="I40" s="2"/>
      <c r="J40" s="2"/>
    </row>
    <row r="41" spans="1:10" ht="13.2" x14ac:dyDescent="0.25">
      <c r="A41" s="13" t="s">
        <v>1249</v>
      </c>
      <c r="B41" s="2">
        <f>+D14</f>
        <v>78801</v>
      </c>
      <c r="C41" s="14">
        <v>0.11169999999999999</v>
      </c>
      <c r="D41" s="2">
        <f>ROUND(B41*C41,0)</f>
        <v>8802</v>
      </c>
      <c r="E41" s="2"/>
      <c r="F41" s="2"/>
      <c r="H41" s="2"/>
      <c r="I41" s="2"/>
      <c r="J41" s="2"/>
    </row>
    <row r="42" spans="1:10" ht="13.2" x14ac:dyDescent="0.25">
      <c r="A42" s="13" t="s">
        <v>1250</v>
      </c>
      <c r="B42" s="2">
        <f>+D19</f>
        <v>61880</v>
      </c>
      <c r="C42" s="14">
        <v>0.11169999999999999</v>
      </c>
      <c r="D42" s="2">
        <f>ROUND(B42*C42,0)</f>
        <v>6912</v>
      </c>
      <c r="E42" s="2"/>
      <c r="F42" s="2"/>
      <c r="H42" s="2"/>
      <c r="I42" s="2"/>
      <c r="J42" s="2"/>
    </row>
    <row r="43" spans="1:10" ht="15" x14ac:dyDescent="0.4">
      <c r="A43" s="13" t="s">
        <v>1735</v>
      </c>
      <c r="B43" s="2">
        <f>+D29</f>
        <v>4328.625</v>
      </c>
      <c r="C43" s="14">
        <v>0.11169999999999999</v>
      </c>
      <c r="D43" s="11">
        <f>ROUND(B43*C43,0)</f>
        <v>484</v>
      </c>
      <c r="E43" s="2"/>
      <c r="F43" s="66"/>
      <c r="G43" s="66"/>
      <c r="H43" s="66"/>
      <c r="I43" s="66"/>
      <c r="J43" s="66"/>
    </row>
    <row r="44" spans="1:10" ht="13.2" x14ac:dyDescent="0.25">
      <c r="A44" s="273" t="s">
        <v>1247</v>
      </c>
      <c r="D44" s="2">
        <f>SUM(D40:D43)</f>
        <v>20938</v>
      </c>
      <c r="E44" s="2"/>
      <c r="F44" s="66"/>
      <c r="G44" s="66"/>
      <c r="H44" s="66"/>
      <c r="I44" s="66"/>
      <c r="J44" s="66"/>
    </row>
    <row r="45" spans="1:10" ht="13.2" x14ac:dyDescent="0.25">
      <c r="D45" s="2"/>
      <c r="E45" s="2"/>
      <c r="F45" s="2"/>
      <c r="H45" s="2"/>
      <c r="I45" s="2"/>
      <c r="J45" s="2"/>
    </row>
    <row r="46" spans="1:10" ht="13.8" x14ac:dyDescent="0.3">
      <c r="A46" s="276" t="s">
        <v>1154</v>
      </c>
      <c r="D46" s="2"/>
      <c r="E46" s="2">
        <v>49389.78</v>
      </c>
      <c r="F46" s="2">
        <v>54900</v>
      </c>
      <c r="G46" s="2">
        <v>55800</v>
      </c>
      <c r="H46" s="2">
        <v>57075</v>
      </c>
      <c r="I46" s="2">
        <v>57075</v>
      </c>
      <c r="J46" s="2">
        <v>57075</v>
      </c>
    </row>
    <row r="47" spans="1:10" ht="13.2" x14ac:dyDescent="0.25">
      <c r="A47" s="273" t="s">
        <v>225</v>
      </c>
      <c r="B47" s="2">
        <v>3</v>
      </c>
      <c r="C47" s="2">
        <v>19025</v>
      </c>
      <c r="D47" s="2">
        <f>ROUND(B47*C47,0)</f>
        <v>57075</v>
      </c>
      <c r="E47" s="2"/>
      <c r="F47" s="2"/>
      <c r="H47" s="2"/>
      <c r="I47" s="2"/>
      <c r="J47" s="2"/>
    </row>
    <row r="48" spans="1:10" ht="13.2" x14ac:dyDescent="0.25">
      <c r="D48" s="2"/>
      <c r="E48" s="2"/>
      <c r="F48" s="2"/>
      <c r="H48" s="2"/>
      <c r="I48" s="2"/>
      <c r="J48" s="2"/>
    </row>
    <row r="49" spans="1:10" ht="13.8" x14ac:dyDescent="0.3">
      <c r="A49" s="276" t="s">
        <v>1155</v>
      </c>
      <c r="D49" s="2"/>
      <c r="E49" s="2">
        <v>3519.1</v>
      </c>
      <c r="F49" s="66">
        <v>3510</v>
      </c>
      <c r="G49" s="66">
        <v>3605</v>
      </c>
      <c r="H49" s="66">
        <v>3645</v>
      </c>
      <c r="I49" s="66">
        <v>3645</v>
      </c>
      <c r="J49" s="66">
        <v>3645</v>
      </c>
    </row>
    <row r="50" spans="1:10" ht="13.2" x14ac:dyDescent="0.25">
      <c r="A50" s="273" t="s">
        <v>416</v>
      </c>
      <c r="B50" s="2">
        <v>3</v>
      </c>
      <c r="C50" s="2">
        <v>1350</v>
      </c>
      <c r="D50" s="2">
        <f>ROUND(B50*C50,0)</f>
        <v>4050</v>
      </c>
      <c r="E50" s="2"/>
      <c r="F50" s="2"/>
      <c r="H50" s="2"/>
      <c r="I50" s="2"/>
      <c r="J50" s="2"/>
    </row>
    <row r="51" spans="1:10" ht="15" x14ac:dyDescent="0.4">
      <c r="A51" s="273" t="s">
        <v>227</v>
      </c>
      <c r="B51" s="2"/>
      <c r="C51" s="2"/>
      <c r="D51" s="11">
        <f>-C50*B50*0.1</f>
        <v>-405</v>
      </c>
      <c r="E51" s="2"/>
      <c r="F51" s="2"/>
      <c r="H51" s="2"/>
      <c r="I51" s="2"/>
      <c r="J51" s="2"/>
    </row>
    <row r="52" spans="1:10" ht="13.2" x14ac:dyDescent="0.25">
      <c r="A52" s="273" t="s">
        <v>801</v>
      </c>
      <c r="B52" s="2"/>
      <c r="C52" s="2"/>
      <c r="D52" s="2">
        <f>SUM(D50:D51)</f>
        <v>3645</v>
      </c>
      <c r="E52" s="2"/>
      <c r="F52" s="2"/>
      <c r="H52" s="2"/>
      <c r="I52" s="2"/>
      <c r="J52" s="2"/>
    </row>
    <row r="53" spans="1:10" ht="13.2" x14ac:dyDescent="0.25">
      <c r="D53" s="2"/>
      <c r="E53" s="2"/>
      <c r="F53" s="2"/>
      <c r="H53" s="2"/>
      <c r="I53" s="2"/>
      <c r="J53" s="2"/>
    </row>
    <row r="54" spans="1:10" ht="13.8" x14ac:dyDescent="0.3">
      <c r="A54" s="276" t="s">
        <v>1156</v>
      </c>
      <c r="D54" s="2"/>
      <c r="E54" s="2">
        <v>410.04</v>
      </c>
      <c r="F54" s="2">
        <v>405</v>
      </c>
      <c r="G54" s="2">
        <v>405</v>
      </c>
      <c r="H54" s="2">
        <v>405</v>
      </c>
      <c r="I54" s="2">
        <v>405</v>
      </c>
      <c r="J54" s="2">
        <v>405</v>
      </c>
    </row>
    <row r="55" spans="1:10" ht="13.2" hidden="1" x14ac:dyDescent="0.25">
      <c r="A55" s="273" t="s">
        <v>416</v>
      </c>
      <c r="B55" s="2">
        <v>3</v>
      </c>
      <c r="C55" s="2">
        <v>135</v>
      </c>
      <c r="D55" s="2">
        <f>ROUND(B55*C55,0)</f>
        <v>405</v>
      </c>
      <c r="E55" s="2"/>
      <c r="F55" s="2"/>
      <c r="H55" s="2"/>
      <c r="I55" s="2"/>
      <c r="J55" s="2"/>
    </row>
    <row r="56" spans="1:10" ht="13.2" x14ac:dyDescent="0.25">
      <c r="D56" s="2"/>
      <c r="E56" s="2"/>
      <c r="F56" s="2"/>
      <c r="H56" s="2"/>
      <c r="I56" s="2"/>
      <c r="J56" s="2"/>
    </row>
    <row r="57" spans="1:10" ht="13.8" x14ac:dyDescent="0.3">
      <c r="A57" s="276" t="s">
        <v>1157</v>
      </c>
      <c r="D57" s="2"/>
      <c r="E57" s="2">
        <v>1441.74</v>
      </c>
      <c r="F57" s="2">
        <v>1890</v>
      </c>
      <c r="G57" s="2">
        <v>1800</v>
      </c>
      <c r="H57" s="2">
        <v>1800</v>
      </c>
      <c r="I57" s="2">
        <v>1800</v>
      </c>
      <c r="J57" s="2">
        <v>1800</v>
      </c>
    </row>
    <row r="58" spans="1:10" ht="13.2" hidden="1" x14ac:dyDescent="0.25">
      <c r="A58" s="273" t="s">
        <v>416</v>
      </c>
      <c r="B58" s="2">
        <v>3</v>
      </c>
      <c r="C58" s="2">
        <v>600</v>
      </c>
      <c r="D58" s="2">
        <f>ROUND(B58*C58,0)</f>
        <v>1800</v>
      </c>
      <c r="E58" s="2"/>
      <c r="F58" s="66"/>
      <c r="G58" s="66"/>
      <c r="H58" s="66"/>
      <c r="I58" s="66"/>
      <c r="J58" s="66"/>
    </row>
    <row r="59" spans="1:10" ht="13.2" x14ac:dyDescent="0.25">
      <c r="D59" s="2"/>
      <c r="E59" s="2"/>
      <c r="F59" s="3"/>
      <c r="G59" s="3"/>
      <c r="H59" s="3"/>
      <c r="I59" s="3"/>
      <c r="J59" s="3"/>
    </row>
    <row r="60" spans="1:10" ht="13.8" x14ac:dyDescent="0.3">
      <c r="A60" s="276" t="s">
        <v>1158</v>
      </c>
      <c r="D60" s="2"/>
      <c r="E60" s="2">
        <v>4749.62</v>
      </c>
      <c r="F60" s="3">
        <v>7662</v>
      </c>
      <c r="G60" s="3">
        <v>6966</v>
      </c>
      <c r="H60" s="3">
        <v>6966</v>
      </c>
      <c r="I60" s="3">
        <v>7109</v>
      </c>
      <c r="J60" s="3">
        <v>7109</v>
      </c>
    </row>
    <row r="61" spans="1:10" ht="13.2" x14ac:dyDescent="0.25">
      <c r="A61" s="13" t="s">
        <v>1248</v>
      </c>
      <c r="B61" s="2">
        <f>+D9</f>
        <v>42432</v>
      </c>
      <c r="C61" s="14">
        <v>1.5E-3</v>
      </c>
      <c r="D61" s="2">
        <f>ROUND(B61*C61,0)</f>
        <v>64</v>
      </c>
      <c r="E61" s="2"/>
      <c r="F61" s="3"/>
      <c r="G61" s="3"/>
      <c r="H61" s="3"/>
      <c r="I61" s="3"/>
      <c r="J61" s="3"/>
    </row>
    <row r="62" spans="1:10" ht="13.2" x14ac:dyDescent="0.25">
      <c r="A62" s="13" t="s">
        <v>1253</v>
      </c>
      <c r="B62" s="2">
        <f>+D14</f>
        <v>78801</v>
      </c>
      <c r="C62" s="14">
        <v>3.3300000000000003E-2</v>
      </c>
      <c r="D62" s="2">
        <f>ROUND(B62*C62,0)</f>
        <v>2624</v>
      </c>
      <c r="E62" s="2"/>
      <c r="F62" s="3"/>
      <c r="G62" s="3"/>
      <c r="H62" s="3"/>
      <c r="I62" s="3"/>
      <c r="J62" s="3"/>
    </row>
    <row r="63" spans="1:10" ht="13.2" x14ac:dyDescent="0.25">
      <c r="A63" s="13" t="s">
        <v>476</v>
      </c>
      <c r="B63" s="2">
        <f>+D19</f>
        <v>61880</v>
      </c>
      <c r="C63" s="14">
        <v>3.3300000000000003E-2</v>
      </c>
      <c r="D63" s="2">
        <f>ROUND(B63*C63,0)</f>
        <v>2061</v>
      </c>
      <c r="E63" s="2"/>
      <c r="F63" s="3"/>
      <c r="G63" s="3"/>
      <c r="H63" s="3"/>
      <c r="I63" s="3"/>
      <c r="J63" s="3"/>
    </row>
    <row r="64" spans="1:10" ht="13.2" x14ac:dyDescent="0.25">
      <c r="A64" s="13" t="s">
        <v>1254</v>
      </c>
      <c r="B64" s="2">
        <f>+D24</f>
        <v>66548</v>
      </c>
      <c r="C64" s="14">
        <v>3.3300000000000003E-2</v>
      </c>
      <c r="D64" s="2">
        <f>ROUND(B64*C64,0)</f>
        <v>2216</v>
      </c>
      <c r="E64" s="2"/>
      <c r="F64" s="3"/>
      <c r="G64" s="3"/>
      <c r="H64" s="3"/>
      <c r="I64" s="3"/>
      <c r="J64" s="3"/>
    </row>
    <row r="65" spans="1:10" ht="15" x14ac:dyDescent="0.4">
      <c r="A65" s="13" t="s">
        <v>1736</v>
      </c>
      <c r="B65" s="2">
        <f>+D29</f>
        <v>4328.625</v>
      </c>
      <c r="C65" s="14">
        <v>3.3300000000000003E-2</v>
      </c>
      <c r="D65" s="11">
        <f>ROUND(B65*C65,0)</f>
        <v>144</v>
      </c>
      <c r="E65" s="2"/>
      <c r="F65" s="3"/>
      <c r="G65" s="3"/>
      <c r="H65" s="3"/>
      <c r="I65" s="3"/>
      <c r="J65" s="3"/>
    </row>
    <row r="66" spans="1:10" ht="13.2" x14ac:dyDescent="0.25">
      <c r="A66" s="273" t="s">
        <v>1247</v>
      </c>
      <c r="D66" s="2">
        <f>SUM(D61:D65)</f>
        <v>7109</v>
      </c>
      <c r="E66" s="2"/>
      <c r="F66" s="3"/>
      <c r="G66" s="3"/>
      <c r="H66" s="3"/>
      <c r="I66" s="3"/>
      <c r="J66" s="3"/>
    </row>
    <row r="67" spans="1:10" ht="13.2" x14ac:dyDescent="0.25">
      <c r="D67" s="2"/>
      <c r="E67" s="2"/>
      <c r="F67" s="3"/>
      <c r="G67" s="3"/>
      <c r="H67" s="3"/>
      <c r="I67" s="3"/>
      <c r="J67" s="3"/>
    </row>
    <row r="68" spans="1:10" ht="13.8" x14ac:dyDescent="0.3">
      <c r="A68" s="276" t="s">
        <v>1159</v>
      </c>
      <c r="D68" s="2"/>
      <c r="E68" s="2">
        <v>106.82</v>
      </c>
      <c r="F68" s="3">
        <v>130</v>
      </c>
      <c r="G68" s="3">
        <v>130</v>
      </c>
      <c r="H68" s="3">
        <v>130</v>
      </c>
      <c r="I68" s="3">
        <v>130</v>
      </c>
      <c r="J68" s="3">
        <v>130</v>
      </c>
    </row>
    <row r="69" spans="1:10" ht="13.2" x14ac:dyDescent="0.25">
      <c r="A69" s="13" t="s">
        <v>1248</v>
      </c>
      <c r="B69" s="2">
        <v>1</v>
      </c>
      <c r="C69" s="2">
        <v>26</v>
      </c>
      <c r="D69" s="2">
        <f>ROUND(B69*C69,0)</f>
        <v>26</v>
      </c>
      <c r="E69" s="2"/>
      <c r="F69" s="3"/>
      <c r="G69" s="3"/>
      <c r="H69" s="3"/>
      <c r="I69" s="3"/>
      <c r="J69" s="3"/>
    </row>
    <row r="70" spans="1:10" ht="13.2" x14ac:dyDescent="0.25">
      <c r="A70" s="13" t="s">
        <v>1249</v>
      </c>
      <c r="B70" s="2">
        <v>1</v>
      </c>
      <c r="C70" s="2">
        <v>26</v>
      </c>
      <c r="D70" s="2">
        <f>ROUND(B70*C70,0)</f>
        <v>26</v>
      </c>
      <c r="E70" s="2"/>
      <c r="F70" s="3"/>
      <c r="G70" s="3"/>
      <c r="H70" s="3"/>
      <c r="I70" s="3"/>
      <c r="J70" s="3"/>
    </row>
    <row r="71" spans="1:10" ht="13.2" x14ac:dyDescent="0.25">
      <c r="A71" s="13" t="s">
        <v>1250</v>
      </c>
      <c r="B71" s="2">
        <v>1</v>
      </c>
      <c r="C71" s="2">
        <v>26</v>
      </c>
      <c r="D71" s="2">
        <f>ROUND(B71*C71,0)</f>
        <v>26</v>
      </c>
      <c r="E71" s="2"/>
      <c r="F71" s="3"/>
      <c r="G71" s="3"/>
      <c r="H71" s="3"/>
      <c r="I71" s="3"/>
      <c r="J71" s="3"/>
    </row>
    <row r="72" spans="1:10" ht="13.2" x14ac:dyDescent="0.25">
      <c r="A72" s="13" t="s">
        <v>2106</v>
      </c>
      <c r="B72" s="2">
        <v>2</v>
      </c>
      <c r="C72" s="2">
        <v>26</v>
      </c>
      <c r="D72" s="2">
        <f>ROUND(B72*C72,0)</f>
        <v>52</v>
      </c>
      <c r="E72" s="2"/>
      <c r="F72" s="3"/>
      <c r="G72" s="3"/>
      <c r="H72" s="3"/>
      <c r="I72" s="3"/>
      <c r="J72" s="3"/>
    </row>
    <row r="73" spans="1:10" ht="13.2" x14ac:dyDescent="0.25">
      <c r="A73" s="13" t="s">
        <v>2107</v>
      </c>
      <c r="B73" s="2">
        <v>0</v>
      </c>
      <c r="C73" s="14">
        <v>1.8E-3</v>
      </c>
      <c r="D73" s="18">
        <f>ROUND(B73*C73,0)</f>
        <v>0</v>
      </c>
      <c r="E73" s="2"/>
      <c r="F73" s="3"/>
      <c r="G73" s="3"/>
      <c r="H73" s="3"/>
      <c r="I73" s="3"/>
      <c r="J73" s="3"/>
    </row>
    <row r="74" spans="1:10" ht="13.2" x14ac:dyDescent="0.25">
      <c r="A74" s="273" t="s">
        <v>1247</v>
      </c>
      <c r="B74" s="2" t="s">
        <v>396</v>
      </c>
      <c r="C74" s="14" t="s">
        <v>396</v>
      </c>
      <c r="D74" s="2">
        <f>SUM(D69:D73)</f>
        <v>130</v>
      </c>
      <c r="E74" s="2"/>
      <c r="F74" s="75"/>
      <c r="G74" s="75"/>
      <c r="H74" s="75"/>
      <c r="I74" s="75"/>
      <c r="J74" s="75"/>
    </row>
    <row r="75" spans="1:10" ht="13.2" x14ac:dyDescent="0.25">
      <c r="D75" s="2"/>
      <c r="E75" s="2"/>
      <c r="F75" s="3"/>
      <c r="G75" s="3"/>
      <c r="H75" s="3"/>
      <c r="I75" s="3"/>
      <c r="J75" s="3"/>
    </row>
    <row r="76" spans="1:10" ht="13.8" x14ac:dyDescent="0.3">
      <c r="A76" s="276" t="s">
        <v>1160</v>
      </c>
      <c r="D76" s="2"/>
      <c r="E76" s="2">
        <v>2586.56</v>
      </c>
      <c r="F76" s="3">
        <v>2995</v>
      </c>
      <c r="G76" s="3">
        <v>2995</v>
      </c>
      <c r="H76" s="3">
        <v>2995</v>
      </c>
      <c r="I76" s="3">
        <v>2995</v>
      </c>
      <c r="J76" s="3">
        <v>2995</v>
      </c>
    </row>
    <row r="77" spans="1:10" ht="13.2" x14ac:dyDescent="0.25">
      <c r="A77" s="273" t="s">
        <v>1620</v>
      </c>
      <c r="D77" s="2">
        <v>2500</v>
      </c>
      <c r="E77" s="2"/>
      <c r="F77" s="3"/>
      <c r="G77" s="3"/>
      <c r="H77" s="3"/>
      <c r="I77" s="3"/>
      <c r="J77" s="3"/>
    </row>
    <row r="78" spans="1:10" ht="13.2" x14ac:dyDescent="0.25">
      <c r="A78" s="273" t="s">
        <v>1621</v>
      </c>
      <c r="C78" s="273">
        <v>1</v>
      </c>
      <c r="D78" s="2">
        <v>195</v>
      </c>
      <c r="E78" s="2"/>
      <c r="F78" s="75"/>
      <c r="G78" s="75"/>
      <c r="H78" s="75"/>
      <c r="I78" s="75"/>
      <c r="J78" s="75"/>
    </row>
    <row r="79" spans="1:10" ht="15" x14ac:dyDescent="0.4">
      <c r="A79" s="273" t="s">
        <v>1622</v>
      </c>
      <c r="C79" s="273">
        <v>1</v>
      </c>
      <c r="D79" s="11">
        <v>300</v>
      </c>
      <c r="E79" s="2"/>
      <c r="F79" s="3"/>
      <c r="G79" s="3"/>
      <c r="H79" s="3"/>
      <c r="I79" s="3"/>
      <c r="J79" s="3"/>
    </row>
    <row r="80" spans="1:10" ht="13.2" x14ac:dyDescent="0.25">
      <c r="D80" s="2">
        <f>SUM(D77:D79)</f>
        <v>2995</v>
      </c>
      <c r="E80" s="2"/>
      <c r="F80" s="3"/>
      <c r="G80" s="3"/>
      <c r="H80" s="3"/>
      <c r="I80" s="3"/>
      <c r="J80" s="3"/>
    </row>
    <row r="81" spans="1:10" ht="13.2" x14ac:dyDescent="0.25">
      <c r="A81" s="273" t="s">
        <v>396</v>
      </c>
      <c r="D81" s="2" t="s">
        <v>396</v>
      </c>
      <c r="E81" s="2"/>
      <c r="F81" s="3"/>
      <c r="G81" s="3"/>
      <c r="H81" s="3"/>
      <c r="I81" s="3"/>
      <c r="J81" s="3"/>
    </row>
    <row r="82" spans="1:10" ht="13.8" x14ac:dyDescent="0.3">
      <c r="A82" s="172" t="s">
        <v>2312</v>
      </c>
      <c r="B82" s="167"/>
      <c r="C82" s="167"/>
      <c r="D82" s="167"/>
      <c r="E82" s="2"/>
      <c r="F82" s="3">
        <v>0</v>
      </c>
      <c r="G82" s="3">
        <v>1350</v>
      </c>
      <c r="H82" s="3">
        <v>1350</v>
      </c>
      <c r="I82" s="3">
        <v>1350</v>
      </c>
      <c r="J82" s="3">
        <v>1350</v>
      </c>
    </row>
    <row r="83" spans="1:10" ht="13.2" x14ac:dyDescent="0.25">
      <c r="A83" s="173" t="s">
        <v>954</v>
      </c>
      <c r="B83" s="170" t="s">
        <v>244</v>
      </c>
      <c r="C83" s="170" t="s">
        <v>1635</v>
      </c>
      <c r="D83" s="170"/>
      <c r="E83" s="2"/>
      <c r="F83" s="3"/>
      <c r="G83" s="3"/>
      <c r="H83" s="3"/>
      <c r="I83" s="3"/>
      <c r="J83" s="3"/>
    </row>
    <row r="84" spans="1:10" ht="13.2" x14ac:dyDescent="0.25">
      <c r="A84" s="167" t="s">
        <v>2215</v>
      </c>
      <c r="B84" s="167">
        <v>3</v>
      </c>
      <c r="C84" s="167">
        <v>450</v>
      </c>
      <c r="D84" s="167">
        <f>C84*B84</f>
        <v>1350</v>
      </c>
      <c r="E84" s="2"/>
      <c r="F84" s="3"/>
      <c r="G84" s="3"/>
      <c r="H84" s="3"/>
      <c r="I84" s="3"/>
      <c r="J84" s="3"/>
    </row>
    <row r="85" spans="1:10" ht="13.2" x14ac:dyDescent="0.25">
      <c r="A85" s="167" t="s">
        <v>2216</v>
      </c>
      <c r="B85" s="167"/>
      <c r="C85" s="167"/>
      <c r="D85" s="167"/>
      <c r="E85" s="2"/>
      <c r="F85" s="3"/>
      <c r="G85" s="3"/>
      <c r="H85" s="3"/>
      <c r="I85" s="3"/>
      <c r="J85" s="3"/>
    </row>
    <row r="86" spans="1:10" ht="15" x14ac:dyDescent="0.4">
      <c r="A86" s="167" t="s">
        <v>2217</v>
      </c>
      <c r="B86" s="167"/>
      <c r="C86" s="167"/>
      <c r="D86" s="171"/>
      <c r="E86" s="2"/>
      <c r="F86" s="3"/>
      <c r="G86" s="3"/>
      <c r="H86" s="3"/>
      <c r="I86" s="3"/>
      <c r="J86" s="3"/>
    </row>
    <row r="87" spans="1:10" ht="13.2" x14ac:dyDescent="0.25">
      <c r="A87" s="174" t="s">
        <v>1247</v>
      </c>
      <c r="B87" s="167"/>
      <c r="C87" s="167"/>
      <c r="D87" s="167">
        <f>SUM(D84:D86)</f>
        <v>1350</v>
      </c>
      <c r="E87" s="2"/>
      <c r="F87" s="3"/>
      <c r="G87" s="3"/>
      <c r="H87" s="3"/>
      <c r="I87" s="3"/>
      <c r="J87" s="3"/>
    </row>
    <row r="88" spans="1:10" ht="13.8" x14ac:dyDescent="0.3">
      <c r="A88" s="276"/>
      <c r="E88" s="2"/>
      <c r="F88" s="3"/>
      <c r="G88" s="3"/>
      <c r="H88" s="3"/>
      <c r="I88" s="3"/>
      <c r="J88" s="3"/>
    </row>
    <row r="89" spans="1:10" ht="13.8" x14ac:dyDescent="0.3">
      <c r="A89" s="276" t="s">
        <v>1161</v>
      </c>
      <c r="D89" s="2"/>
      <c r="E89" s="2">
        <v>617</v>
      </c>
      <c r="F89" s="3">
        <v>655</v>
      </c>
      <c r="G89" s="3">
        <v>655</v>
      </c>
      <c r="H89" s="3">
        <v>655</v>
      </c>
      <c r="I89" s="3">
        <v>655</v>
      </c>
      <c r="J89" s="3">
        <v>655</v>
      </c>
    </row>
    <row r="90" spans="1:10" ht="13.2" x14ac:dyDescent="0.25">
      <c r="A90" s="273" t="s">
        <v>1579</v>
      </c>
      <c r="D90" s="2">
        <v>295</v>
      </c>
      <c r="E90" s="2"/>
      <c r="F90" s="3"/>
      <c r="G90" s="3"/>
      <c r="H90" s="3"/>
      <c r="I90" s="3"/>
      <c r="J90" s="3"/>
    </row>
    <row r="91" spans="1:10" ht="15" x14ac:dyDescent="0.4">
      <c r="A91" s="273" t="s">
        <v>1580</v>
      </c>
      <c r="D91" s="11">
        <v>360</v>
      </c>
      <c r="E91" s="2"/>
      <c r="F91" s="75"/>
      <c r="G91" s="75"/>
      <c r="H91" s="75"/>
      <c r="I91" s="75"/>
      <c r="J91" s="75"/>
    </row>
    <row r="92" spans="1:10" ht="13.2" x14ac:dyDescent="0.25">
      <c r="D92" s="2">
        <f>SUM(D90:D91)</f>
        <v>655</v>
      </c>
      <c r="E92" s="2"/>
      <c r="F92" s="3"/>
      <c r="G92" s="3"/>
      <c r="H92" s="3"/>
      <c r="I92" s="3"/>
      <c r="J92" s="3"/>
    </row>
    <row r="93" spans="1:10" ht="13.2" x14ac:dyDescent="0.25">
      <c r="D93" s="2"/>
      <c r="E93" s="2"/>
      <c r="F93" s="3"/>
      <c r="G93" s="3"/>
      <c r="H93" s="3"/>
      <c r="I93" s="3"/>
      <c r="J93" s="3"/>
    </row>
    <row r="94" spans="1:10" ht="13.2" x14ac:dyDescent="0.25">
      <c r="A94" s="133" t="s">
        <v>85</v>
      </c>
      <c r="E94" s="2">
        <v>0</v>
      </c>
      <c r="F94" s="3">
        <v>25</v>
      </c>
      <c r="G94" s="3">
        <v>25</v>
      </c>
      <c r="H94" s="3">
        <v>25</v>
      </c>
      <c r="I94" s="3">
        <v>25</v>
      </c>
      <c r="J94" s="3">
        <v>25</v>
      </c>
    </row>
    <row r="95" spans="1:10" ht="13.2" x14ac:dyDescent="0.25">
      <c r="A95" s="2" t="s">
        <v>320</v>
      </c>
      <c r="D95" s="273">
        <v>25</v>
      </c>
      <c r="E95" s="2"/>
      <c r="F95" s="3"/>
      <c r="G95" s="3"/>
      <c r="H95" s="3"/>
      <c r="I95" s="3"/>
      <c r="J95" s="3"/>
    </row>
    <row r="96" spans="1:10" ht="13.2" x14ac:dyDescent="0.25">
      <c r="E96" s="2"/>
      <c r="F96" s="75"/>
      <c r="G96" s="75"/>
      <c r="H96" s="75"/>
      <c r="I96" s="75"/>
      <c r="J96" s="75"/>
    </row>
    <row r="97" spans="1:10" ht="13.8" x14ac:dyDescent="0.3">
      <c r="A97" s="276" t="s">
        <v>1162</v>
      </c>
      <c r="E97" s="2">
        <v>1160.8900000000001</v>
      </c>
      <c r="F97" s="75">
        <v>1375</v>
      </c>
      <c r="G97" s="75">
        <v>1650</v>
      </c>
      <c r="H97" s="75">
        <v>1650</v>
      </c>
      <c r="I97" s="75">
        <v>1650</v>
      </c>
      <c r="J97" s="75">
        <v>1650</v>
      </c>
    </row>
    <row r="98" spans="1:10" ht="13.2" x14ac:dyDescent="0.25">
      <c r="A98" s="273" t="s">
        <v>1284</v>
      </c>
      <c r="B98" s="2">
        <v>600</v>
      </c>
      <c r="C98" s="12">
        <v>2.58</v>
      </c>
      <c r="D98" s="2">
        <f>+C98*B98</f>
        <v>1548</v>
      </c>
      <c r="E98" s="2"/>
      <c r="F98" s="75"/>
      <c r="G98" s="75"/>
      <c r="H98" s="75"/>
      <c r="I98" s="75"/>
      <c r="J98" s="75"/>
    </row>
    <row r="99" spans="1:10" ht="13.2" x14ac:dyDescent="0.25">
      <c r="B99" s="2"/>
      <c r="D99" s="14"/>
      <c r="E99" s="2"/>
      <c r="F99" s="3"/>
      <c r="G99" s="3"/>
      <c r="H99" s="3"/>
      <c r="I99" s="3"/>
      <c r="J99" s="3"/>
    </row>
    <row r="100" spans="1:10" ht="13.8" x14ac:dyDescent="0.3">
      <c r="A100" s="276" t="s">
        <v>1163</v>
      </c>
      <c r="B100" s="2"/>
      <c r="D100" s="14"/>
      <c r="E100" s="2">
        <v>1709.12</v>
      </c>
      <c r="F100" s="3">
        <v>2290</v>
      </c>
      <c r="G100" s="3">
        <v>2755</v>
      </c>
      <c r="H100" s="3">
        <v>2755</v>
      </c>
      <c r="I100" s="3">
        <v>2755</v>
      </c>
      <c r="J100" s="3">
        <v>2755</v>
      </c>
    </row>
    <row r="101" spans="1:10" ht="13.2" x14ac:dyDescent="0.25">
      <c r="A101" s="273" t="s">
        <v>959</v>
      </c>
      <c r="B101" s="2"/>
      <c r="D101" s="2">
        <v>775</v>
      </c>
      <c r="E101" s="2"/>
      <c r="F101" s="3"/>
      <c r="G101" s="3"/>
      <c r="H101" s="3"/>
      <c r="I101" s="3"/>
      <c r="J101" s="3"/>
    </row>
    <row r="102" spans="1:10" ht="13.2" x14ac:dyDescent="0.25">
      <c r="A102" s="2" t="s">
        <v>885</v>
      </c>
      <c r="B102" s="2">
        <v>12</v>
      </c>
      <c r="C102" s="2">
        <v>85</v>
      </c>
      <c r="D102" s="2">
        <f>C102*B102</f>
        <v>1020</v>
      </c>
      <c r="E102" s="2"/>
      <c r="F102" s="3"/>
      <c r="G102" s="3"/>
      <c r="H102" s="3"/>
      <c r="I102" s="3"/>
      <c r="J102" s="3"/>
    </row>
    <row r="103" spans="1:10" ht="13.2" x14ac:dyDescent="0.25">
      <c r="A103" s="2" t="s">
        <v>886</v>
      </c>
      <c r="B103" s="2">
        <v>12</v>
      </c>
      <c r="C103" s="2">
        <v>40</v>
      </c>
      <c r="D103" s="2">
        <f>C103*B103</f>
        <v>480</v>
      </c>
      <c r="E103" s="2"/>
      <c r="F103" s="75"/>
      <c r="G103" s="75"/>
      <c r="H103" s="75"/>
      <c r="I103" s="75"/>
      <c r="J103" s="75"/>
    </row>
    <row r="104" spans="1:10" ht="15" x14ac:dyDescent="0.4">
      <c r="A104" s="2" t="s">
        <v>887</v>
      </c>
      <c r="B104" s="2">
        <v>12</v>
      </c>
      <c r="C104" s="2">
        <v>40</v>
      </c>
      <c r="D104" s="11">
        <f>C104*B104</f>
        <v>480</v>
      </c>
      <c r="E104" s="2"/>
      <c r="F104" s="3"/>
      <c r="G104" s="3"/>
      <c r="H104" s="3"/>
      <c r="I104" s="3"/>
      <c r="J104" s="3"/>
    </row>
    <row r="105" spans="1:10" ht="13.2" x14ac:dyDescent="0.25">
      <c r="A105" s="273" t="s">
        <v>1247</v>
      </c>
      <c r="B105" s="2"/>
      <c r="D105" s="2">
        <f>SUM(D101:D104)</f>
        <v>2755</v>
      </c>
      <c r="E105" s="2"/>
      <c r="F105" s="3"/>
      <c r="G105" s="3"/>
      <c r="H105" s="3"/>
      <c r="I105" s="3"/>
      <c r="J105" s="3"/>
    </row>
    <row r="106" spans="1:10" ht="13.2" x14ac:dyDescent="0.25">
      <c r="B106" s="2"/>
      <c r="D106" s="2"/>
      <c r="E106" s="2"/>
      <c r="F106" s="3"/>
      <c r="G106" s="3"/>
      <c r="H106" s="3"/>
      <c r="I106" s="3"/>
      <c r="J106" s="3"/>
    </row>
    <row r="107" spans="1:10" ht="13.2" x14ac:dyDescent="0.25">
      <c r="D107" s="2"/>
      <c r="E107" s="2"/>
      <c r="F107" s="3"/>
      <c r="G107" s="3"/>
      <c r="H107" s="3"/>
      <c r="I107" s="3"/>
      <c r="J107" s="3"/>
    </row>
    <row r="108" spans="1:10" ht="13.8" x14ac:dyDescent="0.3">
      <c r="A108" s="276" t="s">
        <v>1164</v>
      </c>
      <c r="D108" s="2"/>
      <c r="E108" s="2">
        <v>575</v>
      </c>
      <c r="F108" s="3">
        <v>550</v>
      </c>
      <c r="G108" s="3">
        <v>800</v>
      </c>
      <c r="H108" s="3">
        <v>800</v>
      </c>
      <c r="I108" s="3">
        <v>800</v>
      </c>
      <c r="J108" s="3">
        <v>800</v>
      </c>
    </row>
    <row r="109" spans="1:10" ht="13.2" x14ac:dyDescent="0.25">
      <c r="A109" s="273" t="s">
        <v>1581</v>
      </c>
      <c r="B109" s="2">
        <v>1</v>
      </c>
      <c r="C109" s="273">
        <v>175</v>
      </c>
      <c r="D109" s="2">
        <f>C109*B109</f>
        <v>175</v>
      </c>
      <c r="E109" s="2"/>
      <c r="F109" s="3"/>
      <c r="G109" s="3"/>
      <c r="H109" s="3"/>
      <c r="I109" s="3"/>
      <c r="J109" s="3"/>
    </row>
    <row r="110" spans="1:10" ht="13.2" x14ac:dyDescent="0.25">
      <c r="A110" s="273" t="s">
        <v>2218</v>
      </c>
      <c r="B110" s="2">
        <v>1</v>
      </c>
      <c r="C110" s="273">
        <v>125</v>
      </c>
      <c r="D110" s="2">
        <f t="shared" ref="D110:D116" si="0">C110*B110</f>
        <v>125</v>
      </c>
      <c r="E110" s="2"/>
      <c r="F110" s="3"/>
      <c r="G110" s="3"/>
      <c r="H110" s="3"/>
      <c r="I110" s="3"/>
      <c r="J110" s="3"/>
    </row>
    <row r="111" spans="1:10" ht="13.2" x14ac:dyDescent="0.25">
      <c r="A111" s="273" t="s">
        <v>2013</v>
      </c>
      <c r="B111" s="2">
        <v>0</v>
      </c>
      <c r="C111" s="273">
        <v>125</v>
      </c>
      <c r="D111" s="2">
        <f t="shared" si="0"/>
        <v>0</v>
      </c>
      <c r="E111" s="2"/>
      <c r="F111" s="3"/>
      <c r="G111" s="3"/>
      <c r="H111" s="3"/>
      <c r="I111" s="3"/>
      <c r="J111" s="3"/>
    </row>
    <row r="112" spans="1:10" ht="13.2" x14ac:dyDescent="0.25">
      <c r="A112" s="273" t="s">
        <v>1582</v>
      </c>
      <c r="B112" s="2">
        <v>1</v>
      </c>
      <c r="C112" s="273">
        <v>75</v>
      </c>
      <c r="D112" s="2">
        <f t="shared" si="0"/>
        <v>75</v>
      </c>
      <c r="E112" s="2"/>
      <c r="F112" s="3"/>
      <c r="G112" s="3"/>
      <c r="H112" s="3"/>
      <c r="I112" s="3"/>
      <c r="J112" s="3"/>
    </row>
    <row r="113" spans="1:10" ht="13.2" x14ac:dyDescent="0.25">
      <c r="A113" s="273" t="s">
        <v>178</v>
      </c>
      <c r="B113" s="2">
        <v>3</v>
      </c>
      <c r="C113" s="273">
        <v>30</v>
      </c>
      <c r="D113" s="2">
        <f t="shared" si="0"/>
        <v>90</v>
      </c>
      <c r="E113" s="2"/>
      <c r="F113" s="3"/>
      <c r="G113" s="3"/>
      <c r="H113" s="3"/>
      <c r="I113" s="3"/>
      <c r="J113" s="3"/>
    </row>
    <row r="114" spans="1:10" ht="13.2" x14ac:dyDescent="0.25">
      <c r="A114" s="273" t="s">
        <v>1583</v>
      </c>
      <c r="B114" s="2">
        <v>1</v>
      </c>
      <c r="C114" s="273">
        <v>85</v>
      </c>
      <c r="D114" s="2">
        <f t="shared" si="0"/>
        <v>85</v>
      </c>
      <c r="E114" s="2"/>
      <c r="F114" s="3"/>
      <c r="G114" s="3"/>
      <c r="H114" s="3"/>
      <c r="I114" s="3"/>
      <c r="J114" s="3"/>
    </row>
    <row r="115" spans="1:10" ht="13.2" x14ac:dyDescent="0.25">
      <c r="A115" s="273" t="s">
        <v>1584</v>
      </c>
      <c r="B115" s="2">
        <v>1</v>
      </c>
      <c r="D115" s="2">
        <f t="shared" si="0"/>
        <v>0</v>
      </c>
      <c r="E115" s="2"/>
      <c r="F115" s="3"/>
      <c r="G115" s="3"/>
      <c r="H115" s="3"/>
      <c r="I115" s="3"/>
      <c r="J115" s="3"/>
    </row>
    <row r="116" spans="1:10" ht="15" x14ac:dyDescent="0.4">
      <c r="A116" s="273" t="s">
        <v>2219</v>
      </c>
      <c r="B116" s="2">
        <v>1</v>
      </c>
      <c r="C116" s="273">
        <v>250</v>
      </c>
      <c r="D116" s="11">
        <f t="shared" si="0"/>
        <v>250</v>
      </c>
      <c r="E116" s="2"/>
      <c r="F116" s="3"/>
      <c r="G116" s="3"/>
      <c r="H116" s="3"/>
      <c r="I116" s="3"/>
      <c r="J116" s="3"/>
    </row>
    <row r="117" spans="1:10" ht="13.2" x14ac:dyDescent="0.25">
      <c r="A117" s="273" t="s">
        <v>1247</v>
      </c>
      <c r="D117" s="2">
        <f>SUM(D109:D116)</f>
        <v>800</v>
      </c>
      <c r="E117" s="2"/>
      <c r="F117" s="3"/>
      <c r="G117" s="3"/>
      <c r="H117" s="3"/>
      <c r="I117" s="3"/>
      <c r="J117" s="3"/>
    </row>
    <row r="118" spans="1:10" ht="13.2" x14ac:dyDescent="0.25">
      <c r="D118" s="2"/>
      <c r="E118" s="2"/>
      <c r="F118" s="3"/>
      <c r="G118" s="3"/>
      <c r="H118" s="3"/>
      <c r="I118" s="3"/>
      <c r="J118" s="3"/>
    </row>
    <row r="119" spans="1:10" ht="13.8" x14ac:dyDescent="0.3">
      <c r="A119" s="17" t="s">
        <v>1165</v>
      </c>
      <c r="D119" s="2"/>
      <c r="E119" s="2">
        <v>2040.32</v>
      </c>
      <c r="F119" s="3">
        <v>2340</v>
      </c>
      <c r="G119" s="3">
        <v>2231</v>
      </c>
      <c r="H119" s="3">
        <v>2231</v>
      </c>
      <c r="I119" s="3">
        <v>2231</v>
      </c>
      <c r="J119" s="3">
        <v>2231</v>
      </c>
    </row>
    <row r="120" spans="1:10" ht="13.2" x14ac:dyDescent="0.25">
      <c r="A120" s="273" t="s">
        <v>870</v>
      </c>
      <c r="D120" s="2">
        <v>2231</v>
      </c>
      <c r="E120" s="2"/>
      <c r="F120" s="3"/>
      <c r="G120" s="3"/>
      <c r="H120" s="3"/>
      <c r="I120" s="3"/>
      <c r="J120" s="3"/>
    </row>
    <row r="121" spans="1:10" ht="13.2" x14ac:dyDescent="0.25">
      <c r="D121" s="2"/>
      <c r="E121" s="2"/>
      <c r="F121" s="3"/>
      <c r="G121" s="3"/>
      <c r="H121" s="3"/>
      <c r="I121" s="3"/>
      <c r="J121" s="3"/>
    </row>
    <row r="122" spans="1:10" ht="13.8" x14ac:dyDescent="0.3">
      <c r="A122" s="276" t="s">
        <v>1166</v>
      </c>
      <c r="D122" s="2"/>
      <c r="E122" s="2">
        <v>150</v>
      </c>
      <c r="F122" s="75">
        <v>350</v>
      </c>
      <c r="G122" s="75"/>
      <c r="H122" s="75"/>
      <c r="I122" s="75"/>
      <c r="J122" s="75"/>
    </row>
    <row r="123" spans="1:10" ht="13.2" x14ac:dyDescent="0.25">
      <c r="A123" s="273" t="s">
        <v>1623</v>
      </c>
      <c r="D123" s="2">
        <v>350</v>
      </c>
      <c r="E123" s="2"/>
      <c r="F123" s="3"/>
      <c r="G123" s="3"/>
      <c r="H123" s="3"/>
      <c r="I123" s="3"/>
      <c r="J123" s="3"/>
    </row>
    <row r="124" spans="1:10" ht="13.2" x14ac:dyDescent="0.25">
      <c r="D124" s="2"/>
      <c r="E124" s="2"/>
      <c r="F124" s="3"/>
      <c r="G124" s="3"/>
      <c r="H124" s="3"/>
      <c r="I124" s="3"/>
      <c r="J124" s="3"/>
    </row>
    <row r="125" spans="1:10" ht="13.8" x14ac:dyDescent="0.3">
      <c r="A125" s="54" t="s">
        <v>1624</v>
      </c>
      <c r="B125" s="283"/>
      <c r="C125" s="8"/>
      <c r="D125" s="8"/>
      <c r="E125" s="8">
        <v>1400</v>
      </c>
      <c r="F125" s="75">
        <v>2300</v>
      </c>
      <c r="G125" s="75">
        <v>2300</v>
      </c>
      <c r="H125" s="75">
        <v>2300</v>
      </c>
      <c r="I125" s="75">
        <v>2300</v>
      </c>
      <c r="J125" s="75">
        <v>2300</v>
      </c>
    </row>
    <row r="126" spans="1:10" ht="15" x14ac:dyDescent="0.4">
      <c r="A126" s="2" t="s">
        <v>1767</v>
      </c>
      <c r="B126" s="2">
        <v>1</v>
      </c>
      <c r="C126" s="2">
        <v>2300</v>
      </c>
      <c r="D126" s="9">
        <f>C126*B126</f>
        <v>2300</v>
      </c>
      <c r="E126" s="8"/>
      <c r="F126" s="3"/>
      <c r="G126" s="3"/>
      <c r="H126" s="3"/>
      <c r="I126" s="3"/>
      <c r="J126" s="3"/>
    </row>
    <row r="127" spans="1:10" ht="13.2" x14ac:dyDescent="0.25">
      <c r="A127" s="2"/>
      <c r="B127" s="2"/>
      <c r="C127" s="2"/>
      <c r="D127" s="8">
        <f>SUM(D126:D126)</f>
        <v>2300</v>
      </c>
      <c r="E127" s="8"/>
      <c r="F127" s="3"/>
      <c r="G127" s="3"/>
      <c r="H127" s="3"/>
      <c r="I127" s="3"/>
      <c r="J127" s="3"/>
    </row>
    <row r="128" spans="1:10" ht="13.2" x14ac:dyDescent="0.25">
      <c r="A128" s="273" t="s">
        <v>396</v>
      </c>
      <c r="D128" s="2" t="s">
        <v>396</v>
      </c>
      <c r="E128" s="2"/>
      <c r="F128" s="3"/>
      <c r="G128" s="3"/>
      <c r="H128" s="3"/>
      <c r="I128" s="3"/>
      <c r="J128" s="3"/>
    </row>
    <row r="129" spans="1:10" ht="13.8" x14ac:dyDescent="0.3">
      <c r="A129" s="276" t="s">
        <v>1167</v>
      </c>
      <c r="D129" s="2"/>
      <c r="E129" s="2">
        <v>3317.84</v>
      </c>
      <c r="F129" s="3">
        <v>2700</v>
      </c>
      <c r="G129" s="3">
        <v>3000</v>
      </c>
      <c r="H129" s="3">
        <v>3000</v>
      </c>
      <c r="I129" s="3">
        <v>3000</v>
      </c>
      <c r="J129" s="3">
        <v>3000</v>
      </c>
    </row>
    <row r="130" spans="1:10" ht="13.2" x14ac:dyDescent="0.25">
      <c r="A130" s="273" t="s">
        <v>176</v>
      </c>
      <c r="D130" s="2">
        <v>3000</v>
      </c>
      <c r="E130" s="2"/>
      <c r="F130" s="3"/>
      <c r="G130" s="3"/>
      <c r="H130" s="3"/>
      <c r="I130" s="3"/>
      <c r="J130" s="3"/>
    </row>
    <row r="131" spans="1:10" ht="15" x14ac:dyDescent="0.4">
      <c r="A131" s="2" t="s">
        <v>1625</v>
      </c>
      <c r="B131" s="2">
        <v>0</v>
      </c>
      <c r="C131" s="2">
        <v>0</v>
      </c>
      <c r="D131" s="11">
        <f>C131*B131</f>
        <v>0</v>
      </c>
      <c r="E131" s="2"/>
      <c r="F131" s="3"/>
      <c r="G131" s="3"/>
      <c r="H131" s="3"/>
      <c r="I131" s="3"/>
      <c r="J131" s="3"/>
    </row>
    <row r="132" spans="1:10" ht="13.2" x14ac:dyDescent="0.25">
      <c r="A132" s="24" t="s">
        <v>1247</v>
      </c>
      <c r="B132" s="2"/>
      <c r="C132" s="2"/>
      <c r="D132" s="2">
        <f>SUM(D130:D131)</f>
        <v>3000</v>
      </c>
      <c r="E132" s="2"/>
      <c r="F132" s="3"/>
      <c r="G132" s="3"/>
      <c r="H132" s="3"/>
      <c r="I132" s="3"/>
      <c r="J132" s="3"/>
    </row>
    <row r="133" spans="1:10" ht="13.2" x14ac:dyDescent="0.25">
      <c r="D133" s="2"/>
      <c r="E133" s="2"/>
      <c r="F133" s="3"/>
      <c r="G133" s="3"/>
      <c r="H133" s="3"/>
      <c r="I133" s="3"/>
      <c r="J133" s="3"/>
    </row>
    <row r="134" spans="1:10" ht="13.8" x14ac:dyDescent="0.3">
      <c r="A134" s="54" t="s">
        <v>574</v>
      </c>
      <c r="B134" s="19"/>
      <c r="C134" s="19"/>
      <c r="D134" s="19"/>
      <c r="E134" s="2">
        <v>3572.09</v>
      </c>
      <c r="F134" s="3">
        <v>2073</v>
      </c>
      <c r="G134" s="3">
        <v>2073</v>
      </c>
      <c r="H134" s="3">
        <v>2073</v>
      </c>
      <c r="I134" s="3">
        <v>2073</v>
      </c>
      <c r="J134" s="3">
        <v>2073</v>
      </c>
    </row>
    <row r="135" spans="1:10" ht="13.2" x14ac:dyDescent="0.25">
      <c r="A135" s="2" t="s">
        <v>1348</v>
      </c>
      <c r="B135" s="2"/>
      <c r="C135" s="2"/>
      <c r="D135" s="2">
        <v>198</v>
      </c>
      <c r="E135" s="2"/>
      <c r="F135" s="3"/>
      <c r="G135" s="3"/>
      <c r="H135" s="3"/>
      <c r="I135" s="3"/>
      <c r="J135" s="3"/>
    </row>
    <row r="136" spans="1:10" ht="13.2" x14ac:dyDescent="0.25">
      <c r="A136" s="2" t="s">
        <v>33</v>
      </c>
      <c r="B136" s="2"/>
      <c r="C136" s="2"/>
      <c r="D136" s="2">
        <v>875</v>
      </c>
      <c r="E136" s="2"/>
      <c r="F136" s="3"/>
      <c r="G136" s="3"/>
      <c r="H136" s="3"/>
      <c r="I136" s="3"/>
      <c r="J136" s="3"/>
    </row>
    <row r="137" spans="1:10" ht="15" x14ac:dyDescent="0.4">
      <c r="A137" s="2" t="s">
        <v>1533</v>
      </c>
      <c r="B137" s="2"/>
      <c r="C137" s="2"/>
      <c r="D137" s="11">
        <v>1000</v>
      </c>
      <c r="E137" s="2"/>
      <c r="F137" s="3"/>
      <c r="G137" s="3"/>
      <c r="H137" s="3"/>
      <c r="I137" s="3"/>
      <c r="J137" s="3"/>
    </row>
    <row r="138" spans="1:10" ht="13.2" x14ac:dyDescent="0.25">
      <c r="A138" s="24" t="s">
        <v>1247</v>
      </c>
      <c r="B138" s="2"/>
      <c r="C138" s="2"/>
      <c r="D138" s="2">
        <f>SUM(D135:D137)</f>
        <v>2073</v>
      </c>
      <c r="E138" s="2"/>
      <c r="F138" s="3"/>
      <c r="G138" s="3"/>
      <c r="H138" s="3"/>
      <c r="I138" s="3"/>
      <c r="J138" s="3"/>
    </row>
    <row r="139" spans="1:10" ht="13.2" x14ac:dyDescent="0.25">
      <c r="D139" s="2"/>
      <c r="E139" s="2"/>
      <c r="F139" s="3"/>
      <c r="G139" s="3"/>
      <c r="H139" s="3"/>
      <c r="I139" s="3"/>
      <c r="J139" s="3"/>
    </row>
    <row r="140" spans="1:10" ht="13.8" x14ac:dyDescent="0.3">
      <c r="A140" s="276" t="s">
        <v>1168</v>
      </c>
      <c r="E140" s="2">
        <v>240</v>
      </c>
      <c r="F140" s="3">
        <v>1850</v>
      </c>
      <c r="G140" s="3">
        <v>1850</v>
      </c>
      <c r="H140" s="3">
        <v>1850</v>
      </c>
      <c r="I140" s="3">
        <v>1850</v>
      </c>
      <c r="J140" s="3">
        <v>1850</v>
      </c>
    </row>
    <row r="141" spans="1:10" ht="13.8" x14ac:dyDescent="0.3">
      <c r="A141" s="124" t="s">
        <v>1585</v>
      </c>
      <c r="E141" s="2"/>
      <c r="F141" s="3"/>
      <c r="G141" s="3"/>
      <c r="H141" s="3"/>
      <c r="I141" s="3"/>
      <c r="J141" s="3"/>
    </row>
    <row r="142" spans="1:10" ht="13.2" x14ac:dyDescent="0.25">
      <c r="A142" s="23" t="s">
        <v>2014</v>
      </c>
      <c r="B142" s="273">
        <v>1</v>
      </c>
      <c r="C142" s="273">
        <v>450</v>
      </c>
      <c r="D142" s="2">
        <f>C142*B142</f>
        <v>450</v>
      </c>
      <c r="E142" s="2"/>
      <c r="F142" s="3"/>
      <c r="G142" s="3"/>
      <c r="H142" s="3"/>
      <c r="I142" s="3"/>
      <c r="J142" s="3"/>
    </row>
    <row r="143" spans="1:10" ht="13.2" x14ac:dyDescent="0.25">
      <c r="A143" s="23" t="s">
        <v>2015</v>
      </c>
      <c r="B143" s="273">
        <v>0</v>
      </c>
      <c r="C143" s="273">
        <v>300</v>
      </c>
      <c r="D143" s="2">
        <f>C143*B143</f>
        <v>0</v>
      </c>
      <c r="E143" s="2"/>
      <c r="F143" s="3"/>
      <c r="G143" s="3"/>
      <c r="H143" s="3"/>
      <c r="I143" s="3"/>
      <c r="J143" s="3"/>
    </row>
    <row r="144" spans="1:10" ht="13.2" x14ac:dyDescent="0.25">
      <c r="A144" s="273" t="s">
        <v>2016</v>
      </c>
      <c r="B144" s="273">
        <v>3</v>
      </c>
      <c r="C144" s="273">
        <v>200</v>
      </c>
      <c r="D144" s="2">
        <f>C144*B144</f>
        <v>600</v>
      </c>
      <c r="E144" s="2"/>
      <c r="F144" s="3"/>
      <c r="G144" s="3"/>
      <c r="H144" s="3"/>
      <c r="I144" s="3"/>
      <c r="J144" s="3"/>
    </row>
    <row r="145" spans="1:10" ht="13.2" x14ac:dyDescent="0.25">
      <c r="A145" s="273" t="s">
        <v>1626</v>
      </c>
      <c r="B145" s="273">
        <v>1</v>
      </c>
      <c r="C145" s="273">
        <v>400</v>
      </c>
      <c r="D145" s="2">
        <f>C145*B145</f>
        <v>400</v>
      </c>
      <c r="E145" s="2"/>
      <c r="F145" s="3"/>
      <c r="G145" s="3"/>
      <c r="H145" s="3"/>
      <c r="I145" s="3"/>
      <c r="J145" s="3"/>
    </row>
    <row r="146" spans="1:10" ht="15" x14ac:dyDescent="0.4">
      <c r="A146" s="273" t="s">
        <v>2017</v>
      </c>
      <c r="B146" s="273">
        <v>1</v>
      </c>
      <c r="C146" s="273">
        <v>400</v>
      </c>
      <c r="D146" s="11">
        <f>C146*B146</f>
        <v>400</v>
      </c>
      <c r="E146" s="2"/>
      <c r="F146" s="3"/>
      <c r="G146" s="3"/>
      <c r="H146" s="3"/>
      <c r="I146" s="3"/>
      <c r="J146" s="3"/>
    </row>
    <row r="147" spans="1:10" ht="13.2" x14ac:dyDescent="0.25">
      <c r="D147" s="2">
        <f>SUM(D142:D146)</f>
        <v>1850</v>
      </c>
      <c r="E147" s="2"/>
      <c r="F147" s="3"/>
      <c r="G147" s="3"/>
      <c r="H147" s="3"/>
      <c r="I147" s="3"/>
      <c r="J147" s="3"/>
    </row>
    <row r="148" spans="1:10" ht="13.2" x14ac:dyDescent="0.25">
      <c r="D148" s="2"/>
      <c r="E148" s="2"/>
      <c r="F148" s="3"/>
      <c r="G148" s="3"/>
      <c r="H148" s="3"/>
      <c r="I148" s="3"/>
      <c r="J148" s="3"/>
    </row>
    <row r="149" spans="1:10" ht="13.8" x14ac:dyDescent="0.3">
      <c r="A149" s="276" t="s">
        <v>1169</v>
      </c>
      <c r="D149" s="38"/>
      <c r="E149" s="2">
        <v>0</v>
      </c>
      <c r="F149" s="3">
        <v>900</v>
      </c>
      <c r="G149" s="3">
        <v>900</v>
      </c>
      <c r="H149" s="3">
        <v>900</v>
      </c>
      <c r="I149" s="3">
        <v>900</v>
      </c>
      <c r="J149" s="3">
        <v>900</v>
      </c>
    </row>
    <row r="150" spans="1:10" ht="13.2" x14ac:dyDescent="0.25">
      <c r="A150" s="273" t="s">
        <v>1367</v>
      </c>
      <c r="D150" s="2">
        <v>500</v>
      </c>
      <c r="E150" s="2"/>
      <c r="F150" s="3"/>
      <c r="G150" s="3"/>
      <c r="H150" s="3"/>
      <c r="I150" s="3"/>
      <c r="J150" s="3"/>
    </row>
    <row r="151" spans="1:10" ht="15" x14ac:dyDescent="0.4">
      <c r="A151" s="273" t="s">
        <v>222</v>
      </c>
      <c r="D151" s="11">
        <v>400</v>
      </c>
      <c r="E151" s="2"/>
      <c r="F151" s="3"/>
      <c r="G151" s="3"/>
      <c r="H151" s="3"/>
      <c r="I151" s="3"/>
      <c r="J151" s="3"/>
    </row>
    <row r="152" spans="1:10" ht="13.2" x14ac:dyDescent="0.25">
      <c r="A152" s="273" t="s">
        <v>1247</v>
      </c>
      <c r="D152" s="2">
        <f>SUM(D150:D151)</f>
        <v>900</v>
      </c>
      <c r="E152" s="2"/>
      <c r="F152" s="3"/>
      <c r="G152" s="3"/>
      <c r="H152" s="3"/>
      <c r="I152" s="3"/>
      <c r="J152" s="3"/>
    </row>
    <row r="153" spans="1:10" ht="13.2" x14ac:dyDescent="0.25">
      <c r="D153" s="2"/>
      <c r="E153" s="2"/>
      <c r="F153" s="3"/>
      <c r="G153" s="3"/>
      <c r="H153" s="3"/>
      <c r="I153" s="3"/>
      <c r="J153" s="3"/>
    </row>
    <row r="154" spans="1:10" ht="13.8" x14ac:dyDescent="0.3">
      <c r="A154" s="63" t="s">
        <v>1231</v>
      </c>
      <c r="B154" s="71"/>
      <c r="C154" s="62"/>
      <c r="D154" s="74" t="s">
        <v>396</v>
      </c>
      <c r="E154" s="74"/>
      <c r="F154" s="3"/>
      <c r="G154" s="3"/>
      <c r="H154" s="3"/>
      <c r="I154" s="3"/>
      <c r="J154" s="3"/>
    </row>
    <row r="155" spans="1:10" ht="15" x14ac:dyDescent="0.4">
      <c r="A155" s="42" t="s">
        <v>1232</v>
      </c>
      <c r="B155" s="46">
        <v>1</v>
      </c>
      <c r="C155" s="3">
        <v>15000</v>
      </c>
      <c r="D155" s="31">
        <f>C155*B155</f>
        <v>15000</v>
      </c>
      <c r="E155" s="73"/>
      <c r="F155" s="216">
        <v>0</v>
      </c>
      <c r="G155" s="3">
        <v>15000</v>
      </c>
      <c r="H155" s="3">
        <v>0</v>
      </c>
      <c r="I155" s="3">
        <v>0</v>
      </c>
      <c r="J155" s="3">
        <v>0</v>
      </c>
    </row>
    <row r="156" spans="1:10" ht="13.2" x14ac:dyDescent="0.25">
      <c r="A156" s="42"/>
      <c r="B156" s="46"/>
      <c r="C156" s="3"/>
      <c r="D156" s="3">
        <f>SUM(D155:D155)</f>
        <v>15000</v>
      </c>
      <c r="E156" s="73"/>
      <c r="F156" s="216"/>
      <c r="G156" s="216"/>
      <c r="H156" s="216"/>
      <c r="I156" s="216"/>
      <c r="J156" s="216"/>
    </row>
    <row r="157" spans="1:10" ht="13.2" x14ac:dyDescent="0.25">
      <c r="D157" s="2"/>
      <c r="E157" s="2"/>
      <c r="F157" s="3"/>
      <c r="G157" s="3"/>
      <c r="H157" s="3"/>
      <c r="I157" s="3"/>
      <c r="J157" s="3"/>
    </row>
    <row r="158" spans="1:10" ht="15" x14ac:dyDescent="0.4">
      <c r="A158" s="54" t="s">
        <v>575</v>
      </c>
      <c r="B158" s="8"/>
      <c r="C158" s="8"/>
      <c r="D158" s="8"/>
      <c r="E158" s="11">
        <v>6289</v>
      </c>
      <c r="F158" s="31">
        <v>2500</v>
      </c>
      <c r="G158" s="31">
        <v>2500</v>
      </c>
      <c r="H158" s="31">
        <v>2500</v>
      </c>
      <c r="I158" s="31">
        <v>2500</v>
      </c>
      <c r="J158" s="31">
        <v>2500</v>
      </c>
    </row>
    <row r="159" spans="1:10" ht="13.2" x14ac:dyDescent="0.25">
      <c r="A159" s="2" t="s">
        <v>1627</v>
      </c>
      <c r="B159" s="2">
        <v>2</v>
      </c>
      <c r="C159" s="2">
        <v>1250</v>
      </c>
      <c r="D159" s="2">
        <f>+C159*B159</f>
        <v>2500</v>
      </c>
      <c r="E159" s="2"/>
      <c r="F159" s="2"/>
      <c r="H159" s="2"/>
      <c r="I159" s="2"/>
      <c r="J159" s="2"/>
    </row>
    <row r="160" spans="1:10" ht="15" x14ac:dyDescent="0.4">
      <c r="A160" s="167" t="s">
        <v>1862</v>
      </c>
      <c r="B160" s="2">
        <v>0</v>
      </c>
      <c r="C160" s="2">
        <v>9900</v>
      </c>
      <c r="D160" s="11">
        <f>C160*B160</f>
        <v>0</v>
      </c>
      <c r="E160" s="2"/>
      <c r="F160" s="2"/>
      <c r="H160" s="2"/>
      <c r="I160" s="2"/>
      <c r="J160" s="2"/>
    </row>
    <row r="161" spans="1:10" ht="13.2" x14ac:dyDescent="0.25">
      <c r="A161" s="24" t="s">
        <v>1247</v>
      </c>
      <c r="B161" s="2"/>
      <c r="C161" s="2"/>
      <c r="D161" s="2">
        <f>SUM(D159:D160)</f>
        <v>2500</v>
      </c>
      <c r="E161" s="2"/>
      <c r="F161" s="2"/>
      <c r="H161" s="2"/>
      <c r="I161" s="2"/>
      <c r="J161" s="2"/>
    </row>
    <row r="162" spans="1:10" ht="12.75" customHeight="1" x14ac:dyDescent="0.3">
      <c r="A162" s="60" t="s">
        <v>396</v>
      </c>
      <c r="D162" s="2"/>
      <c r="E162" s="2"/>
      <c r="F162" s="2"/>
      <c r="H162" s="2"/>
      <c r="I162" s="2"/>
      <c r="J162" s="2"/>
    </row>
    <row r="163" spans="1:10" ht="12.75" customHeight="1" x14ac:dyDescent="0.25">
      <c r="A163" s="20" t="s">
        <v>1332</v>
      </c>
      <c r="D163" s="2"/>
      <c r="E163" s="2">
        <f t="shared" ref="E163:J163" si="1">SUM(E6:E160)</f>
        <v>341083.93000000005</v>
      </c>
      <c r="F163" s="2">
        <f t="shared" si="1"/>
        <v>392304</v>
      </c>
      <c r="G163" s="2">
        <f t="shared" si="1"/>
        <v>396945</v>
      </c>
      <c r="H163" s="2">
        <f t="shared" si="1"/>
        <v>383260</v>
      </c>
      <c r="I163" s="2">
        <f t="shared" si="1"/>
        <v>389606</v>
      </c>
      <c r="J163" s="2">
        <f t="shared" si="1"/>
        <v>389606</v>
      </c>
    </row>
    <row r="164" spans="1:10" ht="12.75" customHeight="1" x14ac:dyDescent="0.25">
      <c r="A164" s="20"/>
      <c r="D164" s="2"/>
      <c r="E164" s="2"/>
      <c r="F164" s="2"/>
      <c r="H164" s="2"/>
      <c r="I164" s="2"/>
      <c r="J164" s="2"/>
    </row>
    <row r="165" spans="1:10" ht="12.75" customHeight="1" x14ac:dyDescent="0.25">
      <c r="A165" s="273" t="s">
        <v>594</v>
      </c>
      <c r="E165" s="2">
        <f t="shared" ref="E165:J165" si="2">SUM(E6:E74)</f>
        <v>317426.11</v>
      </c>
      <c r="F165" s="2">
        <f t="shared" si="2"/>
        <v>369401</v>
      </c>
      <c r="G165" s="2">
        <f t="shared" si="2"/>
        <v>356861</v>
      </c>
      <c r="H165" s="2">
        <f t="shared" si="2"/>
        <v>358176</v>
      </c>
      <c r="I165" s="2">
        <f t="shared" si="2"/>
        <v>364522</v>
      </c>
      <c r="J165" s="2">
        <f t="shared" si="2"/>
        <v>364522</v>
      </c>
    </row>
    <row r="166" spans="1:10" ht="12.75" customHeight="1" x14ac:dyDescent="0.25">
      <c r="A166" s="273" t="s">
        <v>957</v>
      </c>
      <c r="E166" s="2">
        <f t="shared" ref="E166:J166" si="3">SUM(E76:E152)</f>
        <v>17368.82</v>
      </c>
      <c r="F166" s="2">
        <f t="shared" si="3"/>
        <v>20403</v>
      </c>
      <c r="G166" s="2">
        <f t="shared" si="3"/>
        <v>22584</v>
      </c>
      <c r="H166" s="2">
        <f t="shared" si="3"/>
        <v>22584</v>
      </c>
      <c r="I166" s="2">
        <f t="shared" si="3"/>
        <v>22584</v>
      </c>
      <c r="J166" s="2">
        <f t="shared" si="3"/>
        <v>22584</v>
      </c>
    </row>
    <row r="167" spans="1:10" ht="12.75" customHeight="1" x14ac:dyDescent="0.4">
      <c r="A167" s="273" t="s">
        <v>958</v>
      </c>
      <c r="E167" s="11">
        <f t="shared" ref="E167:J167" si="4">+SUM(E155:E158)</f>
        <v>6289</v>
      </c>
      <c r="F167" s="11">
        <f t="shared" si="4"/>
        <v>2500</v>
      </c>
      <c r="G167" s="11">
        <f t="shared" si="4"/>
        <v>17500</v>
      </c>
      <c r="H167" s="11">
        <f t="shared" si="4"/>
        <v>2500</v>
      </c>
      <c r="I167" s="11">
        <f t="shared" si="4"/>
        <v>2500</v>
      </c>
      <c r="J167" s="11">
        <f t="shared" si="4"/>
        <v>2500</v>
      </c>
    </row>
    <row r="168" spans="1:10" ht="12.75" customHeight="1" x14ac:dyDescent="0.25">
      <c r="E168" s="2">
        <f t="shared" ref="E168:J168" si="5">SUM(E165:E167)</f>
        <v>341083.93</v>
      </c>
      <c r="F168" s="2">
        <f t="shared" si="5"/>
        <v>392304</v>
      </c>
      <c r="G168" s="2">
        <f t="shared" si="5"/>
        <v>396945</v>
      </c>
      <c r="H168" s="2">
        <f t="shared" si="5"/>
        <v>383260</v>
      </c>
      <c r="I168" s="2">
        <f t="shared" si="5"/>
        <v>389606</v>
      </c>
      <c r="J168" s="2">
        <f t="shared" si="5"/>
        <v>389606</v>
      </c>
    </row>
    <row r="169" spans="1:10" ht="12.75" customHeight="1" x14ac:dyDescent="0.25">
      <c r="F169" s="2"/>
      <c r="H169" s="2"/>
      <c r="I169" s="2"/>
      <c r="J169" s="2"/>
    </row>
    <row r="170" spans="1:10" ht="12.75" customHeight="1" x14ac:dyDescent="0.25">
      <c r="H170" s="2"/>
      <c r="I170" s="2"/>
      <c r="J170" s="2"/>
    </row>
    <row r="171" spans="1:10" ht="12.75" customHeight="1" x14ac:dyDescent="0.25">
      <c r="H171" s="2"/>
      <c r="I171" s="2"/>
      <c r="J171" s="2"/>
    </row>
    <row r="172" spans="1:10" ht="12.75" customHeight="1" x14ac:dyDescent="0.25">
      <c r="H172" s="2"/>
      <c r="I172" s="2"/>
      <c r="J172" s="2"/>
    </row>
    <row r="173" spans="1:10" ht="12.75" customHeight="1" x14ac:dyDescent="0.25">
      <c r="H173" s="2"/>
      <c r="I173" s="2"/>
      <c r="J173" s="2"/>
    </row>
    <row r="174" spans="1:10" ht="12.75" customHeight="1" x14ac:dyDescent="0.25">
      <c r="H174" s="2"/>
      <c r="I174" s="2"/>
      <c r="J174" s="2"/>
    </row>
    <row r="175" spans="1:10" ht="12.75" customHeight="1" x14ac:dyDescent="0.25">
      <c r="H175" s="2"/>
      <c r="I175" s="2"/>
      <c r="J175" s="2"/>
    </row>
    <row r="176" spans="1:10" ht="12.75" customHeight="1" x14ac:dyDescent="0.25">
      <c r="H176" s="2"/>
      <c r="I176" s="2"/>
      <c r="J176" s="2"/>
    </row>
    <row r="177" spans="8:10" ht="12.75" customHeight="1" x14ac:dyDescent="0.25">
      <c r="H177" s="2"/>
      <c r="I177" s="2"/>
      <c r="J177" s="2"/>
    </row>
    <row r="178" spans="8:10" ht="12.75" customHeight="1" x14ac:dyDescent="0.25">
      <c r="H178" s="2"/>
      <c r="I178" s="2"/>
      <c r="J178" s="2"/>
    </row>
    <row r="179" spans="8:10" ht="12.75" customHeight="1" x14ac:dyDescent="0.25">
      <c r="H179" s="2"/>
      <c r="I179" s="2"/>
      <c r="J179" s="2"/>
    </row>
    <row r="180" spans="8:10" ht="12.75" customHeight="1" x14ac:dyDescent="0.25">
      <c r="H180" s="2"/>
      <c r="I180" s="2"/>
      <c r="J180" s="2"/>
    </row>
    <row r="181" spans="8:10" ht="12.75" customHeight="1" x14ac:dyDescent="0.25">
      <c r="H181" s="2"/>
      <c r="I181" s="2"/>
      <c r="J181" s="2"/>
    </row>
    <row r="182" spans="8:10" ht="12.75" customHeight="1" x14ac:dyDescent="0.25">
      <c r="H182" s="2"/>
      <c r="I182" s="2"/>
      <c r="J182" s="2"/>
    </row>
    <row r="183" spans="8:10" ht="12.75" customHeight="1" x14ac:dyDescent="0.25">
      <c r="H183" s="2"/>
      <c r="I183" s="2"/>
      <c r="J183" s="2"/>
    </row>
    <row r="184" spans="8:10" ht="12.75" customHeight="1" x14ac:dyDescent="0.25">
      <c r="H184" s="2"/>
      <c r="I184" s="2"/>
      <c r="J184" s="2"/>
    </row>
    <row r="185" spans="8:10" ht="12.75" customHeight="1" x14ac:dyDescent="0.25">
      <c r="H185" s="2"/>
      <c r="I185" s="2"/>
      <c r="J185" s="2"/>
    </row>
    <row r="186" spans="8:10" ht="12.75" customHeight="1" x14ac:dyDescent="0.25">
      <c r="H186" s="2"/>
      <c r="I186" s="2"/>
      <c r="J186" s="2"/>
    </row>
    <row r="187" spans="8:10" ht="12.75" customHeight="1" x14ac:dyDescent="0.25">
      <c r="H187" s="2"/>
      <c r="I187" s="2"/>
      <c r="J187" s="2"/>
    </row>
    <row r="188" spans="8:10" ht="12.75" customHeight="1" x14ac:dyDescent="0.25">
      <c r="H188" s="2"/>
      <c r="I188" s="2"/>
      <c r="J188" s="2"/>
    </row>
    <row r="189" spans="8:10" ht="12.75" customHeight="1" x14ac:dyDescent="0.25">
      <c r="H189" s="2"/>
      <c r="I189" s="2"/>
      <c r="J189" s="2"/>
    </row>
    <row r="190" spans="8:10" ht="12.75" customHeight="1" x14ac:dyDescent="0.25">
      <c r="H190" s="2"/>
      <c r="I190" s="2"/>
      <c r="J190" s="2"/>
    </row>
    <row r="191" spans="8:10" ht="12.75" customHeight="1" x14ac:dyDescent="0.25">
      <c r="H191" s="2"/>
      <c r="I191" s="2"/>
      <c r="J191" s="2"/>
    </row>
    <row r="192" spans="8:10" ht="12.75" customHeight="1" x14ac:dyDescent="0.25">
      <c r="H192" s="2"/>
      <c r="I192" s="2"/>
      <c r="J192" s="2"/>
    </row>
    <row r="193" spans="8:10" ht="12.75" customHeight="1" x14ac:dyDescent="0.25">
      <c r="H193" s="2"/>
      <c r="I193" s="2"/>
      <c r="J193" s="2"/>
    </row>
    <row r="194" spans="8:10" ht="12.75" customHeight="1" x14ac:dyDescent="0.25">
      <c r="H194" s="2"/>
      <c r="I194" s="2"/>
      <c r="J194" s="2"/>
    </row>
    <row r="195" spans="8:10" ht="12.75" customHeight="1" x14ac:dyDescent="0.25">
      <c r="H195" s="2"/>
      <c r="I195" s="2"/>
      <c r="J195" s="2"/>
    </row>
    <row r="196" spans="8:10" ht="12.75" customHeight="1" x14ac:dyDescent="0.25">
      <c r="I196" s="295"/>
      <c r="J196" s="298"/>
    </row>
    <row r="197" spans="8:10" ht="12.75" customHeight="1" x14ac:dyDescent="0.25">
      <c r="I197" s="295"/>
      <c r="J197" s="298"/>
    </row>
    <row r="198" spans="8:10" ht="12.75" customHeight="1" x14ac:dyDescent="0.25">
      <c r="I198" s="295"/>
      <c r="J198" s="298"/>
    </row>
    <row r="199" spans="8:10" ht="12.75" customHeight="1" x14ac:dyDescent="0.25">
      <c r="I199" s="295"/>
      <c r="J199" s="298"/>
    </row>
    <row r="200" spans="8:10" ht="12.75" customHeight="1" x14ac:dyDescent="0.25">
      <c r="I200" s="295"/>
      <c r="J200" s="298"/>
    </row>
    <row r="201" spans="8:10" ht="12.75" customHeight="1" x14ac:dyDescent="0.25">
      <c r="I201" s="295"/>
      <c r="J201" s="298"/>
    </row>
    <row r="202" spans="8:10" ht="12.75" customHeight="1" x14ac:dyDescent="0.25">
      <c r="I202" s="295"/>
      <c r="J202" s="298"/>
    </row>
    <row r="203" spans="8:10" ht="12.75" customHeight="1" x14ac:dyDescent="0.25">
      <c r="I203" s="295"/>
      <c r="J203" s="298"/>
    </row>
    <row r="204" spans="8:10" ht="12.75" customHeight="1" x14ac:dyDescent="0.25">
      <c r="I204" s="295"/>
      <c r="J204" s="298"/>
    </row>
    <row r="205" spans="8:10" ht="12.75" customHeight="1" x14ac:dyDescent="0.25">
      <c r="I205" s="295"/>
      <c r="J205" s="298"/>
    </row>
    <row r="206" spans="8:10" ht="12.75" customHeight="1" x14ac:dyDescent="0.25">
      <c r="I206" s="295"/>
      <c r="J206" s="298"/>
    </row>
    <row r="207" spans="8:10" ht="12.75" customHeight="1" x14ac:dyDescent="0.25">
      <c r="I207" s="295"/>
      <c r="J207" s="298"/>
    </row>
    <row r="208" spans="8:10" ht="12.75" customHeight="1" x14ac:dyDescent="0.25">
      <c r="I208" s="295"/>
      <c r="J208" s="298"/>
    </row>
    <row r="209" spans="9:10" ht="12.75" customHeight="1" x14ac:dyDescent="0.25">
      <c r="I209" s="295"/>
      <c r="J209" s="298"/>
    </row>
    <row r="210" spans="9:10" ht="12.75" customHeight="1" x14ac:dyDescent="0.25">
      <c r="I210" s="295"/>
      <c r="J210" s="298"/>
    </row>
    <row r="211" spans="9:10" ht="12.75" customHeight="1" x14ac:dyDescent="0.25">
      <c r="I211" s="295"/>
      <c r="J211" s="298"/>
    </row>
    <row r="212" spans="9:10" ht="12.75" customHeight="1" x14ac:dyDescent="0.25">
      <c r="J212" s="298"/>
    </row>
    <row r="213" spans="9:10" ht="12.75" customHeight="1" x14ac:dyDescent="0.25">
      <c r="J213" s="298"/>
    </row>
    <row r="214" spans="9:10" ht="12.75" customHeight="1" x14ac:dyDescent="0.25">
      <c r="J214" s="298"/>
    </row>
    <row r="215" spans="9:10" ht="12.75" customHeight="1" x14ac:dyDescent="0.25">
      <c r="J215" s="298"/>
    </row>
    <row r="216" spans="9:10" ht="12.75" customHeight="1" x14ac:dyDescent="0.25">
      <c r="J216" s="298"/>
    </row>
    <row r="217" spans="9:10" ht="12.75" customHeight="1" x14ac:dyDescent="0.25">
      <c r="J217" s="298"/>
    </row>
    <row r="218" spans="9:10" ht="12.75" customHeight="1" x14ac:dyDescent="0.25">
      <c r="J218" s="298"/>
    </row>
    <row r="219" spans="9:10" ht="12.75" customHeight="1" x14ac:dyDescent="0.25">
      <c r="J219" s="298"/>
    </row>
    <row r="220" spans="9:10" ht="12.75" customHeight="1" x14ac:dyDescent="0.25">
      <c r="J220" s="298"/>
    </row>
    <row r="221" spans="9:10" ht="12.75" customHeight="1" x14ac:dyDescent="0.25">
      <c r="J221" s="298"/>
    </row>
    <row r="222" spans="9:10" ht="12.75" customHeight="1" x14ac:dyDescent="0.25">
      <c r="J222" s="298"/>
    </row>
    <row r="223" spans="9:10" ht="12.75" customHeight="1" x14ac:dyDescent="0.25">
      <c r="J223" s="298"/>
    </row>
    <row r="224" spans="9:10" ht="12.75" customHeight="1" x14ac:dyDescent="0.25">
      <c r="J224" s="298"/>
    </row>
    <row r="225" spans="10:10" ht="12.75" customHeight="1" x14ac:dyDescent="0.25">
      <c r="J225" s="298"/>
    </row>
    <row r="226" spans="10:10" ht="12.75" customHeight="1" x14ac:dyDescent="0.25">
      <c r="J226" s="298"/>
    </row>
    <row r="227" spans="10:10" ht="12.75" customHeight="1" x14ac:dyDescent="0.25">
      <c r="J227" s="298"/>
    </row>
    <row r="228" spans="10:10" ht="12.75" customHeight="1" x14ac:dyDescent="0.25">
      <c r="J228" s="298"/>
    </row>
    <row r="229" spans="10:10" ht="12.75" customHeight="1" x14ac:dyDescent="0.25">
      <c r="J229" s="298"/>
    </row>
    <row r="230" spans="10:10" ht="12.75" customHeight="1" x14ac:dyDescent="0.25">
      <c r="J230" s="298"/>
    </row>
    <row r="231" spans="10:10" ht="12.75" customHeight="1" x14ac:dyDescent="0.25">
      <c r="J231" s="298"/>
    </row>
    <row r="232" spans="10:10" ht="12.75" customHeight="1" x14ac:dyDescent="0.25">
      <c r="J232" s="298"/>
    </row>
    <row r="233" spans="10:10" ht="12.75" customHeight="1" x14ac:dyDescent="0.25">
      <c r="J233" s="298"/>
    </row>
    <row r="234" spans="10:10" ht="12.75" customHeight="1" x14ac:dyDescent="0.25">
      <c r="J234" s="298"/>
    </row>
    <row r="235" spans="10:10" ht="12.75" customHeight="1" x14ac:dyDescent="0.25">
      <c r="J235" s="298"/>
    </row>
    <row r="236" spans="10:10" ht="12.75" customHeight="1" x14ac:dyDescent="0.25">
      <c r="J236" s="298"/>
    </row>
    <row r="237" spans="10:10" ht="12.75" customHeight="1" x14ac:dyDescent="0.25">
      <c r="J237" s="298"/>
    </row>
    <row r="238" spans="10:10" ht="12.75" customHeight="1" x14ac:dyDescent="0.25">
      <c r="J238" s="298"/>
    </row>
    <row r="239" spans="10:10" ht="12.75" customHeight="1" x14ac:dyDescent="0.25">
      <c r="J239" s="298"/>
    </row>
    <row r="240" spans="10:10" ht="12.75" customHeight="1" x14ac:dyDescent="0.25">
      <c r="J240" s="298"/>
    </row>
    <row r="241" spans="10:10" ht="12.75" customHeight="1" x14ac:dyDescent="0.25">
      <c r="J241" s="298"/>
    </row>
    <row r="242" spans="10:10" ht="12.75" customHeight="1" x14ac:dyDescent="0.25">
      <c r="J242" s="298"/>
    </row>
    <row r="243" spans="10:10" ht="12.75" customHeight="1" x14ac:dyDescent="0.25">
      <c r="J243" s="298"/>
    </row>
    <row r="244" spans="10:10" ht="12.75" customHeight="1" x14ac:dyDescent="0.25">
      <c r="J244" s="298"/>
    </row>
    <row r="245" spans="10:10" ht="12.75" customHeight="1" x14ac:dyDescent="0.25">
      <c r="J245" s="298"/>
    </row>
    <row r="246" spans="10:10" ht="12.75" customHeight="1" x14ac:dyDescent="0.25">
      <c r="J246" s="298"/>
    </row>
    <row r="247" spans="10:10" ht="12.75" customHeight="1" x14ac:dyDescent="0.25">
      <c r="J247" s="298"/>
    </row>
    <row r="248" spans="10:10" ht="12.75" customHeight="1" x14ac:dyDescent="0.25">
      <c r="J248" s="298"/>
    </row>
    <row r="249" spans="10:10" ht="12.75" customHeight="1" x14ac:dyDescent="0.25">
      <c r="J249" s="298"/>
    </row>
    <row r="250" spans="10:10" ht="12.75" customHeight="1" x14ac:dyDescent="0.25">
      <c r="J250" s="298"/>
    </row>
    <row r="251" spans="10:10" ht="12.75" customHeight="1" x14ac:dyDescent="0.25">
      <c r="J251" s="298"/>
    </row>
  </sheetData>
  <mergeCells count="1">
    <mergeCell ref="A1:J1"/>
  </mergeCells>
  <phoneticPr fontId="5" type="noConversion"/>
  <printOptions gridLines="1"/>
  <pageMargins left="0.75" right="0.16" top="0.51" bottom="0.22" header="0.5" footer="0.5"/>
  <pageSetup scale="94" fitToHeight="4" orientation="landscape" r:id="rId1"/>
  <headerFooter alignWithMargins="0"/>
  <rowBreaks count="1" manualBreakCount="1">
    <brk id="107" max="9"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J201"/>
  <sheetViews>
    <sheetView view="pageBreakPreview" zoomScaleNormal="100" zoomScaleSheetLayoutView="100" workbookViewId="0">
      <selection sqref="A1:J1"/>
    </sheetView>
  </sheetViews>
  <sheetFormatPr defaultColWidth="8.88671875" defaultRowHeight="13.2" x14ac:dyDescent="0.25"/>
  <cols>
    <col min="1" max="1" width="44.44140625" style="7" customWidth="1"/>
    <col min="2" max="2" width="8.6640625" style="7" bestFit="1" customWidth="1"/>
    <col min="3" max="3" width="9.6640625" style="7" bestFit="1" customWidth="1"/>
    <col min="4" max="4" width="11" style="7" bestFit="1" customWidth="1"/>
    <col min="5" max="5" width="13.6640625" style="7" customWidth="1"/>
    <col min="6" max="6" width="10.33203125" style="7" bestFit="1" customWidth="1"/>
    <col min="7" max="7" width="14.44140625" style="7" bestFit="1" customWidth="1"/>
    <col min="8" max="8" width="14" style="7" bestFit="1" customWidth="1"/>
    <col min="9" max="10" width="9.5546875" style="7" customWidth="1"/>
    <col min="11" max="11" width="0" style="7" hidden="1" customWidth="1"/>
    <col min="12" max="16384" width="8.88671875" style="7"/>
  </cols>
  <sheetData>
    <row r="1" spans="1:10" x14ac:dyDescent="0.25">
      <c r="A1" s="307" t="str">
        <f>'SUMMARY BY FUND'!A1:J1</f>
        <v>2019-20 BUDGET</v>
      </c>
      <c r="B1" s="308"/>
      <c r="C1" s="308"/>
      <c r="D1" s="308"/>
      <c r="E1" s="308"/>
      <c r="F1" s="308"/>
      <c r="G1" s="308"/>
      <c r="H1" s="308"/>
      <c r="I1" s="308"/>
      <c r="J1" s="308"/>
    </row>
    <row r="2" spans="1:10" ht="17.399999999999999" x14ac:dyDescent="0.3">
      <c r="A2" s="180" t="s">
        <v>1940</v>
      </c>
      <c r="B2" s="180"/>
      <c r="C2" s="180"/>
      <c r="D2" s="180"/>
      <c r="E2" s="180"/>
      <c r="F2" s="180"/>
    </row>
    <row r="3" spans="1:10" x14ac:dyDescent="0.25">
      <c r="B3" s="2"/>
      <c r="C3" s="2"/>
      <c r="D3" s="2"/>
      <c r="E3" s="2"/>
      <c r="F3" s="2"/>
    </row>
    <row r="4" spans="1:10" x14ac:dyDescent="0.25">
      <c r="B4" s="2"/>
      <c r="C4" s="2"/>
      <c r="D4" s="2"/>
      <c r="E4" s="195" t="s">
        <v>233</v>
      </c>
      <c r="F4" s="195" t="s">
        <v>234</v>
      </c>
      <c r="G4" s="195" t="s">
        <v>70</v>
      </c>
      <c r="H4" s="195" t="s">
        <v>409</v>
      </c>
      <c r="I4" s="16" t="s">
        <v>314</v>
      </c>
      <c r="J4" s="16" t="s">
        <v>345</v>
      </c>
    </row>
    <row r="5" spans="1:10" ht="15" x14ac:dyDescent="0.4">
      <c r="B5" s="2"/>
      <c r="C5" s="2"/>
      <c r="D5" s="2"/>
      <c r="E5" s="225" t="s">
        <v>1794</v>
      </c>
      <c r="F5" s="225" t="s">
        <v>1970</v>
      </c>
      <c r="G5" s="225" t="s">
        <v>2129</v>
      </c>
      <c r="H5" s="225" t="s">
        <v>2129</v>
      </c>
      <c r="I5" s="225" t="s">
        <v>2129</v>
      </c>
      <c r="J5" s="225" t="s">
        <v>2129</v>
      </c>
    </row>
    <row r="6" spans="1:10" ht="13.8" x14ac:dyDescent="0.3">
      <c r="A6" s="204" t="s">
        <v>2</v>
      </c>
      <c r="B6" s="2"/>
      <c r="C6" s="2"/>
      <c r="D6" s="2"/>
      <c r="E6" s="2">
        <v>50564.800000000003</v>
      </c>
      <c r="F6" s="2">
        <v>52104</v>
      </c>
      <c r="G6" s="2">
        <v>52104</v>
      </c>
      <c r="H6" s="2">
        <v>52104</v>
      </c>
      <c r="I6" s="2">
        <v>53664</v>
      </c>
      <c r="J6" s="2">
        <v>53664</v>
      </c>
    </row>
    <row r="7" spans="1:10" x14ac:dyDescent="0.25">
      <c r="A7" s="202" t="s">
        <v>444</v>
      </c>
      <c r="B7" s="2">
        <v>52</v>
      </c>
      <c r="C7" s="2">
        <v>1032</v>
      </c>
      <c r="D7" s="2">
        <f>ROUND(B7*C7,0)</f>
        <v>53664</v>
      </c>
      <c r="E7" s="2"/>
      <c r="F7" s="2"/>
      <c r="G7" s="2"/>
      <c r="H7" s="2"/>
      <c r="I7" s="2"/>
      <c r="J7" s="2"/>
    </row>
    <row r="8" spans="1:10" x14ac:dyDescent="0.25">
      <c r="A8" s="202"/>
      <c r="B8" s="2"/>
      <c r="C8" s="2"/>
      <c r="D8" s="2"/>
      <c r="E8" s="2"/>
      <c r="F8" s="2"/>
      <c r="G8" s="2"/>
      <c r="H8" s="2"/>
      <c r="I8" s="2"/>
      <c r="J8" s="2"/>
    </row>
    <row r="9" spans="1:10" ht="13.8" x14ac:dyDescent="0.3">
      <c r="A9" s="204" t="s">
        <v>239</v>
      </c>
      <c r="B9" s="2"/>
      <c r="C9" s="2"/>
      <c r="D9" s="2"/>
      <c r="E9" s="2">
        <v>189675.2</v>
      </c>
      <c r="F9" s="2">
        <v>196366</v>
      </c>
      <c r="G9" s="2">
        <v>196366</v>
      </c>
      <c r="H9" s="2">
        <v>196366</v>
      </c>
      <c r="I9" s="2">
        <v>203292</v>
      </c>
      <c r="J9" s="2">
        <v>203292</v>
      </c>
    </row>
    <row r="10" spans="1:10" x14ac:dyDescent="0.25">
      <c r="A10" s="202" t="s">
        <v>240</v>
      </c>
      <c r="B10" s="2">
        <v>52</v>
      </c>
      <c r="C10" s="2">
        <v>2119</v>
      </c>
      <c r="D10" s="2">
        <f>ROUND(B10*C10,0)</f>
        <v>110188</v>
      </c>
      <c r="E10" s="2"/>
      <c r="F10" s="2"/>
      <c r="G10" s="2"/>
      <c r="H10" s="2"/>
      <c r="I10" s="2"/>
      <c r="J10" s="2"/>
    </row>
    <row r="11" spans="1:10" x14ac:dyDescent="0.25">
      <c r="A11" s="202" t="s">
        <v>1546</v>
      </c>
      <c r="B11" s="2">
        <v>52</v>
      </c>
      <c r="C11" s="2">
        <v>1750</v>
      </c>
      <c r="D11" s="2">
        <f>ROUND(B11*C11,0)</f>
        <v>91000</v>
      </c>
      <c r="E11" s="2"/>
      <c r="F11" s="2"/>
      <c r="G11" s="2"/>
      <c r="H11" s="2"/>
      <c r="I11" s="2"/>
      <c r="J11" s="2"/>
    </row>
    <row r="12" spans="1:10" ht="15" x14ac:dyDescent="0.4">
      <c r="A12" s="202" t="s">
        <v>973</v>
      </c>
      <c r="B12" s="2" t="s">
        <v>396</v>
      </c>
      <c r="C12" s="2" t="s">
        <v>396</v>
      </c>
      <c r="D12" s="11">
        <f>+C10-15</f>
        <v>2104</v>
      </c>
      <c r="E12" s="2"/>
      <c r="F12" s="2"/>
      <c r="G12" s="2"/>
      <c r="H12" s="2"/>
      <c r="I12" s="2"/>
      <c r="J12" s="2"/>
    </row>
    <row r="13" spans="1:10" x14ac:dyDescent="0.25">
      <c r="A13" s="202" t="s">
        <v>1247</v>
      </c>
      <c r="B13" s="2"/>
      <c r="C13" s="2"/>
      <c r="D13" s="2">
        <f>SUM(D10:D12)</f>
        <v>203292</v>
      </c>
      <c r="E13" s="2"/>
      <c r="F13" s="2"/>
      <c r="G13" s="2"/>
      <c r="H13" s="2"/>
      <c r="I13" s="2"/>
      <c r="J13" s="2"/>
    </row>
    <row r="14" spans="1:10" x14ac:dyDescent="0.25">
      <c r="A14" s="202"/>
      <c r="B14" s="2"/>
      <c r="C14" s="2"/>
      <c r="D14" s="2"/>
      <c r="E14" s="2"/>
      <c r="F14" s="2"/>
      <c r="G14" s="2"/>
      <c r="H14" s="2"/>
      <c r="I14" s="2"/>
      <c r="J14" s="2"/>
    </row>
    <row r="15" spans="1:10" ht="13.8" x14ac:dyDescent="0.3">
      <c r="A15" s="204" t="s">
        <v>800</v>
      </c>
      <c r="B15" s="202"/>
      <c r="C15" s="202"/>
      <c r="D15" s="2"/>
      <c r="E15" s="2">
        <v>20045.75</v>
      </c>
      <c r="F15" s="2">
        <v>19120</v>
      </c>
      <c r="G15" s="2">
        <v>19120</v>
      </c>
      <c r="H15" s="2">
        <v>19120</v>
      </c>
      <c r="I15" s="2">
        <v>19120</v>
      </c>
      <c r="J15" s="2">
        <v>19120</v>
      </c>
    </row>
    <row r="16" spans="1:10" x14ac:dyDescent="0.25">
      <c r="A16" s="202" t="s">
        <v>2055</v>
      </c>
      <c r="B16" s="2">
        <v>1320</v>
      </c>
      <c r="C16" s="14">
        <v>14</v>
      </c>
      <c r="D16" s="2">
        <f>ROUND(B16*C16,0)</f>
        <v>18480</v>
      </c>
      <c r="E16" s="2"/>
      <c r="F16" s="2"/>
      <c r="G16" s="2"/>
      <c r="H16" s="2"/>
      <c r="I16" s="2"/>
      <c r="J16" s="2"/>
    </row>
    <row r="17" spans="1:10" s="197" customFormat="1" ht="15" x14ac:dyDescent="0.4">
      <c r="A17" s="202" t="s">
        <v>1693</v>
      </c>
      <c r="B17" s="2">
        <v>64</v>
      </c>
      <c r="C17" s="14">
        <v>10</v>
      </c>
      <c r="D17" s="11">
        <f>+C17*B17</f>
        <v>640</v>
      </c>
      <c r="E17" s="2"/>
      <c r="F17" s="2"/>
      <c r="G17" s="2"/>
      <c r="H17" s="2"/>
      <c r="I17" s="2"/>
      <c r="J17" s="2"/>
    </row>
    <row r="18" spans="1:10" x14ac:dyDescent="0.25">
      <c r="A18" s="202"/>
      <c r="B18" s="2"/>
      <c r="C18" s="14"/>
      <c r="D18" s="2">
        <f>SUM(D16:D17)</f>
        <v>19120</v>
      </c>
      <c r="E18" s="2"/>
      <c r="F18" s="2"/>
      <c r="G18" s="2"/>
      <c r="H18" s="2"/>
      <c r="I18" s="2"/>
      <c r="J18" s="2"/>
    </row>
    <row r="19" spans="1:10" x14ac:dyDescent="0.25">
      <c r="A19" s="202"/>
      <c r="B19" s="2"/>
      <c r="C19" s="14"/>
      <c r="D19" s="2"/>
      <c r="E19" s="2"/>
      <c r="F19" s="2"/>
      <c r="G19" s="2"/>
      <c r="H19" s="2"/>
      <c r="I19" s="2"/>
      <c r="J19" s="2"/>
    </row>
    <row r="20" spans="1:10" s="192" customFormat="1" x14ac:dyDescent="0.25">
      <c r="A20" s="202"/>
      <c r="B20" s="2"/>
      <c r="C20" s="14"/>
      <c r="D20" s="2"/>
      <c r="E20" s="2"/>
      <c r="F20" s="2"/>
      <c r="G20" s="2"/>
      <c r="H20" s="2"/>
      <c r="I20" s="2"/>
      <c r="J20" s="2"/>
    </row>
    <row r="21" spans="1:10" s="192" customFormat="1" ht="13.8" x14ac:dyDescent="0.3">
      <c r="A21" s="54" t="s">
        <v>1972</v>
      </c>
      <c r="B21" s="2"/>
      <c r="C21" s="14"/>
      <c r="D21" s="2"/>
      <c r="E21" s="2">
        <v>0</v>
      </c>
      <c r="F21" s="2">
        <v>0</v>
      </c>
      <c r="G21" s="2"/>
      <c r="H21" s="2"/>
      <c r="I21" s="2"/>
      <c r="J21" s="2"/>
    </row>
    <row r="22" spans="1:10" s="192" customFormat="1" ht="13.8" x14ac:dyDescent="0.3">
      <c r="A22" s="54"/>
      <c r="B22" s="2"/>
      <c r="C22" s="14"/>
      <c r="D22" s="2"/>
      <c r="E22" s="2"/>
      <c r="F22" s="2"/>
      <c r="G22" s="2"/>
      <c r="H22" s="2"/>
      <c r="I22" s="2"/>
      <c r="J22" s="2"/>
    </row>
    <row r="23" spans="1:10" s="192" customFormat="1" x14ac:dyDescent="0.25">
      <c r="A23" s="202"/>
      <c r="B23" s="2"/>
      <c r="C23" s="14"/>
      <c r="D23" s="2"/>
      <c r="E23" s="2"/>
      <c r="F23" s="2"/>
      <c r="G23" s="2"/>
      <c r="H23" s="2"/>
      <c r="I23" s="2"/>
      <c r="J23" s="2"/>
    </row>
    <row r="24" spans="1:10" s="192" customFormat="1" ht="13.8" x14ac:dyDescent="0.3">
      <c r="A24" s="204" t="s">
        <v>201</v>
      </c>
      <c r="B24" s="202"/>
      <c r="C24" s="202"/>
      <c r="D24" s="2"/>
      <c r="E24" s="2">
        <v>19963.34</v>
      </c>
      <c r="F24" s="2">
        <v>20471</v>
      </c>
      <c r="G24" s="2">
        <v>20471</v>
      </c>
      <c r="H24" s="2">
        <v>20471</v>
      </c>
      <c r="I24" s="2">
        <v>21120</v>
      </c>
      <c r="J24" s="2">
        <v>21120</v>
      </c>
    </row>
    <row r="25" spans="1:10" x14ac:dyDescent="0.25">
      <c r="A25" s="13" t="s">
        <v>896</v>
      </c>
      <c r="B25" s="2">
        <f>+D7</f>
        <v>53664</v>
      </c>
      <c r="C25" s="14">
        <v>7.6499999999999999E-2</v>
      </c>
      <c r="D25" s="2">
        <f>ROUND(B25*C25,0)</f>
        <v>4105</v>
      </c>
      <c r="E25" s="2"/>
      <c r="F25" s="2"/>
      <c r="G25" s="2"/>
      <c r="H25" s="2"/>
      <c r="I25" s="2"/>
      <c r="J25" s="2"/>
    </row>
    <row r="26" spans="1:10" x14ac:dyDescent="0.25">
      <c r="A26" s="13" t="s">
        <v>1468</v>
      </c>
      <c r="B26" s="2">
        <f>+D13</f>
        <v>203292</v>
      </c>
      <c r="C26" s="14">
        <v>7.6499999999999999E-2</v>
      </c>
      <c r="D26" s="2">
        <f>ROUND(B26*C26,0)</f>
        <v>15552</v>
      </c>
      <c r="E26" s="2"/>
      <c r="F26" s="2"/>
      <c r="G26" s="2"/>
      <c r="H26" s="2"/>
      <c r="I26" s="2"/>
      <c r="J26" s="2"/>
    </row>
    <row r="27" spans="1:10" ht="15" x14ac:dyDescent="0.4">
      <c r="A27" s="13" t="s">
        <v>184</v>
      </c>
      <c r="B27" s="2">
        <f>+D18</f>
        <v>19120</v>
      </c>
      <c r="C27" s="14">
        <v>7.6499999999999999E-2</v>
      </c>
      <c r="D27" s="11">
        <f>ROUND(B27*C27,0)</f>
        <v>1463</v>
      </c>
      <c r="E27" s="2"/>
      <c r="F27" s="2"/>
      <c r="G27" s="2"/>
      <c r="H27" s="2"/>
      <c r="I27" s="2"/>
      <c r="J27" s="2"/>
    </row>
    <row r="28" spans="1:10" x14ac:dyDescent="0.25">
      <c r="A28" s="202" t="s">
        <v>1247</v>
      </c>
      <c r="B28" s="202"/>
      <c r="C28" s="202"/>
      <c r="D28" s="2">
        <f>SUM(D25:D27)</f>
        <v>21120</v>
      </c>
      <c r="E28" s="2"/>
      <c r="F28" s="2"/>
      <c r="G28" s="2"/>
      <c r="H28" s="2"/>
      <c r="I28" s="2"/>
      <c r="J28" s="2"/>
    </row>
    <row r="29" spans="1:10" x14ac:dyDescent="0.25">
      <c r="A29" s="202"/>
      <c r="B29" s="202"/>
      <c r="C29" s="202"/>
      <c r="D29" s="2"/>
      <c r="E29" s="2"/>
      <c r="F29" s="2"/>
      <c r="G29" s="2"/>
      <c r="H29" s="2"/>
      <c r="I29" s="2"/>
      <c r="J29" s="2"/>
    </row>
    <row r="30" spans="1:10" ht="13.8" x14ac:dyDescent="0.3">
      <c r="A30" s="15" t="s">
        <v>202</v>
      </c>
      <c r="B30" s="202"/>
      <c r="C30" s="202"/>
      <c r="D30" s="2"/>
      <c r="E30" s="2">
        <v>27339.52</v>
      </c>
      <c r="F30" s="2">
        <v>28275</v>
      </c>
      <c r="G30" s="2">
        <v>27754</v>
      </c>
      <c r="H30" s="2">
        <v>27754</v>
      </c>
      <c r="I30" s="2">
        <v>28702</v>
      </c>
      <c r="J30" s="2">
        <v>28702</v>
      </c>
    </row>
    <row r="31" spans="1:10" x14ac:dyDescent="0.25">
      <c r="A31" s="13" t="s">
        <v>896</v>
      </c>
      <c r="B31" s="2">
        <f>+B25</f>
        <v>53664</v>
      </c>
      <c r="C31" s="14">
        <v>0.11169999999999999</v>
      </c>
      <c r="D31" s="2">
        <f>ROUND(B31*C31,0)</f>
        <v>5994</v>
      </c>
      <c r="E31" s="2"/>
      <c r="F31" s="2"/>
      <c r="G31" s="2"/>
      <c r="H31" s="2"/>
      <c r="I31" s="2"/>
      <c r="J31" s="2"/>
    </row>
    <row r="32" spans="1:10" ht="15" x14ac:dyDescent="0.4">
      <c r="A32" s="13" t="s">
        <v>1468</v>
      </c>
      <c r="B32" s="2">
        <f>+D13</f>
        <v>203292</v>
      </c>
      <c r="C32" s="14">
        <v>0.11169999999999999</v>
      </c>
      <c r="D32" s="11">
        <f>ROUND(B32*C32,0)</f>
        <v>22708</v>
      </c>
      <c r="E32" s="2"/>
      <c r="F32" s="2"/>
      <c r="G32" s="2"/>
      <c r="H32" s="2"/>
      <c r="I32" s="2"/>
      <c r="J32" s="2"/>
    </row>
    <row r="33" spans="1:10" x14ac:dyDescent="0.25">
      <c r="A33" s="202" t="s">
        <v>1247</v>
      </c>
      <c r="B33" s="202" t="s">
        <v>396</v>
      </c>
      <c r="C33" s="2" t="s">
        <v>396</v>
      </c>
      <c r="D33" s="2">
        <f>SUM(D31:D32)</f>
        <v>28702</v>
      </c>
      <c r="E33" s="2"/>
      <c r="F33" s="2"/>
      <c r="G33" s="2"/>
      <c r="H33" s="2"/>
      <c r="I33" s="2"/>
      <c r="J33" s="2"/>
    </row>
    <row r="34" spans="1:10" x14ac:dyDescent="0.25">
      <c r="A34" s="202"/>
      <c r="B34" s="202"/>
      <c r="C34" s="202"/>
      <c r="D34" s="2"/>
      <c r="E34" s="2"/>
      <c r="F34" s="2"/>
      <c r="G34" s="2"/>
      <c r="H34" s="2"/>
      <c r="I34" s="2"/>
      <c r="J34" s="2"/>
    </row>
    <row r="35" spans="1:10" ht="13.8" x14ac:dyDescent="0.3">
      <c r="A35" s="204" t="s">
        <v>646</v>
      </c>
      <c r="B35" s="202"/>
      <c r="C35" s="202"/>
      <c r="D35" s="2"/>
      <c r="E35" s="2">
        <v>49389.78</v>
      </c>
      <c r="F35" s="2">
        <v>54900</v>
      </c>
      <c r="G35" s="2">
        <v>55800</v>
      </c>
      <c r="H35" s="2">
        <v>57075</v>
      </c>
      <c r="I35" s="2">
        <v>57075</v>
      </c>
      <c r="J35" s="2">
        <v>57075</v>
      </c>
    </row>
    <row r="36" spans="1:10" x14ac:dyDescent="0.25">
      <c r="A36" s="202" t="s">
        <v>416</v>
      </c>
      <c r="B36" s="2">
        <v>3</v>
      </c>
      <c r="C36" s="2">
        <v>19025</v>
      </c>
      <c r="D36" s="2">
        <f>ROUND(B36*C36,0)</f>
        <v>57075</v>
      </c>
      <c r="E36" s="2"/>
      <c r="F36" s="2"/>
      <c r="G36" s="2"/>
      <c r="H36" s="2"/>
      <c r="I36" s="2"/>
      <c r="J36" s="2"/>
    </row>
    <row r="37" spans="1:10" x14ac:dyDescent="0.25">
      <c r="A37" s="202"/>
      <c r="B37" s="202"/>
      <c r="C37" s="202"/>
      <c r="D37" s="2"/>
      <c r="E37" s="2"/>
      <c r="F37" s="2"/>
      <c r="G37" s="2"/>
      <c r="H37" s="2"/>
      <c r="I37" s="2"/>
      <c r="J37" s="2"/>
    </row>
    <row r="38" spans="1:10" ht="13.8" x14ac:dyDescent="0.3">
      <c r="A38" s="204" t="s">
        <v>1002</v>
      </c>
      <c r="B38" s="202"/>
      <c r="C38" s="202"/>
      <c r="D38" s="2"/>
      <c r="E38" s="2">
        <v>3522.45</v>
      </c>
      <c r="F38" s="2">
        <v>3510</v>
      </c>
      <c r="G38" s="2">
        <v>3605</v>
      </c>
      <c r="H38" s="2">
        <v>3645</v>
      </c>
      <c r="I38" s="2">
        <v>3645</v>
      </c>
      <c r="J38" s="2">
        <v>3645</v>
      </c>
    </row>
    <row r="39" spans="1:10" x14ac:dyDescent="0.25">
      <c r="A39" s="202" t="s">
        <v>416</v>
      </c>
      <c r="B39" s="2">
        <v>3</v>
      </c>
      <c r="C39" s="2">
        <v>1350</v>
      </c>
      <c r="D39" s="2">
        <f>ROUND(B39*C39,0)</f>
        <v>4050</v>
      </c>
      <c r="E39" s="2"/>
      <c r="F39" s="2"/>
      <c r="G39" s="2"/>
      <c r="H39" s="2"/>
      <c r="I39" s="2"/>
      <c r="J39" s="2"/>
    </row>
    <row r="40" spans="1:10" ht="15" x14ac:dyDescent="0.4">
      <c r="A40" s="202" t="s">
        <v>227</v>
      </c>
      <c r="B40" s="202"/>
      <c r="C40" s="202"/>
      <c r="D40" s="11">
        <f>+C39*-0.1*3</f>
        <v>-405</v>
      </c>
      <c r="E40" s="2"/>
      <c r="F40" s="2"/>
      <c r="G40" s="2"/>
      <c r="H40" s="2"/>
      <c r="I40" s="2"/>
      <c r="J40" s="2"/>
    </row>
    <row r="41" spans="1:10" x14ac:dyDescent="0.25">
      <c r="A41" s="202" t="s">
        <v>1247</v>
      </c>
      <c r="B41" s="202"/>
      <c r="C41" s="202"/>
      <c r="D41" s="2">
        <f>SUM(D39:D40)</f>
        <v>3645</v>
      </c>
      <c r="E41" s="2"/>
      <c r="F41" s="2"/>
      <c r="G41" s="2"/>
      <c r="H41" s="2"/>
      <c r="I41" s="2"/>
      <c r="J41" s="2"/>
    </row>
    <row r="42" spans="1:10" x14ac:dyDescent="0.25">
      <c r="A42" s="202"/>
      <c r="B42" s="202"/>
      <c r="C42" s="202"/>
      <c r="D42" s="2"/>
      <c r="E42" s="2"/>
      <c r="F42" s="2"/>
      <c r="G42" s="2"/>
      <c r="H42" s="2"/>
      <c r="I42" s="2"/>
      <c r="J42" s="2"/>
    </row>
    <row r="43" spans="1:10" ht="13.8" x14ac:dyDescent="0.3">
      <c r="A43" s="204" t="s">
        <v>790</v>
      </c>
      <c r="B43" s="202"/>
      <c r="C43" s="202"/>
      <c r="D43" s="2"/>
      <c r="E43" s="2">
        <v>528.72</v>
      </c>
      <c r="F43" s="2">
        <v>405</v>
      </c>
      <c r="G43" s="2">
        <v>405</v>
      </c>
      <c r="H43" s="2">
        <v>405</v>
      </c>
      <c r="I43" s="2">
        <v>405</v>
      </c>
      <c r="J43" s="2">
        <v>405</v>
      </c>
    </row>
    <row r="44" spans="1:10" hidden="1" x14ac:dyDescent="0.25">
      <c r="A44" s="202" t="s">
        <v>416</v>
      </c>
      <c r="B44" s="2">
        <v>3</v>
      </c>
      <c r="C44" s="2">
        <v>135</v>
      </c>
      <c r="D44" s="2">
        <f>ROUND(B44*C44,0)</f>
        <v>405</v>
      </c>
      <c r="E44" s="2"/>
      <c r="F44" s="2"/>
      <c r="G44" s="2"/>
      <c r="H44" s="2"/>
      <c r="I44" s="2"/>
      <c r="J44" s="2"/>
    </row>
    <row r="45" spans="1:10" x14ac:dyDescent="0.25">
      <c r="A45" s="202"/>
      <c r="B45" s="202"/>
      <c r="C45" s="202"/>
      <c r="D45" s="2"/>
      <c r="E45" s="2"/>
      <c r="F45" s="2"/>
      <c r="G45" s="2"/>
      <c r="H45" s="2"/>
      <c r="I45" s="2"/>
      <c r="J45" s="2"/>
    </row>
    <row r="46" spans="1:10" ht="13.8" x14ac:dyDescent="0.3">
      <c r="A46" s="204" t="s">
        <v>791</v>
      </c>
      <c r="B46" s="202"/>
      <c r="C46" s="202"/>
      <c r="D46" s="2"/>
      <c r="E46" s="2">
        <v>1547.17</v>
      </c>
      <c r="F46" s="2">
        <v>1890</v>
      </c>
      <c r="G46" s="2">
        <v>1800</v>
      </c>
      <c r="H46" s="2">
        <v>1800</v>
      </c>
      <c r="I46" s="2">
        <v>1800</v>
      </c>
      <c r="J46" s="2">
        <v>1800</v>
      </c>
    </row>
    <row r="47" spans="1:10" hidden="1" x14ac:dyDescent="0.25">
      <c r="A47" s="202" t="s">
        <v>416</v>
      </c>
      <c r="B47" s="2">
        <v>3</v>
      </c>
      <c r="C47" s="2">
        <v>600</v>
      </c>
      <c r="D47" s="2">
        <f>ROUND(B47*C47,0)</f>
        <v>1800</v>
      </c>
      <c r="E47" s="2"/>
      <c r="F47" s="2"/>
      <c r="G47" s="2"/>
      <c r="H47" s="2"/>
      <c r="I47" s="2"/>
      <c r="J47" s="2"/>
    </row>
    <row r="48" spans="1:10" x14ac:dyDescent="0.25">
      <c r="A48" s="202"/>
      <c r="B48" s="202"/>
      <c r="C48" s="202"/>
      <c r="D48" s="2"/>
      <c r="E48" s="2"/>
      <c r="F48" s="2"/>
      <c r="G48" s="2"/>
      <c r="H48" s="2"/>
      <c r="I48" s="2"/>
      <c r="J48" s="2"/>
    </row>
    <row r="49" spans="1:10" ht="13.8" x14ac:dyDescent="0.3">
      <c r="A49" s="204" t="s">
        <v>792</v>
      </c>
      <c r="B49" s="202"/>
      <c r="C49" s="202"/>
      <c r="D49" s="2"/>
      <c r="E49" s="2">
        <v>2528.98</v>
      </c>
      <c r="F49" s="2">
        <v>3197</v>
      </c>
      <c r="G49" s="2">
        <v>3072</v>
      </c>
      <c r="H49" s="2">
        <v>3072</v>
      </c>
      <c r="I49" s="2">
        <v>3179</v>
      </c>
      <c r="J49" s="2">
        <v>3179</v>
      </c>
    </row>
    <row r="50" spans="1:10" x14ac:dyDescent="0.25">
      <c r="A50" s="13" t="s">
        <v>896</v>
      </c>
      <c r="B50" s="2">
        <f>+B31</f>
        <v>53664</v>
      </c>
      <c r="C50" s="14">
        <v>1.5E-3</v>
      </c>
      <c r="D50" s="2">
        <f>ROUND(B50*C50,0)</f>
        <v>80</v>
      </c>
      <c r="E50" s="2"/>
      <c r="F50" s="2"/>
      <c r="G50" s="2"/>
      <c r="H50" s="2"/>
      <c r="I50" s="2"/>
      <c r="J50" s="2"/>
    </row>
    <row r="51" spans="1:10" x14ac:dyDescent="0.25">
      <c r="A51" s="13" t="s">
        <v>1468</v>
      </c>
      <c r="B51" s="2">
        <f>+D13</f>
        <v>203292</v>
      </c>
      <c r="C51" s="14">
        <v>1.5100000000000001E-2</v>
      </c>
      <c r="D51" s="2">
        <f>ROUND(B51*C51,0)</f>
        <v>3070</v>
      </c>
      <c r="E51" s="2"/>
      <c r="F51" s="2"/>
      <c r="G51" s="2"/>
      <c r="H51" s="2"/>
      <c r="I51" s="2"/>
      <c r="J51" s="2"/>
    </row>
    <row r="52" spans="1:10" ht="15" x14ac:dyDescent="0.4">
      <c r="A52" s="13" t="s">
        <v>184</v>
      </c>
      <c r="B52" s="2">
        <f>+D18</f>
        <v>19120</v>
      </c>
      <c r="C52" s="14">
        <v>1.5E-3</v>
      </c>
      <c r="D52" s="11">
        <f>ROUND(B52*C52,0)</f>
        <v>29</v>
      </c>
      <c r="E52" s="2"/>
      <c r="F52" s="2"/>
      <c r="G52" s="2"/>
      <c r="H52" s="2"/>
      <c r="I52" s="2"/>
      <c r="J52" s="2"/>
    </row>
    <row r="53" spans="1:10" x14ac:dyDescent="0.25">
      <c r="A53" s="202" t="s">
        <v>1247</v>
      </c>
      <c r="B53" s="202"/>
      <c r="C53" s="202"/>
      <c r="D53" s="2">
        <f>SUM(D50:D52)</f>
        <v>3179</v>
      </c>
      <c r="E53" s="2"/>
      <c r="F53" s="2"/>
      <c r="G53" s="2"/>
      <c r="H53" s="2"/>
      <c r="I53" s="2"/>
      <c r="J53" s="2"/>
    </row>
    <row r="54" spans="1:10" x14ac:dyDescent="0.25">
      <c r="A54" s="202"/>
      <c r="B54" s="202"/>
      <c r="C54" s="202"/>
      <c r="D54" s="2"/>
      <c r="E54" s="2"/>
      <c r="F54" s="2"/>
      <c r="G54" s="2"/>
      <c r="H54" s="2"/>
      <c r="I54" s="2"/>
      <c r="J54" s="2"/>
    </row>
    <row r="55" spans="1:10" ht="13.8" x14ac:dyDescent="0.3">
      <c r="A55" s="204" t="s">
        <v>350</v>
      </c>
      <c r="B55" s="202"/>
      <c r="C55" s="202"/>
      <c r="D55" s="2"/>
      <c r="E55" s="2">
        <v>93.94</v>
      </c>
      <c r="F55" s="2">
        <v>112</v>
      </c>
      <c r="G55" s="2">
        <v>112</v>
      </c>
      <c r="H55" s="2">
        <v>112</v>
      </c>
      <c r="I55" s="2">
        <v>112</v>
      </c>
      <c r="J55" s="2">
        <v>112</v>
      </c>
    </row>
    <row r="56" spans="1:10" hidden="1" x14ac:dyDescent="0.25">
      <c r="A56" s="13" t="s">
        <v>896</v>
      </c>
      <c r="B56" s="2">
        <v>1</v>
      </c>
      <c r="C56" s="2">
        <v>26</v>
      </c>
      <c r="D56" s="2">
        <f>ROUND(B56*C56,0)</f>
        <v>26</v>
      </c>
      <c r="E56" s="2"/>
      <c r="F56" s="2"/>
      <c r="G56" s="2"/>
      <c r="H56" s="2"/>
      <c r="I56" s="2"/>
      <c r="J56" s="2"/>
    </row>
    <row r="57" spans="1:10" hidden="1" x14ac:dyDescent="0.25">
      <c r="A57" s="13" t="s">
        <v>1468</v>
      </c>
      <c r="B57" s="2">
        <v>2</v>
      </c>
      <c r="C57" s="2">
        <v>26</v>
      </c>
      <c r="D57" s="2">
        <f>ROUND(B57*C57,0)</f>
        <v>52</v>
      </c>
      <c r="E57" s="2"/>
      <c r="F57" s="2"/>
      <c r="G57" s="2"/>
      <c r="H57" s="2"/>
      <c r="I57" s="2"/>
      <c r="J57" s="2"/>
    </row>
    <row r="58" spans="1:10" ht="15" hidden="1" x14ac:dyDescent="0.4">
      <c r="A58" s="13" t="s">
        <v>184</v>
      </c>
      <c r="B58" s="2">
        <f>D18</f>
        <v>19120</v>
      </c>
      <c r="C58" s="14">
        <v>1.8E-3</v>
      </c>
      <c r="D58" s="11">
        <f>ROUND(B58*C58,0)</f>
        <v>34</v>
      </c>
      <c r="E58" s="2"/>
      <c r="F58" s="2"/>
      <c r="G58" s="2"/>
      <c r="H58" s="2"/>
      <c r="I58" s="2"/>
      <c r="J58" s="2"/>
    </row>
    <row r="59" spans="1:10" hidden="1" x14ac:dyDescent="0.25">
      <c r="A59" s="202" t="s">
        <v>1247</v>
      </c>
      <c r="B59" s="202"/>
      <c r="C59" s="202"/>
      <c r="D59" s="2">
        <f>SUM(D56:D58)</f>
        <v>112</v>
      </c>
      <c r="E59" s="2"/>
      <c r="F59" s="2"/>
      <c r="G59" s="2"/>
      <c r="H59" s="2"/>
      <c r="I59" s="2"/>
      <c r="J59" s="2"/>
    </row>
    <row r="60" spans="1:10" x14ac:dyDescent="0.25">
      <c r="A60" s="202"/>
      <c r="B60" s="202"/>
      <c r="C60" s="202"/>
      <c r="D60" s="2"/>
      <c r="E60" s="2"/>
      <c r="F60" s="2"/>
      <c r="G60" s="2"/>
      <c r="H60" s="2"/>
      <c r="I60" s="2"/>
      <c r="J60" s="2"/>
    </row>
    <row r="61" spans="1:10" ht="13.8" x14ac:dyDescent="0.3">
      <c r="A61" s="238" t="s">
        <v>351</v>
      </c>
      <c r="B61" s="237"/>
      <c r="C61" s="237"/>
      <c r="D61" s="2"/>
      <c r="E61" s="2"/>
      <c r="F61" s="2">
        <v>1200</v>
      </c>
      <c r="G61" s="2">
        <v>1600</v>
      </c>
      <c r="H61" s="2">
        <v>1600</v>
      </c>
      <c r="I61" s="2">
        <v>1600</v>
      </c>
      <c r="J61" s="2">
        <v>1600</v>
      </c>
    </row>
    <row r="62" spans="1:10" x14ac:dyDescent="0.25">
      <c r="A62" s="237" t="s">
        <v>352</v>
      </c>
      <c r="B62" s="237"/>
      <c r="C62" s="2"/>
      <c r="D62" s="2">
        <v>1200</v>
      </c>
      <c r="E62" s="2">
        <v>2939.28</v>
      </c>
      <c r="F62" s="2"/>
      <c r="G62" s="2"/>
      <c r="H62" s="2"/>
      <c r="I62" s="2"/>
      <c r="J62" s="2"/>
    </row>
    <row r="63" spans="1:10" x14ac:dyDescent="0.25">
      <c r="A63" s="237"/>
      <c r="B63" s="237"/>
      <c r="C63" s="2"/>
      <c r="D63" s="2"/>
      <c r="E63" s="2"/>
      <c r="F63" s="2"/>
      <c r="G63" s="2"/>
      <c r="H63" s="2"/>
      <c r="I63" s="2"/>
      <c r="J63" s="2"/>
    </row>
    <row r="64" spans="1:10" ht="13.8" x14ac:dyDescent="0.3">
      <c r="A64" s="238" t="s">
        <v>1547</v>
      </c>
      <c r="B64" s="237"/>
      <c r="C64" s="2"/>
      <c r="D64" s="2">
        <v>800</v>
      </c>
      <c r="E64" s="2">
        <f>484.5+251.88</f>
        <v>736.38</v>
      </c>
      <c r="F64" s="2">
        <v>800</v>
      </c>
      <c r="G64" s="2">
        <v>500</v>
      </c>
      <c r="H64" s="2">
        <v>500</v>
      </c>
      <c r="I64" s="2">
        <v>500</v>
      </c>
      <c r="J64" s="2">
        <v>500</v>
      </c>
    </row>
    <row r="65" spans="1:10" x14ac:dyDescent="0.25">
      <c r="A65" s="23" t="s">
        <v>1595</v>
      </c>
      <c r="B65" s="237"/>
      <c r="C65" s="2"/>
      <c r="D65" s="2"/>
      <c r="E65" s="2"/>
      <c r="F65" s="2"/>
      <c r="G65" s="2"/>
      <c r="H65" s="2"/>
      <c r="I65" s="2"/>
      <c r="J65" s="2"/>
    </row>
    <row r="66" spans="1:10" x14ac:dyDescent="0.25">
      <c r="A66" s="23" t="s">
        <v>2204</v>
      </c>
      <c r="B66" s="237"/>
      <c r="C66" s="2"/>
      <c r="D66" s="237"/>
      <c r="E66" s="237"/>
      <c r="F66" s="237"/>
      <c r="G66" s="237"/>
      <c r="H66" s="247"/>
      <c r="I66" s="295"/>
      <c r="J66" s="298"/>
    </row>
    <row r="67" spans="1:10" x14ac:dyDescent="0.25">
      <c r="A67" s="237"/>
      <c r="B67" s="237"/>
      <c r="C67" s="18"/>
      <c r="D67" s="2"/>
      <c r="E67" s="2"/>
      <c r="F67" s="2"/>
      <c r="G67" s="2"/>
      <c r="H67" s="2"/>
      <c r="I67" s="2"/>
      <c r="J67" s="2"/>
    </row>
    <row r="68" spans="1:10" ht="13.8" x14ac:dyDescent="0.3">
      <c r="A68" s="238" t="s">
        <v>359</v>
      </c>
      <c r="B68" s="237"/>
      <c r="C68" s="2"/>
      <c r="D68" s="2"/>
      <c r="E68" s="2">
        <v>0</v>
      </c>
      <c r="F68" s="2">
        <v>300</v>
      </c>
      <c r="G68" s="2">
        <v>100</v>
      </c>
      <c r="H68" s="2">
        <v>100</v>
      </c>
      <c r="I68" s="2">
        <v>100</v>
      </c>
      <c r="J68" s="2">
        <v>100</v>
      </c>
    </row>
    <row r="69" spans="1:10" x14ac:dyDescent="0.25">
      <c r="A69" s="237" t="s">
        <v>1132</v>
      </c>
      <c r="B69" s="237"/>
      <c r="C69" s="2"/>
      <c r="D69" s="2">
        <v>300</v>
      </c>
      <c r="E69" s="2"/>
      <c r="F69" s="2"/>
      <c r="G69" s="2"/>
      <c r="H69" s="2"/>
      <c r="I69" s="2"/>
      <c r="J69" s="2"/>
    </row>
    <row r="70" spans="1:10" x14ac:dyDescent="0.25">
      <c r="A70" s="237"/>
      <c r="B70" s="237"/>
      <c r="C70" s="2"/>
      <c r="D70" s="2"/>
      <c r="E70" s="2"/>
      <c r="F70" s="2"/>
      <c r="G70" s="2"/>
      <c r="H70" s="2"/>
      <c r="I70" s="2"/>
      <c r="J70" s="2"/>
    </row>
    <row r="71" spans="1:10" ht="13.8" x14ac:dyDescent="0.3">
      <c r="A71" s="238" t="s">
        <v>881</v>
      </c>
      <c r="B71" s="237"/>
      <c r="C71" s="2"/>
      <c r="D71" s="2"/>
      <c r="E71" s="2">
        <v>718.24</v>
      </c>
      <c r="F71" s="2">
        <v>100</v>
      </c>
      <c r="G71" s="2">
        <v>300</v>
      </c>
      <c r="H71" s="2">
        <v>300</v>
      </c>
      <c r="I71" s="2">
        <v>300</v>
      </c>
      <c r="J71" s="2">
        <v>300</v>
      </c>
    </row>
    <row r="72" spans="1:10" x14ac:dyDescent="0.25">
      <c r="A72" s="237" t="s">
        <v>391</v>
      </c>
      <c r="B72" s="2" t="s">
        <v>396</v>
      </c>
      <c r="C72" s="2"/>
      <c r="D72" s="2">
        <v>300</v>
      </c>
      <c r="E72" s="2"/>
      <c r="F72" s="2"/>
      <c r="G72" s="2"/>
      <c r="H72" s="2"/>
      <c r="I72" s="2"/>
      <c r="J72" s="2"/>
    </row>
    <row r="73" spans="1:10" x14ac:dyDescent="0.25">
      <c r="A73" s="237"/>
      <c r="B73" s="237"/>
      <c r="C73" s="2"/>
      <c r="D73" s="2"/>
      <c r="E73" s="2"/>
      <c r="F73" s="2"/>
      <c r="G73" s="2"/>
      <c r="H73" s="2"/>
      <c r="I73" s="2"/>
      <c r="J73" s="2"/>
    </row>
    <row r="74" spans="1:10" ht="13.8" x14ac:dyDescent="0.3">
      <c r="A74" s="238" t="s">
        <v>1523</v>
      </c>
      <c r="B74" s="237"/>
      <c r="C74" s="2"/>
      <c r="D74" s="2"/>
      <c r="E74" s="2">
        <v>2766.75</v>
      </c>
      <c r="F74" s="2">
        <v>2915</v>
      </c>
      <c r="G74" s="2">
        <v>2840</v>
      </c>
      <c r="H74" s="2">
        <v>2840</v>
      </c>
      <c r="I74" s="2">
        <v>2840</v>
      </c>
      <c r="J74" s="2">
        <v>2840</v>
      </c>
    </row>
    <row r="75" spans="1:10" x14ac:dyDescent="0.25">
      <c r="A75" s="237" t="s">
        <v>959</v>
      </c>
      <c r="B75" s="237"/>
      <c r="C75" s="2"/>
      <c r="D75" s="2">
        <v>800</v>
      </c>
      <c r="E75" s="2"/>
      <c r="F75" s="2"/>
      <c r="G75" s="2"/>
      <c r="H75" s="2"/>
      <c r="I75" s="2"/>
      <c r="J75" s="2"/>
    </row>
    <row r="76" spans="1:10" ht="15" x14ac:dyDescent="0.4">
      <c r="A76" s="237" t="s">
        <v>1324</v>
      </c>
      <c r="B76" s="237"/>
      <c r="C76" s="11"/>
      <c r="D76" s="11">
        <v>2040</v>
      </c>
      <c r="E76" s="2"/>
      <c r="F76" s="2"/>
      <c r="G76" s="2"/>
      <c r="H76" s="2"/>
      <c r="I76" s="2"/>
      <c r="J76" s="2"/>
    </row>
    <row r="77" spans="1:10" x14ac:dyDescent="0.25">
      <c r="A77" s="237" t="s">
        <v>1247</v>
      </c>
      <c r="B77" s="237"/>
      <c r="C77" s="2"/>
      <c r="D77" s="2">
        <f>SUM(D75:D76)</f>
        <v>2840</v>
      </c>
      <c r="E77" s="2"/>
      <c r="F77" s="2"/>
      <c r="G77" s="2"/>
      <c r="H77" s="2"/>
      <c r="I77" s="2"/>
      <c r="J77" s="2"/>
    </row>
    <row r="78" spans="1:10" x14ac:dyDescent="0.25">
      <c r="A78" s="237"/>
      <c r="B78" s="237"/>
      <c r="C78" s="18"/>
      <c r="D78" s="2"/>
      <c r="E78" s="2"/>
      <c r="F78" s="2"/>
      <c r="G78" s="2"/>
      <c r="H78" s="2"/>
      <c r="I78" s="2"/>
      <c r="J78" s="2"/>
    </row>
    <row r="79" spans="1:10" ht="13.8" x14ac:dyDescent="0.3">
      <c r="A79" s="238" t="s">
        <v>134</v>
      </c>
      <c r="B79" s="237"/>
      <c r="C79" s="2"/>
      <c r="D79" s="2"/>
      <c r="E79" s="2">
        <v>1681.25</v>
      </c>
      <c r="F79" s="2">
        <v>2459</v>
      </c>
      <c r="G79" s="2">
        <v>1955</v>
      </c>
      <c r="H79" s="2">
        <v>1955</v>
      </c>
      <c r="I79" s="2">
        <v>1955</v>
      </c>
      <c r="J79" s="2">
        <v>1955</v>
      </c>
    </row>
    <row r="80" spans="1:10" x14ac:dyDescent="0.25">
      <c r="A80" s="237" t="s">
        <v>135</v>
      </c>
      <c r="B80" s="237"/>
      <c r="C80" s="2"/>
      <c r="D80" s="2">
        <v>150</v>
      </c>
      <c r="E80" s="2"/>
      <c r="F80" s="2"/>
      <c r="G80" s="2"/>
      <c r="H80" s="2"/>
      <c r="I80" s="2"/>
      <c r="J80" s="2"/>
    </row>
    <row r="81" spans="1:10" x14ac:dyDescent="0.25">
      <c r="A81" s="237" t="s">
        <v>1353</v>
      </c>
      <c r="B81" s="237"/>
      <c r="C81" s="2"/>
      <c r="D81" s="2">
        <v>25</v>
      </c>
      <c r="E81" s="2"/>
      <c r="F81" s="2"/>
      <c r="G81" s="2"/>
      <c r="H81" s="2"/>
      <c r="I81" s="2"/>
      <c r="J81" s="2"/>
    </row>
    <row r="82" spans="1:10" x14ac:dyDescent="0.25">
      <c r="A82" s="237" t="s">
        <v>1882</v>
      </c>
      <c r="B82" s="237"/>
      <c r="C82" s="2"/>
      <c r="D82" s="2">
        <v>80</v>
      </c>
      <c r="E82" s="2"/>
      <c r="F82" s="2"/>
      <c r="G82" s="2"/>
      <c r="H82" s="2"/>
      <c r="I82" s="2"/>
      <c r="J82" s="2"/>
    </row>
    <row r="83" spans="1:10" x14ac:dyDescent="0.25">
      <c r="A83" s="237" t="s">
        <v>1883</v>
      </c>
      <c r="B83" s="237"/>
      <c r="C83" s="2"/>
      <c r="D83" s="2">
        <v>150</v>
      </c>
      <c r="E83" s="2"/>
      <c r="F83" s="2"/>
      <c r="G83" s="2"/>
      <c r="H83" s="2"/>
      <c r="I83" s="2"/>
      <c r="J83" s="2"/>
    </row>
    <row r="84" spans="1:10" x14ac:dyDescent="0.25">
      <c r="A84" s="237" t="s">
        <v>1884</v>
      </c>
      <c r="B84" s="237"/>
      <c r="C84" s="2"/>
      <c r="D84" s="2">
        <v>300</v>
      </c>
      <c r="E84" s="2"/>
      <c r="F84" s="2"/>
      <c r="G84" s="2"/>
      <c r="H84" s="2"/>
      <c r="I84" s="2"/>
      <c r="J84" s="2"/>
    </row>
    <row r="85" spans="1:10" x14ac:dyDescent="0.25">
      <c r="A85" s="237" t="s">
        <v>1133</v>
      </c>
      <c r="B85" s="237"/>
      <c r="C85" s="2"/>
      <c r="D85" s="2">
        <v>100</v>
      </c>
      <c r="E85" s="2"/>
      <c r="F85" s="2"/>
      <c r="G85" s="2"/>
      <c r="H85" s="2"/>
      <c r="I85" s="2"/>
      <c r="J85" s="2"/>
    </row>
    <row r="86" spans="1:10" x14ac:dyDescent="0.25">
      <c r="A86" s="237" t="s">
        <v>2056</v>
      </c>
      <c r="B86" s="237"/>
      <c r="C86" s="2"/>
      <c r="D86" s="2">
        <v>100</v>
      </c>
      <c r="E86" s="2"/>
      <c r="F86" s="2"/>
      <c r="G86" s="2"/>
      <c r="H86" s="2"/>
      <c r="I86" s="2"/>
      <c r="J86" s="2"/>
    </row>
    <row r="87" spans="1:10" ht="15" x14ac:dyDescent="0.4">
      <c r="A87" s="237" t="s">
        <v>112</v>
      </c>
      <c r="B87" s="237"/>
      <c r="C87" s="11"/>
      <c r="D87" s="11">
        <v>1200</v>
      </c>
      <c r="E87" s="2"/>
      <c r="F87" s="2"/>
      <c r="G87" s="2"/>
      <c r="H87" s="2"/>
      <c r="I87" s="2"/>
      <c r="J87" s="2"/>
    </row>
    <row r="88" spans="1:10" x14ac:dyDescent="0.25">
      <c r="A88" s="237" t="s">
        <v>1247</v>
      </c>
      <c r="B88" s="237"/>
      <c r="C88" s="2"/>
      <c r="D88" s="2">
        <f>SUM(D80:D87)</f>
        <v>2105</v>
      </c>
      <c r="E88" s="2"/>
      <c r="F88" s="2"/>
      <c r="G88" s="2"/>
      <c r="H88" s="2"/>
      <c r="I88" s="2"/>
      <c r="J88" s="2"/>
    </row>
    <row r="89" spans="1:10" x14ac:dyDescent="0.25">
      <c r="A89" s="237"/>
      <c r="B89" s="237"/>
      <c r="C89" s="18"/>
      <c r="D89" s="2"/>
      <c r="E89" s="2"/>
      <c r="F89" s="237"/>
      <c r="G89" s="237"/>
      <c r="H89" s="247"/>
      <c r="I89" s="295"/>
      <c r="J89" s="298"/>
    </row>
    <row r="90" spans="1:10" ht="13.8" x14ac:dyDescent="0.3">
      <c r="A90" s="17" t="s">
        <v>1124</v>
      </c>
      <c r="B90" s="237"/>
      <c r="C90" s="2"/>
      <c r="D90" s="2"/>
      <c r="E90" s="2">
        <v>2265.63</v>
      </c>
      <c r="F90" s="2">
        <v>1920</v>
      </c>
      <c r="G90" s="2">
        <v>1831</v>
      </c>
      <c r="H90" s="2">
        <v>1831</v>
      </c>
      <c r="I90" s="2">
        <v>1831</v>
      </c>
      <c r="J90" s="2">
        <v>1831</v>
      </c>
    </row>
    <row r="91" spans="1:10" x14ac:dyDescent="0.25">
      <c r="A91" s="237" t="s">
        <v>867</v>
      </c>
      <c r="B91" s="237"/>
      <c r="C91" s="2"/>
      <c r="D91" s="2">
        <v>1831</v>
      </c>
      <c r="E91" s="2"/>
      <c r="F91" s="2"/>
      <c r="G91" s="2"/>
      <c r="H91" s="2"/>
      <c r="I91" s="2"/>
      <c r="J91" s="2"/>
    </row>
    <row r="92" spans="1:10" x14ac:dyDescent="0.25">
      <c r="A92" s="237"/>
      <c r="B92" s="237"/>
      <c r="C92" s="2"/>
      <c r="D92" s="2"/>
      <c r="E92" s="2"/>
      <c r="F92" s="237"/>
      <c r="G92" s="237"/>
      <c r="H92" s="247"/>
      <c r="I92" s="295"/>
      <c r="J92" s="298"/>
    </row>
    <row r="93" spans="1:10" ht="13.8" x14ac:dyDescent="0.3">
      <c r="A93" s="238" t="s">
        <v>700</v>
      </c>
      <c r="B93" s="237"/>
      <c r="C93" s="2"/>
      <c r="D93" s="2"/>
      <c r="E93" s="2">
        <v>307.38</v>
      </c>
      <c r="F93" s="2">
        <v>750</v>
      </c>
      <c r="G93" s="2">
        <v>500</v>
      </c>
      <c r="H93" s="2">
        <v>500</v>
      </c>
      <c r="I93" s="2">
        <v>500</v>
      </c>
      <c r="J93" s="2">
        <v>500</v>
      </c>
    </row>
    <row r="94" spans="1:10" x14ac:dyDescent="0.25">
      <c r="A94" s="237" t="s">
        <v>1505</v>
      </c>
      <c r="B94" s="237"/>
      <c r="C94" s="2"/>
      <c r="D94" s="2">
        <v>750</v>
      </c>
      <c r="E94" s="2"/>
      <c r="F94" s="2"/>
      <c r="G94" s="2"/>
      <c r="H94" s="2"/>
      <c r="I94" s="2"/>
      <c r="J94" s="2"/>
    </row>
    <row r="95" spans="1:10" x14ac:dyDescent="0.25">
      <c r="A95" s="237"/>
      <c r="B95" s="237"/>
      <c r="C95" s="2"/>
      <c r="D95" s="2"/>
      <c r="E95" s="2"/>
      <c r="F95" s="2"/>
      <c r="G95" s="2"/>
      <c r="H95" s="2"/>
      <c r="I95" s="2"/>
      <c r="J95" s="2"/>
    </row>
    <row r="96" spans="1:10" ht="13.8" x14ac:dyDescent="0.3">
      <c r="A96" s="238" t="s">
        <v>1506</v>
      </c>
      <c r="B96" s="237"/>
      <c r="C96" s="2"/>
      <c r="D96" s="2"/>
      <c r="E96" s="2">
        <v>11792.14</v>
      </c>
      <c r="F96" s="2">
        <v>4530</v>
      </c>
      <c r="G96" s="2">
        <v>4667</v>
      </c>
      <c r="H96" s="2">
        <v>4667</v>
      </c>
      <c r="I96" s="2">
        <v>4667</v>
      </c>
      <c r="J96" s="2">
        <v>4667</v>
      </c>
    </row>
    <row r="97" spans="1:10" x14ac:dyDescent="0.25">
      <c r="A97" s="237" t="s">
        <v>858</v>
      </c>
      <c r="B97" s="237"/>
      <c r="C97" s="2"/>
      <c r="D97" s="2">
        <v>842</v>
      </c>
      <c r="E97" s="2"/>
      <c r="F97" s="2"/>
      <c r="G97" s="2"/>
      <c r="H97" s="2"/>
      <c r="I97" s="2"/>
      <c r="J97" s="2"/>
    </row>
    <row r="98" spans="1:10" x14ac:dyDescent="0.25">
      <c r="A98" s="237" t="s">
        <v>1885</v>
      </c>
      <c r="B98" s="237"/>
      <c r="C98" s="2"/>
      <c r="D98" s="2">
        <v>825</v>
      </c>
      <c r="E98" s="2"/>
      <c r="F98" s="2"/>
      <c r="G98" s="2"/>
      <c r="H98" s="2"/>
      <c r="I98" s="2"/>
      <c r="J98" s="2"/>
    </row>
    <row r="99" spans="1:10" ht="15" x14ac:dyDescent="0.4">
      <c r="A99" s="237" t="s">
        <v>1690</v>
      </c>
      <c r="B99" s="237"/>
      <c r="C99" s="2"/>
      <c r="D99" s="11">
        <v>3000</v>
      </c>
      <c r="E99" s="2"/>
      <c r="F99" s="2"/>
      <c r="G99" s="2"/>
      <c r="H99" s="2"/>
      <c r="I99" s="2"/>
      <c r="J99" s="2"/>
    </row>
    <row r="100" spans="1:10" x14ac:dyDescent="0.25">
      <c r="A100" s="237" t="s">
        <v>1247</v>
      </c>
      <c r="B100" s="237"/>
      <c r="C100" s="2"/>
      <c r="D100" s="2">
        <f>SUM(D97:D99)</f>
        <v>4667</v>
      </c>
      <c r="E100" s="2"/>
      <c r="F100" s="2"/>
      <c r="G100" s="2"/>
      <c r="H100" s="2"/>
      <c r="I100" s="2"/>
      <c r="J100" s="2"/>
    </row>
    <row r="101" spans="1:10" x14ac:dyDescent="0.25">
      <c r="A101" s="237"/>
      <c r="B101" s="237"/>
      <c r="C101" s="2"/>
      <c r="D101" s="2"/>
      <c r="E101" s="2"/>
      <c r="F101" s="2"/>
      <c r="G101" s="2"/>
      <c r="H101" s="2"/>
      <c r="I101" s="2"/>
      <c r="J101" s="2"/>
    </row>
    <row r="102" spans="1:10" ht="13.8" x14ac:dyDescent="0.3">
      <c r="A102" s="238" t="s">
        <v>1041</v>
      </c>
      <c r="B102" s="237"/>
      <c r="C102" s="2"/>
      <c r="D102" s="2"/>
      <c r="E102" s="2">
        <v>1300</v>
      </c>
      <c r="F102" s="2">
        <v>500</v>
      </c>
      <c r="G102" s="2">
        <v>1000</v>
      </c>
      <c r="H102" s="2">
        <v>1000</v>
      </c>
      <c r="I102" s="2">
        <v>1000</v>
      </c>
      <c r="J102" s="2">
        <v>1000</v>
      </c>
    </row>
    <row r="103" spans="1:10" x14ac:dyDescent="0.25">
      <c r="A103" s="237" t="s">
        <v>1746</v>
      </c>
      <c r="B103" s="237"/>
      <c r="C103" s="2"/>
      <c r="D103" s="2">
        <v>500</v>
      </c>
      <c r="E103" s="2"/>
      <c r="F103" s="2"/>
      <c r="G103" s="2"/>
      <c r="H103" s="2"/>
      <c r="I103" s="2"/>
      <c r="J103" s="2"/>
    </row>
    <row r="104" spans="1:10" x14ac:dyDescent="0.25">
      <c r="A104" s="237"/>
      <c r="B104" s="237"/>
      <c r="C104" s="2"/>
      <c r="D104" s="2"/>
      <c r="E104" s="2"/>
      <c r="F104" s="2"/>
      <c r="G104" s="2"/>
      <c r="H104" s="2"/>
      <c r="I104" s="2"/>
      <c r="J104" s="2"/>
    </row>
    <row r="105" spans="1:10" ht="13.8" x14ac:dyDescent="0.3">
      <c r="A105" s="238" t="s">
        <v>127</v>
      </c>
      <c r="B105" s="237"/>
      <c r="C105" s="2"/>
      <c r="D105" s="2"/>
      <c r="E105" s="2">
        <v>3100</v>
      </c>
      <c r="F105" s="2">
        <v>2500</v>
      </c>
      <c r="G105" s="2">
        <v>2500</v>
      </c>
      <c r="H105" s="2">
        <v>2500</v>
      </c>
      <c r="I105" s="2">
        <v>2500</v>
      </c>
      <c r="J105" s="2">
        <v>2500</v>
      </c>
    </row>
    <row r="106" spans="1:10" x14ac:dyDescent="0.25">
      <c r="A106" s="23" t="s">
        <v>2205</v>
      </c>
      <c r="B106" s="237"/>
      <c r="C106" s="2"/>
      <c r="D106" s="2">
        <v>2000</v>
      </c>
      <c r="E106" s="2"/>
      <c r="F106" s="237"/>
      <c r="G106" s="237"/>
      <c r="H106" s="247"/>
      <c r="I106" s="295"/>
      <c r="J106" s="298"/>
    </row>
    <row r="107" spans="1:10" ht="15" x14ac:dyDescent="0.4">
      <c r="A107" s="23" t="s">
        <v>1691</v>
      </c>
      <c r="B107" s="237"/>
      <c r="C107" s="2"/>
      <c r="D107" s="11">
        <v>500</v>
      </c>
      <c r="E107" s="2"/>
      <c r="F107" s="237"/>
      <c r="G107" s="237"/>
      <c r="H107" s="247"/>
      <c r="I107" s="295"/>
      <c r="J107" s="298"/>
    </row>
    <row r="108" spans="1:10" x14ac:dyDescent="0.25">
      <c r="A108" s="23" t="s">
        <v>1247</v>
      </c>
      <c r="B108" s="237"/>
      <c r="C108" s="2"/>
      <c r="D108" s="2">
        <f>SUM(D106:D107)</f>
        <v>2500</v>
      </c>
      <c r="E108" s="2"/>
      <c r="F108" s="237"/>
      <c r="G108" s="237"/>
      <c r="H108" s="247"/>
      <c r="I108" s="295"/>
      <c r="J108" s="298"/>
    </row>
    <row r="109" spans="1:10" x14ac:dyDescent="0.25">
      <c r="A109" s="23"/>
      <c r="B109" s="237"/>
      <c r="C109" s="2"/>
      <c r="D109" s="2"/>
      <c r="E109" s="2"/>
      <c r="F109" s="237"/>
      <c r="G109" s="237"/>
      <c r="H109" s="247"/>
      <c r="I109" s="295"/>
      <c r="J109" s="298"/>
    </row>
    <row r="110" spans="1:10" x14ac:dyDescent="0.25">
      <c r="A110" s="237"/>
      <c r="B110" s="237"/>
      <c r="C110" s="2"/>
      <c r="D110" s="2"/>
      <c r="E110" s="2"/>
      <c r="F110" s="2"/>
      <c r="G110" s="2"/>
      <c r="H110" s="2"/>
      <c r="I110" s="2"/>
      <c r="J110" s="2"/>
    </row>
    <row r="111" spans="1:10" ht="13.8" x14ac:dyDescent="0.3">
      <c r="A111" s="238" t="s">
        <v>1042</v>
      </c>
      <c r="B111" s="237"/>
      <c r="C111" s="2"/>
      <c r="D111" s="2"/>
      <c r="E111" s="2">
        <v>0</v>
      </c>
      <c r="F111" s="2">
        <v>250</v>
      </c>
      <c r="G111" s="2">
        <v>100</v>
      </c>
      <c r="H111" s="2">
        <v>100</v>
      </c>
      <c r="I111" s="2">
        <v>100</v>
      </c>
      <c r="J111" s="2">
        <v>100</v>
      </c>
    </row>
    <row r="112" spans="1:10" x14ac:dyDescent="0.25">
      <c r="A112" s="237" t="s">
        <v>1473</v>
      </c>
      <c r="B112" s="237"/>
      <c r="C112" s="2"/>
      <c r="D112" s="2">
        <v>250</v>
      </c>
      <c r="E112" s="2"/>
      <c r="F112" s="2"/>
      <c r="G112" s="2"/>
      <c r="H112" s="2"/>
      <c r="I112" s="2"/>
      <c r="J112" s="2"/>
    </row>
    <row r="113" spans="1:10" x14ac:dyDescent="0.25">
      <c r="A113" s="237"/>
      <c r="B113" s="237"/>
      <c r="C113" s="2"/>
      <c r="D113" s="2"/>
      <c r="E113" s="2"/>
      <c r="F113" s="2"/>
      <c r="G113" s="2"/>
      <c r="H113" s="2"/>
      <c r="I113" s="2"/>
      <c r="J113" s="2"/>
    </row>
    <row r="114" spans="1:10" ht="13.8" x14ac:dyDescent="0.3">
      <c r="A114" s="238" t="s">
        <v>777</v>
      </c>
      <c r="B114" s="237"/>
      <c r="C114" s="2"/>
      <c r="D114" s="2"/>
      <c r="E114" s="2">
        <v>16851.419999999998</v>
      </c>
      <c r="F114" s="2">
        <v>1000</v>
      </c>
      <c r="G114" s="2">
        <v>1500</v>
      </c>
      <c r="H114" s="2">
        <v>1500</v>
      </c>
      <c r="I114" s="2">
        <v>1500</v>
      </c>
      <c r="J114" s="2">
        <v>1500</v>
      </c>
    </row>
    <row r="115" spans="1:10" x14ac:dyDescent="0.25">
      <c r="A115" s="237" t="s">
        <v>2057</v>
      </c>
      <c r="B115" s="237"/>
      <c r="C115" s="2"/>
      <c r="D115" s="2">
        <v>1000</v>
      </c>
      <c r="E115" s="2"/>
      <c r="F115" s="2"/>
      <c r="G115" s="2"/>
      <c r="H115" s="2"/>
      <c r="I115" s="2"/>
      <c r="J115" s="2"/>
    </row>
    <row r="116" spans="1:10" x14ac:dyDescent="0.25">
      <c r="A116" s="237"/>
      <c r="B116" s="237"/>
      <c r="C116" s="19"/>
      <c r="D116" s="2"/>
      <c r="E116" s="2"/>
      <c r="F116" s="2"/>
      <c r="G116" s="2"/>
      <c r="H116" s="2"/>
      <c r="I116" s="2"/>
      <c r="J116" s="2"/>
    </row>
    <row r="117" spans="1:10" ht="15" x14ac:dyDescent="0.4">
      <c r="A117" s="238" t="s">
        <v>778</v>
      </c>
      <c r="B117" s="237"/>
      <c r="C117" s="2"/>
      <c r="D117" s="11">
        <v>0</v>
      </c>
      <c r="E117" s="11">
        <v>8059.31</v>
      </c>
      <c r="F117" s="11">
        <v>0</v>
      </c>
      <c r="G117" s="11">
        <v>0</v>
      </c>
      <c r="H117" s="11">
        <v>0</v>
      </c>
      <c r="I117" s="11">
        <v>0</v>
      </c>
      <c r="J117" s="11">
        <v>0</v>
      </c>
    </row>
    <row r="118" spans="1:10" ht="15" x14ac:dyDescent="0.4">
      <c r="A118" s="237" t="s">
        <v>1692</v>
      </c>
      <c r="B118" s="237"/>
      <c r="C118" s="2"/>
      <c r="D118" s="237"/>
      <c r="E118" s="11"/>
      <c r="F118" s="11"/>
      <c r="G118" s="11"/>
      <c r="H118" s="11"/>
      <c r="I118" s="11"/>
      <c r="J118" s="11"/>
    </row>
    <row r="119" spans="1:10" x14ac:dyDescent="0.25">
      <c r="A119" s="202"/>
      <c r="B119" s="202"/>
      <c r="C119" s="2"/>
      <c r="D119" s="2"/>
      <c r="E119" s="3"/>
      <c r="F119" s="202"/>
      <c r="G119" s="202"/>
      <c r="H119" s="247"/>
      <c r="I119" s="295"/>
      <c r="J119" s="298"/>
    </row>
    <row r="120" spans="1:10" x14ac:dyDescent="0.25">
      <c r="A120" s="202" t="s">
        <v>1332</v>
      </c>
      <c r="B120" s="202"/>
      <c r="C120" s="2"/>
      <c r="D120" s="2"/>
      <c r="E120" s="2">
        <f t="shared" ref="E120:J120" si="0">SUM(E6:E119)</f>
        <v>417717.43</v>
      </c>
      <c r="F120" s="2">
        <f t="shared" si="0"/>
        <v>399574</v>
      </c>
      <c r="G120" s="2">
        <f t="shared" si="0"/>
        <v>400002</v>
      </c>
      <c r="H120" s="2">
        <f t="shared" si="0"/>
        <v>401317</v>
      </c>
      <c r="I120" s="2">
        <f t="shared" si="0"/>
        <v>411507</v>
      </c>
      <c r="J120" s="2">
        <f t="shared" si="0"/>
        <v>411507</v>
      </c>
    </row>
    <row r="121" spans="1:10" x14ac:dyDescent="0.25">
      <c r="A121" s="202"/>
      <c r="B121" s="202"/>
      <c r="C121" s="2"/>
      <c r="D121" s="202"/>
      <c r="E121" s="202"/>
      <c r="F121" s="202"/>
      <c r="G121" s="202"/>
      <c r="H121" s="247"/>
      <c r="I121" s="295"/>
      <c r="J121" s="298"/>
    </row>
    <row r="122" spans="1:10" x14ac:dyDescent="0.25">
      <c r="A122" s="202" t="s">
        <v>594</v>
      </c>
      <c r="B122" s="202"/>
      <c r="C122" s="202"/>
      <c r="D122" s="202"/>
      <c r="E122" s="2">
        <f t="shared" ref="E122:J122" si="1">SUM(E6:E58)</f>
        <v>365199.64999999997</v>
      </c>
      <c r="F122" s="2">
        <f t="shared" si="1"/>
        <v>380350</v>
      </c>
      <c r="G122" s="2">
        <f t="shared" si="1"/>
        <v>380609</v>
      </c>
      <c r="H122" s="2">
        <f t="shared" si="1"/>
        <v>381924</v>
      </c>
      <c r="I122" s="2">
        <f t="shared" si="1"/>
        <v>392114</v>
      </c>
      <c r="J122" s="2">
        <f t="shared" si="1"/>
        <v>392114</v>
      </c>
    </row>
    <row r="123" spans="1:10" x14ac:dyDescent="0.25">
      <c r="A123" s="202" t="s">
        <v>957</v>
      </c>
      <c r="B123" s="202"/>
      <c r="C123" s="202"/>
      <c r="D123" s="202"/>
      <c r="E123" s="2">
        <f t="shared" ref="E123:J123" si="2">SUM(E61:E114)</f>
        <v>44458.47</v>
      </c>
      <c r="F123" s="2">
        <f t="shared" si="2"/>
        <v>19224</v>
      </c>
      <c r="G123" s="2">
        <f t="shared" si="2"/>
        <v>19393</v>
      </c>
      <c r="H123" s="2">
        <f t="shared" si="2"/>
        <v>19393</v>
      </c>
      <c r="I123" s="2">
        <f t="shared" si="2"/>
        <v>19393</v>
      </c>
      <c r="J123" s="2">
        <f t="shared" si="2"/>
        <v>19393</v>
      </c>
    </row>
    <row r="124" spans="1:10" ht="15" x14ac:dyDescent="0.4">
      <c r="A124" s="202" t="s">
        <v>958</v>
      </c>
      <c r="B124" s="202"/>
      <c r="C124" s="202"/>
      <c r="D124" s="202"/>
      <c r="E124" s="11">
        <f t="shared" ref="E124:J124" si="3">SUM(E117:E119)</f>
        <v>8059.31</v>
      </c>
      <c r="F124" s="11">
        <f t="shared" si="3"/>
        <v>0</v>
      </c>
      <c r="G124" s="11">
        <f t="shared" si="3"/>
        <v>0</v>
      </c>
      <c r="H124" s="11">
        <f t="shared" si="3"/>
        <v>0</v>
      </c>
      <c r="I124" s="11">
        <f t="shared" si="3"/>
        <v>0</v>
      </c>
      <c r="J124" s="11">
        <f t="shared" si="3"/>
        <v>0</v>
      </c>
    </row>
    <row r="125" spans="1:10" x14ac:dyDescent="0.25">
      <c r="A125" s="202" t="s">
        <v>1247</v>
      </c>
      <c r="B125" s="202"/>
      <c r="C125" s="202"/>
      <c r="D125" s="202"/>
      <c r="E125" s="2">
        <f t="shared" ref="E125:J125" si="4">SUM(E122:E124)</f>
        <v>417717.43</v>
      </c>
      <c r="F125" s="2">
        <f t="shared" si="4"/>
        <v>399574</v>
      </c>
      <c r="G125" s="2">
        <f t="shared" si="4"/>
        <v>400002</v>
      </c>
      <c r="H125" s="2">
        <f t="shared" si="4"/>
        <v>401317</v>
      </c>
      <c r="I125" s="2">
        <f t="shared" si="4"/>
        <v>411507</v>
      </c>
      <c r="J125" s="2">
        <f t="shared" si="4"/>
        <v>411507</v>
      </c>
    </row>
    <row r="126" spans="1:10" x14ac:dyDescent="0.25">
      <c r="H126" s="247"/>
      <c r="I126" s="295"/>
      <c r="J126" s="298"/>
    </row>
    <row r="127" spans="1:10" x14ac:dyDescent="0.25">
      <c r="H127" s="247"/>
      <c r="I127" s="295"/>
      <c r="J127" s="298"/>
    </row>
    <row r="128" spans="1:10" x14ac:dyDescent="0.25">
      <c r="H128" s="247"/>
      <c r="I128" s="2">
        <f>+I125-H125</f>
        <v>10190</v>
      </c>
      <c r="J128" s="2">
        <f>+J125-I125</f>
        <v>0</v>
      </c>
    </row>
    <row r="129" spans="8:10" x14ac:dyDescent="0.25">
      <c r="H129" s="247"/>
      <c r="I129" s="295">
        <v>8888</v>
      </c>
      <c r="J129" s="298">
        <v>8888</v>
      </c>
    </row>
    <row r="130" spans="8:10" x14ac:dyDescent="0.25">
      <c r="H130" s="247"/>
      <c r="I130" s="2">
        <f>+I129-I128</f>
        <v>-1302</v>
      </c>
      <c r="J130" s="2">
        <f>+J129-J128</f>
        <v>8888</v>
      </c>
    </row>
    <row r="131" spans="8:10" x14ac:dyDescent="0.25">
      <c r="H131" s="247"/>
      <c r="I131" s="295"/>
      <c r="J131" s="298"/>
    </row>
    <row r="132" spans="8:10" x14ac:dyDescent="0.25">
      <c r="H132" s="247"/>
      <c r="I132" s="295"/>
      <c r="J132" s="298"/>
    </row>
    <row r="133" spans="8:10" x14ac:dyDescent="0.25">
      <c r="H133" s="247"/>
      <c r="I133" s="295"/>
      <c r="J133" s="298"/>
    </row>
    <row r="134" spans="8:10" x14ac:dyDescent="0.25">
      <c r="H134" s="247"/>
      <c r="I134" s="295"/>
      <c r="J134" s="298"/>
    </row>
    <row r="135" spans="8:10" x14ac:dyDescent="0.25">
      <c r="H135" s="247"/>
      <c r="I135" s="295"/>
      <c r="J135" s="298"/>
    </row>
    <row r="136" spans="8:10" x14ac:dyDescent="0.25">
      <c r="H136" s="247"/>
      <c r="I136" s="295"/>
      <c r="J136" s="298"/>
    </row>
    <row r="137" spans="8:10" x14ac:dyDescent="0.25">
      <c r="H137" s="247"/>
      <c r="I137" s="295"/>
      <c r="J137" s="298"/>
    </row>
    <row r="138" spans="8:10" x14ac:dyDescent="0.25">
      <c r="H138" s="247"/>
      <c r="I138" s="295"/>
      <c r="J138" s="298"/>
    </row>
    <row r="139" spans="8:10" x14ac:dyDescent="0.25">
      <c r="H139" s="247"/>
      <c r="I139" s="295"/>
      <c r="J139" s="298"/>
    </row>
    <row r="140" spans="8:10" x14ac:dyDescent="0.25">
      <c r="H140" s="247"/>
      <c r="I140" s="295"/>
      <c r="J140" s="298"/>
    </row>
    <row r="141" spans="8:10" x14ac:dyDescent="0.25">
      <c r="H141" s="247"/>
      <c r="I141" s="295"/>
      <c r="J141" s="298"/>
    </row>
    <row r="142" spans="8:10" x14ac:dyDescent="0.25">
      <c r="H142" s="247"/>
      <c r="I142" s="295"/>
      <c r="J142" s="298"/>
    </row>
    <row r="143" spans="8:10" x14ac:dyDescent="0.25">
      <c r="H143" s="247"/>
      <c r="I143" s="295"/>
      <c r="J143" s="298"/>
    </row>
    <row r="144" spans="8:10" x14ac:dyDescent="0.25">
      <c r="H144" s="247"/>
      <c r="I144" s="295"/>
      <c r="J144" s="298"/>
    </row>
    <row r="145" spans="8:10" x14ac:dyDescent="0.25">
      <c r="H145" s="247"/>
      <c r="I145" s="295"/>
      <c r="J145" s="298"/>
    </row>
    <row r="146" spans="8:10" x14ac:dyDescent="0.25">
      <c r="H146" s="247"/>
      <c r="I146" s="295"/>
      <c r="J146" s="298"/>
    </row>
    <row r="147" spans="8:10" x14ac:dyDescent="0.25">
      <c r="I147" s="295"/>
      <c r="J147" s="298"/>
    </row>
    <row r="148" spans="8:10" x14ac:dyDescent="0.25">
      <c r="I148" s="295"/>
      <c r="J148" s="298"/>
    </row>
    <row r="149" spans="8:10" x14ac:dyDescent="0.25">
      <c r="I149" s="295"/>
      <c r="J149" s="298"/>
    </row>
    <row r="150" spans="8:10" x14ac:dyDescent="0.25">
      <c r="I150" s="295"/>
      <c r="J150" s="298"/>
    </row>
    <row r="151" spans="8:10" x14ac:dyDescent="0.25">
      <c r="I151" s="295"/>
      <c r="J151" s="298"/>
    </row>
    <row r="152" spans="8:10" x14ac:dyDescent="0.25">
      <c r="I152" s="295"/>
      <c r="J152" s="298"/>
    </row>
    <row r="153" spans="8:10" x14ac:dyDescent="0.25">
      <c r="I153" s="295"/>
      <c r="J153" s="298"/>
    </row>
    <row r="154" spans="8:10" x14ac:dyDescent="0.25">
      <c r="I154" s="295"/>
      <c r="J154" s="298"/>
    </row>
    <row r="155" spans="8:10" x14ac:dyDescent="0.25">
      <c r="I155" s="295"/>
      <c r="J155" s="298"/>
    </row>
    <row r="156" spans="8:10" x14ac:dyDescent="0.25">
      <c r="I156" s="295"/>
      <c r="J156" s="223"/>
    </row>
    <row r="157" spans="8:10" x14ac:dyDescent="0.25">
      <c r="I157" s="295"/>
      <c r="J157" s="223"/>
    </row>
    <row r="158" spans="8:10" x14ac:dyDescent="0.25">
      <c r="I158" s="295"/>
      <c r="J158" s="223"/>
    </row>
    <row r="159" spans="8:10" x14ac:dyDescent="0.25">
      <c r="I159" s="295"/>
      <c r="J159" s="223"/>
    </row>
    <row r="160" spans="8:10" x14ac:dyDescent="0.25">
      <c r="I160" s="295"/>
      <c r="J160" s="223"/>
    </row>
    <row r="161" spans="9:10" x14ac:dyDescent="0.25">
      <c r="I161" s="295"/>
      <c r="J161" s="223"/>
    </row>
    <row r="162" spans="9:10" x14ac:dyDescent="0.25">
      <c r="I162" s="295"/>
      <c r="J162" s="223"/>
    </row>
    <row r="163" spans="9:10" x14ac:dyDescent="0.25">
      <c r="I163" s="295"/>
      <c r="J163" s="223"/>
    </row>
    <row r="164" spans="9:10" x14ac:dyDescent="0.25">
      <c r="I164" s="295"/>
      <c r="J164" s="223"/>
    </row>
    <row r="165" spans="9:10" x14ac:dyDescent="0.25">
      <c r="I165" s="295"/>
      <c r="J165" s="223"/>
    </row>
    <row r="166" spans="9:10" x14ac:dyDescent="0.25">
      <c r="J166" s="223"/>
    </row>
    <row r="167" spans="9:10" x14ac:dyDescent="0.25">
      <c r="J167" s="223"/>
    </row>
    <row r="168" spans="9:10" x14ac:dyDescent="0.25">
      <c r="J168" s="223"/>
    </row>
    <row r="169" spans="9:10" x14ac:dyDescent="0.25">
      <c r="J169" s="223"/>
    </row>
    <row r="170" spans="9:10" x14ac:dyDescent="0.25">
      <c r="J170" s="223"/>
    </row>
    <row r="171" spans="9:10" x14ac:dyDescent="0.25">
      <c r="J171" s="223"/>
    </row>
    <row r="172" spans="9:10" x14ac:dyDescent="0.25">
      <c r="J172" s="223"/>
    </row>
    <row r="173" spans="9:10" x14ac:dyDescent="0.25">
      <c r="J173" s="223"/>
    </row>
    <row r="174" spans="9:10" x14ac:dyDescent="0.25">
      <c r="J174" s="223"/>
    </row>
    <row r="175" spans="9:10" x14ac:dyDescent="0.25">
      <c r="J175" s="223"/>
    </row>
    <row r="176" spans="9:10" x14ac:dyDescent="0.25">
      <c r="J176" s="223"/>
    </row>
    <row r="177" spans="10:10" x14ac:dyDescent="0.25">
      <c r="J177" s="223"/>
    </row>
    <row r="178" spans="10:10" x14ac:dyDescent="0.25">
      <c r="J178" s="223"/>
    </row>
    <row r="179" spans="10:10" x14ac:dyDescent="0.25">
      <c r="J179" s="223"/>
    </row>
    <row r="180" spans="10:10" x14ac:dyDescent="0.25">
      <c r="J180" s="223"/>
    </row>
    <row r="181" spans="10:10" x14ac:dyDescent="0.25">
      <c r="J181" s="223"/>
    </row>
    <row r="182" spans="10:10" x14ac:dyDescent="0.25">
      <c r="J182" s="223"/>
    </row>
    <row r="183" spans="10:10" x14ac:dyDescent="0.25">
      <c r="J183" s="223"/>
    </row>
    <row r="184" spans="10:10" x14ac:dyDescent="0.25">
      <c r="J184" s="223"/>
    </row>
    <row r="185" spans="10:10" x14ac:dyDescent="0.25">
      <c r="J185" s="223"/>
    </row>
    <row r="186" spans="10:10" x14ac:dyDescent="0.25">
      <c r="J186" s="223"/>
    </row>
    <row r="187" spans="10:10" x14ac:dyDescent="0.25">
      <c r="J187" s="223"/>
    </row>
    <row r="188" spans="10:10" x14ac:dyDescent="0.25">
      <c r="J188" s="223"/>
    </row>
    <row r="189" spans="10:10" x14ac:dyDescent="0.25">
      <c r="J189" s="223"/>
    </row>
    <row r="190" spans="10:10" x14ac:dyDescent="0.25">
      <c r="J190" s="223"/>
    </row>
    <row r="191" spans="10:10" x14ac:dyDescent="0.25">
      <c r="J191" s="223"/>
    </row>
    <row r="192" spans="10:10" x14ac:dyDescent="0.25">
      <c r="J192" s="223"/>
    </row>
    <row r="193" spans="10:10" x14ac:dyDescent="0.25">
      <c r="J193" s="223"/>
    </row>
    <row r="194" spans="10:10" x14ac:dyDescent="0.25">
      <c r="J194" s="223"/>
    </row>
    <row r="195" spans="10:10" x14ac:dyDescent="0.25">
      <c r="J195" s="223"/>
    </row>
    <row r="196" spans="10:10" x14ac:dyDescent="0.25">
      <c r="J196" s="223"/>
    </row>
    <row r="197" spans="10:10" x14ac:dyDescent="0.25">
      <c r="J197" s="223"/>
    </row>
    <row r="198" spans="10:10" x14ac:dyDescent="0.25">
      <c r="J198" s="223"/>
    </row>
    <row r="199" spans="10:10" x14ac:dyDescent="0.25">
      <c r="J199" s="223"/>
    </row>
    <row r="200" spans="10:10" x14ac:dyDescent="0.25">
      <c r="J200" s="223"/>
    </row>
    <row r="201" spans="10:10" x14ac:dyDescent="0.25">
      <c r="J201" s="223"/>
    </row>
  </sheetData>
  <mergeCells count="1">
    <mergeCell ref="A1:J1"/>
  </mergeCells>
  <phoneticPr fontId="0" type="noConversion"/>
  <printOptions gridLines="1"/>
  <pageMargins left="0.75" right="0.16" top="0.51" bottom="0.22" header="0.5" footer="0.5"/>
  <pageSetup scale="90" fitToHeight="16" orientation="landscape" r:id="rId1"/>
  <headerFooter alignWithMargins="0"/>
  <rowBreaks count="2" manualBreakCount="2">
    <brk id="63" max="9" man="1"/>
    <brk id="104"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49</vt:i4>
      </vt:variant>
    </vt:vector>
  </HeadingPairs>
  <TitlesOfParts>
    <vt:vector size="75" baseType="lpstr">
      <vt:lpstr>CRF</vt:lpstr>
      <vt:lpstr>SUMMARY BY FUND</vt:lpstr>
      <vt:lpstr>01-gen gov</vt:lpstr>
      <vt:lpstr>02-assessing</vt:lpstr>
      <vt:lpstr>03-fire</vt:lpstr>
      <vt:lpstr>04-police</vt:lpstr>
      <vt:lpstr>05-comm</vt:lpstr>
      <vt:lpstr>06-code enforcement</vt:lpstr>
      <vt:lpstr>07-pub works</vt:lpstr>
      <vt:lpstr>08-highway</vt:lpstr>
      <vt:lpstr>09-solid waste</vt:lpstr>
      <vt:lpstr>13-parks &amp; rec</vt:lpstr>
      <vt:lpstr>15-library</vt:lpstr>
      <vt:lpstr>16-equip mntc</vt:lpstr>
      <vt:lpstr>17-bldg &amp; grounds</vt:lpstr>
      <vt:lpstr>21-comm dev</vt:lpstr>
      <vt:lpstr>24-tax coll</vt:lpstr>
      <vt:lpstr>25-welfare</vt:lpstr>
      <vt:lpstr>27-debt svc</vt:lpstr>
      <vt:lpstr>10-wastewater</vt:lpstr>
      <vt:lpstr>32-Media</vt:lpstr>
      <vt:lpstr>33-Fire Protection -other</vt:lpstr>
      <vt:lpstr>43- WWTF capital Project</vt:lpstr>
      <vt:lpstr>45- capital Projects fund</vt:lpstr>
      <vt:lpstr>-other SPECIAL REVENUE FUNDING</vt:lpstr>
      <vt:lpstr>Revolving Fund</vt:lpstr>
      <vt:lpstr>'01-gen gov'!Print_Area</vt:lpstr>
      <vt:lpstr>'02-assessing'!Print_Area</vt:lpstr>
      <vt:lpstr>'03-fire'!Print_Area</vt:lpstr>
      <vt:lpstr>'04-police'!Print_Area</vt:lpstr>
      <vt:lpstr>'05-comm'!Print_Area</vt:lpstr>
      <vt:lpstr>'06-code enforcement'!Print_Area</vt:lpstr>
      <vt:lpstr>'07-pub works'!Print_Area</vt:lpstr>
      <vt:lpstr>'08-highway'!Print_Area</vt:lpstr>
      <vt:lpstr>'09-solid waste'!Print_Area</vt:lpstr>
      <vt:lpstr>'10-wastewater'!Print_Area</vt:lpstr>
      <vt:lpstr>'13-parks &amp; rec'!Print_Area</vt:lpstr>
      <vt:lpstr>'15-library'!Print_Area</vt:lpstr>
      <vt:lpstr>'16-equip mntc'!Print_Area</vt:lpstr>
      <vt:lpstr>'17-bldg &amp; grounds'!Print_Area</vt:lpstr>
      <vt:lpstr>'21-comm dev'!Print_Area</vt:lpstr>
      <vt:lpstr>'24-tax coll'!Print_Area</vt:lpstr>
      <vt:lpstr>'25-welfare'!Print_Area</vt:lpstr>
      <vt:lpstr>'27-debt svc'!Print_Area</vt:lpstr>
      <vt:lpstr>'32-Media'!Print_Area</vt:lpstr>
      <vt:lpstr>'33-Fire Protection -other'!Print_Area</vt:lpstr>
      <vt:lpstr>'43- WWTF capital Project'!Print_Area</vt:lpstr>
      <vt:lpstr>'45- capital Projects fund'!Print_Area</vt:lpstr>
      <vt:lpstr>CRF!Print_Area</vt:lpstr>
      <vt:lpstr>'-other SPECIAL REVENUE FUNDING'!Print_Area</vt:lpstr>
      <vt:lpstr>'Revolving Fund'!Print_Area</vt:lpstr>
      <vt:lpstr>'SUMMARY BY FUND'!Print_Area</vt:lpstr>
      <vt:lpstr>'01-gen gov'!Print_Titles</vt:lpstr>
      <vt:lpstr>'02-assessing'!Print_Titles</vt:lpstr>
      <vt:lpstr>'03-fire'!Print_Titles</vt:lpstr>
      <vt:lpstr>'04-police'!Print_Titles</vt:lpstr>
      <vt:lpstr>'05-comm'!Print_Titles</vt:lpstr>
      <vt:lpstr>'06-code enforcement'!Print_Titles</vt:lpstr>
      <vt:lpstr>'07-pub works'!Print_Titles</vt:lpstr>
      <vt:lpstr>'08-highway'!Print_Titles</vt:lpstr>
      <vt:lpstr>'09-solid waste'!Print_Titles</vt:lpstr>
      <vt:lpstr>'10-wastewater'!Print_Titles</vt:lpstr>
      <vt:lpstr>'13-parks &amp; rec'!Print_Titles</vt:lpstr>
      <vt:lpstr>'15-library'!Print_Titles</vt:lpstr>
      <vt:lpstr>'16-equip mntc'!Print_Titles</vt:lpstr>
      <vt:lpstr>'17-bldg &amp; grounds'!Print_Titles</vt:lpstr>
      <vt:lpstr>'21-comm dev'!Print_Titles</vt:lpstr>
      <vt:lpstr>'24-tax coll'!Print_Titles</vt:lpstr>
      <vt:lpstr>'25-welfare'!Print_Titles</vt:lpstr>
      <vt:lpstr>'32-Media'!Print_Titles</vt:lpstr>
      <vt:lpstr>'33-Fire Protection -other'!Print_Titles</vt:lpstr>
      <vt:lpstr>'43- WWTF capital Project'!Print_Titles</vt:lpstr>
      <vt:lpstr>'45- capital Projects fund'!Print_Titles</vt:lpstr>
      <vt:lpstr>'-other SPECIAL REVENUE FUNDING'!Print_Titles</vt:lpstr>
      <vt:lpstr>'Revolving Fund'!Print_Titles</vt:lpstr>
    </vt:vector>
  </TitlesOfParts>
  <Company>Town of Merrimack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Finance</dc:creator>
  <cp:lastModifiedBy>Paul Micali</cp:lastModifiedBy>
  <cp:lastPrinted>2019-02-15T21:23:45Z</cp:lastPrinted>
  <dcterms:created xsi:type="dcterms:W3CDTF">2001-06-20T19:26:14Z</dcterms:created>
  <dcterms:modified xsi:type="dcterms:W3CDTF">2019-04-24T15:12:00Z</dcterms:modified>
</cp:coreProperties>
</file>