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9200" windowHeight="8895" tabRatio="596" firstSheet="17" activeTab="18"/>
  </bookViews>
  <sheets>
    <sheet name="01-gen gov" sheetId="1" r:id="rId1"/>
    <sheet name="02-assessing" sheetId="2" r:id="rId2"/>
    <sheet name="03-fire" sheetId="3" r:id="rId3"/>
    <sheet name="04-police" sheetId="4" r:id="rId4"/>
    <sheet name="05-comm" sheetId="5" r:id="rId5"/>
    <sheet name="06-code enforcement" sheetId="53" r:id="rId6"/>
    <sheet name="07-pub works" sheetId="6" r:id="rId7"/>
    <sheet name="08-highway" sheetId="7" r:id="rId8"/>
    <sheet name="09-solid waste" sheetId="8" r:id="rId9"/>
    <sheet name="13-parks &amp; rec" sheetId="11" r:id="rId10"/>
    <sheet name="15-library" sheetId="12" r:id="rId11"/>
    <sheet name="16-equip mntc" sheetId="13" r:id="rId12"/>
    <sheet name="17-bldg &amp; grounds" sheetId="14" r:id="rId13"/>
    <sheet name="21-comm dev" sheetId="15" r:id="rId14"/>
    <sheet name="24-tax coll" sheetId="16" r:id="rId15"/>
    <sheet name="25-welfare" sheetId="17" r:id="rId16"/>
    <sheet name="27-debt svc" sheetId="18" r:id="rId17"/>
    <sheet name="10-wastewater" sheetId="9" r:id="rId18"/>
    <sheet name="32-Media" sheetId="37" r:id="rId19"/>
    <sheet name="33-Fire Protection -other" sheetId="36" r:id="rId20"/>
    <sheet name="43- WWTF capital Project" sheetId="63" r:id="rId21"/>
    <sheet name="45- capital Projects fund" sheetId="61" r:id="rId22"/>
    <sheet name="-other SPECIAL REVENUE FUNDING" sheetId="50" r:id="rId23"/>
    <sheet name="Revolving Fund" sheetId="60" r:id="rId24"/>
  </sheets>
  <externalReferences>
    <externalReference r:id="rId25"/>
    <externalReference r:id="rId26"/>
    <externalReference r:id="rId27"/>
    <externalReference r:id="rId28"/>
  </externalReferences>
  <definedNames>
    <definedName name="_bos38" localSheetId="20">'15-library'!#REF!</definedName>
    <definedName name="_bos38" localSheetId="21">'15-library'!#REF!</definedName>
    <definedName name="_bos38" localSheetId="23">'15-library'!#REF!</definedName>
    <definedName name="_mgr38" localSheetId="20">'15-library'!#REF!</definedName>
    <definedName name="_mgr38" localSheetId="21">'15-library'!#REF!</definedName>
    <definedName name="_mgr38" localSheetId="23">'15-library'!#REF!</definedName>
    <definedName name="_Order1" hidden="1">255</definedName>
    <definedName name="_Order2" hidden="1">255</definedName>
    <definedName name="aaa" localSheetId="20">'[1]15-library'!#REF!</definedName>
    <definedName name="aaa" localSheetId="21">'[1]15-library'!#REF!</definedName>
    <definedName name="aaa" localSheetId="23">'[1]15-library'!#REF!</definedName>
    <definedName name="aaa">'[1]15-library'!#REF!</definedName>
    <definedName name="actual" localSheetId="20">'15-library'!#REF!</definedName>
    <definedName name="actual" localSheetId="21">'15-library'!#REF!</definedName>
    <definedName name="actual" localSheetId="23">'15-library'!#REF!</definedName>
    <definedName name="actual38" localSheetId="20">'15-library'!#REF!</definedName>
    <definedName name="actual38" localSheetId="21">'15-library'!#REF!</definedName>
    <definedName name="actual38" localSheetId="23">'15-library'!#REF!</definedName>
    <definedName name="bbb" localSheetId="20">'[1]15-library'!#REF!</definedName>
    <definedName name="bbb" localSheetId="21">'[1]15-library'!#REF!</definedName>
    <definedName name="bbb" localSheetId="23">'[1]15-library'!#REF!</definedName>
    <definedName name="bbb">'[1]15-library'!#REF!</definedName>
    <definedName name="bos" localSheetId="20">'15-library'!#REF!</definedName>
    <definedName name="bos" localSheetId="21">'15-library'!#REF!</definedName>
    <definedName name="bos" localSheetId="23">'15-library'!#REF!</definedName>
    <definedName name="budcom" localSheetId="20">'15-library'!#REF!</definedName>
    <definedName name="budcom" localSheetId="21">'15-library'!#REF!</definedName>
    <definedName name="budcom" localSheetId="23">'15-library'!#REF!</definedName>
    <definedName name="budget" localSheetId="20">'15-library'!#REF!</definedName>
    <definedName name="budget" localSheetId="21">'15-library'!#REF!</definedName>
    <definedName name="budget" localSheetId="23">'15-library'!#REF!</definedName>
    <definedName name="budget38" localSheetId="20">'15-library'!#REF!</definedName>
    <definedName name="budget38" localSheetId="21">'15-library'!#REF!</definedName>
    <definedName name="budget38" localSheetId="23">'15-library'!#REF!</definedName>
    <definedName name="ccc" localSheetId="20">'[1]15-library'!#REF!</definedName>
    <definedName name="ccc" localSheetId="21">'[1]15-library'!#REF!</definedName>
    <definedName name="ccc" localSheetId="23">'[1]15-library'!#REF!</definedName>
    <definedName name="ccc">'[1]15-library'!#REF!</definedName>
    <definedName name="ddd" localSheetId="20">'[1]15-library'!#REF!</definedName>
    <definedName name="ddd" localSheetId="21">'[1]15-library'!#REF!</definedName>
    <definedName name="ddd" localSheetId="23">'[1]15-library'!#REF!</definedName>
    <definedName name="ddd">'[1]15-library'!#REF!</definedName>
    <definedName name="dept" localSheetId="20">'15-library'!#REF!</definedName>
    <definedName name="dept" localSheetId="21">'15-library'!#REF!</definedName>
    <definedName name="dept" localSheetId="23">'15-library'!#REF!</definedName>
    <definedName name="dept22" localSheetId="20">'15-library'!#REF!</definedName>
    <definedName name="dept22" localSheetId="21">'15-library'!#REF!</definedName>
    <definedName name="dept22">'15-library'!#REF!</definedName>
    <definedName name="dept38" localSheetId="20">'15-library'!#REF!</definedName>
    <definedName name="dept38" localSheetId="21">'15-library'!#REF!</definedName>
    <definedName name="dept38" localSheetId="23">'15-library'!#REF!</definedName>
    <definedName name="eee" localSheetId="20">'[1]15-library'!#REF!</definedName>
    <definedName name="eee" localSheetId="21">'[1]15-library'!#REF!</definedName>
    <definedName name="eee" localSheetId="23">'[1]15-library'!#REF!</definedName>
    <definedName name="eee">'[1]15-library'!#REF!</definedName>
    <definedName name="fff" localSheetId="20">'[1]15-library'!#REF!</definedName>
    <definedName name="fff" localSheetId="21">'[1]15-library'!#REF!</definedName>
    <definedName name="fff" localSheetId="23">'[1]15-library'!#REF!</definedName>
    <definedName name="fff">'[1]15-library'!#REF!</definedName>
    <definedName name="ggg" localSheetId="20">'[1]15-library'!#REF!</definedName>
    <definedName name="ggg" localSheetId="21">'[1]15-library'!#REF!</definedName>
    <definedName name="ggg" localSheetId="23">'[1]15-library'!#REF!</definedName>
    <definedName name="ggg">'[1]15-library'!#REF!</definedName>
    <definedName name="help" localSheetId="20">'[2]15-library'!#REF!</definedName>
    <definedName name="help" localSheetId="21">'[2]15-library'!#REF!</definedName>
    <definedName name="help" localSheetId="23">'[2]15-library'!#REF!</definedName>
    <definedName name="help">'[2]15-library'!#REF!</definedName>
    <definedName name="hhh" localSheetId="20">'[1]15-library'!#REF!</definedName>
    <definedName name="hhh" localSheetId="21">'[1]15-library'!#REF!</definedName>
    <definedName name="hhh" localSheetId="23">'[1]15-library'!#REF!</definedName>
    <definedName name="hhh">'[1]15-library'!#REF!</definedName>
    <definedName name="iii" localSheetId="20">'[1]15-library'!#REF!</definedName>
    <definedName name="iii" localSheetId="21">'[1]15-library'!#REF!</definedName>
    <definedName name="iii" localSheetId="23">'[1]15-library'!#REF!</definedName>
    <definedName name="iii">'[1]15-library'!#REF!</definedName>
    <definedName name="jjj" localSheetId="20">'[1]15-library'!#REF!</definedName>
    <definedName name="jjj" localSheetId="21">'[1]15-library'!#REF!</definedName>
    <definedName name="jjj" localSheetId="23">'[1]15-library'!#REF!</definedName>
    <definedName name="jjj">'[1]15-library'!#REF!</definedName>
    <definedName name="meet" localSheetId="20">'[3]15-library'!#REF!</definedName>
    <definedName name="meet" localSheetId="21">'[3]15-library'!#REF!</definedName>
    <definedName name="meet" localSheetId="23">'[3]15-library'!#REF!</definedName>
    <definedName name="meet">'[3]15-library'!#REF!</definedName>
    <definedName name="meeting" localSheetId="20">'15-library'!#REF!</definedName>
    <definedName name="meeting" localSheetId="21">'15-library'!#REF!</definedName>
    <definedName name="meeting" localSheetId="23">'15-library'!#REF!</definedName>
    <definedName name="mgr" localSheetId="20">'15-library'!#REF!</definedName>
    <definedName name="mgr" localSheetId="21">'15-library'!#REF!</definedName>
    <definedName name="mgr" localSheetId="23">'15-library'!#REF!</definedName>
    <definedName name="ooop" localSheetId="20">'[2]15-library'!#REF!</definedName>
    <definedName name="ooop" localSheetId="21">'[2]15-library'!#REF!</definedName>
    <definedName name="ooop" localSheetId="23">'[2]15-library'!#REF!</definedName>
    <definedName name="ooop">'[2]15-library'!#REF!</definedName>
    <definedName name="ooou" localSheetId="20">'[2]15-library'!#REF!</definedName>
    <definedName name="ooou" localSheetId="21">'[2]15-library'!#REF!</definedName>
    <definedName name="ooou" localSheetId="23">'[2]15-library'!#REF!</definedName>
    <definedName name="ooou">'[2]15-library'!#REF!</definedName>
    <definedName name="_xlnm.Print_Area" localSheetId="0">'01-gen gov'!$A$1:$J$288</definedName>
    <definedName name="_xlnm.Print_Area" localSheetId="1">'02-assessing'!$A$1:$J$127</definedName>
    <definedName name="_xlnm.Print_Area" localSheetId="2">'03-fire'!$A$1:$J$391</definedName>
    <definedName name="_xlnm.Print_Area" localSheetId="3">'04-police'!$A$1:$J$311</definedName>
    <definedName name="_xlnm.Print_Area" localSheetId="4">'05-comm'!$A$1:$J$151</definedName>
    <definedName name="_xlnm.Print_Area" localSheetId="5">'06-code enforcement'!$A$1:$J$157</definedName>
    <definedName name="_xlnm.Print_Area" localSheetId="6">'07-pub works'!$A$1:$J$149</definedName>
    <definedName name="_xlnm.Print_Area" localSheetId="7">'08-highway'!$A$1:$J$361</definedName>
    <definedName name="_xlnm.Print_Area" localSheetId="8">'09-solid waste'!$A$1:$J$227</definedName>
    <definedName name="_xlnm.Print_Area" localSheetId="17">'10-wastewater'!$A$1:$J$339</definedName>
    <definedName name="_xlnm.Print_Area" localSheetId="9">'13-parks &amp; rec'!$A$1:$J$259</definedName>
    <definedName name="_xlnm.Print_Area" localSheetId="10">'15-library'!$A$1:$J$256</definedName>
    <definedName name="_xlnm.Print_Area" localSheetId="11">'16-equip mntc'!$A$1:$J$135</definedName>
    <definedName name="_xlnm.Print_Area" localSheetId="12">'17-bldg &amp; grounds'!$A$1:$J$147</definedName>
    <definedName name="_xlnm.Print_Area" localSheetId="14">'24-tax coll'!$A$1:$J$157</definedName>
    <definedName name="_xlnm.Print_Area" localSheetId="15">'25-welfare'!$A$1:$K$100</definedName>
    <definedName name="_xlnm.Print_Area" localSheetId="16">'27-debt svc'!$A$1:$G$66</definedName>
    <definedName name="_xlnm.Print_Area" localSheetId="19">'33-Fire Protection -other'!$A$1:$J$18</definedName>
    <definedName name="_xlnm.Print_Area" localSheetId="20">'43- WWTF capital Project'!$A$1:$J$18</definedName>
    <definedName name="_xlnm.Print_Area" localSheetId="21">'45- capital Projects fund'!$A$1:$J$21</definedName>
    <definedName name="_xlnm.Print_Titles" localSheetId="0">'01-gen gov'!$1:$5</definedName>
    <definedName name="_xlnm.Print_Titles" localSheetId="1">'02-assessing'!$1:$5</definedName>
    <definedName name="_xlnm.Print_Titles" localSheetId="2">'03-fire'!$1:$5</definedName>
    <definedName name="_xlnm.Print_Titles" localSheetId="3">'04-police'!$1:$5</definedName>
    <definedName name="_xlnm.Print_Titles" localSheetId="4">'05-comm'!$1:$5</definedName>
    <definedName name="_xlnm.Print_Titles" localSheetId="5">'06-code enforcement'!$1:$5</definedName>
    <definedName name="_xlnm.Print_Titles" localSheetId="6">'07-pub works'!$1:$5</definedName>
    <definedName name="_xlnm.Print_Titles" localSheetId="7">'08-highway'!$1:$5</definedName>
    <definedName name="_xlnm.Print_Titles" localSheetId="8">'09-solid waste'!$1:$5</definedName>
    <definedName name="_xlnm.Print_Titles" localSheetId="17">'10-wastewater'!$1:$5</definedName>
    <definedName name="_xlnm.Print_Titles" localSheetId="9">'13-parks &amp; rec'!$1:$5</definedName>
    <definedName name="_xlnm.Print_Titles" localSheetId="10">'15-library'!$1:$5</definedName>
    <definedName name="_xlnm.Print_Titles" localSheetId="11">'16-equip mntc'!$1:$5</definedName>
    <definedName name="_xlnm.Print_Titles" localSheetId="12">'17-bldg &amp; grounds'!$1:$5</definedName>
    <definedName name="_xlnm.Print_Titles" localSheetId="13">'21-comm dev'!$1:$5</definedName>
    <definedName name="_xlnm.Print_Titles" localSheetId="14">'24-tax coll'!$1:$5</definedName>
    <definedName name="_xlnm.Print_Titles" localSheetId="15">'25-welfare'!$1:$5</definedName>
    <definedName name="_xlnm.Print_Titles" localSheetId="18">'32-Media'!$1:$5</definedName>
    <definedName name="_xlnm.Print_Titles" localSheetId="19">'33-Fire Protection -other'!$1:$4</definedName>
    <definedName name="_xlnm.Print_Titles" localSheetId="20">'43- WWTF capital Project'!$1:$4</definedName>
    <definedName name="_xlnm.Print_Titles" localSheetId="21">'45- capital Projects fund'!$1:$4</definedName>
    <definedName name="_xlnm.Print_Titles" localSheetId="22">'-other SPECIAL REVENUE FUNDING'!$1:$6</definedName>
    <definedName name="_xlnm.Print_Titles" localSheetId="23">'Revolving Fund'!$1:$7</definedName>
    <definedName name="pwq" localSheetId="20">'[2]15-library'!#REF!</definedName>
    <definedName name="pwq" localSheetId="21">'[2]15-library'!#REF!</definedName>
    <definedName name="pwq" localSheetId="23">'[2]15-library'!#REF!</definedName>
    <definedName name="pwq">'[2]15-library'!#REF!</definedName>
    <definedName name="revenue2" localSheetId="20">'15-library'!#REF!</definedName>
    <definedName name="revenue2" localSheetId="21">'15-library'!#REF!</definedName>
    <definedName name="revenue2">'15-library'!#REF!</definedName>
    <definedName name="rtl" localSheetId="20">'[2]15-library'!#REF!</definedName>
    <definedName name="rtl" localSheetId="21">'[2]15-library'!#REF!</definedName>
    <definedName name="rtl" localSheetId="23">'[2]15-library'!#REF!</definedName>
    <definedName name="rtl">'[2]15-library'!#REF!</definedName>
    <definedName name="ssg" localSheetId="20">'[2]15-library'!#REF!</definedName>
    <definedName name="ssg" localSheetId="21">'[2]15-library'!#REF!</definedName>
    <definedName name="ssg" localSheetId="23">'[2]15-library'!#REF!</definedName>
    <definedName name="ssg">'[2]15-library'!#REF!</definedName>
    <definedName name="voted" localSheetId="20">'15-library'!#REF!</definedName>
    <definedName name="voted" localSheetId="21">'15-library'!#REF!</definedName>
    <definedName name="voted" localSheetId="23">'15-library'!#REF!</definedName>
    <definedName name="www" localSheetId="20">'[2]15-library'!#REF!</definedName>
    <definedName name="www" localSheetId="21">'[2]15-library'!#REF!</definedName>
    <definedName name="www" localSheetId="23">'[2]15-library'!#REF!</definedName>
    <definedName name="www">'[2]15-library'!#REF!</definedName>
  </definedNames>
  <calcPr calcId="145621"/>
</workbook>
</file>

<file path=xl/calcChain.xml><?xml version="1.0" encoding="utf-8"?>
<calcChain xmlns="http://schemas.openxmlformats.org/spreadsheetml/2006/main">
  <c r="B61" i="18" l="1"/>
  <c r="J251" i="12" l="1"/>
  <c r="I251" i="12"/>
  <c r="J282" i="1" l="1"/>
  <c r="J284" i="1"/>
  <c r="J285" i="1"/>
  <c r="J286" i="1"/>
  <c r="J287" i="1" l="1"/>
  <c r="D100" i="1" l="1"/>
  <c r="C67" i="3" l="1"/>
  <c r="D65" i="3" l="1"/>
  <c r="D64" i="3"/>
  <c r="D63" i="3"/>
  <c r="D62" i="3"/>
  <c r="I338" i="9" l="1"/>
  <c r="I337" i="9"/>
  <c r="I336" i="9"/>
  <c r="D35" i="1" l="1"/>
  <c r="D197" i="1"/>
  <c r="D193" i="1"/>
  <c r="D192" i="1"/>
  <c r="D161" i="8"/>
  <c r="D221" i="7"/>
  <c r="D212" i="7"/>
  <c r="D257" i="4"/>
  <c r="D94" i="1"/>
  <c r="D188" i="1"/>
  <c r="D100" i="3" l="1"/>
  <c r="D101" i="1" l="1"/>
  <c r="H98" i="1"/>
  <c r="G98" i="1"/>
  <c r="D13" i="37" l="1"/>
  <c r="H168" i="3"/>
  <c r="D13" i="1" l="1"/>
  <c r="D167" i="9" l="1"/>
  <c r="C31" i="6"/>
  <c r="D23" i="16"/>
  <c r="D8" i="16"/>
  <c r="D16" i="16"/>
  <c r="C17" i="16"/>
  <c r="D17" i="16" s="1"/>
  <c r="H284" i="1" l="1"/>
  <c r="D322" i="3"/>
  <c r="K6" i="3" l="1"/>
  <c r="G63" i="18"/>
  <c r="F63" i="18"/>
  <c r="E63" i="18"/>
  <c r="D63" i="18"/>
  <c r="C63" i="18"/>
  <c r="B63" i="18"/>
  <c r="D20" i="37"/>
  <c r="D8" i="37"/>
  <c r="D14" i="37"/>
  <c r="F337" i="9"/>
  <c r="J338" i="9"/>
  <c r="H338" i="9"/>
  <c r="G338" i="9"/>
  <c r="J337" i="9"/>
  <c r="J336" i="9"/>
  <c r="H336" i="9"/>
  <c r="G336" i="9"/>
  <c r="D54" i="9"/>
  <c r="C46" i="9"/>
  <c r="D38" i="9"/>
  <c r="C39" i="9"/>
  <c r="D39" i="9" s="1"/>
  <c r="C20" i="9"/>
  <c r="D20" i="9" s="1"/>
  <c r="D8" i="9"/>
  <c r="G31" i="18"/>
  <c r="F31" i="18"/>
  <c r="E31" i="18"/>
  <c r="G61" i="18"/>
  <c r="G64" i="18" s="1"/>
  <c r="F61" i="18"/>
  <c r="F64" i="18" s="1"/>
  <c r="E61" i="18"/>
  <c r="E64" i="18" s="1"/>
  <c r="D61" i="18"/>
  <c r="D64" i="18" s="1"/>
  <c r="C61" i="18"/>
  <c r="C64" i="18" s="1"/>
  <c r="B64" i="18"/>
  <c r="J389" i="3"/>
  <c r="I389" i="3"/>
  <c r="H389" i="3"/>
  <c r="J388" i="3"/>
  <c r="I388" i="3"/>
  <c r="H388" i="3"/>
  <c r="I387" i="3"/>
  <c r="H387" i="3"/>
  <c r="B65" i="18" l="1"/>
  <c r="C65" i="18"/>
  <c r="F65" i="18"/>
  <c r="G65" i="18"/>
  <c r="D65" i="18"/>
  <c r="E65" i="18"/>
  <c r="I390" i="3"/>
  <c r="J339" i="9"/>
  <c r="I339" i="9"/>
  <c r="H390" i="3"/>
  <c r="H156" i="16"/>
  <c r="H155" i="16"/>
  <c r="H154" i="16"/>
  <c r="H152" i="16"/>
  <c r="H170" i="15"/>
  <c r="H169" i="15"/>
  <c r="H168" i="15"/>
  <c r="H164" i="15"/>
  <c r="C15" i="15"/>
  <c r="D15" i="15" s="1"/>
  <c r="D26" i="15"/>
  <c r="D21" i="15"/>
  <c r="D8" i="15"/>
  <c r="C9" i="14"/>
  <c r="D9" i="14" s="1"/>
  <c r="C28" i="13"/>
  <c r="H134" i="13"/>
  <c r="H133" i="13"/>
  <c r="H132" i="13"/>
  <c r="H129" i="13"/>
  <c r="D8" i="13"/>
  <c r="C17" i="13"/>
  <c r="D17" i="13" s="1"/>
  <c r="H255" i="12"/>
  <c r="H254" i="12"/>
  <c r="H253" i="12"/>
  <c r="H247" i="12"/>
  <c r="H251" i="12" s="1"/>
  <c r="H246" i="12"/>
  <c r="D45" i="12"/>
  <c r="C22" i="12"/>
  <c r="D22" i="12" s="1"/>
  <c r="C13" i="12"/>
  <c r="D13" i="12" s="1"/>
  <c r="D15" i="11"/>
  <c r="D8" i="11"/>
  <c r="H258" i="11"/>
  <c r="H257" i="11"/>
  <c r="H256" i="11"/>
  <c r="H254" i="11"/>
  <c r="C22" i="8"/>
  <c r="D22" i="8" s="1"/>
  <c r="C11" i="8"/>
  <c r="D11" i="8" s="1"/>
  <c r="H226" i="8"/>
  <c r="H225" i="8"/>
  <c r="H224" i="8"/>
  <c r="H221" i="8"/>
  <c r="C41" i="7"/>
  <c r="D41" i="7" s="1"/>
  <c r="D8" i="7"/>
  <c r="C16" i="7"/>
  <c r="C17" i="7"/>
  <c r="D17" i="7" s="1"/>
  <c r="C14" i="6"/>
  <c r="D14" i="6" s="1"/>
  <c r="D20" i="6"/>
  <c r="D8" i="6"/>
  <c r="H148" i="6"/>
  <c r="H147" i="6"/>
  <c r="H146" i="6"/>
  <c r="H144" i="6"/>
  <c r="D90" i="53"/>
  <c r="C30" i="53"/>
  <c r="D26" i="53"/>
  <c r="D8" i="53"/>
  <c r="D13" i="53"/>
  <c r="C20" i="53"/>
  <c r="D20" i="53" s="1"/>
  <c r="C23" i="5"/>
  <c r="C21" i="5"/>
  <c r="D21" i="5" s="1"/>
  <c r="D8" i="5"/>
  <c r="H150" i="5"/>
  <c r="H149" i="5"/>
  <c r="H148" i="5"/>
  <c r="H146" i="5"/>
  <c r="H126" i="2"/>
  <c r="H125" i="2"/>
  <c r="H124" i="2"/>
  <c r="H122" i="2"/>
  <c r="H310" i="4"/>
  <c r="H309" i="4"/>
  <c r="H308" i="4"/>
  <c r="H306" i="4"/>
  <c r="H157" i="16" l="1"/>
  <c r="H151" i="5"/>
  <c r="H259" i="11"/>
  <c r="H135" i="13"/>
  <c r="H127" i="2"/>
  <c r="H171" i="15"/>
  <c r="H227" i="8"/>
  <c r="H256" i="12"/>
  <c r="H149" i="6"/>
  <c r="H250" i="12"/>
  <c r="H311" i="4"/>
  <c r="D79" i="4" l="1"/>
  <c r="C75" i="4"/>
  <c r="C26" i="4"/>
  <c r="D26" i="4" s="1"/>
  <c r="C11" i="4"/>
  <c r="D11" i="4" s="1"/>
  <c r="D88" i="3"/>
  <c r="D67" i="3"/>
  <c r="C28" i="3"/>
  <c r="D28" i="3" s="1"/>
  <c r="D8" i="3"/>
  <c r="B108" i="2"/>
  <c r="C19" i="2"/>
  <c r="D19" i="2" s="1"/>
  <c r="B25" i="2" s="1"/>
  <c r="B31" i="2" s="1"/>
  <c r="C15" i="2"/>
  <c r="D15" i="2" s="1"/>
  <c r="D8" i="2"/>
  <c r="H286" i="1"/>
  <c r="H285" i="1"/>
  <c r="H282" i="1"/>
  <c r="C40" i="1"/>
  <c r="C29" i="1"/>
  <c r="D29" i="1" s="1"/>
  <c r="C17" i="1"/>
  <c r="D17" i="1" s="1"/>
  <c r="H287" i="1" l="1"/>
  <c r="I93" i="17"/>
  <c r="E8" i="17"/>
  <c r="G225" i="8" l="1"/>
  <c r="F225" i="8"/>
  <c r="E225" i="8"/>
  <c r="E226" i="8"/>
  <c r="F226" i="8"/>
  <c r="G226" i="8"/>
  <c r="G310" i="4"/>
  <c r="G389" i="3"/>
  <c r="G126" i="2"/>
  <c r="G286" i="1"/>
  <c r="G359" i="7"/>
  <c r="G358" i="7"/>
  <c r="G356" i="7"/>
  <c r="G360" i="7"/>
  <c r="F360" i="7"/>
  <c r="F359" i="7"/>
  <c r="E360" i="7"/>
  <c r="E359" i="7"/>
  <c r="E358" i="7"/>
  <c r="E133" i="13"/>
  <c r="G133" i="13"/>
  <c r="F133" i="13"/>
  <c r="F129" i="13"/>
  <c r="G129" i="13"/>
  <c r="B31" i="18"/>
  <c r="C31" i="18"/>
  <c r="B383" i="3"/>
  <c r="D324" i="9"/>
  <c r="D310" i="9"/>
  <c r="C310" i="9"/>
  <c r="D304" i="9"/>
  <c r="C304" i="9"/>
  <c r="D289" i="9"/>
  <c r="D284" i="9"/>
  <c r="D270" i="9"/>
  <c r="D253" i="9"/>
  <c r="D245" i="9"/>
  <c r="D241" i="9"/>
  <c r="D240" i="9"/>
  <c r="D239" i="9"/>
  <c r="D238" i="9"/>
  <c r="D237" i="9"/>
  <c r="D226" i="9"/>
  <c r="G158" i="9"/>
  <c r="G154" i="9"/>
  <c r="D151" i="9"/>
  <c r="D148" i="9"/>
  <c r="D145" i="9"/>
  <c r="G143" i="9"/>
  <c r="D141" i="9"/>
  <c r="G130" i="9"/>
  <c r="G125" i="9"/>
  <c r="D139" i="14"/>
  <c r="D121" i="14"/>
  <c r="D114" i="14"/>
  <c r="D86" i="14"/>
  <c r="D81" i="14"/>
  <c r="D78" i="14"/>
  <c r="D72" i="14"/>
  <c r="D67" i="14"/>
  <c r="D59" i="14"/>
  <c r="D61" i="14" s="1"/>
  <c r="G134" i="13"/>
  <c r="D121" i="13"/>
  <c r="D116" i="13"/>
  <c r="D92" i="13"/>
  <c r="D91" i="13"/>
  <c r="D84" i="13"/>
  <c r="D83" i="13"/>
  <c r="D82" i="13"/>
  <c r="D81" i="13"/>
  <c r="D204" i="8"/>
  <c r="D195" i="8"/>
  <c r="D189" i="8"/>
  <c r="D176" i="8"/>
  <c r="D175" i="8"/>
  <c r="D166" i="8"/>
  <c r="D158" i="8"/>
  <c r="D153" i="8"/>
  <c r="D141" i="8"/>
  <c r="D140" i="8"/>
  <c r="D133" i="8"/>
  <c r="D125" i="8"/>
  <c r="D124" i="8"/>
  <c r="D123" i="8"/>
  <c r="D120" i="8"/>
  <c r="D109" i="8"/>
  <c r="D102" i="8"/>
  <c r="D101" i="8"/>
  <c r="D100" i="8"/>
  <c r="D99" i="8"/>
  <c r="D31" i="8"/>
  <c r="D30" i="8"/>
  <c r="D274" i="7"/>
  <c r="D342" i="7"/>
  <c r="C342" i="7"/>
  <c r="C354" i="7" s="1"/>
  <c r="B342" i="7"/>
  <c r="B354" i="7" s="1"/>
  <c r="D335" i="7"/>
  <c r="D328" i="7"/>
  <c r="D322" i="7"/>
  <c r="D318" i="7"/>
  <c r="D302" i="7"/>
  <c r="D285" i="7"/>
  <c r="D280" i="7"/>
  <c r="D258" i="7"/>
  <c r="D249" i="7"/>
  <c r="D229" i="7"/>
  <c r="D223" i="7"/>
  <c r="D218" i="7"/>
  <c r="D209" i="7"/>
  <c r="D191" i="7"/>
  <c r="D175" i="7"/>
  <c r="D172" i="7"/>
  <c r="D167" i="7"/>
  <c r="D166" i="7"/>
  <c r="D157" i="7"/>
  <c r="D152" i="7"/>
  <c r="D136" i="7"/>
  <c r="D135" i="7"/>
  <c r="D134" i="7"/>
  <c r="D133" i="7"/>
  <c r="D132" i="7"/>
  <c r="D131" i="7"/>
  <c r="D130" i="7"/>
  <c r="D129" i="7"/>
  <c r="D126" i="7"/>
  <c r="D53" i="7"/>
  <c r="D132" i="6"/>
  <c r="D124" i="6"/>
  <c r="D112" i="6"/>
  <c r="D100" i="6"/>
  <c r="D85" i="6"/>
  <c r="D31" i="6"/>
  <c r="B38" i="6" s="1"/>
  <c r="B45" i="6" s="1"/>
  <c r="B67" i="6" s="1"/>
  <c r="D67" i="6" s="1"/>
  <c r="D86" i="13" l="1"/>
  <c r="D126" i="8"/>
  <c r="D142" i="8"/>
  <c r="H337" i="9"/>
  <c r="H339" i="9" s="1"/>
  <c r="J341" i="9" s="1"/>
  <c r="J343" i="9" s="1"/>
  <c r="G337" i="9"/>
  <c r="G339" i="9" s="1"/>
  <c r="D93" i="13"/>
  <c r="D176" i="7"/>
  <c r="D32" i="8"/>
  <c r="D177" i="8"/>
  <c r="D152" i="9"/>
  <c r="D104" i="8"/>
  <c r="D137" i="7"/>
  <c r="D168" i="7"/>
  <c r="D242" i="9"/>
  <c r="G387" i="3"/>
  <c r="G388" i="3"/>
  <c r="D362" i="3" l="1"/>
  <c r="D361" i="3"/>
  <c r="D360" i="3"/>
  <c r="D352" i="3"/>
  <c r="D348" i="3"/>
  <c r="D349" i="3" s="1"/>
  <c r="D343" i="3"/>
  <c r="D342" i="3"/>
  <c r="D341" i="3"/>
  <c r="D338" i="3"/>
  <c r="D335" i="3"/>
  <c r="D331" i="3"/>
  <c r="D330" i="3"/>
  <c r="D329" i="3"/>
  <c r="D328" i="3"/>
  <c r="D327" i="3"/>
  <c r="D321" i="3"/>
  <c r="D320" i="3"/>
  <c r="D314" i="3"/>
  <c r="D313" i="3"/>
  <c r="D312" i="3"/>
  <c r="D311" i="3"/>
  <c r="D310" i="3"/>
  <c r="D309" i="3"/>
  <c r="D308" i="3"/>
  <c r="D307" i="3"/>
  <c r="D306" i="3"/>
  <c r="D305" i="3"/>
  <c r="D304" i="3"/>
  <c r="D303" i="3"/>
  <c r="D302" i="3"/>
  <c r="D297" i="3"/>
  <c r="D296" i="3"/>
  <c r="D294" i="3"/>
  <c r="D293" i="3"/>
  <c r="D292" i="3"/>
  <c r="D259" i="3"/>
  <c r="D258" i="3"/>
  <c r="D257" i="3"/>
  <c r="D256" i="3"/>
  <c r="D255" i="3"/>
  <c r="D254" i="3"/>
  <c r="D253" i="3"/>
  <c r="D252" i="3"/>
  <c r="D248" i="3"/>
  <c r="D247" i="3"/>
  <c r="D246" i="3"/>
  <c r="D245" i="3"/>
  <c r="D244" i="3"/>
  <c r="D243" i="3"/>
  <c r="D205" i="3"/>
  <c r="D204" i="3"/>
  <c r="D203" i="3"/>
  <c r="D202" i="3"/>
  <c r="D201" i="3"/>
  <c r="D200" i="3"/>
  <c r="D199" i="3"/>
  <c r="D198" i="3"/>
  <c r="D197" i="3"/>
  <c r="D196" i="3"/>
  <c r="D195" i="3"/>
  <c r="D194" i="3"/>
  <c r="D193" i="3"/>
  <c r="D186" i="3"/>
  <c r="D185" i="3"/>
  <c r="D184" i="3"/>
  <c r="D183" i="3"/>
  <c r="D182" i="3"/>
  <c r="D181" i="3"/>
  <c r="D180" i="3"/>
  <c r="D179" i="3"/>
  <c r="D173" i="3"/>
  <c r="B74" i="3"/>
  <c r="D147" i="53"/>
  <c r="D129" i="53"/>
  <c r="D131" i="53" s="1"/>
  <c r="D101" i="53"/>
  <c r="D95" i="53"/>
  <c r="D89" i="53"/>
  <c r="D91" i="53" s="1"/>
  <c r="D85" i="53"/>
  <c r="D344" i="3" l="1"/>
  <c r="D332" i="3"/>
  <c r="D249" i="3"/>
  <c r="D189" i="3"/>
  <c r="D143" i="15"/>
  <c r="D127" i="15"/>
  <c r="D122" i="15"/>
  <c r="D100" i="15"/>
  <c r="D94" i="15"/>
  <c r="D88" i="15"/>
  <c r="D85" i="15"/>
  <c r="D75" i="17" l="1"/>
  <c r="E75" i="17"/>
  <c r="C75" i="17"/>
  <c r="B75" i="17"/>
  <c r="E50" i="17"/>
  <c r="D50" i="17"/>
  <c r="C50" i="17"/>
  <c r="E33" i="17"/>
  <c r="D33" i="17"/>
  <c r="C33" i="17"/>
  <c r="D121" i="60" l="1"/>
  <c r="D122" i="60" s="1"/>
  <c r="D106" i="60"/>
  <c r="D105" i="60"/>
  <c r="D104" i="60"/>
  <c r="D92" i="60"/>
  <c r="D93" i="60" s="1"/>
  <c r="D79" i="60"/>
  <c r="D78" i="60"/>
  <c r="D63" i="60"/>
  <c r="D62" i="60"/>
  <c r="D45" i="60"/>
  <c r="D44" i="60"/>
  <c r="D23" i="60"/>
  <c r="D22" i="60"/>
  <c r="D21" i="60"/>
  <c r="D20" i="60"/>
  <c r="D19" i="60"/>
  <c r="D18" i="60"/>
  <c r="D17" i="60"/>
  <c r="D16" i="60"/>
  <c r="D15" i="60"/>
  <c r="D14" i="60"/>
  <c r="D13" i="60"/>
  <c r="D12" i="60"/>
  <c r="D11" i="60"/>
  <c r="E9" i="60"/>
  <c r="D46" i="60" l="1"/>
  <c r="B49" i="60" s="1"/>
  <c r="D49" i="60" s="1"/>
  <c r="D64" i="60"/>
  <c r="D24" i="60"/>
  <c r="B27" i="60" s="1"/>
  <c r="D27" i="60" s="1"/>
  <c r="D80" i="60"/>
  <c r="D107" i="60"/>
  <c r="B109" i="60" s="1"/>
  <c r="D109" i="60" s="1"/>
  <c r="B95" i="60"/>
  <c r="D95" i="60" s="1"/>
  <c r="B96" i="60"/>
  <c r="D96" i="60" s="1"/>
  <c r="B94" i="60"/>
  <c r="D94" i="60" s="1"/>
  <c r="D101" i="60" s="1"/>
  <c r="B108" i="60"/>
  <c r="D108" i="60" s="1"/>
  <c r="B110" i="60"/>
  <c r="D110" i="60" s="1"/>
  <c r="B81" i="60"/>
  <c r="D81" i="60" s="1"/>
  <c r="B82" i="60"/>
  <c r="D82" i="60" s="1"/>
  <c r="B83" i="60"/>
  <c r="D83" i="60" s="1"/>
  <c r="B25" i="60"/>
  <c r="D25" i="60" s="1"/>
  <c r="B67" i="60"/>
  <c r="D67" i="60" s="1"/>
  <c r="B66" i="60"/>
  <c r="D66" i="60" s="1"/>
  <c r="B65" i="60"/>
  <c r="D65" i="60" s="1"/>
  <c r="B124" i="60"/>
  <c r="D124" i="60" s="1"/>
  <c r="B125" i="60"/>
  <c r="D125" i="60" s="1"/>
  <c r="B123" i="60"/>
  <c r="D123" i="60" s="1"/>
  <c r="D132" i="60" s="1"/>
  <c r="D199" i="11"/>
  <c r="D153" i="11"/>
  <c r="D144" i="11"/>
  <c r="D130" i="11"/>
  <c r="D124" i="11"/>
  <c r="D118" i="11"/>
  <c r="D115" i="11"/>
  <c r="D112" i="11"/>
  <c r="D103" i="11"/>
  <c r="D98" i="11"/>
  <c r="D87" i="11"/>
  <c r="D24" i="11"/>
  <c r="D23" i="11"/>
  <c r="D21" i="11"/>
  <c r="B48" i="60" l="1"/>
  <c r="D48" i="60" s="1"/>
  <c r="B47" i="60"/>
  <c r="D47" i="60" s="1"/>
  <c r="D59" i="60" s="1"/>
  <c r="D73" i="60"/>
  <c r="B26" i="60"/>
  <c r="D26" i="60" s="1"/>
  <c r="D41" i="60" s="1"/>
  <c r="D89" i="60"/>
  <c r="D118" i="60"/>
  <c r="D132" i="5"/>
  <c r="D123" i="5"/>
  <c r="D108" i="5"/>
  <c r="C95" i="5"/>
  <c r="D94" i="5"/>
  <c r="D93" i="5"/>
  <c r="D213" i="1"/>
  <c r="D286" i="4"/>
  <c r="D227" i="4"/>
  <c r="D186" i="4"/>
  <c r="D95" i="5" l="1"/>
  <c r="D132" i="16"/>
  <c r="D124" i="16"/>
  <c r="D116" i="16"/>
  <c r="D90" i="16"/>
  <c r="D79" i="16"/>
  <c r="D77" i="16"/>
  <c r="D76" i="16"/>
  <c r="D75" i="16"/>
  <c r="D64" i="16"/>
  <c r="D61" i="16"/>
  <c r="D57" i="16"/>
  <c r="D56" i="16"/>
  <c r="D58" i="16" s="1"/>
  <c r="D53" i="16"/>
  <c r="C35" i="16"/>
  <c r="D35" i="16" s="1"/>
  <c r="B42" i="16" s="1"/>
  <c r="D31" i="16"/>
  <c r="D30" i="16"/>
  <c r="D29" i="16"/>
  <c r="D28" i="16"/>
  <c r="D22" i="16"/>
  <c r="D25" i="16" s="1"/>
  <c r="B40" i="16" s="1"/>
  <c r="D15" i="16"/>
  <c r="D14" i="16"/>
  <c r="D13" i="16"/>
  <c r="D9" i="16"/>
  <c r="D7" i="16"/>
  <c r="D10" i="16" s="1"/>
  <c r="D32" i="16" l="1"/>
  <c r="B41" i="16" s="1"/>
  <c r="B78" i="16"/>
  <c r="D78" i="16" s="1"/>
  <c r="D19" i="16"/>
  <c r="B39" i="16" s="1"/>
  <c r="D39" i="16" s="1"/>
  <c r="B71" i="16"/>
  <c r="D71" i="16" s="1"/>
  <c r="B49" i="16"/>
  <c r="D49" i="16" s="1"/>
  <c r="D42" i="16"/>
  <c r="D80" i="16"/>
  <c r="D40" i="16"/>
  <c r="B48" i="16"/>
  <c r="D41" i="16"/>
  <c r="B70" i="16"/>
  <c r="D70" i="16" s="1"/>
  <c r="B46" i="16"/>
  <c r="D46" i="16" s="1"/>
  <c r="B67" i="16"/>
  <c r="D67" i="16" s="1"/>
  <c r="B38" i="16"/>
  <c r="D38" i="16" s="1"/>
  <c r="B47" i="16" l="1"/>
  <c r="D47" i="16" s="1"/>
  <c r="B69" i="16"/>
  <c r="D69" i="16" s="1"/>
  <c r="D48" i="16"/>
  <c r="D43" i="16"/>
  <c r="D50" i="16" l="1"/>
  <c r="B68" i="16"/>
  <c r="D68" i="16" s="1"/>
  <c r="D72" i="16" s="1"/>
  <c r="J255" i="12"/>
  <c r="I255" i="12"/>
  <c r="F255" i="12"/>
  <c r="E255" i="12"/>
  <c r="J254" i="12"/>
  <c r="I254" i="12"/>
  <c r="E254" i="12"/>
  <c r="J253" i="12"/>
  <c r="I253" i="12"/>
  <c r="F253" i="12"/>
  <c r="F251" i="12"/>
  <c r="E251" i="12"/>
  <c r="G247" i="12"/>
  <c r="G251" i="12" s="1"/>
  <c r="J246" i="12"/>
  <c r="I246" i="12"/>
  <c r="D245" i="12"/>
  <c r="C245" i="12"/>
  <c r="B245" i="12"/>
  <c r="G255" i="12"/>
  <c r="F254" i="12"/>
  <c r="D232" i="12"/>
  <c r="D203" i="12"/>
  <c r="D196" i="12"/>
  <c r="D177" i="12"/>
  <c r="D165" i="12"/>
  <c r="D158" i="12"/>
  <c r="D160" i="12" s="1"/>
  <c r="D144" i="12"/>
  <c r="D133" i="12"/>
  <c r="D136" i="12" s="1"/>
  <c r="D128" i="12"/>
  <c r="D98" i="12"/>
  <c r="D101" i="12" s="1"/>
  <c r="D91" i="12"/>
  <c r="D89" i="12"/>
  <c r="D88" i="12"/>
  <c r="D87" i="12"/>
  <c r="D78" i="12"/>
  <c r="D74" i="12"/>
  <c r="D73" i="12"/>
  <c r="D72" i="12"/>
  <c r="D68" i="12"/>
  <c r="D67" i="12"/>
  <c r="D64" i="12"/>
  <c r="D44" i="12"/>
  <c r="D46" i="12" s="1"/>
  <c r="E41" i="12"/>
  <c r="E246" i="12" s="1"/>
  <c r="D39" i="12"/>
  <c r="D38" i="12"/>
  <c r="D37" i="12"/>
  <c r="D36" i="12"/>
  <c r="D35" i="12"/>
  <c r="D34" i="12"/>
  <c r="D33" i="12"/>
  <c r="D32" i="12"/>
  <c r="D31" i="12"/>
  <c r="D30" i="12"/>
  <c r="D29" i="12"/>
  <c r="D28" i="12"/>
  <c r="D27" i="12"/>
  <c r="D26" i="12"/>
  <c r="D25" i="12"/>
  <c r="D21" i="12"/>
  <c r="D20" i="12"/>
  <c r="D19" i="12"/>
  <c r="D12" i="12"/>
  <c r="D11" i="12"/>
  <c r="D10" i="12"/>
  <c r="D9" i="12"/>
  <c r="D8" i="12"/>
  <c r="D7" i="12"/>
  <c r="A1" i="12"/>
  <c r="D69" i="12" l="1"/>
  <c r="E253" i="12"/>
  <c r="E256" i="12" s="1"/>
  <c r="I250" i="12"/>
  <c r="J256" i="12"/>
  <c r="D75" i="12"/>
  <c r="J250" i="12"/>
  <c r="E250" i="12"/>
  <c r="B59" i="12"/>
  <c r="D59" i="12" s="1"/>
  <c r="B90" i="12"/>
  <c r="D90" i="12" s="1"/>
  <c r="D92" i="12" s="1"/>
  <c r="G254" i="12"/>
  <c r="D41" i="12"/>
  <c r="B53" i="12" s="1"/>
  <c r="D53" i="12" s="1"/>
  <c r="D15" i="12"/>
  <c r="B81" i="12" s="1"/>
  <c r="D81" i="12" s="1"/>
  <c r="I256" i="12"/>
  <c r="B60" i="12"/>
  <c r="D60" i="12" s="1"/>
  <c r="B54" i="12"/>
  <c r="D54" i="12" s="1"/>
  <c r="B83" i="12"/>
  <c r="D83" i="12" s="1"/>
  <c r="F256" i="12"/>
  <c r="F246" i="12"/>
  <c r="B82" i="12" l="1"/>
  <c r="D82" i="12" s="1"/>
  <c r="D84" i="12" s="1"/>
  <c r="B52" i="12"/>
  <c r="D52" i="12" s="1"/>
  <c r="F250" i="12"/>
  <c r="B58" i="12" l="1"/>
  <c r="D58" i="12" s="1"/>
  <c r="D61" i="12" s="1"/>
  <c r="D55" i="12"/>
  <c r="G246" i="12" l="1"/>
  <c r="G253" i="12"/>
  <c r="G256" i="12" s="1"/>
  <c r="G250" i="12" l="1"/>
  <c r="D31" i="18" l="1"/>
  <c r="D16" i="1" l="1"/>
  <c r="D31" i="2" l="1"/>
  <c r="B50" i="2"/>
  <c r="D50" i="2" s="1"/>
  <c r="B263" i="1" l="1"/>
  <c r="C263" i="1"/>
  <c r="D263" i="1"/>
  <c r="D270" i="1" l="1"/>
  <c r="D61" i="4" l="1"/>
  <c r="D228" i="11" l="1"/>
  <c r="D7" i="2"/>
  <c r="D10" i="2" s="1"/>
  <c r="B23" i="2" s="1"/>
  <c r="D13" i="2"/>
  <c r="D14" i="2"/>
  <c r="D35" i="2"/>
  <c r="D38" i="2"/>
  <c r="D39" i="2"/>
  <c r="D42" i="2"/>
  <c r="D45" i="2"/>
  <c r="D54" i="2"/>
  <c r="D55" i="2"/>
  <c r="D71" i="2"/>
  <c r="D79" i="2"/>
  <c r="B96" i="2"/>
  <c r="C96" i="2"/>
  <c r="D96" i="2"/>
  <c r="B103" i="2"/>
  <c r="C103" i="2"/>
  <c r="D103" i="2"/>
  <c r="C108" i="2"/>
  <c r="D108" i="2"/>
  <c r="E122" i="2"/>
  <c r="F122" i="2"/>
  <c r="G122" i="2"/>
  <c r="I122" i="2"/>
  <c r="J122" i="2"/>
  <c r="E124" i="2"/>
  <c r="F124" i="2"/>
  <c r="G124" i="2"/>
  <c r="I124" i="2"/>
  <c r="J124" i="2"/>
  <c r="E125" i="2"/>
  <c r="F125" i="2"/>
  <c r="G125" i="2"/>
  <c r="I125" i="2"/>
  <c r="J125" i="2"/>
  <c r="E126" i="2"/>
  <c r="F126" i="2"/>
  <c r="I126" i="2"/>
  <c r="J126" i="2"/>
  <c r="D214" i="1"/>
  <c r="D217" i="1" s="1"/>
  <c r="D219" i="1" s="1"/>
  <c r="D16" i="2" l="1"/>
  <c r="D56" i="2"/>
  <c r="E127" i="2"/>
  <c r="D40" i="2"/>
  <c r="F127" i="2"/>
  <c r="J127" i="2"/>
  <c r="D23" i="2"/>
  <c r="B48" i="2"/>
  <c r="D48" i="2" s="1"/>
  <c r="I127" i="2"/>
  <c r="G127" i="2"/>
  <c r="D18" i="9"/>
  <c r="D59" i="3"/>
  <c r="J130" i="2" l="1"/>
  <c r="J132" i="2" s="1"/>
  <c r="B30" i="2"/>
  <c r="D30" i="2" s="1"/>
  <c r="B24" i="2"/>
  <c r="D24" i="2" s="1"/>
  <c r="B29" i="2"/>
  <c r="D29" i="2" s="1"/>
  <c r="B49" i="2"/>
  <c r="D49" i="2" s="1"/>
  <c r="D51" i="2" s="1"/>
  <c r="D25" i="2"/>
  <c r="D213" i="9"/>
  <c r="D26" i="2" l="1"/>
  <c r="D32" i="2"/>
  <c r="E6" i="14"/>
  <c r="E55" i="11"/>
  <c r="E277" i="4"/>
  <c r="C235" i="1" l="1"/>
  <c r="C234" i="1"/>
  <c r="C233" i="1"/>
  <c r="D38" i="4" l="1"/>
  <c r="K29" i="5" l="1"/>
  <c r="K11" i="5"/>
  <c r="J310" i="4" l="1"/>
  <c r="J309" i="4"/>
  <c r="J308" i="4"/>
  <c r="J306" i="4"/>
  <c r="J150" i="5"/>
  <c r="J149" i="5"/>
  <c r="J148" i="5"/>
  <c r="J146" i="5"/>
  <c r="J156" i="53"/>
  <c r="J155" i="53"/>
  <c r="J154" i="53"/>
  <c r="J152" i="53"/>
  <c r="J148" i="6"/>
  <c r="J147" i="6"/>
  <c r="J146" i="6"/>
  <c r="J144" i="6"/>
  <c r="J360" i="7"/>
  <c r="J359" i="7"/>
  <c r="J358" i="7"/>
  <c r="J356" i="7"/>
  <c r="J226" i="8"/>
  <c r="J225" i="8"/>
  <c r="J224" i="8"/>
  <c r="J221" i="8"/>
  <c r="J258" i="11"/>
  <c r="J257" i="11"/>
  <c r="J256" i="11"/>
  <c r="J254" i="11"/>
  <c r="J134" i="13"/>
  <c r="J133" i="13"/>
  <c r="J132" i="13"/>
  <c r="J129" i="13"/>
  <c r="J146" i="14"/>
  <c r="J145" i="14"/>
  <c r="J144" i="14"/>
  <c r="J142" i="14"/>
  <c r="J170" i="15"/>
  <c r="J169" i="15"/>
  <c r="J168" i="15"/>
  <c r="J164" i="15"/>
  <c r="J156" i="16"/>
  <c r="J155" i="16"/>
  <c r="J154" i="16"/>
  <c r="J152" i="16"/>
  <c r="K99" i="17"/>
  <c r="K98" i="17"/>
  <c r="K97" i="17"/>
  <c r="K95" i="17"/>
  <c r="K93" i="17"/>
  <c r="J334" i="9"/>
  <c r="J112" i="37"/>
  <c r="J111" i="37"/>
  <c r="J110" i="37"/>
  <c r="J108" i="37"/>
  <c r="J16" i="36"/>
  <c r="J18" i="36" s="1"/>
  <c r="J12" i="36"/>
  <c r="J151" i="60"/>
  <c r="J12" i="63"/>
  <c r="G29" i="18" l="1"/>
  <c r="G30" i="18"/>
  <c r="J151" i="5"/>
  <c r="J227" i="8"/>
  <c r="J135" i="13"/>
  <c r="J149" i="6"/>
  <c r="J171" i="15"/>
  <c r="J157" i="16"/>
  <c r="J157" i="53"/>
  <c r="J361" i="7"/>
  <c r="J113" i="37"/>
  <c r="K100" i="17"/>
  <c r="J147" i="14"/>
  <c r="J259" i="11"/>
  <c r="J311" i="4"/>
  <c r="D35" i="4" l="1"/>
  <c r="D57" i="4"/>
  <c r="D13" i="3"/>
  <c r="D14" i="3"/>
  <c r="D15" i="3"/>
  <c r="D7" i="3"/>
  <c r="D16" i="4"/>
  <c r="D17" i="4"/>
  <c r="D7" i="4"/>
  <c r="D18" i="4"/>
  <c r="D12" i="7"/>
  <c r="D15" i="7"/>
  <c r="D12" i="9"/>
  <c r="D14" i="9"/>
  <c r="D19" i="9"/>
  <c r="D9" i="11" l="1"/>
  <c r="D21" i="9"/>
  <c r="D9" i="37"/>
  <c r="C31" i="53"/>
  <c r="D19" i="53"/>
  <c r="I343" i="9"/>
  <c r="D53" i="6" l="1"/>
  <c r="I334" i="9"/>
  <c r="I148" i="6"/>
  <c r="I147" i="6"/>
  <c r="I146" i="6"/>
  <c r="I144" i="6"/>
  <c r="I156" i="53"/>
  <c r="I155" i="53"/>
  <c r="I154" i="53"/>
  <c r="I152" i="53"/>
  <c r="I151" i="60"/>
  <c r="I112" i="37"/>
  <c r="I111" i="37"/>
  <c r="I110" i="37"/>
  <c r="I108" i="37"/>
  <c r="J99" i="17"/>
  <c r="J98" i="17"/>
  <c r="J97" i="17"/>
  <c r="J95" i="17"/>
  <c r="J93" i="17"/>
  <c r="I156" i="16"/>
  <c r="I155" i="16"/>
  <c r="I154" i="16"/>
  <c r="I152" i="16"/>
  <c r="I170" i="15"/>
  <c r="I169" i="15"/>
  <c r="I168" i="15"/>
  <c r="I164" i="15"/>
  <c r="I146" i="14"/>
  <c r="I145" i="14"/>
  <c r="I144" i="14"/>
  <c r="I142" i="14"/>
  <c r="I134" i="13"/>
  <c r="I133" i="13"/>
  <c r="I132" i="13"/>
  <c r="I129" i="13"/>
  <c r="I258" i="11"/>
  <c r="I257" i="11"/>
  <c r="I256" i="11"/>
  <c r="I254" i="11"/>
  <c r="I226" i="8"/>
  <c r="I225" i="8"/>
  <c r="I224" i="8"/>
  <c r="I221" i="8"/>
  <c r="I360" i="7"/>
  <c r="I359" i="7"/>
  <c r="I358" i="7"/>
  <c r="I356" i="7"/>
  <c r="I385" i="3"/>
  <c r="I150" i="5"/>
  <c r="I149" i="5"/>
  <c r="I148" i="5"/>
  <c r="I146" i="5"/>
  <c r="I310" i="4"/>
  <c r="I309" i="4"/>
  <c r="I308" i="4"/>
  <c r="I306" i="4"/>
  <c r="I286" i="1"/>
  <c r="I285" i="1"/>
  <c r="I284" i="1"/>
  <c r="I282" i="1"/>
  <c r="F30" i="18" l="1"/>
  <c r="F29" i="18"/>
  <c r="F28" i="18"/>
  <c r="F26" i="18"/>
  <c r="I157" i="16"/>
  <c r="I151" i="5"/>
  <c r="I135" i="13"/>
  <c r="I147" i="14"/>
  <c r="I259" i="11"/>
  <c r="I227" i="8"/>
  <c r="J100" i="17"/>
  <c r="I113" i="37"/>
  <c r="I157" i="53"/>
  <c r="I161" i="53" s="1"/>
  <c r="I344" i="9"/>
  <c r="I287" i="1"/>
  <c r="I149" i="6"/>
  <c r="I171" i="15"/>
  <c r="I361" i="7"/>
  <c r="I365" i="7" s="1"/>
  <c r="I311" i="4"/>
  <c r="F32" i="18" l="1"/>
  <c r="J153" i="5"/>
  <c r="F146" i="6" l="1"/>
  <c r="E146" i="6" l="1"/>
  <c r="E147" i="6"/>
  <c r="H16" i="63" l="1"/>
  <c r="G16" i="63"/>
  <c r="F336" i="9" l="1"/>
  <c r="E336" i="9"/>
  <c r="G308" i="4" l="1"/>
  <c r="H151" i="60"/>
  <c r="H112" i="37"/>
  <c r="H111" i="37"/>
  <c r="H110" i="37"/>
  <c r="H108" i="37"/>
  <c r="H334" i="9"/>
  <c r="I99" i="17"/>
  <c r="I98" i="17"/>
  <c r="I97" i="17"/>
  <c r="I95" i="17"/>
  <c r="H146" i="14"/>
  <c r="H145" i="14"/>
  <c r="H144" i="14"/>
  <c r="H142" i="14"/>
  <c r="H156" i="53"/>
  <c r="H154" i="53"/>
  <c r="H152" i="53"/>
  <c r="H155" i="53"/>
  <c r="H385" i="3"/>
  <c r="H360" i="7"/>
  <c r="H359" i="7"/>
  <c r="H358" i="7"/>
  <c r="H356" i="7"/>
  <c r="E30" i="18" l="1"/>
  <c r="E28" i="18"/>
  <c r="E26" i="18"/>
  <c r="E29" i="18"/>
  <c r="K359" i="7"/>
  <c r="H113" i="37"/>
  <c r="I116" i="37" s="1"/>
  <c r="I120" i="37" s="1"/>
  <c r="I100" i="17"/>
  <c r="I151" i="6"/>
  <c r="H147" i="14"/>
  <c r="H361" i="7"/>
  <c r="I366" i="7" s="1"/>
  <c r="H157" i="53"/>
  <c r="D78" i="4"/>
  <c r="D80" i="4" s="1"/>
  <c r="B98" i="4" s="1"/>
  <c r="B109" i="4" s="1"/>
  <c r="B148" i="4" s="1"/>
  <c r="E32" i="18" l="1"/>
  <c r="L32" i="18" s="1"/>
  <c r="I313" i="4"/>
  <c r="F389" i="3" l="1"/>
  <c r="E389" i="3"/>
  <c r="F388" i="3"/>
  <c r="E388" i="3"/>
  <c r="E387" i="3"/>
  <c r="G385" i="3"/>
  <c r="E385" i="3"/>
  <c r="D383" i="3"/>
  <c r="C383" i="3"/>
  <c r="D368" i="3"/>
  <c r="D284" i="3"/>
  <c r="D237" i="3"/>
  <c r="D236" i="3"/>
  <c r="D233" i="3"/>
  <c r="D224" i="3"/>
  <c r="D218" i="3"/>
  <c r="D163" i="3"/>
  <c r="D162" i="3"/>
  <c r="D161" i="3"/>
  <c r="D160" i="3"/>
  <c r="D159" i="3"/>
  <c r="D158" i="3"/>
  <c r="D145" i="3"/>
  <c r="D144" i="3"/>
  <c r="D140" i="3"/>
  <c r="D139" i="3"/>
  <c r="D138" i="3"/>
  <c r="D134" i="3"/>
  <c r="D133" i="3"/>
  <c r="D132" i="3"/>
  <c r="D128" i="3"/>
  <c r="D127" i="3"/>
  <c r="D126" i="3"/>
  <c r="D92" i="3"/>
  <c r="D91" i="3"/>
  <c r="D87" i="3"/>
  <c r="D84" i="3"/>
  <c r="D83" i="3"/>
  <c r="D61" i="3"/>
  <c r="D60" i="3"/>
  <c r="D49" i="3"/>
  <c r="D56" i="3"/>
  <c r="D51" i="3"/>
  <c r="D50" i="3"/>
  <c r="D55" i="3"/>
  <c r="D53" i="3"/>
  <c r="D47" i="3"/>
  <c r="D45" i="3"/>
  <c r="D37" i="3"/>
  <c r="D39" i="3"/>
  <c r="D34" i="3"/>
  <c r="D36" i="3"/>
  <c r="D40" i="3"/>
  <c r="D38" i="3"/>
  <c r="D41" i="3"/>
  <c r="D35" i="3"/>
  <c r="D54" i="3"/>
  <c r="D46" i="3"/>
  <c r="D43" i="3"/>
  <c r="D48" i="3"/>
  <c r="D42" i="3"/>
  <c r="D58" i="3"/>
  <c r="D52" i="3"/>
  <c r="D44" i="3"/>
  <c r="D57" i="3"/>
  <c r="D29" i="3"/>
  <c r="D24" i="3"/>
  <c r="D22" i="3"/>
  <c r="D23" i="3"/>
  <c r="D21" i="3"/>
  <c r="D19" i="3"/>
  <c r="D18" i="3"/>
  <c r="D20" i="3"/>
  <c r="D17" i="3"/>
  <c r="D16" i="3"/>
  <c r="D10" i="3"/>
  <c r="G156" i="53"/>
  <c r="F156" i="53"/>
  <c r="E156" i="53"/>
  <c r="F155" i="53"/>
  <c r="E155" i="53"/>
  <c r="F154" i="53"/>
  <c r="E154" i="53"/>
  <c r="F152" i="53"/>
  <c r="E152" i="53"/>
  <c r="D119" i="53"/>
  <c r="D118" i="53"/>
  <c r="D117" i="53"/>
  <c r="D116" i="53"/>
  <c r="D115" i="53"/>
  <c r="D114" i="53"/>
  <c r="D113" i="53"/>
  <c r="D112" i="53"/>
  <c r="D107" i="53"/>
  <c r="D106" i="53"/>
  <c r="D105" i="53"/>
  <c r="D76" i="53"/>
  <c r="D75" i="53"/>
  <c r="D74" i="53"/>
  <c r="D73" i="53"/>
  <c r="D72" i="53"/>
  <c r="D61" i="53"/>
  <c r="D58" i="53"/>
  <c r="D54" i="53"/>
  <c r="D53" i="53"/>
  <c r="D50" i="53"/>
  <c r="D31" i="53"/>
  <c r="D30" i="53"/>
  <c r="D25" i="53"/>
  <c r="D27" i="53" s="1"/>
  <c r="D18" i="53"/>
  <c r="D22" i="53" s="1"/>
  <c r="D14" i="53"/>
  <c r="D12" i="53"/>
  <c r="D7" i="53"/>
  <c r="C66" i="3" l="1"/>
  <c r="C97" i="3" s="1"/>
  <c r="C73" i="3"/>
  <c r="D55" i="53"/>
  <c r="D15" i="53"/>
  <c r="B36" i="53" s="1"/>
  <c r="D36" i="53" s="1"/>
  <c r="D9" i="53"/>
  <c r="B35" i="53" s="1"/>
  <c r="D35" i="53" s="1"/>
  <c r="E157" i="53"/>
  <c r="B67" i="53"/>
  <c r="D67" i="53" s="1"/>
  <c r="D77" i="53"/>
  <c r="G155" i="53"/>
  <c r="D108" i="53"/>
  <c r="D120" i="53"/>
  <c r="F157" i="53"/>
  <c r="D146" i="3"/>
  <c r="D238" i="3"/>
  <c r="D93" i="3"/>
  <c r="D354" i="3"/>
  <c r="D135" i="3"/>
  <c r="D141" i="3"/>
  <c r="G390" i="3"/>
  <c r="D324" i="3"/>
  <c r="D260" i="3"/>
  <c r="D129" i="3"/>
  <c r="E390" i="3"/>
  <c r="D317" i="3"/>
  <c r="D206" i="3"/>
  <c r="D298" i="3"/>
  <c r="D363" i="3"/>
  <c r="C27" i="3"/>
  <c r="D27" i="3" s="1"/>
  <c r="D30" i="3" s="1"/>
  <c r="B149" i="3"/>
  <c r="D149" i="3" s="1"/>
  <c r="B109" i="3"/>
  <c r="B37" i="53"/>
  <c r="D37" i="53" s="1"/>
  <c r="B45" i="53"/>
  <c r="D45" i="53" s="1"/>
  <c r="B66" i="53"/>
  <c r="D66" i="53" s="1"/>
  <c r="D32" i="53"/>
  <c r="B65" i="53" l="1"/>
  <c r="D65" i="53" s="1"/>
  <c r="B44" i="53"/>
  <c r="D44" i="53" s="1"/>
  <c r="C99" i="3"/>
  <c r="D99" i="3" s="1"/>
  <c r="D97" i="3"/>
  <c r="C98" i="3"/>
  <c r="C77" i="3"/>
  <c r="D77" i="3" s="1"/>
  <c r="C74" i="3"/>
  <c r="C76" i="3"/>
  <c r="D76" i="3" s="1"/>
  <c r="D73" i="3"/>
  <c r="B64" i="53"/>
  <c r="D64" i="53" s="1"/>
  <c r="B43" i="53"/>
  <c r="D43" i="53" s="1"/>
  <c r="B38" i="53"/>
  <c r="D38" i="53" s="1"/>
  <c r="D66" i="3"/>
  <c r="D69" i="3" s="1"/>
  <c r="B151" i="3" s="1"/>
  <c r="D151" i="3" s="1"/>
  <c r="B118" i="3"/>
  <c r="D118" i="3" s="1"/>
  <c r="D109" i="3"/>
  <c r="B110" i="3"/>
  <c r="B150" i="3"/>
  <c r="D150" i="3" s="1"/>
  <c r="B68" i="53"/>
  <c r="D68" i="53" s="1"/>
  <c r="B46" i="53"/>
  <c r="D46" i="53" s="1"/>
  <c r="B39" i="53"/>
  <c r="D39" i="53" s="1"/>
  <c r="G154" i="53"/>
  <c r="G157" i="53" s="1"/>
  <c r="G152" i="53"/>
  <c r="D47" i="53" l="1"/>
  <c r="D98" i="3"/>
  <c r="C105" i="3"/>
  <c r="C104" i="3"/>
  <c r="D104" i="3" s="1"/>
  <c r="C75" i="3"/>
  <c r="D75" i="3" s="1"/>
  <c r="D74" i="3"/>
  <c r="D40" i="53"/>
  <c r="D69" i="53"/>
  <c r="B111" i="3"/>
  <c r="B120" i="3" s="1"/>
  <c r="D120" i="3" s="1"/>
  <c r="B119" i="3"/>
  <c r="D119" i="3" s="1"/>
  <c r="D110" i="3"/>
  <c r="D78" i="3" l="1"/>
  <c r="D105" i="3"/>
  <c r="C101" i="3"/>
  <c r="D111" i="3"/>
  <c r="C102" i="3" l="1"/>
  <c r="D102" i="3" s="1"/>
  <c r="D101" i="3"/>
  <c r="B112" i="3"/>
  <c r="D112" i="3" s="1"/>
  <c r="D106" i="3" l="1"/>
  <c r="B114" i="3" s="1"/>
  <c r="B122" i="3" s="1"/>
  <c r="B154" i="3" s="1"/>
  <c r="D154" i="3" s="1"/>
  <c r="B121" i="3"/>
  <c r="B152" i="3" s="1"/>
  <c r="D152" i="3" s="1"/>
  <c r="D121" i="3" l="1"/>
  <c r="D122" i="3"/>
  <c r="D114" i="3"/>
  <c r="G156" i="16"/>
  <c r="F156" i="16"/>
  <c r="E156" i="16"/>
  <c r="G155" i="16"/>
  <c r="F155" i="16"/>
  <c r="E155" i="16"/>
  <c r="G154" i="16"/>
  <c r="F154" i="16"/>
  <c r="E154" i="16"/>
  <c r="G152" i="16"/>
  <c r="F152" i="16"/>
  <c r="E152" i="16"/>
  <c r="D150" i="16"/>
  <c r="C149" i="16"/>
  <c r="C150" i="16" s="1"/>
  <c r="D123" i="3" l="1"/>
  <c r="E157" i="16"/>
  <c r="F157" i="16"/>
  <c r="G157" i="16"/>
  <c r="G148" i="6" l="1"/>
  <c r="F148" i="6"/>
  <c r="E148" i="6"/>
  <c r="E149" i="6" s="1"/>
  <c r="G147" i="6"/>
  <c r="F147" i="6"/>
  <c r="G146" i="6"/>
  <c r="G144" i="6"/>
  <c r="F144" i="6"/>
  <c r="E144" i="6"/>
  <c r="D73" i="6"/>
  <c r="D72" i="6"/>
  <c r="D71" i="6"/>
  <c r="D60" i="6"/>
  <c r="D57" i="6"/>
  <c r="D52" i="6"/>
  <c r="D54" i="6" s="1"/>
  <c r="D49" i="6"/>
  <c r="D26" i="6"/>
  <c r="D25" i="6"/>
  <c r="D19" i="6"/>
  <c r="D22" i="6" s="1"/>
  <c r="D15" i="6"/>
  <c r="D13" i="6"/>
  <c r="D12" i="6"/>
  <c r="D7" i="6"/>
  <c r="F358" i="7"/>
  <c r="F356" i="7"/>
  <c r="E356" i="7"/>
  <c r="D354" i="7"/>
  <c r="D111" i="7"/>
  <c r="D98" i="7"/>
  <c r="D97" i="7"/>
  <c r="D93" i="7"/>
  <c r="D92" i="7"/>
  <c r="D91" i="7"/>
  <c r="D86" i="7"/>
  <c r="D87" i="7" s="1"/>
  <c r="D88" i="7" s="1"/>
  <c r="D82" i="7"/>
  <c r="D81" i="7"/>
  <c r="D80" i="7"/>
  <c r="D60" i="7"/>
  <c r="B107" i="7" s="1"/>
  <c r="D107" i="7" s="1"/>
  <c r="B67" i="7"/>
  <c r="D50" i="7"/>
  <c r="B66" i="7" s="1"/>
  <c r="D42" i="7"/>
  <c r="D39" i="7"/>
  <c r="D27" i="7"/>
  <c r="D33" i="7"/>
  <c r="D37" i="7"/>
  <c r="D38" i="7"/>
  <c r="D36" i="7"/>
  <c r="D35" i="7"/>
  <c r="D34" i="7"/>
  <c r="D28" i="7"/>
  <c r="D32" i="7"/>
  <c r="D31" i="7"/>
  <c r="D29" i="7"/>
  <c r="D23" i="7"/>
  <c r="D30" i="7"/>
  <c r="D24" i="7"/>
  <c r="D25" i="7"/>
  <c r="D26" i="7"/>
  <c r="D22" i="7"/>
  <c r="D16" i="7"/>
  <c r="D14" i="7"/>
  <c r="D13" i="7"/>
  <c r="D7" i="7"/>
  <c r="G224" i="8"/>
  <c r="F224" i="8"/>
  <c r="E224" i="8"/>
  <c r="G221" i="8"/>
  <c r="F221" i="8"/>
  <c r="E221" i="8"/>
  <c r="D82" i="8"/>
  <c r="D81" i="8"/>
  <c r="D70" i="8"/>
  <c r="D66" i="8"/>
  <c r="D65" i="8"/>
  <c r="D60" i="8"/>
  <c r="D56" i="8"/>
  <c r="D55" i="8"/>
  <c r="B76" i="8"/>
  <c r="D76" i="8" s="1"/>
  <c r="C27" i="8"/>
  <c r="D27" i="8" s="1"/>
  <c r="C21" i="8"/>
  <c r="C36" i="8" s="1"/>
  <c r="D36" i="8" s="1"/>
  <c r="D20" i="8"/>
  <c r="D19" i="8"/>
  <c r="D18" i="8"/>
  <c r="D17" i="8"/>
  <c r="D16" i="8"/>
  <c r="D15" i="8"/>
  <c r="C10" i="8"/>
  <c r="D10" i="8" s="1"/>
  <c r="C9" i="8"/>
  <c r="D9" i="8" s="1"/>
  <c r="D8" i="8"/>
  <c r="D7" i="8"/>
  <c r="F134" i="13"/>
  <c r="E134" i="13"/>
  <c r="G132" i="13"/>
  <c r="E132" i="13"/>
  <c r="E129" i="13"/>
  <c r="D71" i="13"/>
  <c r="D70" i="13"/>
  <c r="D60" i="13"/>
  <c r="D56" i="13"/>
  <c r="D55" i="13"/>
  <c r="D50" i="13"/>
  <c r="D51" i="13" s="1"/>
  <c r="D52" i="13" s="1"/>
  <c r="D46" i="13"/>
  <c r="D45" i="13"/>
  <c r="D28" i="13"/>
  <c r="C22" i="13"/>
  <c r="D22" i="13" s="1"/>
  <c r="D16" i="13"/>
  <c r="D15" i="13"/>
  <c r="D14" i="13"/>
  <c r="D13" i="13"/>
  <c r="D9" i="13"/>
  <c r="D7" i="13"/>
  <c r="G146" i="14"/>
  <c r="F146" i="14"/>
  <c r="E146" i="14"/>
  <c r="G145" i="14"/>
  <c r="F145" i="14"/>
  <c r="E145" i="14"/>
  <c r="G144" i="14"/>
  <c r="F144" i="14"/>
  <c r="G142" i="14"/>
  <c r="F142" i="14"/>
  <c r="D53" i="14"/>
  <c r="D52" i="14"/>
  <c r="D43" i="14"/>
  <c r="D40" i="14"/>
  <c r="D36" i="14"/>
  <c r="D35" i="14"/>
  <c r="D37" i="14" s="1"/>
  <c r="D32" i="14"/>
  <c r="C18" i="14"/>
  <c r="D18" i="14" s="1"/>
  <c r="B28" i="14" s="1"/>
  <c r="D28" i="14" s="1"/>
  <c r="D15" i="14"/>
  <c r="D14" i="14"/>
  <c r="D8" i="14"/>
  <c r="D7" i="14"/>
  <c r="E144" i="14"/>
  <c r="H99" i="17"/>
  <c r="G99" i="17"/>
  <c r="F99" i="17"/>
  <c r="G98" i="17"/>
  <c r="F98" i="17"/>
  <c r="H97" i="17"/>
  <c r="G97" i="17"/>
  <c r="F97" i="17"/>
  <c r="G95" i="17"/>
  <c r="F95" i="17"/>
  <c r="H93" i="17"/>
  <c r="G93" i="17"/>
  <c r="F93" i="17"/>
  <c r="E7" i="17"/>
  <c r="E10" i="17" s="1"/>
  <c r="B63" i="7" l="1"/>
  <c r="D63" i="7" s="1"/>
  <c r="D9" i="7"/>
  <c r="B34" i="6"/>
  <c r="D34" i="6" s="1"/>
  <c r="D9" i="6"/>
  <c r="B76" i="7"/>
  <c r="D76" i="7" s="1"/>
  <c r="D54" i="14"/>
  <c r="D16" i="14"/>
  <c r="B22" i="14" s="1"/>
  <c r="B47" i="14" s="1"/>
  <c r="D47" i="14" s="1"/>
  <c r="D11" i="14"/>
  <c r="B21" i="14" s="1"/>
  <c r="D21" i="14" s="1"/>
  <c r="D83" i="7"/>
  <c r="D99" i="7"/>
  <c r="D27" i="6"/>
  <c r="F132" i="13"/>
  <c r="F135" i="13" s="1"/>
  <c r="D10" i="13"/>
  <c r="B38" i="13" s="1"/>
  <c r="D38" i="13" s="1"/>
  <c r="E227" i="8"/>
  <c r="F227" i="8"/>
  <c r="F361" i="7"/>
  <c r="D47" i="13"/>
  <c r="E135" i="13"/>
  <c r="D57" i="13"/>
  <c r="G135" i="13"/>
  <c r="D19" i="13"/>
  <c r="B32" i="13" s="1"/>
  <c r="D32" i="13" s="1"/>
  <c r="D72" i="13"/>
  <c r="D19" i="7"/>
  <c r="B103" i="7" s="1"/>
  <c r="D103" i="7" s="1"/>
  <c r="D94" i="7"/>
  <c r="B68" i="7"/>
  <c r="D68" i="7" s="1"/>
  <c r="B48" i="8"/>
  <c r="D48" i="8" s="1"/>
  <c r="D67" i="8"/>
  <c r="D13" i="8"/>
  <c r="B73" i="8" s="1"/>
  <c r="D73" i="8" s="1"/>
  <c r="D16" i="6"/>
  <c r="B35" i="6" s="1"/>
  <c r="D35" i="6" s="1"/>
  <c r="F149" i="6"/>
  <c r="D57" i="8"/>
  <c r="F100" i="17"/>
  <c r="G100" i="17"/>
  <c r="G361" i="7"/>
  <c r="D43" i="7"/>
  <c r="B104" i="7" s="1"/>
  <c r="D104" i="7" s="1"/>
  <c r="G227" i="8"/>
  <c r="E361" i="7"/>
  <c r="G149" i="6"/>
  <c r="B42" i="6"/>
  <c r="B36" i="6"/>
  <c r="B72" i="7"/>
  <c r="D66" i="7"/>
  <c r="B75" i="7"/>
  <c r="D75" i="7" s="1"/>
  <c r="D67" i="7"/>
  <c r="B112" i="7"/>
  <c r="D112" i="7" s="1"/>
  <c r="D113" i="7" s="1"/>
  <c r="B105" i="7"/>
  <c r="D105" i="7" s="1"/>
  <c r="B106" i="7"/>
  <c r="D106" i="7" s="1"/>
  <c r="B47" i="8"/>
  <c r="D47" i="8" s="1"/>
  <c r="B50" i="8"/>
  <c r="D50" i="8" s="1"/>
  <c r="B75" i="8"/>
  <c r="D75" i="8" s="1"/>
  <c r="B41" i="8"/>
  <c r="D41" i="8" s="1"/>
  <c r="B43" i="8"/>
  <c r="D43" i="8" s="1"/>
  <c r="B51" i="8"/>
  <c r="D51" i="8" s="1"/>
  <c r="B77" i="8"/>
  <c r="D77" i="8" s="1"/>
  <c r="D61" i="8"/>
  <c r="D62" i="8" s="1"/>
  <c r="D21" i="8"/>
  <c r="D24" i="8" s="1"/>
  <c r="B83" i="8"/>
  <c r="D83" i="8" s="1"/>
  <c r="D84" i="8" s="1"/>
  <c r="B42" i="8"/>
  <c r="D42" i="8" s="1"/>
  <c r="B40" i="13"/>
  <c r="D40" i="13" s="1"/>
  <c r="B33" i="13"/>
  <c r="D33" i="13" s="1"/>
  <c r="B65" i="13"/>
  <c r="D65" i="13" s="1"/>
  <c r="B34" i="13"/>
  <c r="B66" i="13"/>
  <c r="D66" i="13" s="1"/>
  <c r="E147" i="14"/>
  <c r="F147" i="14"/>
  <c r="B23" i="14"/>
  <c r="D23" i="14" s="1"/>
  <c r="G147" i="14"/>
  <c r="B48" i="14"/>
  <c r="D48" i="14" s="1"/>
  <c r="E142" i="14"/>
  <c r="H98" i="17"/>
  <c r="H100" i="17" s="1"/>
  <c r="H95" i="17"/>
  <c r="C16" i="17"/>
  <c r="E16" i="17" s="1"/>
  <c r="C13" i="17"/>
  <c r="E13" i="17" s="1"/>
  <c r="B74" i="6" l="1"/>
  <c r="D74" i="6" s="1"/>
  <c r="D75" i="6" s="1"/>
  <c r="B37" i="6"/>
  <c r="D36" i="6"/>
  <c r="B44" i="6"/>
  <c r="B31" i="13"/>
  <c r="D31" i="13" s="1"/>
  <c r="B63" i="13"/>
  <c r="D63" i="13" s="1"/>
  <c r="B39" i="13"/>
  <c r="D39" i="13" s="1"/>
  <c r="D22" i="14"/>
  <c r="D24" i="14" s="1"/>
  <c r="B65" i="7"/>
  <c r="D65" i="7" s="1"/>
  <c r="D38" i="6"/>
  <c r="B43" i="6"/>
  <c r="D43" i="6" s="1"/>
  <c r="B64" i="6"/>
  <c r="D64" i="6" s="1"/>
  <c r="B46" i="14"/>
  <c r="D46" i="14" s="1"/>
  <c r="D49" i="14" s="1"/>
  <c r="B27" i="14"/>
  <c r="D27" i="14" s="1"/>
  <c r="D29" i="14" s="1"/>
  <c r="B64" i="7"/>
  <c r="D64" i="7" s="1"/>
  <c r="B39" i="8"/>
  <c r="D39" i="8" s="1"/>
  <c r="B74" i="7"/>
  <c r="D74" i="7" s="1"/>
  <c r="B64" i="13"/>
  <c r="D64" i="13" s="1"/>
  <c r="B73" i="7"/>
  <c r="D73" i="7" s="1"/>
  <c r="B63" i="6"/>
  <c r="D63" i="6" s="1"/>
  <c r="D42" i="6"/>
  <c r="D45" i="6"/>
  <c r="B102" i="7"/>
  <c r="D102" i="7" s="1"/>
  <c r="D108" i="7" s="1"/>
  <c r="D72" i="7"/>
  <c r="B49" i="8"/>
  <c r="B40" i="8"/>
  <c r="D40" i="8" s="1"/>
  <c r="B41" i="13"/>
  <c r="D41" i="13" s="1"/>
  <c r="D34" i="13"/>
  <c r="D35" i="13" s="1"/>
  <c r="F338" i="9"/>
  <c r="E338" i="9"/>
  <c r="E337" i="9"/>
  <c r="G334" i="9"/>
  <c r="F334" i="9"/>
  <c r="E334" i="9"/>
  <c r="D215" i="9"/>
  <c r="D208" i="9"/>
  <c r="D207" i="9"/>
  <c r="D206" i="9"/>
  <c r="D200" i="9"/>
  <c r="D189" i="9"/>
  <c r="D188" i="9"/>
  <c r="D185" i="9"/>
  <c r="D176" i="9"/>
  <c r="D121" i="9"/>
  <c r="D114" i="9"/>
  <c r="D113" i="9"/>
  <c r="D112" i="9"/>
  <c r="D111" i="9"/>
  <c r="D110" i="9"/>
  <c r="D97" i="9"/>
  <c r="D96" i="9"/>
  <c r="D92" i="9"/>
  <c r="D91" i="9"/>
  <c r="D90" i="9"/>
  <c r="D85" i="9"/>
  <c r="D86" i="9" s="1"/>
  <c r="D87" i="9" s="1"/>
  <c r="D81" i="9"/>
  <c r="D80" i="9"/>
  <c r="D79" i="9"/>
  <c r="C59" i="9"/>
  <c r="D59" i="9" s="1"/>
  <c r="B67" i="9" s="1"/>
  <c r="D53" i="9"/>
  <c r="D51" i="9"/>
  <c r="D50" i="9"/>
  <c r="D55" i="9" s="1"/>
  <c r="D46" i="9"/>
  <c r="B65" i="9" s="1"/>
  <c r="D41" i="9"/>
  <c r="D37" i="9"/>
  <c r="D35" i="9"/>
  <c r="D34" i="9"/>
  <c r="D36" i="9"/>
  <c r="D33" i="9"/>
  <c r="D32" i="9"/>
  <c r="D31" i="9"/>
  <c r="D30" i="9"/>
  <c r="D29" i="9"/>
  <c r="D28" i="9"/>
  <c r="D27" i="9"/>
  <c r="D26" i="9"/>
  <c r="D17" i="9"/>
  <c r="D16" i="9"/>
  <c r="D15" i="9"/>
  <c r="D13" i="9"/>
  <c r="D7" i="9"/>
  <c r="D67" i="13" l="1"/>
  <c r="B65" i="6"/>
  <c r="D65" i="6" s="1"/>
  <c r="D44" i="6"/>
  <c r="D46" i="6" s="1"/>
  <c r="B66" i="6"/>
  <c r="D66" i="6" s="1"/>
  <c r="D37" i="6"/>
  <c r="D39" i="6" s="1"/>
  <c r="B62" i="9"/>
  <c r="D62" i="9" s="1"/>
  <c r="D9" i="9"/>
  <c r="D42" i="13"/>
  <c r="D69" i="7"/>
  <c r="D44" i="8"/>
  <c r="D98" i="9"/>
  <c r="D190" i="9"/>
  <c r="D77" i="7"/>
  <c r="B66" i="9"/>
  <c r="D66" i="9" s="1"/>
  <c r="D209" i="9"/>
  <c r="D93" i="9"/>
  <c r="D115" i="9"/>
  <c r="D217" i="9"/>
  <c r="F339" i="9"/>
  <c r="D82" i="9"/>
  <c r="E339" i="9"/>
  <c r="D22" i="9"/>
  <c r="B63" i="9" s="1"/>
  <c r="D63" i="9" s="1"/>
  <c r="D42" i="9"/>
  <c r="B64" i="9" s="1"/>
  <c r="D64" i="9" s="1"/>
  <c r="D49" i="8"/>
  <c r="D52" i="8" s="1"/>
  <c r="B74" i="8"/>
  <c r="D74" i="8" s="1"/>
  <c r="D78" i="8" s="1"/>
  <c r="B75" i="9"/>
  <c r="D75" i="9" s="1"/>
  <c r="B106" i="9"/>
  <c r="D106" i="9" s="1"/>
  <c r="D67" i="9"/>
  <c r="B104" i="9"/>
  <c r="D104" i="9" s="1"/>
  <c r="D65" i="9"/>
  <c r="B74" i="9"/>
  <c r="D74" i="9" s="1"/>
  <c r="B101" i="9" l="1"/>
  <c r="D101" i="9" s="1"/>
  <c r="B71" i="9"/>
  <c r="D71" i="9" s="1"/>
  <c r="D68" i="6"/>
  <c r="B105" i="9"/>
  <c r="D105" i="9" s="1"/>
  <c r="B72" i="9"/>
  <c r="D72" i="9" s="1"/>
  <c r="B102" i="9"/>
  <c r="D102" i="9" s="1"/>
  <c r="B73" i="9"/>
  <c r="D73" i="9" s="1"/>
  <c r="B103" i="9"/>
  <c r="D103" i="9" s="1"/>
  <c r="D68" i="9"/>
  <c r="D107" i="9" l="1"/>
  <c r="D76" i="9"/>
  <c r="D7" i="37"/>
  <c r="D10" i="37" s="1"/>
  <c r="D18" i="37"/>
  <c r="D35" i="37"/>
  <c r="D38" i="37"/>
  <c r="D39" i="37"/>
  <c r="D43" i="37"/>
  <c r="D46" i="37"/>
  <c r="D55" i="37"/>
  <c r="D56" i="37"/>
  <c r="B57" i="37"/>
  <c r="D57" i="37" s="1"/>
  <c r="D58" i="37"/>
  <c r="D69" i="37"/>
  <c r="D70" i="37" s="1"/>
  <c r="D90" i="37"/>
  <c r="B106" i="37"/>
  <c r="C106" i="37"/>
  <c r="D106" i="37"/>
  <c r="E108" i="37"/>
  <c r="F108" i="37"/>
  <c r="G108" i="37"/>
  <c r="E110" i="37"/>
  <c r="F110" i="37"/>
  <c r="G110" i="37"/>
  <c r="E111" i="37"/>
  <c r="F111" i="37"/>
  <c r="G111" i="37"/>
  <c r="E112" i="37"/>
  <c r="F112" i="37"/>
  <c r="G112" i="37"/>
  <c r="D21" i="37" l="1"/>
  <c r="B28" i="37" s="1"/>
  <c r="D15" i="37"/>
  <c r="D40" i="37"/>
  <c r="E113" i="37"/>
  <c r="D59" i="37"/>
  <c r="F113" i="37"/>
  <c r="G113" i="37"/>
  <c r="B26" i="37"/>
  <c r="D26" i="37" s="1"/>
  <c r="B49" i="37"/>
  <c r="D49" i="37" s="1"/>
  <c r="B51" i="37" l="1"/>
  <c r="D51" i="37" s="1"/>
  <c r="D28" i="37"/>
  <c r="B50" i="37"/>
  <c r="D50" i="37" s="1"/>
  <c r="B27" i="37"/>
  <c r="D27" i="37" s="1"/>
  <c r="B32" i="37"/>
  <c r="D32" i="37" s="1"/>
  <c r="D52" i="37" l="1"/>
  <c r="D29" i="37"/>
  <c r="F310" i="4"/>
  <c r="K310" i="4" s="1"/>
  <c r="L310" i="4" s="1"/>
  <c r="E310" i="4"/>
  <c r="G309" i="4"/>
  <c r="F309" i="4"/>
  <c r="E309" i="4"/>
  <c r="F308" i="4"/>
  <c r="K308" i="4" s="1"/>
  <c r="L308" i="4" s="1"/>
  <c r="E308" i="4"/>
  <c r="G306" i="4"/>
  <c r="F306" i="4"/>
  <c r="E306" i="4"/>
  <c r="D301" i="4"/>
  <c r="D291" i="4"/>
  <c r="D275" i="4"/>
  <c r="D270" i="4"/>
  <c r="D262" i="4"/>
  <c r="D251" i="4"/>
  <c r="D244" i="4"/>
  <c r="D236" i="4"/>
  <c r="D214" i="4"/>
  <c r="D201" i="4"/>
  <c r="D189" i="4"/>
  <c r="D188" i="4"/>
  <c r="D187" i="4"/>
  <c r="D184" i="4"/>
  <c r="D183" i="4"/>
  <c r="D182" i="4"/>
  <c r="D181" i="4"/>
  <c r="D179" i="4"/>
  <c r="D176" i="4"/>
  <c r="D168" i="4"/>
  <c r="D157" i="4"/>
  <c r="D156" i="4"/>
  <c r="D155" i="4"/>
  <c r="D154" i="4"/>
  <c r="D148" i="4"/>
  <c r="A145" i="4"/>
  <c r="D139" i="4"/>
  <c r="D138" i="4"/>
  <c r="D137" i="4"/>
  <c r="D133" i="4"/>
  <c r="D132" i="4"/>
  <c r="D131" i="4"/>
  <c r="D130" i="4"/>
  <c r="D126" i="4"/>
  <c r="D125" i="4"/>
  <c r="D124" i="4"/>
  <c r="D123" i="4"/>
  <c r="D122" i="4"/>
  <c r="D117" i="4"/>
  <c r="D116" i="4"/>
  <c r="D115" i="4"/>
  <c r="D114" i="4"/>
  <c r="D109" i="4"/>
  <c r="D98" i="4"/>
  <c r="D84" i="4"/>
  <c r="D83" i="4"/>
  <c r="D75" i="4"/>
  <c r="B108" i="4" s="1"/>
  <c r="D108" i="4" s="1"/>
  <c r="D66" i="4"/>
  <c r="D65" i="4"/>
  <c r="D63" i="4"/>
  <c r="D62" i="4"/>
  <c r="D50" i="4"/>
  <c r="D59" i="4"/>
  <c r="D58" i="4"/>
  <c r="D49" i="4"/>
  <c r="D46" i="4"/>
  <c r="D48" i="4"/>
  <c r="D45" i="4"/>
  <c r="D56" i="4"/>
  <c r="D47" i="4"/>
  <c r="D52" i="4"/>
  <c r="D51" i="4"/>
  <c r="D53" i="4"/>
  <c r="D55" i="4"/>
  <c r="D54" i="4"/>
  <c r="D60" i="4"/>
  <c r="D44" i="4"/>
  <c r="D43" i="4"/>
  <c r="D42" i="4"/>
  <c r="D41" i="4"/>
  <c r="D39" i="4"/>
  <c r="D40" i="4"/>
  <c r="D37" i="4"/>
  <c r="D36" i="4"/>
  <c r="D33" i="4"/>
  <c r="D34" i="4"/>
  <c r="D32" i="4"/>
  <c r="D31" i="4"/>
  <c r="D25" i="4"/>
  <c r="D24" i="4"/>
  <c r="D23" i="4"/>
  <c r="D22" i="4"/>
  <c r="D21" i="4"/>
  <c r="D20" i="4"/>
  <c r="D19" i="4"/>
  <c r="B95" i="4"/>
  <c r="D10" i="4"/>
  <c r="D9" i="4"/>
  <c r="D8" i="4"/>
  <c r="K309" i="4" l="1"/>
  <c r="L309" i="4" s="1"/>
  <c r="D140" i="4"/>
  <c r="D85" i="4"/>
  <c r="B97" i="4"/>
  <c r="D97" i="4" s="1"/>
  <c r="F311" i="4"/>
  <c r="D13" i="4"/>
  <c r="B143" i="4" s="1"/>
  <c r="D143" i="4" s="1"/>
  <c r="G311" i="4"/>
  <c r="D119" i="4"/>
  <c r="D134" i="4"/>
  <c r="B147" i="4"/>
  <c r="D147" i="4" s="1"/>
  <c r="D190" i="4"/>
  <c r="D28" i="4"/>
  <c r="B94" i="4" s="1"/>
  <c r="D94" i="4" s="1"/>
  <c r="E311" i="4"/>
  <c r="D127" i="4"/>
  <c r="B106" i="4"/>
  <c r="D95" i="4"/>
  <c r="B158" i="4" l="1"/>
  <c r="D158" i="4" s="1"/>
  <c r="D159" i="4" s="1"/>
  <c r="B99" i="4"/>
  <c r="B149" i="4"/>
  <c r="D149" i="4" s="1"/>
  <c r="D99" i="4"/>
  <c r="B144" i="4"/>
  <c r="D144" i="4" s="1"/>
  <c r="B105" i="4"/>
  <c r="D105" i="4" s="1"/>
  <c r="B104" i="4"/>
  <c r="D104" i="4" s="1"/>
  <c r="B93" i="4"/>
  <c r="D93" i="4" s="1"/>
  <c r="B145" i="4"/>
  <c r="D145" i="4" s="1"/>
  <c r="D106" i="4"/>
  <c r="G150" i="5" l="1"/>
  <c r="F150" i="5"/>
  <c r="E150" i="5"/>
  <c r="G149" i="5"/>
  <c r="F149" i="5"/>
  <c r="E149" i="5"/>
  <c r="G148" i="5"/>
  <c r="F148" i="5"/>
  <c r="E148" i="5"/>
  <c r="G146" i="5"/>
  <c r="F146" i="5"/>
  <c r="E146" i="5"/>
  <c r="D82" i="5"/>
  <c r="D81" i="5"/>
  <c r="D69" i="5"/>
  <c r="D68" i="5"/>
  <c r="D64" i="5"/>
  <c r="D63" i="5"/>
  <c r="D59" i="5"/>
  <c r="D58" i="5"/>
  <c r="D57" i="5"/>
  <c r="D53" i="5"/>
  <c r="D52" i="5"/>
  <c r="D31" i="5"/>
  <c r="D30" i="5"/>
  <c r="B83" i="5" s="1"/>
  <c r="D83" i="5" s="1"/>
  <c r="C27" i="5"/>
  <c r="D27" i="5" s="1"/>
  <c r="B41" i="5" s="1"/>
  <c r="D41" i="5" s="1"/>
  <c r="D23" i="5"/>
  <c r="D20" i="5"/>
  <c r="D18" i="5"/>
  <c r="D17" i="5"/>
  <c r="D16" i="5"/>
  <c r="D15" i="5"/>
  <c r="D14" i="5"/>
  <c r="D13" i="5"/>
  <c r="D12" i="5"/>
  <c r="D7" i="5"/>
  <c r="B39" i="5" l="1"/>
  <c r="B73" i="5" s="1"/>
  <c r="D73" i="5" s="1"/>
  <c r="D9" i="5"/>
  <c r="D65" i="5"/>
  <c r="D70" i="5"/>
  <c r="D60" i="5"/>
  <c r="D54" i="5"/>
  <c r="F151" i="5"/>
  <c r="G151" i="5"/>
  <c r="D84" i="5"/>
  <c r="E151" i="5"/>
  <c r="D24" i="5"/>
  <c r="B40" i="5" s="1"/>
  <c r="D40" i="5" s="1"/>
  <c r="D32" i="5"/>
  <c r="B76" i="5" s="1"/>
  <c r="D76" i="5" s="1"/>
  <c r="C36" i="5"/>
  <c r="D36" i="5" s="1"/>
  <c r="D39" i="5"/>
  <c r="B75" i="5"/>
  <c r="D75" i="5" s="1"/>
  <c r="B47" i="5"/>
  <c r="D47" i="5" s="1"/>
  <c r="B74" i="5" l="1"/>
  <c r="D74" i="5" s="1"/>
  <c r="B42" i="5"/>
  <c r="D42" i="5" s="1"/>
  <c r="B48" i="5"/>
  <c r="D48" i="5" s="1"/>
  <c r="D49" i="5" s="1"/>
  <c r="B77" i="5"/>
  <c r="D77" i="5" s="1"/>
  <c r="B43" i="5"/>
  <c r="D43" i="5" s="1"/>
  <c r="D44" i="5" l="1"/>
  <c r="D78" i="5"/>
  <c r="G170" i="15"/>
  <c r="F170" i="15"/>
  <c r="E170" i="15"/>
  <c r="G169" i="15"/>
  <c r="F169" i="15"/>
  <c r="E169" i="15"/>
  <c r="G168" i="15"/>
  <c r="F168" i="15"/>
  <c r="E168" i="15"/>
  <c r="G164" i="15"/>
  <c r="F164" i="15"/>
  <c r="E164" i="15"/>
  <c r="D70" i="15"/>
  <c r="D69" i="15"/>
  <c r="D68" i="15"/>
  <c r="D67" i="15"/>
  <c r="D56" i="15"/>
  <c r="D53" i="15"/>
  <c r="D49" i="15"/>
  <c r="D48" i="15"/>
  <c r="D45" i="15"/>
  <c r="D25" i="15"/>
  <c r="D27" i="15" s="1"/>
  <c r="D20" i="15"/>
  <c r="D14" i="15"/>
  <c r="B61" i="15" s="1"/>
  <c r="D61" i="15" s="1"/>
  <c r="D13" i="15"/>
  <c r="D7" i="15"/>
  <c r="D10" i="15" s="1"/>
  <c r="B39" i="15" s="1"/>
  <c r="D39" i="15" s="1"/>
  <c r="B41" i="15" l="1"/>
  <c r="D41" i="15" s="1"/>
  <c r="D22" i="15"/>
  <c r="F171" i="15"/>
  <c r="D50" i="15"/>
  <c r="D17" i="15"/>
  <c r="B40" i="15" s="1"/>
  <c r="D40" i="15" s="1"/>
  <c r="E171" i="15"/>
  <c r="G171" i="15"/>
  <c r="D71" i="15"/>
  <c r="B35" i="15"/>
  <c r="D35" i="15" s="1"/>
  <c r="B63" i="15"/>
  <c r="D63" i="15" s="1"/>
  <c r="B34" i="15"/>
  <c r="D34" i="15" s="1"/>
  <c r="B59" i="15"/>
  <c r="D59" i="15" s="1"/>
  <c r="B32" i="15"/>
  <c r="D32" i="15" s="1"/>
  <c r="B62" i="15"/>
  <c r="D62" i="15" s="1"/>
  <c r="D42" i="15" l="1"/>
  <c r="B60" i="15"/>
  <c r="D60" i="15" s="1"/>
  <c r="D64" i="15" s="1"/>
  <c r="B33" i="15"/>
  <c r="D33" i="15" s="1"/>
  <c r="D36" i="15" s="1"/>
  <c r="C174" i="11" l="1"/>
  <c r="C176" i="11" s="1"/>
  <c r="C178" i="11" s="1"/>
  <c r="C181" i="11" s="1"/>
  <c r="B174" i="11"/>
  <c r="B176" i="11" s="1"/>
  <c r="B178" i="11" s="1"/>
  <c r="B181" i="11" s="1"/>
  <c r="E151" i="60" l="1"/>
  <c r="F151" i="60"/>
  <c r="G151" i="60"/>
  <c r="B139" i="60"/>
  <c r="D139" i="60" s="1"/>
  <c r="G258" i="11"/>
  <c r="D30" i="18" s="1"/>
  <c r="E258" i="11"/>
  <c r="G257" i="11"/>
  <c r="F257" i="11"/>
  <c r="E257" i="11"/>
  <c r="G256" i="11"/>
  <c r="F256" i="11"/>
  <c r="E256" i="11"/>
  <c r="G254" i="11"/>
  <c r="E254" i="11"/>
  <c r="D249" i="11"/>
  <c r="F258" i="11" s="1"/>
  <c r="C249" i="11"/>
  <c r="B249" i="11"/>
  <c r="D242" i="11"/>
  <c r="C242" i="11"/>
  <c r="B242" i="11"/>
  <c r="D231" i="11"/>
  <c r="C228" i="11"/>
  <c r="C231" i="11" s="1"/>
  <c r="B228" i="11"/>
  <c r="B231" i="11" s="1"/>
  <c r="D174" i="11"/>
  <c r="D176" i="11" s="1"/>
  <c r="D178" i="11" s="1"/>
  <c r="D181" i="11" s="1"/>
  <c r="D68" i="11"/>
  <c r="D66" i="11"/>
  <c r="D65" i="11"/>
  <c r="D64" i="11"/>
  <c r="D53" i="11"/>
  <c r="D50" i="11"/>
  <c r="D46" i="11"/>
  <c r="D45" i="11"/>
  <c r="D42" i="11"/>
  <c r="D28" i="11"/>
  <c r="B60" i="11" s="1"/>
  <c r="D60" i="11" s="1"/>
  <c r="B58" i="11"/>
  <c r="D58" i="11" s="1"/>
  <c r="D14" i="11"/>
  <c r="D17" i="11" s="1"/>
  <c r="B38" i="11" s="1"/>
  <c r="D38" i="11" s="1"/>
  <c r="D7" i="11"/>
  <c r="B56" i="11" s="1"/>
  <c r="D56" i="11" s="1"/>
  <c r="B67" i="11" l="1"/>
  <c r="D67" i="11" s="1"/>
  <c r="D69" i="11" s="1"/>
  <c r="B59" i="11"/>
  <c r="D59" i="11" s="1"/>
  <c r="E259" i="11"/>
  <c r="F259" i="11"/>
  <c r="D10" i="11"/>
  <c r="B30" i="11" s="1"/>
  <c r="D30" i="11" s="1"/>
  <c r="G259" i="11"/>
  <c r="B33" i="11"/>
  <c r="D33" i="11" s="1"/>
  <c r="D47" i="11"/>
  <c r="B31" i="11"/>
  <c r="D25" i="11"/>
  <c r="B32" i="11" s="1"/>
  <c r="D32" i="11" s="1"/>
  <c r="F254" i="11"/>
  <c r="B37" i="11" l="1"/>
  <c r="D37" i="11" s="1"/>
  <c r="D39" i="11" s="1"/>
  <c r="D31" i="11"/>
  <c r="D34" i="11" s="1"/>
  <c r="B57" i="11"/>
  <c r="D57" i="11" s="1"/>
  <c r="D61" i="11" s="1"/>
  <c r="G285" i="1" l="1"/>
  <c r="D29" i="18" s="1"/>
  <c r="G284" i="1"/>
  <c r="D28" i="18" s="1"/>
  <c r="G282" i="1"/>
  <c r="D26" i="18" l="1"/>
  <c r="D32" i="18"/>
  <c r="G287" i="1"/>
  <c r="K32" i="18" l="1"/>
  <c r="E20" i="61"/>
  <c r="I16" i="63" l="1"/>
  <c r="I18" i="63" s="1"/>
  <c r="F16" i="63"/>
  <c r="E16" i="63"/>
  <c r="E18" i="63" s="1"/>
  <c r="J17" i="63"/>
  <c r="J18" i="63" s="1"/>
  <c r="I12" i="63"/>
  <c r="H12" i="63"/>
  <c r="H17" i="63" s="1"/>
  <c r="H18" i="63" s="1"/>
  <c r="G12" i="63"/>
  <c r="G17" i="63" s="1"/>
  <c r="G18" i="63" s="1"/>
  <c r="F12" i="63"/>
  <c r="F17" i="63" s="1"/>
  <c r="E12" i="63"/>
  <c r="F18" i="63" l="1"/>
  <c r="J320" i="4"/>
  <c r="J116" i="37" l="1"/>
  <c r="J117" i="37" s="1"/>
  <c r="J150" i="14" l="1"/>
  <c r="J229" i="8"/>
  <c r="K101" i="17" l="1"/>
  <c r="H16" i="36" l="1"/>
  <c r="H12" i="36"/>
  <c r="I150" i="14" l="1"/>
  <c r="D114" i="1" l="1"/>
  <c r="D135" i="1"/>
  <c r="D141" i="1"/>
  <c r="D189" i="1"/>
  <c r="C198" i="1"/>
  <c r="D198" i="1"/>
  <c r="D274" i="1"/>
  <c r="D253" i="1"/>
  <c r="D235" i="1"/>
  <c r="D234" i="1"/>
  <c r="D233" i="1"/>
  <c r="D232" i="1"/>
  <c r="D224" i="1"/>
  <c r="D180" i="1"/>
  <c r="D164" i="1"/>
  <c r="D156" i="1"/>
  <c r="D149" i="1"/>
  <c r="D243" i="1" l="1"/>
  <c r="F286" i="1" l="1"/>
  <c r="C30" i="18" s="1"/>
  <c r="F285" i="1"/>
  <c r="C29" i="18" s="1"/>
  <c r="F284" i="1"/>
  <c r="F282" i="1"/>
  <c r="F287" i="1" l="1"/>
  <c r="G290" i="1" s="1"/>
  <c r="I19" i="61" l="1"/>
  <c r="I21" i="61" s="1"/>
  <c r="H19" i="61"/>
  <c r="H21" i="61" s="1"/>
  <c r="G19" i="61"/>
  <c r="G21" i="61" s="1"/>
  <c r="F19" i="61"/>
  <c r="F21" i="61" s="1"/>
  <c r="E21" i="61"/>
  <c r="J15" i="61"/>
  <c r="J20" i="61" s="1"/>
  <c r="J21" i="61" s="1"/>
  <c r="I15" i="61"/>
  <c r="H15" i="61"/>
  <c r="G15" i="61"/>
  <c r="F15" i="61"/>
  <c r="E15" i="61"/>
  <c r="D28" i="1" l="1"/>
  <c r="D27" i="1"/>
  <c r="B56" i="1" s="1"/>
  <c r="D56" i="1" s="1"/>
  <c r="D26" i="1"/>
  <c r="D25" i="1"/>
  <c r="D24" i="1"/>
  <c r="D23" i="1"/>
  <c r="D22" i="1"/>
  <c r="D10" i="50"/>
  <c r="D13" i="50"/>
  <c r="D15" i="50" s="1"/>
  <c r="E12" i="36"/>
  <c r="F12" i="36"/>
  <c r="G12" i="36"/>
  <c r="I12" i="36"/>
  <c r="E16" i="36"/>
  <c r="E18" i="36" s="1"/>
  <c r="F16" i="36"/>
  <c r="F18" i="36" s="1"/>
  <c r="G16" i="36"/>
  <c r="G18" i="36" s="1"/>
  <c r="H18" i="36"/>
  <c r="I16" i="36"/>
  <c r="I18" i="36" s="1"/>
  <c r="H68" i="18"/>
  <c r="H69" i="18"/>
  <c r="H70" i="18"/>
  <c r="D7" i="1"/>
  <c r="D8" i="1"/>
  <c r="D12" i="1"/>
  <c r="B45" i="1" s="1"/>
  <c r="D14" i="1"/>
  <c r="D15" i="1"/>
  <c r="D34" i="1"/>
  <c r="D36" i="1"/>
  <c r="D62" i="1"/>
  <c r="D65" i="1"/>
  <c r="D66" i="1"/>
  <c r="D70" i="1"/>
  <c r="D73" i="1"/>
  <c r="D85" i="1"/>
  <c r="D86" i="1"/>
  <c r="D87" i="1"/>
  <c r="D96" i="1"/>
  <c r="B114" i="1"/>
  <c r="C114" i="1"/>
  <c r="B119" i="1"/>
  <c r="C119" i="1"/>
  <c r="D119" i="1"/>
  <c r="B126" i="1"/>
  <c r="C126" i="1"/>
  <c r="D126" i="1"/>
  <c r="B135" i="1"/>
  <c r="C135" i="1"/>
  <c r="B141" i="1"/>
  <c r="C141" i="1"/>
  <c r="E285" i="1"/>
  <c r="B29" i="18" s="1"/>
  <c r="B149" i="1"/>
  <c r="C149" i="1"/>
  <c r="B156" i="1"/>
  <c r="C156" i="1"/>
  <c r="B164" i="1"/>
  <c r="C164" i="1"/>
  <c r="B169" i="1"/>
  <c r="C169" i="1"/>
  <c r="D169" i="1"/>
  <c r="B180" i="1"/>
  <c r="C180" i="1"/>
  <c r="B189" i="1"/>
  <c r="C189" i="1"/>
  <c r="B198" i="1"/>
  <c r="B214" i="1"/>
  <c r="B217" i="1" s="1"/>
  <c r="B219" i="1" s="1"/>
  <c r="C214" i="1"/>
  <c r="C217" i="1" s="1"/>
  <c r="C219" i="1" s="1"/>
  <c r="B224" i="1"/>
  <c r="C224" i="1"/>
  <c r="B232" i="1"/>
  <c r="B243" i="1" s="1"/>
  <c r="C232" i="1"/>
  <c r="B253" i="1"/>
  <c r="C253" i="1"/>
  <c r="B270" i="1"/>
  <c r="B274" i="1" s="1"/>
  <c r="C270" i="1"/>
  <c r="C274" i="1" s="1"/>
  <c r="B280" i="1"/>
  <c r="C280" i="1"/>
  <c r="D280" i="1"/>
  <c r="E282" i="1"/>
  <c r="B26" i="18" s="1"/>
  <c r="E284" i="1"/>
  <c r="B28" i="18" s="1"/>
  <c r="E286" i="1"/>
  <c r="B30" i="18" s="1"/>
  <c r="B32" i="18" l="1"/>
  <c r="I32" i="18" s="1"/>
  <c r="B46" i="1"/>
  <c r="D46" i="1" s="1"/>
  <c r="D37" i="1"/>
  <c r="D67" i="1"/>
  <c r="D31" i="1"/>
  <c r="D19" i="1"/>
  <c r="D9" i="1"/>
  <c r="C243" i="1"/>
  <c r="D44" i="1"/>
  <c r="D45" i="1"/>
  <c r="B54" i="1"/>
  <c r="D54" i="1" s="1"/>
  <c r="E287" i="1"/>
  <c r="B55" i="1" l="1"/>
  <c r="D55" i="1" s="1"/>
  <c r="B78" i="1"/>
  <c r="D78" i="1" s="1"/>
  <c r="B77" i="1"/>
  <c r="D77" i="1" s="1"/>
  <c r="B79" i="1"/>
  <c r="B88" i="1" s="1"/>
  <c r="B47" i="1"/>
  <c r="D47" i="1" s="1"/>
  <c r="B48" i="1"/>
  <c r="D48" i="1" s="1"/>
  <c r="D40" i="1"/>
  <c r="B57" i="1"/>
  <c r="D57" i="1" s="1"/>
  <c r="B84" i="1"/>
  <c r="D84" i="1" s="1"/>
  <c r="B53" i="1"/>
  <c r="D53" i="1" s="1"/>
  <c r="B76" i="1"/>
  <c r="D76" i="1" s="1"/>
  <c r="B43" i="1"/>
  <c r="D43" i="1" s="1"/>
  <c r="D88" i="1" l="1"/>
  <c r="D89" i="1" s="1"/>
  <c r="D79" i="1"/>
  <c r="B58" i="1"/>
  <c r="D58" i="1" s="1"/>
  <c r="D59" i="1" s="1"/>
  <c r="B49" i="1"/>
  <c r="D49" i="1" s="1"/>
  <c r="D50" i="1" s="1"/>
  <c r="B80" i="1"/>
  <c r="D80" i="1" s="1"/>
  <c r="D81" i="1" l="1"/>
  <c r="C69" i="4" l="1"/>
  <c r="D69" i="4" s="1"/>
  <c r="C68" i="4"/>
  <c r="D68" i="4" s="1"/>
  <c r="D64" i="4"/>
  <c r="D71" i="4" l="1"/>
  <c r="C88" i="4"/>
  <c r="D88" i="4" s="1"/>
  <c r="D90" i="4" s="1"/>
  <c r="B110" i="4" l="1"/>
  <c r="D110" i="4" s="1"/>
  <c r="B100" i="4"/>
  <c r="D100" i="4" s="1"/>
  <c r="B150" i="4"/>
  <c r="D150" i="4" s="1"/>
  <c r="B107" i="4"/>
  <c r="D107" i="4" s="1"/>
  <c r="B146" i="4"/>
  <c r="D146" i="4" s="1"/>
  <c r="D151" i="4" s="1"/>
  <c r="B96" i="4"/>
  <c r="D96" i="4" s="1"/>
  <c r="D101" i="4" s="1"/>
  <c r="D111" i="4" l="1"/>
  <c r="B85" i="3"/>
  <c r="D82" i="3"/>
  <c r="D85" i="3" s="1"/>
  <c r="D94" i="3" s="1"/>
  <c r="B113" i="3" l="1"/>
  <c r="D113" i="3" s="1"/>
  <c r="D115" i="3" s="1"/>
  <c r="B164" i="3"/>
  <c r="D164" i="3" s="1"/>
  <c r="D165" i="3" s="1"/>
  <c r="B153" i="3"/>
  <c r="D153" i="3" s="1"/>
  <c r="D155" i="3" s="1"/>
  <c r="J387" i="3" l="1"/>
  <c r="J385" i="3"/>
  <c r="G26" i="18" s="1"/>
  <c r="F387" i="3"/>
  <c r="F385" i="3"/>
  <c r="C26" i="18" s="1"/>
  <c r="J390" i="3" l="1"/>
  <c r="G28" i="18"/>
  <c r="G32" i="18" s="1"/>
  <c r="F390" i="3"/>
  <c r="C28" i="18"/>
  <c r="C32" i="18" s="1"/>
  <c r="J32" i="18" s="1"/>
  <c r="J398" i="3" l="1"/>
  <c r="J394" i="3"/>
</calcChain>
</file>

<file path=xl/comments1.xml><?xml version="1.0" encoding="utf-8"?>
<comments xmlns="http://schemas.openxmlformats.org/spreadsheetml/2006/main">
  <authors>
    <author>Matt Duke</author>
    <author>Paul Micali</author>
  </authors>
  <commentList>
    <comment ref="D176" authorId="0">
      <text>
        <r>
          <rPr>
            <b/>
            <sz val="9"/>
            <color indexed="81"/>
            <rFont val="Tahoma"/>
            <family val="2"/>
          </rPr>
          <t>Matt Duke:</t>
        </r>
        <r>
          <rPr>
            <sz val="9"/>
            <color indexed="81"/>
            <rFont val="Tahoma"/>
            <family val="2"/>
          </rPr>
          <t xml:space="preserve">
Moved $3,500 for building maintenance to 8321</t>
        </r>
      </text>
    </comment>
    <comment ref="D188" authorId="0">
      <text>
        <r>
          <rPr>
            <b/>
            <sz val="9"/>
            <color indexed="81"/>
            <rFont val="Tahoma"/>
            <family val="2"/>
          </rPr>
          <t>Matt Duke:</t>
        </r>
        <r>
          <rPr>
            <sz val="9"/>
            <color indexed="81"/>
            <rFont val="Tahoma"/>
            <family val="2"/>
          </rPr>
          <t xml:space="preserve">
Increase for 2 decontamination sprayers and other COVID materials</t>
        </r>
      </text>
    </comment>
    <comment ref="D196" authorId="0">
      <text>
        <r>
          <rPr>
            <b/>
            <sz val="9"/>
            <color indexed="81"/>
            <rFont val="Tahoma"/>
            <family val="2"/>
          </rPr>
          <t>Matt Duke:</t>
        </r>
        <r>
          <rPr>
            <sz val="9"/>
            <color indexed="81"/>
            <rFont val="Tahoma"/>
            <family val="2"/>
          </rPr>
          <t xml:space="preserve">
Building and Health personnel moved to B&amp;H budget</t>
        </r>
      </text>
    </comment>
    <comment ref="D199" authorId="0">
      <text>
        <r>
          <rPr>
            <b/>
            <sz val="9"/>
            <color indexed="81"/>
            <rFont val="Tahoma"/>
            <family val="2"/>
          </rPr>
          <t>Matt Duke:</t>
        </r>
        <r>
          <rPr>
            <sz val="9"/>
            <color indexed="81"/>
            <rFont val="Tahoma"/>
            <family val="2"/>
          </rPr>
          <t xml:space="preserve">
Updated to reflect current protective clothing price</t>
        </r>
      </text>
    </comment>
    <comment ref="D200" authorId="0">
      <text>
        <r>
          <rPr>
            <b/>
            <sz val="9"/>
            <color indexed="81"/>
            <rFont val="Tahoma"/>
            <family val="2"/>
          </rPr>
          <t>Matt Duke:</t>
        </r>
        <r>
          <rPr>
            <sz val="9"/>
            <color indexed="81"/>
            <rFont val="Tahoma"/>
            <family val="2"/>
          </rPr>
          <t xml:space="preserve">
For four additional Firefighters
added to new firefighter line above</t>
        </r>
      </text>
    </comment>
    <comment ref="D201" authorId="0">
      <text>
        <r>
          <rPr>
            <b/>
            <sz val="9"/>
            <color indexed="81"/>
            <rFont val="Tahoma"/>
            <family val="2"/>
          </rPr>
          <t>Matt Duke:</t>
        </r>
        <r>
          <rPr>
            <sz val="9"/>
            <color indexed="81"/>
            <rFont val="Tahoma"/>
            <family val="2"/>
          </rPr>
          <t xml:space="preserve">
For four additional Firefighters
added to new firefighter line above</t>
        </r>
      </text>
    </comment>
    <comment ref="D212" authorId="0">
      <text>
        <r>
          <rPr>
            <b/>
            <sz val="9"/>
            <color indexed="81"/>
            <rFont val="Tahoma"/>
            <family val="2"/>
          </rPr>
          <t>Matt Duke:</t>
        </r>
        <r>
          <rPr>
            <sz val="9"/>
            <color indexed="81"/>
            <rFont val="Tahoma"/>
            <family val="2"/>
          </rPr>
          <t xml:space="preserve">
Official notices from Fire Marshal/Fire Inspector should be via certified mail</t>
        </r>
      </text>
    </comment>
    <comment ref="D256" authorId="0">
      <text>
        <r>
          <rPr>
            <b/>
            <sz val="9"/>
            <color indexed="81"/>
            <rFont val="Tahoma"/>
            <family val="2"/>
          </rPr>
          <t>Matt Duke:</t>
        </r>
        <r>
          <rPr>
            <sz val="9"/>
            <color indexed="81"/>
            <rFont val="Tahoma"/>
            <family val="2"/>
          </rPr>
          <t xml:space="preserve">
Combined two NFPA costs into this account</t>
        </r>
      </text>
    </comment>
    <comment ref="D269" authorId="0">
      <text>
        <r>
          <rPr>
            <b/>
            <sz val="9"/>
            <color indexed="81"/>
            <rFont val="Tahoma"/>
            <family val="2"/>
          </rPr>
          <t>Matt Duke:</t>
        </r>
        <r>
          <rPr>
            <sz val="9"/>
            <color indexed="81"/>
            <rFont val="Tahoma"/>
            <family val="2"/>
          </rPr>
          <t xml:space="preserve">
Moved $3,500 from 8202 Maintenance Supplies</t>
        </r>
      </text>
    </comment>
    <comment ref="D288" authorId="0">
      <text>
        <r>
          <rPr>
            <b/>
            <sz val="9"/>
            <color indexed="81"/>
            <rFont val="Tahoma"/>
            <family val="2"/>
          </rPr>
          <t>Matt Duke:</t>
        </r>
        <r>
          <rPr>
            <sz val="9"/>
            <color indexed="81"/>
            <rFont val="Tahoma"/>
            <family val="2"/>
          </rPr>
          <t xml:space="preserve">
Added $1,500 for annual preventative maintenance on all radios</t>
        </r>
      </text>
    </comment>
    <comment ref="D293" authorId="0">
      <text>
        <r>
          <rPr>
            <b/>
            <sz val="9"/>
            <color indexed="81"/>
            <rFont val="Tahoma"/>
            <family val="2"/>
          </rPr>
          <t>Matt Duke:</t>
        </r>
        <r>
          <rPr>
            <sz val="9"/>
            <color indexed="81"/>
            <rFont val="Tahoma"/>
            <family val="2"/>
          </rPr>
          <t xml:space="preserve">
This cost is required once every five years to test all of our SCBA cylinders.</t>
        </r>
      </text>
    </comment>
    <comment ref="D320" authorId="0">
      <text>
        <r>
          <rPr>
            <b/>
            <sz val="9"/>
            <color indexed="81"/>
            <rFont val="Tahoma"/>
            <family val="2"/>
          </rPr>
          <t>Matt Duke:</t>
        </r>
        <r>
          <rPr>
            <sz val="9"/>
            <color indexed="81"/>
            <rFont val="Tahoma"/>
            <family val="2"/>
          </rPr>
          <t xml:space="preserve">
Increase to provide more comprehensive promotional testing process, rather than only a written exam</t>
        </r>
      </text>
    </comment>
    <comment ref="D323" authorId="1">
      <text>
        <r>
          <rPr>
            <b/>
            <sz val="9"/>
            <color indexed="81"/>
            <rFont val="Tahoma"/>
            <family val="2"/>
          </rPr>
          <t>Paul Micali:</t>
        </r>
        <r>
          <rPr>
            <sz val="9"/>
            <color indexed="81"/>
            <rFont val="Tahoma"/>
            <family val="2"/>
          </rPr>
          <t xml:space="preserve">
Grant writing assistance</t>
        </r>
      </text>
    </comment>
    <comment ref="D343" authorId="0">
      <text>
        <r>
          <rPr>
            <b/>
            <sz val="9"/>
            <color indexed="81"/>
            <rFont val="Tahoma"/>
            <family val="2"/>
          </rPr>
          <t>Matt Duke:</t>
        </r>
        <r>
          <rPr>
            <sz val="9"/>
            <color indexed="81"/>
            <rFont val="Tahoma"/>
            <family val="2"/>
          </rPr>
          <t xml:space="preserve">
Recommended by BOAC every 5 years for overall health and cancer screening.  Currently 19 members are overdue,  in the future, all members will be placed on a regular cycle of roughly 8 members per year.</t>
        </r>
      </text>
    </comment>
    <comment ref="D353" authorId="0">
      <text>
        <r>
          <rPr>
            <b/>
            <sz val="9"/>
            <color indexed="81"/>
            <rFont val="Tahoma"/>
            <family val="2"/>
          </rPr>
          <t>Matt Duke:</t>
        </r>
        <r>
          <rPr>
            <sz val="9"/>
            <color indexed="81"/>
            <rFont val="Tahoma"/>
            <family val="2"/>
          </rPr>
          <t xml:space="preserve">
New software package to improve record and document storage and tracking</t>
        </r>
      </text>
    </comment>
  </commentList>
</comments>
</file>

<file path=xl/comments10.xml><?xml version="1.0" encoding="utf-8"?>
<comments xmlns="http://schemas.openxmlformats.org/spreadsheetml/2006/main">
  <authors>
    <author>Kyle Fox</author>
  </authors>
  <commentList>
    <comment ref="G130" authorId="0">
      <text>
        <r>
          <rPr>
            <b/>
            <sz val="9"/>
            <color indexed="81"/>
            <rFont val="Tahoma"/>
            <family val="2"/>
          </rPr>
          <t>Kyle Fox:</t>
        </r>
        <r>
          <rPr>
            <sz val="9"/>
            <color indexed="81"/>
            <rFont val="Tahoma"/>
            <family val="2"/>
          </rPr>
          <t xml:space="preserve">
Based on 2020/21 bids
</t>
        </r>
      </text>
    </comment>
    <comment ref="H130" authorId="0">
      <text>
        <r>
          <rPr>
            <b/>
            <sz val="9"/>
            <color indexed="81"/>
            <rFont val="Tahoma"/>
            <family val="2"/>
          </rPr>
          <t>Kyle Fox:</t>
        </r>
        <r>
          <rPr>
            <sz val="9"/>
            <color indexed="81"/>
            <rFont val="Tahoma"/>
            <family val="2"/>
          </rPr>
          <t xml:space="preserve">
Based on 2020/21 bids
</t>
        </r>
      </text>
    </comment>
    <comment ref="I130" authorId="0">
      <text>
        <r>
          <rPr>
            <b/>
            <sz val="9"/>
            <color indexed="81"/>
            <rFont val="Tahoma"/>
            <family val="2"/>
          </rPr>
          <t>Kyle Fox:</t>
        </r>
        <r>
          <rPr>
            <sz val="9"/>
            <color indexed="81"/>
            <rFont val="Tahoma"/>
            <family val="2"/>
          </rPr>
          <t xml:space="preserve">
Based on 2020/21 bids
</t>
        </r>
      </text>
    </comment>
    <comment ref="J130" authorId="0">
      <text>
        <r>
          <rPr>
            <b/>
            <sz val="9"/>
            <color indexed="81"/>
            <rFont val="Tahoma"/>
            <family val="2"/>
          </rPr>
          <t>Kyle Fox:</t>
        </r>
        <r>
          <rPr>
            <sz val="9"/>
            <color indexed="81"/>
            <rFont val="Tahoma"/>
            <family val="2"/>
          </rPr>
          <t xml:space="preserve">
Based on 2020/21 bids
</t>
        </r>
      </text>
    </comment>
  </commentList>
</comments>
</file>

<file path=xl/comments11.xml><?xml version="1.0" encoding="utf-8"?>
<comments xmlns="http://schemas.openxmlformats.org/spreadsheetml/2006/main">
  <authors>
    <author>Timothy J. Thompson</author>
  </authors>
  <commentList>
    <comment ref="D92" authorId="0">
      <text>
        <r>
          <rPr>
            <b/>
            <sz val="9"/>
            <color indexed="81"/>
            <rFont val="Tahoma"/>
            <family val="2"/>
          </rPr>
          <t>Timothy J. Thompson:</t>
        </r>
        <r>
          <rPr>
            <sz val="9"/>
            <color indexed="81"/>
            <rFont val="Tahoma"/>
            <family val="2"/>
          </rPr>
          <t xml:space="preserve">
Zeroed out at direction of P. Micali</t>
        </r>
      </text>
    </comment>
    <comment ref="D93" authorId="0">
      <text>
        <r>
          <rPr>
            <b/>
            <sz val="9"/>
            <color indexed="81"/>
            <rFont val="Tahoma"/>
            <family val="2"/>
          </rPr>
          <t>Timothy J. Thompson:</t>
        </r>
        <r>
          <rPr>
            <sz val="9"/>
            <color indexed="81"/>
            <rFont val="Tahoma"/>
            <family val="2"/>
          </rPr>
          <t xml:space="preserve">
Edited per P. Micali</t>
        </r>
      </text>
    </comment>
    <comment ref="D125" authorId="0">
      <text>
        <r>
          <rPr>
            <b/>
            <sz val="9"/>
            <color indexed="81"/>
            <rFont val="Tahoma"/>
            <family val="2"/>
          </rPr>
          <t>Timothy J. Thompson:</t>
        </r>
        <r>
          <rPr>
            <sz val="9"/>
            <color indexed="81"/>
            <rFont val="Tahoma"/>
            <family val="2"/>
          </rPr>
          <t xml:space="preserve">
Reduced based on past expenditures</t>
        </r>
      </text>
    </comment>
    <comment ref="D126" authorId="0">
      <text>
        <r>
          <rPr>
            <b/>
            <sz val="9"/>
            <color indexed="81"/>
            <rFont val="Tahoma"/>
            <family val="2"/>
          </rPr>
          <t>Timothy J. Thompson:</t>
        </r>
        <r>
          <rPr>
            <sz val="9"/>
            <color indexed="81"/>
            <rFont val="Tahoma"/>
            <family val="2"/>
          </rPr>
          <t xml:space="preserve">
Reduced based on past expenditures</t>
        </r>
      </text>
    </comment>
    <comment ref="D146" authorId="0">
      <text>
        <r>
          <rPr>
            <b/>
            <sz val="9"/>
            <color indexed="81"/>
            <rFont val="Tahoma"/>
            <family val="2"/>
          </rPr>
          <t>Timothy J. Thompson:</t>
        </r>
        <r>
          <rPr>
            <sz val="9"/>
            <color indexed="81"/>
            <rFont val="Tahoma"/>
            <family val="2"/>
          </rPr>
          <t xml:space="preserve">
Increase due to requirement for duplicate public hearing notices in Merrimack Journal, which is more expensive than Union Leader and technically cannot meet state law requirements.
</t>
        </r>
      </text>
    </comment>
  </commentList>
</comments>
</file>

<file path=xl/comments12.xml><?xml version="1.0" encoding="utf-8"?>
<comments xmlns="http://schemas.openxmlformats.org/spreadsheetml/2006/main">
  <authors>
    <author>Diane Trippett</author>
  </authors>
  <commentList>
    <comment ref="C28" authorId="0">
      <text>
        <r>
          <rPr>
            <b/>
            <sz val="9"/>
            <color indexed="81"/>
            <rFont val="Tahoma"/>
            <family val="2"/>
          </rPr>
          <t>Diane Trippett:</t>
        </r>
        <r>
          <rPr>
            <sz val="9"/>
            <color indexed="81"/>
            <rFont val="Tahoma"/>
            <family val="2"/>
          </rPr>
          <t xml:space="preserve">
to reflect anticipated wage after probationary period completed</t>
        </r>
      </text>
    </comment>
    <comment ref="B30" authorId="0">
      <text>
        <r>
          <rPr>
            <b/>
            <sz val="9"/>
            <color indexed="81"/>
            <rFont val="Tahoma"/>
            <family val="2"/>
          </rPr>
          <t>Diane Trippett:</t>
        </r>
        <r>
          <rPr>
            <sz val="9"/>
            <color indexed="81"/>
            <rFont val="Tahoma"/>
            <family val="2"/>
          </rPr>
          <t xml:space="preserve">
removal of temp hire - no presidential election year</t>
        </r>
      </text>
    </comment>
    <comment ref="G37" authorId="0">
      <text>
        <r>
          <rPr>
            <b/>
            <sz val="9"/>
            <color indexed="81"/>
            <rFont val="Tahoma"/>
            <family val="2"/>
          </rPr>
          <t>Diane Trippett:</t>
        </r>
        <r>
          <rPr>
            <sz val="9"/>
            <color indexed="81"/>
            <rFont val="Tahoma"/>
            <family val="2"/>
          </rPr>
          <t xml:space="preserve">
may need to be adjusted due to above wage changes.</t>
        </r>
      </text>
    </comment>
    <comment ref="H37" authorId="0">
      <text>
        <r>
          <rPr>
            <b/>
            <sz val="9"/>
            <color indexed="81"/>
            <rFont val="Tahoma"/>
            <family val="2"/>
          </rPr>
          <t>Diane Trippett:</t>
        </r>
        <r>
          <rPr>
            <sz val="9"/>
            <color indexed="81"/>
            <rFont val="Tahoma"/>
            <family val="2"/>
          </rPr>
          <t xml:space="preserve">
may need to be adjusted due to above wage changes.</t>
        </r>
      </text>
    </comment>
    <comment ref="I37" authorId="0">
      <text>
        <r>
          <rPr>
            <b/>
            <sz val="9"/>
            <color indexed="81"/>
            <rFont val="Tahoma"/>
            <family val="2"/>
          </rPr>
          <t>Diane Trippett:</t>
        </r>
        <r>
          <rPr>
            <sz val="9"/>
            <color indexed="81"/>
            <rFont val="Tahoma"/>
            <family val="2"/>
          </rPr>
          <t xml:space="preserve">
may need to be adjusted due to above wage changes.</t>
        </r>
      </text>
    </comment>
    <comment ref="J37" authorId="0">
      <text>
        <r>
          <rPr>
            <b/>
            <sz val="9"/>
            <color indexed="81"/>
            <rFont val="Tahoma"/>
            <family val="2"/>
          </rPr>
          <t>Diane Trippett:</t>
        </r>
        <r>
          <rPr>
            <sz val="9"/>
            <color indexed="81"/>
            <rFont val="Tahoma"/>
            <family val="2"/>
          </rPr>
          <t xml:space="preserve">
may need to be adjusted due to above wage changes.</t>
        </r>
      </text>
    </comment>
    <comment ref="G45" authorId="0">
      <text>
        <r>
          <rPr>
            <b/>
            <sz val="9"/>
            <color indexed="81"/>
            <rFont val="Tahoma"/>
            <family val="2"/>
          </rPr>
          <t>Diane Trippett:</t>
        </r>
        <r>
          <rPr>
            <sz val="9"/>
            <color indexed="81"/>
            <rFont val="Tahoma"/>
            <family val="2"/>
          </rPr>
          <t xml:space="preserve">
adj made due to wage changes</t>
        </r>
      </text>
    </comment>
    <comment ref="H45" authorId="0">
      <text>
        <r>
          <rPr>
            <b/>
            <sz val="9"/>
            <color indexed="81"/>
            <rFont val="Tahoma"/>
            <family val="2"/>
          </rPr>
          <t>Diane Trippett:</t>
        </r>
        <r>
          <rPr>
            <sz val="9"/>
            <color indexed="81"/>
            <rFont val="Tahoma"/>
            <family val="2"/>
          </rPr>
          <t xml:space="preserve">
adj made due to wage changes</t>
        </r>
      </text>
    </comment>
    <comment ref="I45" authorId="0">
      <text>
        <r>
          <rPr>
            <b/>
            <sz val="9"/>
            <color indexed="81"/>
            <rFont val="Tahoma"/>
            <family val="2"/>
          </rPr>
          <t>Diane Trippett:</t>
        </r>
        <r>
          <rPr>
            <sz val="9"/>
            <color indexed="81"/>
            <rFont val="Tahoma"/>
            <family val="2"/>
          </rPr>
          <t xml:space="preserve">
adj made due to wage changes</t>
        </r>
      </text>
    </comment>
    <comment ref="J45" authorId="0">
      <text>
        <r>
          <rPr>
            <b/>
            <sz val="9"/>
            <color indexed="81"/>
            <rFont val="Tahoma"/>
            <family val="2"/>
          </rPr>
          <t>Diane Trippett:</t>
        </r>
        <r>
          <rPr>
            <sz val="9"/>
            <color indexed="81"/>
            <rFont val="Tahoma"/>
            <family val="2"/>
          </rPr>
          <t xml:space="preserve">
adj made due to wage changes</t>
        </r>
      </text>
    </comment>
    <comment ref="B78" authorId="0">
      <text>
        <r>
          <rPr>
            <b/>
            <sz val="9"/>
            <color indexed="81"/>
            <rFont val="Tahoma"/>
            <family val="2"/>
          </rPr>
          <t>Diane Trippett:</t>
        </r>
        <r>
          <rPr>
            <sz val="9"/>
            <color indexed="81"/>
            <rFont val="Tahoma"/>
            <family val="2"/>
          </rPr>
          <t xml:space="preserve">
change due to wage adju</t>
        </r>
      </text>
    </comment>
    <comment ref="D87" authorId="0">
      <text>
        <r>
          <rPr>
            <b/>
            <sz val="9"/>
            <color indexed="81"/>
            <rFont val="Tahoma"/>
            <family val="2"/>
          </rPr>
          <t>Diane Trippett:</t>
        </r>
        <r>
          <rPr>
            <sz val="9"/>
            <color indexed="81"/>
            <rFont val="Tahoma"/>
            <family val="2"/>
          </rPr>
          <t xml:space="preserve">
price increase, # dependent on mv's processed annually.</t>
        </r>
      </text>
    </comment>
    <comment ref="D119" authorId="0">
      <text>
        <r>
          <rPr>
            <b/>
            <sz val="9"/>
            <color indexed="81"/>
            <rFont val="Tahoma"/>
            <family val="2"/>
          </rPr>
          <t>Diane Trippett:</t>
        </r>
        <r>
          <rPr>
            <sz val="9"/>
            <color indexed="81"/>
            <rFont val="Tahoma"/>
            <family val="2"/>
          </rPr>
          <t xml:space="preserve">
price increase</t>
        </r>
      </text>
    </comment>
  </commentList>
</comments>
</file>

<file path=xl/comments13.xml><?xml version="1.0" encoding="utf-8"?>
<comments xmlns="http://schemas.openxmlformats.org/spreadsheetml/2006/main">
  <authors>
    <author>Thomas Boland</author>
  </authors>
  <commentList>
    <comment ref="D104" authorId="0">
      <text>
        <r>
          <rPr>
            <b/>
            <sz val="9"/>
            <color indexed="81"/>
            <rFont val="Tahoma"/>
            <family val="2"/>
          </rPr>
          <t>Thomas Boland:</t>
        </r>
        <r>
          <rPr>
            <sz val="9"/>
            <color indexed="81"/>
            <rFont val="Tahoma"/>
            <family val="2"/>
          </rPr>
          <t xml:space="preserve">
Costs may include upgrading to a larger monitor in the back of the room that mirrors the projector, rewiring of and adding audio capabilities, a new camera controller, monitors etc.</t>
        </r>
      </text>
    </comment>
    <comment ref="D105" authorId="0">
      <text>
        <r>
          <rPr>
            <b/>
            <sz val="9"/>
            <color indexed="81"/>
            <rFont val="Tahoma"/>
            <family val="2"/>
          </rPr>
          <t>Thomas Boland:</t>
        </r>
        <r>
          <rPr>
            <sz val="9"/>
            <color indexed="81"/>
            <rFont val="Tahoma"/>
            <family val="2"/>
          </rPr>
          <t xml:space="preserve">
Staff utilized laptops that will be approaching a 7 year life cycle</t>
        </r>
      </text>
    </comment>
  </commentList>
</comments>
</file>

<file path=xl/comments2.xml><?xml version="1.0" encoding="utf-8"?>
<comments xmlns="http://schemas.openxmlformats.org/spreadsheetml/2006/main">
  <authors>
    <author>Brian Levesque</author>
  </authors>
  <commentList>
    <comment ref="D88" authorId="0">
      <text>
        <r>
          <rPr>
            <b/>
            <sz val="9"/>
            <color indexed="81"/>
            <rFont val="Tahoma"/>
            <family val="2"/>
          </rPr>
          <t>Brian Levesque:</t>
        </r>
        <r>
          <rPr>
            <sz val="9"/>
            <color indexed="81"/>
            <rFont val="Tahoma"/>
            <family val="2"/>
          </rPr>
          <t xml:space="preserve">
increase $10000 due to more training requirements enacted from NH Law Enforemcent Accountability Commission.</t>
        </r>
      </text>
    </comment>
    <comment ref="D174" authorId="0">
      <text>
        <r>
          <rPr>
            <b/>
            <sz val="9"/>
            <color indexed="81"/>
            <rFont val="Tahoma"/>
            <family val="2"/>
          </rPr>
          <t>Brian Levesque:</t>
        </r>
        <r>
          <rPr>
            <sz val="9"/>
            <color indexed="81"/>
            <rFont val="Tahoma"/>
            <family val="2"/>
          </rPr>
          <t xml:space="preserve">
Increase usage of masks and gloves</t>
        </r>
      </text>
    </comment>
    <comment ref="D186" authorId="0">
      <text>
        <r>
          <rPr>
            <b/>
            <sz val="9"/>
            <color indexed="81"/>
            <rFont val="Tahoma"/>
            <family val="2"/>
          </rPr>
          <t>Brian Levesque:</t>
        </r>
        <r>
          <rPr>
            <sz val="9"/>
            <color indexed="81"/>
            <rFont val="Tahoma"/>
            <family val="2"/>
          </rPr>
          <t xml:space="preserve">
decrease by one</t>
        </r>
      </text>
    </comment>
    <comment ref="D223" authorId="0">
      <text>
        <r>
          <rPr>
            <b/>
            <sz val="9"/>
            <color indexed="81"/>
            <rFont val="Tahoma"/>
            <family val="2"/>
          </rPr>
          <t>Brian Levesque:</t>
        </r>
        <r>
          <rPr>
            <sz val="9"/>
            <color indexed="81"/>
            <rFont val="Tahoma"/>
            <family val="2"/>
          </rPr>
          <t xml:space="preserve">
Moved from 04-8334. Actual cost $2300 not $410</t>
        </r>
      </text>
    </comment>
    <comment ref="D224" authorId="0">
      <text>
        <r>
          <rPr>
            <b/>
            <sz val="9"/>
            <color indexed="81"/>
            <rFont val="Tahoma"/>
            <family val="2"/>
          </rPr>
          <t>Brian Levesque:</t>
        </r>
        <r>
          <rPr>
            <sz val="9"/>
            <color indexed="81"/>
            <rFont val="Tahoma"/>
            <family val="2"/>
          </rPr>
          <t xml:space="preserve">
yearly dues for two instructors ($100) and two aggressors ($50)</t>
        </r>
      </text>
    </comment>
    <comment ref="D249" authorId="0">
      <text>
        <r>
          <rPr>
            <b/>
            <sz val="9"/>
            <color indexed="81"/>
            <rFont val="Tahoma"/>
            <family val="2"/>
          </rPr>
          <t>Brian Levesque:</t>
        </r>
        <r>
          <rPr>
            <sz val="9"/>
            <color indexed="81"/>
            <rFont val="Tahoma"/>
            <family val="2"/>
          </rPr>
          <t xml:space="preserve">
$8k for Police and Fire. Software for training, SOPs/Gos and tracking</t>
        </r>
      </text>
    </comment>
    <comment ref="D257" authorId="0">
      <text>
        <r>
          <rPr>
            <b/>
            <sz val="9"/>
            <color indexed="81"/>
            <rFont val="Tahoma"/>
            <family val="2"/>
          </rPr>
          <t>Brian Levesque:</t>
        </r>
        <r>
          <rPr>
            <sz val="9"/>
            <color indexed="81"/>
            <rFont val="Tahoma"/>
            <family val="2"/>
          </rPr>
          <t xml:space="preserve">
increase $5k. More training requirements </t>
        </r>
      </text>
    </comment>
    <comment ref="D282" authorId="0">
      <text>
        <r>
          <rPr>
            <b/>
            <sz val="9"/>
            <color indexed="81"/>
            <rFont val="Tahoma"/>
            <family val="2"/>
          </rPr>
          <t>Brian Levesque:</t>
        </r>
        <r>
          <rPr>
            <sz val="9"/>
            <color indexed="81"/>
            <rFont val="Tahoma"/>
            <family val="2"/>
          </rPr>
          <t xml:space="preserve">
yearly dog insurance</t>
        </r>
      </text>
    </comment>
    <comment ref="D289" authorId="0">
      <text>
        <r>
          <rPr>
            <b/>
            <sz val="9"/>
            <color indexed="81"/>
            <rFont val="Tahoma"/>
            <family val="2"/>
          </rPr>
          <t>Brian Levesque:</t>
        </r>
        <r>
          <rPr>
            <sz val="9"/>
            <color indexed="81"/>
            <rFont val="Tahoma"/>
            <family val="2"/>
          </rPr>
          <t xml:space="preserve">
3 Cruisers @ $33,500 each</t>
        </r>
      </text>
    </comment>
  </commentList>
</comments>
</file>

<file path=xl/comments3.xml><?xml version="1.0" encoding="utf-8"?>
<comments xmlns="http://schemas.openxmlformats.org/spreadsheetml/2006/main">
  <authors>
    <author>Brian Levesque</author>
  </authors>
  <commentList>
    <comment ref="D120" authorId="0">
      <text>
        <r>
          <rPr>
            <b/>
            <sz val="9"/>
            <color indexed="81"/>
            <rFont val="Tahoma"/>
            <family val="2"/>
          </rPr>
          <t>Brian Levesque:</t>
        </r>
        <r>
          <rPr>
            <sz val="9"/>
            <color indexed="81"/>
            <rFont val="Tahoma"/>
            <family val="2"/>
          </rPr>
          <t xml:space="preserve">
new RMS will have approximately $35k maintenance fee</t>
        </r>
      </text>
    </comment>
    <comment ref="D129" authorId="0">
      <text>
        <r>
          <rPr>
            <b/>
            <sz val="9"/>
            <color indexed="81"/>
            <rFont val="Tahoma"/>
            <family val="2"/>
          </rPr>
          <t>Brian Levesque:</t>
        </r>
        <r>
          <rPr>
            <sz val="9"/>
            <color indexed="81"/>
            <rFont val="Tahoma"/>
            <family val="2"/>
          </rPr>
          <t xml:space="preserve">
increase $2000. Certification requires 24 hrs of annual training</t>
        </r>
      </text>
    </comment>
  </commentList>
</comments>
</file>

<file path=xl/comments4.xml><?xml version="1.0" encoding="utf-8"?>
<comments xmlns="http://schemas.openxmlformats.org/spreadsheetml/2006/main">
  <authors>
    <author>Matt Duke</author>
  </authors>
  <commentList>
    <comment ref="D84" authorId="0">
      <text>
        <r>
          <rPr>
            <b/>
            <sz val="9"/>
            <color indexed="81"/>
            <rFont val="Tahoma"/>
            <family val="2"/>
          </rPr>
          <t>Matt Duke:</t>
        </r>
        <r>
          <rPr>
            <sz val="9"/>
            <color indexed="81"/>
            <rFont val="Tahoma"/>
            <family val="2"/>
          </rPr>
          <t xml:space="preserve">
Increase to purchase and maintain updated copies of relevant code books</t>
        </r>
      </text>
    </comment>
    <comment ref="D98" authorId="0">
      <text>
        <r>
          <rPr>
            <b/>
            <sz val="9"/>
            <color indexed="81"/>
            <rFont val="Tahoma"/>
            <family val="2"/>
          </rPr>
          <t>Matt Duke:</t>
        </r>
        <r>
          <rPr>
            <sz val="9"/>
            <color indexed="81"/>
            <rFont val="Tahoma"/>
            <family val="2"/>
          </rPr>
          <t xml:space="preserve">
Per the Building Officer and Health Officer, it is important to send official notices via Certified Mail</t>
        </r>
      </text>
    </comment>
    <comment ref="D101" authorId="0">
      <text>
        <r>
          <rPr>
            <b/>
            <sz val="9"/>
            <color indexed="81"/>
            <rFont val="Tahoma"/>
            <family val="2"/>
          </rPr>
          <t>Matt Duke:</t>
        </r>
        <r>
          <rPr>
            <sz val="9"/>
            <color indexed="81"/>
            <rFont val="Tahoma"/>
            <family val="2"/>
          </rPr>
          <t xml:space="preserve">
Amended to approximately 7 gallons per car per week</t>
        </r>
      </text>
    </comment>
    <comment ref="D134" authorId="0">
      <text>
        <r>
          <rPr>
            <b/>
            <sz val="9"/>
            <color indexed="81"/>
            <rFont val="Tahoma"/>
            <family val="2"/>
          </rPr>
          <t>Matt Duke:</t>
        </r>
        <r>
          <rPr>
            <sz val="9"/>
            <color indexed="81"/>
            <rFont val="Tahoma"/>
            <family val="2"/>
          </rPr>
          <t xml:space="preserve">
Increase to reflect three vehicles and three full time personnel</t>
        </r>
      </text>
    </comment>
  </commentList>
</comments>
</file>

<file path=xl/comments5.xml><?xml version="1.0" encoding="utf-8"?>
<comments xmlns="http://schemas.openxmlformats.org/spreadsheetml/2006/main">
  <authors>
    <author>Kyle Fox</author>
  </authors>
  <commentList>
    <comment ref="A31" authorId="0">
      <text>
        <r>
          <rPr>
            <b/>
            <sz val="9"/>
            <color indexed="81"/>
            <rFont val="Tahoma"/>
            <family val="2"/>
          </rPr>
          <t>Kyle Fox:</t>
        </r>
        <r>
          <rPr>
            <sz val="9"/>
            <color indexed="81"/>
            <rFont val="Tahoma"/>
            <family val="2"/>
          </rPr>
          <t xml:space="preserve">
Anticipated OT for Environmental Coordinator position - did not carry this through SS and retirement, etc….
</t>
        </r>
      </text>
    </comment>
    <comment ref="G126" authorId="0">
      <text>
        <r>
          <rPr>
            <b/>
            <sz val="9"/>
            <color indexed="81"/>
            <rFont val="Tahoma"/>
            <family val="2"/>
          </rPr>
          <t>Kyle Fox:</t>
        </r>
        <r>
          <rPr>
            <sz val="9"/>
            <color indexed="81"/>
            <rFont val="Tahoma"/>
            <family val="2"/>
          </rPr>
          <t xml:space="preserve">
Increased for Env. Coordinator
</t>
        </r>
      </text>
    </comment>
    <comment ref="H126" authorId="0">
      <text>
        <r>
          <rPr>
            <b/>
            <sz val="9"/>
            <color indexed="81"/>
            <rFont val="Tahoma"/>
            <family val="2"/>
          </rPr>
          <t>Kyle Fox:</t>
        </r>
        <r>
          <rPr>
            <sz val="9"/>
            <color indexed="81"/>
            <rFont val="Tahoma"/>
            <family val="2"/>
          </rPr>
          <t xml:space="preserve">
Increased for Env. Coordinator
</t>
        </r>
      </text>
    </comment>
    <comment ref="I126" authorId="0">
      <text>
        <r>
          <rPr>
            <b/>
            <sz val="9"/>
            <color indexed="81"/>
            <rFont val="Tahoma"/>
            <family val="2"/>
          </rPr>
          <t>Kyle Fox:</t>
        </r>
        <r>
          <rPr>
            <sz val="9"/>
            <color indexed="81"/>
            <rFont val="Tahoma"/>
            <family val="2"/>
          </rPr>
          <t xml:space="preserve">
Increased for Env. Coordinator
</t>
        </r>
      </text>
    </comment>
    <comment ref="J126" authorId="0">
      <text>
        <r>
          <rPr>
            <b/>
            <sz val="9"/>
            <color indexed="81"/>
            <rFont val="Tahoma"/>
            <family val="2"/>
          </rPr>
          <t>Kyle Fox:</t>
        </r>
        <r>
          <rPr>
            <sz val="9"/>
            <color indexed="81"/>
            <rFont val="Tahoma"/>
            <family val="2"/>
          </rPr>
          <t xml:space="preserve">
Increased for Env. Coordinator
</t>
        </r>
      </text>
    </comment>
    <comment ref="A142" authorId="0">
      <text>
        <r>
          <rPr>
            <b/>
            <sz val="9"/>
            <color indexed="81"/>
            <rFont val="Tahoma"/>
            <family val="2"/>
          </rPr>
          <t>Kyle Fox:</t>
        </r>
        <r>
          <rPr>
            <sz val="9"/>
            <color indexed="81"/>
            <rFont val="Tahoma"/>
            <family val="2"/>
          </rPr>
          <t xml:space="preserve">
Computer for Env. Coordinator
</t>
        </r>
      </text>
    </comment>
  </commentList>
</comments>
</file>

<file path=xl/comments6.xml><?xml version="1.0" encoding="utf-8"?>
<comments xmlns="http://schemas.openxmlformats.org/spreadsheetml/2006/main">
  <authors>
    <author>Kyle Fox</author>
    <author>Lori Barrett</author>
    <author>Paul Micali</author>
  </authors>
  <commentList>
    <comment ref="C53" authorId="0">
      <text>
        <r>
          <rPr>
            <b/>
            <sz val="9"/>
            <color indexed="81"/>
            <rFont val="Tahoma"/>
            <family val="2"/>
          </rPr>
          <t>Kyle Fox:</t>
        </r>
        <r>
          <rPr>
            <sz val="9"/>
            <color indexed="81"/>
            <rFont val="Tahoma"/>
            <family val="2"/>
          </rPr>
          <t xml:space="preserve">
Last year 2 employss were at $14, 2 at $13.  Update to 13.50
</t>
        </r>
      </text>
    </comment>
    <comment ref="D140" authorId="1">
      <text>
        <r>
          <rPr>
            <b/>
            <sz val="9"/>
            <color indexed="81"/>
            <rFont val="Tahoma"/>
            <family val="2"/>
          </rPr>
          <t>Lori Barrett:</t>
        </r>
        <r>
          <rPr>
            <sz val="9"/>
            <color indexed="81"/>
            <rFont val="Tahoma"/>
            <family val="2"/>
          </rPr>
          <t xml:space="preserve">
Added a weeks rental of small paver for milling areas</t>
        </r>
      </text>
    </comment>
    <comment ref="D151" authorId="0">
      <text/>
    </comment>
    <comment ref="D216" authorId="1">
      <text>
        <r>
          <rPr>
            <b/>
            <sz val="9"/>
            <color indexed="81"/>
            <rFont val="Tahoma"/>
            <family val="2"/>
          </rPr>
          <t>Lori Barrett:</t>
        </r>
        <r>
          <rPr>
            <sz val="9"/>
            <color indexed="81"/>
            <rFont val="Tahoma"/>
            <family val="2"/>
          </rPr>
          <t xml:space="preserve">
Iworq: $2400
SmartFill/Flui Mgt $420
APWA Paver $550</t>
        </r>
      </text>
    </comment>
    <comment ref="D217" authorId="1">
      <text>
        <r>
          <rPr>
            <b/>
            <sz val="9"/>
            <color indexed="81"/>
            <rFont val="Tahoma"/>
            <family val="2"/>
          </rPr>
          <t>Lori Barrett:
Increase to actual cost</t>
        </r>
      </text>
    </comment>
    <comment ref="D221" authorId="1">
      <text>
        <r>
          <rPr>
            <b/>
            <sz val="9"/>
            <color indexed="81"/>
            <rFont val="Tahoma"/>
            <family val="2"/>
          </rPr>
          <t>Lori Barrett:</t>
        </r>
        <r>
          <rPr>
            <sz val="9"/>
            <color indexed="81"/>
            <rFont val="Tahoma"/>
            <family val="2"/>
          </rPr>
          <t xml:space="preserve">
New Base Unit and programming</t>
        </r>
      </text>
    </comment>
    <comment ref="D222" authorId="1">
      <text>
        <r>
          <rPr>
            <b/>
            <sz val="9"/>
            <color indexed="81"/>
            <rFont val="Tahoma"/>
            <family val="2"/>
          </rPr>
          <t>Lori Barrett:</t>
        </r>
        <r>
          <rPr>
            <sz val="9"/>
            <color indexed="81"/>
            <rFont val="Tahoma"/>
            <family val="2"/>
          </rPr>
          <t xml:space="preserve">
Decrease in cost of Agreement</t>
        </r>
      </text>
    </comment>
    <comment ref="D261" authorId="0">
      <text>
        <r>
          <rPr>
            <b/>
            <sz val="9"/>
            <color indexed="81"/>
            <rFont val="Tahoma"/>
            <family val="2"/>
          </rPr>
          <t>Kyle Fox:</t>
        </r>
        <r>
          <rPr>
            <sz val="9"/>
            <color indexed="81"/>
            <rFont val="Tahoma"/>
            <family val="2"/>
          </rPr>
          <t xml:space="preserve">
Cost increase expectation for long line striping
</t>
        </r>
      </text>
    </comment>
    <comment ref="D264" authorId="2">
      <text>
        <r>
          <rPr>
            <b/>
            <sz val="9"/>
            <color indexed="81"/>
            <rFont val="Tahoma"/>
            <family val="2"/>
          </rPr>
          <t>Paul Micali:</t>
        </r>
        <r>
          <rPr>
            <sz val="9"/>
            <color indexed="81"/>
            <rFont val="Tahoma"/>
            <family val="2"/>
          </rPr>
          <t xml:space="preserve">
offset with revenue 01-08-7229
</t>
        </r>
      </text>
    </comment>
    <comment ref="D265" authorId="1">
      <text>
        <r>
          <rPr>
            <b/>
            <sz val="9"/>
            <color indexed="81"/>
            <rFont val="Tahoma"/>
            <family val="2"/>
          </rPr>
          <t>Lori Barrett:</t>
        </r>
        <r>
          <rPr>
            <sz val="9"/>
            <color indexed="81"/>
            <rFont val="Tahoma"/>
            <family val="2"/>
          </rPr>
          <t xml:space="preserve">
Crushed in 2020. Should be set for another year.</t>
        </r>
      </text>
    </comment>
    <comment ref="D284" authorId="1">
      <text>
        <r>
          <rPr>
            <b/>
            <sz val="9"/>
            <color indexed="81"/>
            <rFont val="Tahoma"/>
            <family val="2"/>
          </rPr>
          <t>Lori Barrett:</t>
        </r>
        <r>
          <rPr>
            <sz val="9"/>
            <color indexed="81"/>
            <rFont val="Tahoma"/>
            <family val="2"/>
          </rPr>
          <t xml:space="preserve">
Increase in Maintenance calls</t>
        </r>
      </text>
    </comment>
    <comment ref="D312" authorId="1">
      <text>
        <r>
          <rPr>
            <b/>
            <sz val="9"/>
            <color indexed="81"/>
            <rFont val="Tahoma"/>
            <family val="2"/>
          </rPr>
          <t>Lori Barrett:</t>
        </r>
        <r>
          <rPr>
            <sz val="9"/>
            <color indexed="81"/>
            <rFont val="Tahoma"/>
            <family val="2"/>
          </rPr>
          <t xml:space="preserve">
Added budget</t>
        </r>
      </text>
    </comment>
    <comment ref="D317" authorId="2">
      <text>
        <r>
          <rPr>
            <b/>
            <sz val="9"/>
            <color indexed="81"/>
            <rFont val="Tahoma"/>
            <family val="2"/>
          </rPr>
          <t>Paul Micali:</t>
        </r>
        <r>
          <rPr>
            <sz val="9"/>
            <color indexed="81"/>
            <rFont val="Tahoma"/>
            <family val="2"/>
          </rPr>
          <t xml:space="preserve">
money left over from bond to be used
</t>
        </r>
      </text>
    </comment>
    <comment ref="D326" authorId="0">
      <text>
        <r>
          <rPr>
            <b/>
            <sz val="9"/>
            <color indexed="81"/>
            <rFont val="Tahoma"/>
            <family val="2"/>
          </rPr>
          <t>Kyle Fox:</t>
        </r>
        <r>
          <rPr>
            <sz val="9"/>
            <color indexed="81"/>
            <rFont val="Tahoma"/>
            <family val="2"/>
          </rPr>
          <t xml:space="preserve">
Increase $50,000 from last year
</t>
        </r>
      </text>
    </comment>
  </commentList>
</comments>
</file>

<file path=xl/comments7.xml><?xml version="1.0" encoding="utf-8"?>
<comments xmlns="http://schemas.openxmlformats.org/spreadsheetml/2006/main">
  <authors>
    <author>Kyle Fox</author>
  </authors>
  <commentList>
    <comment ref="G26" authorId="0">
      <text>
        <r>
          <rPr>
            <b/>
            <sz val="9"/>
            <color indexed="81"/>
            <rFont val="Tahoma"/>
            <family val="2"/>
          </rPr>
          <t>Kyle Fox:</t>
        </r>
        <r>
          <rPr>
            <sz val="9"/>
            <color indexed="81"/>
            <rFont val="Tahoma"/>
            <family val="2"/>
          </rPr>
          <t xml:space="preserve">
Consistent expenditure over three year period
</t>
        </r>
      </text>
    </comment>
    <comment ref="H26" authorId="0">
      <text>
        <r>
          <rPr>
            <b/>
            <sz val="9"/>
            <color indexed="81"/>
            <rFont val="Tahoma"/>
            <family val="2"/>
          </rPr>
          <t>Kyle Fox:</t>
        </r>
        <r>
          <rPr>
            <sz val="9"/>
            <color indexed="81"/>
            <rFont val="Tahoma"/>
            <family val="2"/>
          </rPr>
          <t xml:space="preserve">
Consistent expenditure over three year period
</t>
        </r>
      </text>
    </comment>
    <comment ref="I26" authorId="0">
      <text>
        <r>
          <rPr>
            <b/>
            <sz val="9"/>
            <color indexed="81"/>
            <rFont val="Tahoma"/>
            <family val="2"/>
          </rPr>
          <t>Kyle Fox:</t>
        </r>
        <r>
          <rPr>
            <sz val="9"/>
            <color indexed="81"/>
            <rFont val="Tahoma"/>
            <family val="2"/>
          </rPr>
          <t xml:space="preserve">
Consistent expenditure over three year period
</t>
        </r>
      </text>
    </comment>
    <comment ref="J26" authorId="0">
      <text>
        <r>
          <rPr>
            <b/>
            <sz val="9"/>
            <color indexed="81"/>
            <rFont val="Tahoma"/>
            <family val="2"/>
          </rPr>
          <t>Kyle Fox:</t>
        </r>
        <r>
          <rPr>
            <sz val="9"/>
            <color indexed="81"/>
            <rFont val="Tahoma"/>
            <family val="2"/>
          </rPr>
          <t xml:space="preserve">
Consistent expenditure over three year period
</t>
        </r>
      </text>
    </comment>
    <comment ref="G29" authorId="0">
      <text>
        <r>
          <rPr>
            <b/>
            <sz val="9"/>
            <color indexed="81"/>
            <rFont val="Tahoma"/>
            <family val="2"/>
          </rPr>
          <t>Kyle Fox:</t>
        </r>
        <r>
          <rPr>
            <sz val="9"/>
            <color indexed="81"/>
            <rFont val="Tahoma"/>
            <family val="2"/>
          </rPr>
          <t xml:space="preserve">
Add Summer Maintainer - help reduce Highway Assist OT in summer months
</t>
        </r>
      </text>
    </comment>
    <comment ref="H29" authorId="0">
      <text>
        <r>
          <rPr>
            <b/>
            <sz val="9"/>
            <color indexed="81"/>
            <rFont val="Tahoma"/>
            <family val="2"/>
          </rPr>
          <t>Kyle Fox:</t>
        </r>
        <r>
          <rPr>
            <sz val="9"/>
            <color indexed="81"/>
            <rFont val="Tahoma"/>
            <family val="2"/>
          </rPr>
          <t xml:space="preserve">
Add Summer Maintainer - help reduce Highway Assist OT in summer months
</t>
        </r>
      </text>
    </comment>
    <comment ref="I29" authorId="0">
      <text>
        <r>
          <rPr>
            <b/>
            <sz val="9"/>
            <color indexed="81"/>
            <rFont val="Tahoma"/>
            <family val="2"/>
          </rPr>
          <t>Kyle Fox:</t>
        </r>
        <r>
          <rPr>
            <sz val="9"/>
            <color indexed="81"/>
            <rFont val="Tahoma"/>
            <family val="2"/>
          </rPr>
          <t xml:space="preserve">
Add Summer Maintainer - help reduce Highway Assist OT in summer months
</t>
        </r>
      </text>
    </comment>
    <comment ref="J29" authorId="0">
      <text>
        <r>
          <rPr>
            <b/>
            <sz val="9"/>
            <color indexed="81"/>
            <rFont val="Tahoma"/>
            <family val="2"/>
          </rPr>
          <t>Kyle Fox:</t>
        </r>
        <r>
          <rPr>
            <sz val="9"/>
            <color indexed="81"/>
            <rFont val="Tahoma"/>
            <family val="2"/>
          </rPr>
          <t xml:space="preserve">
Add Summer Maintainer - help reduce Highway Assist OT in summer months
</t>
        </r>
      </text>
    </comment>
    <comment ref="G111" authorId="0">
      <text>
        <r>
          <rPr>
            <b/>
            <sz val="9"/>
            <color indexed="81"/>
            <rFont val="Tahoma"/>
            <family val="2"/>
          </rPr>
          <t>Kyle Fox:</t>
        </r>
        <r>
          <rPr>
            <sz val="9"/>
            <color indexed="81"/>
            <rFont val="Tahoma"/>
            <family val="2"/>
          </rPr>
          <t xml:space="preserve">
Anticipate larger sticker that will have parking notation and spot to write in license plate number of vehicle the sticker is assigned to</t>
        </r>
      </text>
    </comment>
    <comment ref="H111" authorId="0">
      <text>
        <r>
          <rPr>
            <b/>
            <sz val="9"/>
            <color indexed="81"/>
            <rFont val="Tahoma"/>
            <family val="2"/>
          </rPr>
          <t>Kyle Fox:</t>
        </r>
        <r>
          <rPr>
            <sz val="9"/>
            <color indexed="81"/>
            <rFont val="Tahoma"/>
            <family val="2"/>
          </rPr>
          <t xml:space="preserve">
Anticipate larger sticker that will have parking notation and spot to write in license plate number of vehicle the sticker is assigned to</t>
        </r>
      </text>
    </comment>
    <comment ref="I111" authorId="0">
      <text>
        <r>
          <rPr>
            <b/>
            <sz val="9"/>
            <color indexed="81"/>
            <rFont val="Tahoma"/>
            <family val="2"/>
          </rPr>
          <t>Kyle Fox:</t>
        </r>
        <r>
          <rPr>
            <sz val="9"/>
            <color indexed="81"/>
            <rFont val="Tahoma"/>
            <family val="2"/>
          </rPr>
          <t xml:space="preserve">
Anticipate larger sticker that will have parking notation and spot to write in license plate number of vehicle the sticker is assigned to</t>
        </r>
      </text>
    </comment>
    <comment ref="J111" authorId="0">
      <text>
        <r>
          <rPr>
            <b/>
            <sz val="9"/>
            <color indexed="81"/>
            <rFont val="Tahoma"/>
            <family val="2"/>
          </rPr>
          <t>Kyle Fox:</t>
        </r>
        <r>
          <rPr>
            <sz val="9"/>
            <color indexed="81"/>
            <rFont val="Tahoma"/>
            <family val="2"/>
          </rPr>
          <t xml:space="preserve">
Anticipate larger sticker that will have parking notation and spot to write in license plate number of vehicle the sticker is assigned to</t>
        </r>
      </text>
    </comment>
    <comment ref="D136" authorId="0">
      <text>
        <r>
          <rPr>
            <b/>
            <sz val="9"/>
            <color indexed="81"/>
            <rFont val="Tahoma"/>
            <family val="2"/>
          </rPr>
          <t>Kyle Fox:</t>
        </r>
        <r>
          <rPr>
            <sz val="9"/>
            <color indexed="81"/>
            <rFont val="Tahoma"/>
            <family val="2"/>
          </rPr>
          <t xml:space="preserve">
Dues increase for NRSWMD
</t>
        </r>
      </text>
    </comment>
    <comment ref="C175" authorId="0">
      <text>
        <r>
          <rPr>
            <b/>
            <sz val="9"/>
            <color indexed="81"/>
            <rFont val="Tahoma"/>
            <family val="2"/>
          </rPr>
          <t>Kyle Fox:</t>
        </r>
        <r>
          <rPr>
            <sz val="9"/>
            <color indexed="81"/>
            <rFont val="Tahoma"/>
            <family val="2"/>
          </rPr>
          <t xml:space="preserve">
6 months @ $72.50, 6 months @ $78
</t>
        </r>
      </text>
    </comment>
    <comment ref="C176" authorId="0">
      <text>
        <r>
          <rPr>
            <b/>
            <sz val="9"/>
            <color indexed="81"/>
            <rFont val="Tahoma"/>
            <family val="2"/>
          </rPr>
          <t>Kyle Fox:</t>
        </r>
        <r>
          <rPr>
            <sz val="9"/>
            <color indexed="81"/>
            <rFont val="Tahoma"/>
            <family val="2"/>
          </rPr>
          <t xml:space="preserve">
5 months @ $125, 7 months @ $130</t>
        </r>
      </text>
    </comment>
    <comment ref="D188" authorId="0">
      <text>
        <r>
          <rPr>
            <b/>
            <sz val="9"/>
            <color indexed="81"/>
            <rFont val="Tahoma"/>
            <family val="2"/>
          </rPr>
          <t>Kyle Fox:</t>
        </r>
        <r>
          <rPr>
            <sz val="9"/>
            <color indexed="81"/>
            <rFont val="Tahoma"/>
            <family val="2"/>
          </rPr>
          <t xml:space="preserve">
Based on actual cost to maintain 3 systems</t>
        </r>
      </text>
    </comment>
    <comment ref="D192" authorId="0">
      <text>
        <r>
          <rPr>
            <b/>
            <sz val="9"/>
            <color indexed="81"/>
            <rFont val="Tahoma"/>
            <family val="2"/>
          </rPr>
          <t>Kyle Fox:</t>
        </r>
        <r>
          <rPr>
            <sz val="9"/>
            <color indexed="81"/>
            <rFont val="Tahoma"/>
            <family val="2"/>
          </rPr>
          <t xml:space="preserve">
Cost increases due to PFAS</t>
        </r>
      </text>
    </comment>
    <comment ref="D193" authorId="0">
      <text>
        <r>
          <rPr>
            <b/>
            <sz val="9"/>
            <color indexed="81"/>
            <rFont val="Tahoma"/>
            <family val="2"/>
          </rPr>
          <t>Kyle Fox:</t>
        </r>
        <r>
          <rPr>
            <sz val="9"/>
            <color indexed="81"/>
            <rFont val="Tahoma"/>
            <family val="2"/>
          </rPr>
          <t xml:space="preserve">
Cost increases due to PFAS</t>
        </r>
      </text>
    </comment>
    <comment ref="D194" authorId="0">
      <text>
        <r>
          <rPr>
            <b/>
            <sz val="9"/>
            <color indexed="81"/>
            <rFont val="Tahoma"/>
            <family val="2"/>
          </rPr>
          <t>Kyle Fox:</t>
        </r>
        <r>
          <rPr>
            <sz val="9"/>
            <color indexed="81"/>
            <rFont val="Tahoma"/>
            <family val="2"/>
          </rPr>
          <t xml:space="preserve">
Cost increases due to PFAS</t>
        </r>
      </text>
    </comment>
    <comment ref="D201" authorId="0">
      <text>
        <r>
          <rPr>
            <b/>
            <sz val="9"/>
            <color indexed="81"/>
            <rFont val="Tahoma"/>
            <family val="2"/>
          </rPr>
          <t>Kyle Fox:</t>
        </r>
        <r>
          <rPr>
            <sz val="9"/>
            <color indexed="81"/>
            <rFont val="Tahoma"/>
            <family val="2"/>
          </rPr>
          <t xml:space="preserve">
Based on 2020 bids</t>
        </r>
      </text>
    </comment>
    <comment ref="D203" authorId="0">
      <text>
        <r>
          <rPr>
            <b/>
            <sz val="9"/>
            <color indexed="81"/>
            <rFont val="Tahoma"/>
            <family val="2"/>
          </rPr>
          <t>Kyle Fox:</t>
        </r>
        <r>
          <rPr>
            <sz val="9"/>
            <color indexed="81"/>
            <rFont val="Tahoma"/>
            <family val="2"/>
          </rPr>
          <t xml:space="preserve">
Item now a cost - no longer taken for free</t>
        </r>
      </text>
    </comment>
  </commentList>
</comments>
</file>

<file path=xl/comments8.xml><?xml version="1.0" encoding="utf-8"?>
<comments xmlns="http://schemas.openxmlformats.org/spreadsheetml/2006/main">
  <authors>
    <author>Matthew Casparius</author>
  </authors>
  <commentList>
    <comment ref="D21" authorId="0">
      <text>
        <r>
          <rPr>
            <b/>
            <sz val="9"/>
            <color indexed="81"/>
            <rFont val="Tahoma"/>
            <family val="2"/>
          </rPr>
          <t>Matthew Casparius:</t>
        </r>
        <r>
          <rPr>
            <sz val="9"/>
            <color indexed="81"/>
            <rFont val="Tahoma"/>
            <family val="2"/>
          </rPr>
          <t xml:space="preserve">
We learned this past summer how important our parks are; particularly parks with access to water. COVID-19 will likely still be present in summer 2021. Between the issues we experiences this past summer, plus the fact that we will be renovating the Wasserman Park Beach before next summer; we are anticipating that we will see much larger # of attendees coming to utilize the Town Beach.   
We are looking to provide 7 day week coverage with a park attendant. On weekends it would be 8 hours a day for a total of 25 days from June 19th - Sept 6th. (8 hours x 2 days = 200 hours).
On weekdays, we are looking at 4 hours a day (from 4 - 8 pm) to provide coverage after the camp leaves for the day insteading of having DPW cover it on overtime as they did this past summer. There would be a total of 60 days @ 4 hours each day. 
As we learned this past summer; 1 Park Attendant cannot cover the beach by themselves and still be able to properly enforce the residency restrictions. For this we would need 2 people. However, as you will see I am only recommending 1 Park Attendant, because in the next line down you will see I am proposing to bring back weekend lifeguard coverage due to the projected increased usage of the beach. More people equals a greater chance of risks. If weekend lifeguards isn't approved then we would need to double the amount of money for the park attendant to hire 2 people instead of 1.  
This past summer we were paying the park attendant's $12 an hour because we were desperate to find someone quickly. If we have a Park Attendant who is supervised by the Lifeguards, then we could get a way with paying $10/hr I think.  If the weekend lifeguard covereage isn't approved to supervise this person, then we're probably looking at paying around $12/hr again to get someone reliable.
There are no plans within this budget to provide a park attendant at Watson Park (which shouldn't be necessary with the fence) or at Wildcat Falls which is a Conservation Commission property.</t>
        </r>
      </text>
    </comment>
    <comment ref="D22" authorId="0">
      <text>
        <r>
          <rPr>
            <b/>
            <sz val="9"/>
            <color indexed="81"/>
            <rFont val="Tahoma"/>
            <family val="2"/>
          </rPr>
          <t>Matthew Casparius:</t>
        </r>
        <r>
          <rPr>
            <sz val="9"/>
            <color indexed="81"/>
            <rFont val="Tahoma"/>
            <family val="2"/>
          </rPr>
          <t xml:space="preserve">
It has been at least 10 years since the Town provided weekend Lifeguards for the Wasserman Park Beach. With the Beach scheduled to be renovated before next summer and based upon the problems we experienced this past summer at Wasserman Park, Watson Park and Wildcat Falls; I feel it is time to bring back Lifeguard coverage on weekends for everyone's safety.
In order to provide safe lifeguard coverage on weekends, you need to have a minimum of 3 Lifeguards working. We have two distinct swimming areas and this allows for 1 guard to cover each area safely and allows for a guard rotation so that guards can get a break, use the restroom, etc.  
One of the lifeguards will be a supervisor (reporting to the Beach Waterfront Director who will be responsible for supervising the Camp Lifeguards as well as the Weekend Lifeguards &amp; supervisor. The Lifeguard supervisor can then also be responsible for supervising the Park Attendant who is covering the Waterfront Parking Lot. 
Historically the Town has paid for 2 lifeguards on weekdays to supplement what it paid by the Camp program. We can shift part of the Lifeguard hours that they normally provide to include weekend coverage but instead of 2 Lifeguards, I am looking at 1 Full Time Supervisor, 1 Full time Lifeguard and 1 part time lifeguard for a total of 2 ½ positions which consists of 1 Assistant Waterfront Director - 40 hours a week, 1 Lifeguard at 40 hours per week (which is the 2 positions we normally have) but then adding 1 additional Lifeguard for 20 hours per week. 
This will allow us to provide 7 day per week coverage of the Town beach on weekends from 10:30 – 6:30 pm (or possibly 11 – 7 pm) as well as enough staffing to provide Lifeguard coverage on weekdays until 8:00 pm. 
The breakdown is as follows:
Waterfront Assistant Director – Weekends: $13.14/hr x 57 days x 8 hours (456 hours) = $5991.84
1 Full Time Lifeguard - $11.65 x 57 days x 8 hours (456 hours) = $5312.40
1 Part time lifeguard - $11.65 x 57 days x 4 hours (228 hours) = $2656.20
Total Town Expense for 7 day a week coverage = $13960.44
In the budget, I took the total # of hours calculated by the average rate of pay for the positions to arrive at this number. 
*If the Town decides that it does not want to provide weekend Lifeguard Coverage, then we will need at a minimum 2 Park Attendants to cover Wasserman Park so the expense line item for Park Attendant will double and we will also probably have to pay more to find someone. 
</t>
        </r>
      </text>
    </comment>
    <comment ref="D23" authorId="0">
      <text>
        <r>
          <rPr>
            <b/>
            <sz val="9"/>
            <color indexed="81"/>
            <rFont val="Tahoma"/>
            <family val="2"/>
          </rPr>
          <t>Matthew Casparius:</t>
        </r>
        <r>
          <rPr>
            <sz val="9"/>
            <color indexed="81"/>
            <rFont val="Tahoma"/>
            <family val="2"/>
          </rPr>
          <t xml:space="preserve">
Historically the Waterfront Director has overseen all Lifeguards &amp; Swim Instructors and half of their salary was covered by Tax Payers and the other half covered by the Day Camp program. Previously that was limited to Mondays - Fridays only. By adding weekend lifeguard covereage this individual will be responsible oversight of the weekend lifeguards &amp; supervisor as well. 
The payscale was revised last year and the starting wage has gone up to $17.39 but again with weekend lifeguard coverage their level of responsibility is also going up. </t>
        </r>
      </text>
    </comment>
  </commentList>
</comments>
</file>

<file path=xl/comments9.xml><?xml version="1.0" encoding="utf-8"?>
<comments xmlns="http://schemas.openxmlformats.org/spreadsheetml/2006/main">
  <authors>
    <author>Kyle Fox</author>
  </authors>
  <commentList>
    <comment ref="A74" authorId="0">
      <text>
        <r>
          <rPr>
            <b/>
            <sz val="9"/>
            <color indexed="81"/>
            <rFont val="Tahoma"/>
            <family val="2"/>
          </rPr>
          <t>Kyle Fox:</t>
        </r>
        <r>
          <rPr>
            <sz val="9"/>
            <color indexed="81"/>
            <rFont val="Tahoma"/>
            <family val="2"/>
          </rPr>
          <t xml:space="preserve">
Delete this line item - covered in Highway Budget
</t>
        </r>
      </text>
    </comment>
  </commentList>
</comments>
</file>

<file path=xl/sharedStrings.xml><?xml version="1.0" encoding="utf-8"?>
<sst xmlns="http://schemas.openxmlformats.org/spreadsheetml/2006/main" count="3988" uniqueCount="2161">
  <si>
    <t>Hoses for washing tanks and floors and 3 &amp; 4 " pump hoses</t>
  </si>
  <si>
    <t>Flashlights, batteries, UPS and PLC batteries</t>
  </si>
  <si>
    <t>01-07-8102-0 Wages - Clerical</t>
  </si>
  <si>
    <t>01-03-8510-0 Capital Reserve Funds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</si>
  <si>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</si>
  <si>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</si>
  <si>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</si>
  <si>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</si>
  <si>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</si>
  <si>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</si>
  <si>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</si>
  <si>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</si>
  <si>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</si>
  <si>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</si>
  <si>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</si>
  <si>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</si>
  <si>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</si>
  <si>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</si>
  <si>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</si>
  <si>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</si>
  <si>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</si>
  <si>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</si>
  <si>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</si>
  <si>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</si>
  <si>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</si>
  <si>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</si>
  <si>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Postage to 12 members, 12 mailings agenda &amp; minutes@$ 1.00    </t>
  </si>
  <si>
    <t>Transfer to Ambulance Capital Reserve Fund</t>
  </si>
  <si>
    <t>Full-time employees - AFSCME</t>
  </si>
  <si>
    <t>Child Advocacy Center</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</si>
  <si>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</si>
  <si>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</si>
  <si>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</si>
  <si>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</si>
  <si>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</si>
  <si>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NH Camp Directors Association</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</si>
  <si>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</si>
  <si>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</si>
  <si>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</si>
  <si>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</si>
  <si>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</si>
  <si>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</si>
  <si>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</si>
  <si>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</si>
  <si>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</si>
  <si>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</si>
  <si>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</si>
  <si>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</si>
  <si>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</si>
  <si>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</si>
  <si>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</si>
  <si>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</si>
  <si>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</si>
  <si>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</si>
  <si>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lab supplies necessary to comply with NPDES permit</t>
  </si>
  <si>
    <t>Unit $</t>
  </si>
  <si>
    <t>Annual Use</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</si>
  <si>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</si>
  <si>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</si>
  <si>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</si>
  <si>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</si>
  <si>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</si>
  <si>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</si>
  <si>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</si>
  <si>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</si>
  <si>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</si>
  <si>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</si>
  <si>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</si>
  <si>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</si>
  <si>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</si>
  <si>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</si>
  <si>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r>
      <t xml:space="preserve">Swimming lessons - Red Cross cards, </t>
    </r>
    <r>
      <rPr>
        <b/>
        <sz val="10"/>
        <rFont val="Times New Roman"/>
        <family val="1"/>
      </rPr>
      <t>offset by revenues</t>
    </r>
  </si>
  <si>
    <t>Computer software annual support - clerk</t>
  </si>
  <si>
    <t>Computer software annual support - tax</t>
  </si>
  <si>
    <t>Antivirus Software</t>
  </si>
  <si>
    <t>Material for temporary pavement patches (roads and bridges)</t>
  </si>
  <si>
    <t>01-06-8230-0 Postage</t>
  </si>
  <si>
    <t>Telephone allocation</t>
  </si>
  <si>
    <t>31-10-8142-0 Compensated Absences</t>
  </si>
  <si>
    <t>Community Services Officer</t>
  </si>
  <si>
    <t>Master Patrolmen</t>
  </si>
  <si>
    <t>School Resource Officer</t>
  </si>
  <si>
    <t xml:space="preserve">Greater Nashua Mental Health Center </t>
  </si>
  <si>
    <t>Lamprey Area Health Center-health care for indigents and uninsured</t>
  </si>
  <si>
    <t>Opportunity Networks.(For Handicapped  training and jobs)</t>
  </si>
  <si>
    <t xml:space="preserve">  for the repair of Fire Vehicles, tires, brakes, oil, electrical, lights, seals etc.</t>
  </si>
  <si>
    <t>Repair Skate Park ramps - 6 sheets Skatelite, hardware &amp; shipping</t>
  </si>
  <si>
    <t>01-06-8111-0 Overtime - Other</t>
  </si>
  <si>
    <t>8107 - Other &gt;$14,000</t>
  </si>
  <si>
    <t>Cellular Phone</t>
  </si>
  <si>
    <t>Brush grinding</t>
  </si>
  <si>
    <t>South Station</t>
  </si>
  <si>
    <t>Central Station</t>
  </si>
  <si>
    <t>State of NH dam registration - Stump Pond , Naticook Lake &amp; Meadowood Pond</t>
  </si>
  <si>
    <t>Irrigation maintenance - Matthew Thornton Monument, Vets &amp; Gibson Memorial</t>
  </si>
  <si>
    <t>Dumpster - Dumpster Town Hall (1) and Senior Center (1)</t>
  </si>
  <si>
    <t>Revaluation</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</si>
  <si>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</si>
  <si>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</si>
  <si>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</si>
  <si>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</si>
  <si>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</si>
  <si>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</si>
  <si>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</si>
  <si>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01-05-8506 Communications Equipment</t>
  </si>
  <si>
    <t>01-07-8359-0 Other Outside Services</t>
  </si>
  <si>
    <t>01-09-8230 Postage</t>
  </si>
  <si>
    <t>01-15-8334-0 Maintenance-Office Equipment</t>
  </si>
  <si>
    <t>01-16-8107-0 P/T Wages</t>
  </si>
  <si>
    <t>01-21-8458-0 Milfoil Treatment Program</t>
  </si>
  <si>
    <t>Building Improvements or Major Repairs</t>
  </si>
  <si>
    <t>01-07-8270-0 Dues &amp; Fees</t>
  </si>
  <si>
    <t>American Public Works Association</t>
  </si>
  <si>
    <t>AFSCME - uniform service</t>
  </si>
  <si>
    <t>Professional and safety training sessions</t>
  </si>
  <si>
    <t>01-02-8125-0 Social Security</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</si>
  <si>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</si>
  <si>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</si>
  <si>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</si>
  <si>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</si>
  <si>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</si>
  <si>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</si>
  <si>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</si>
  <si>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</si>
  <si>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</si>
  <si>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</si>
  <si>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</si>
  <si>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</si>
  <si>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</si>
  <si>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</si>
  <si>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</si>
  <si>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</si>
  <si>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</si>
  <si>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</si>
  <si>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</si>
  <si>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</si>
  <si>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</si>
  <si>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</si>
  <si>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</si>
  <si>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</si>
  <si>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</si>
  <si>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</si>
  <si>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</si>
  <si>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Highway garage, including Equipment Maintenance area</t>
  </si>
  <si>
    <t>01-08-8245-0 Sewer</t>
  </si>
  <si>
    <t>Pagers - 2</t>
  </si>
  <si>
    <t>Certification renewals and exams</t>
  </si>
  <si>
    <t>ESRI Software Support (GIS)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</si>
  <si>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</si>
  <si>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</si>
  <si>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</si>
  <si>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</si>
  <si>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</si>
  <si>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</si>
  <si>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</si>
  <si>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</si>
  <si>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</si>
  <si>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</si>
  <si>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</si>
  <si>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</si>
  <si>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</si>
  <si>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 Per diem</t>
  </si>
  <si>
    <t>Media Assistant</t>
  </si>
  <si>
    <t>NH Chief of Police conference</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</si>
  <si>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</si>
  <si>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</si>
  <si>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</si>
  <si>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</si>
  <si>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</si>
  <si>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</si>
  <si>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</si>
  <si>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</si>
  <si>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</si>
  <si>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</si>
  <si>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</si>
  <si>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</si>
  <si>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</si>
  <si>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</si>
  <si>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</si>
  <si>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</si>
  <si>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</si>
  <si>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</si>
  <si>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</si>
  <si>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</si>
  <si>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</si>
  <si>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</si>
  <si>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</si>
  <si>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</si>
  <si>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</si>
  <si>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31-10-8244-0 Water</t>
  </si>
  <si>
    <t>Security monitoring</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</si>
  <si>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</si>
  <si>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</si>
  <si>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</si>
  <si>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</si>
  <si>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</si>
  <si>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</si>
  <si>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</si>
  <si>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</si>
  <si>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</si>
  <si>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</si>
  <si>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</si>
  <si>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</si>
  <si>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</si>
  <si>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</si>
  <si>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</si>
  <si>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</si>
  <si>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Actual</t>
  </si>
  <si>
    <t>Budget</t>
  </si>
  <si>
    <t>Operations Manager</t>
  </si>
  <si>
    <t>Highway Foreman/Inspector</t>
  </si>
  <si>
    <t>01-16-8201-0 Office Supplies</t>
  </si>
  <si>
    <t>01-16-8203-0 Operating Supplies</t>
  </si>
  <si>
    <t>01-07-8103-0 Wages - Supervisory</t>
  </si>
  <si>
    <t>Public Works Director</t>
  </si>
  <si>
    <t>Maintenance Manager</t>
  </si>
  <si>
    <t>31-10-8504-0 Office Equipment</t>
  </si>
  <si>
    <t xml:space="preserve">No. of </t>
  </si>
  <si>
    <t>Call personnel</t>
  </si>
  <si>
    <t>Request</t>
  </si>
  <si>
    <t>Computer equipment</t>
  </si>
  <si>
    <t>Sewer Fund</t>
  </si>
  <si>
    <t>01-01-8142-0 Compensated Absences</t>
  </si>
  <si>
    <t>Proposed</t>
  </si>
  <si>
    <t xml:space="preserve">  Total</t>
  </si>
  <si>
    <t>01-01-8201-0 Office Supplies</t>
  </si>
  <si>
    <t>Large print books</t>
  </si>
  <si>
    <t>01-08-8460-0 Other Operating Expenses</t>
  </si>
  <si>
    <t>01-15-8502-0 Buildings</t>
  </si>
  <si>
    <t>01-05-8103-0 Wages - Supervisory</t>
  </si>
  <si>
    <t>Back-up media for imaging system</t>
  </si>
  <si>
    <t>01-15-8201-0 Office Supplies</t>
  </si>
  <si>
    <t>MYA Building</t>
  </si>
  <si>
    <t>01-13-8244-0 Water</t>
  </si>
  <si>
    <t>Nominal amount to provide an appropriation should the issuance of</t>
  </si>
  <si>
    <t>tax anticipation notes become necessary</t>
  </si>
  <si>
    <t>01-21-8504-0 Office Equipment</t>
  </si>
  <si>
    <t>01-25-8493-0 Insurance</t>
  </si>
  <si>
    <t>01-25-8494-0 Burials</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</si>
  <si>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</si>
  <si>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</si>
  <si>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</si>
  <si>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</si>
  <si>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</si>
  <si>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</si>
  <si>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</si>
  <si>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</si>
  <si>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</si>
  <si>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Human Resource Coordinator</t>
  </si>
  <si>
    <t>Painting</t>
  </si>
  <si>
    <t>Plumbing repairs</t>
  </si>
  <si>
    <t>Miscellaneous repairs</t>
  </si>
  <si>
    <t>8104 - full-time</t>
  </si>
  <si>
    <t>8107 - full-time</t>
  </si>
  <si>
    <t>31-10-8135-0 Workers Compensation</t>
  </si>
  <si>
    <t>01-03-8135-0 Workers Compensation</t>
  </si>
  <si>
    <t>01-09-8321-0 Maintenance-Buildings</t>
  </si>
  <si>
    <t>01-08-8321-0 Maintenance-Buildings</t>
  </si>
  <si>
    <t>Highway - fire alarm system, furnace, plumbing, electrical,</t>
  </si>
  <si>
    <t>8104 - part-time &gt;$14,000</t>
  </si>
  <si>
    <t>8104 - Others</t>
  </si>
  <si>
    <t>Severance pay re: terminating employees of all departments:</t>
  </si>
  <si>
    <t>Copier paper, computer paper, software, and other office supplies</t>
  </si>
  <si>
    <t>Martel Field</t>
  </si>
  <si>
    <t>Reeds Ferry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</si>
  <si>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</si>
  <si>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</si>
  <si>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</si>
  <si>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</si>
  <si>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</si>
  <si>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</si>
  <si>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</si>
  <si>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</si>
  <si>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</si>
  <si>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Council</t>
  </si>
  <si>
    <t xml:space="preserve">  Nursery stock</t>
  </si>
  <si>
    <t xml:space="preserve">  Loam and mulch</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</si>
  <si>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</si>
  <si>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</si>
  <si>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</si>
  <si>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</si>
  <si>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</si>
  <si>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</si>
  <si>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</si>
  <si>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</si>
  <si>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</si>
  <si>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Computer Equipment Capital Reserve Fund</t>
  </si>
  <si>
    <t>Property Insurance Deductible Trust Fund</t>
  </si>
  <si>
    <t>Merrimack Village District (water, Hydrant Charges)</t>
  </si>
  <si>
    <t>Gasoline</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</si>
  <si>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</si>
  <si>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</si>
  <si>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</si>
  <si>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</si>
  <si>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</si>
  <si>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</si>
  <si>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</si>
  <si>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</si>
  <si>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</si>
  <si>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</si>
  <si>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</si>
  <si>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</si>
  <si>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</si>
  <si>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</si>
  <si>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</si>
  <si>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</si>
  <si>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</si>
  <si>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</si>
  <si>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</si>
  <si>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</si>
  <si>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</si>
  <si>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</si>
  <si>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</si>
  <si>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</si>
  <si>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</si>
  <si>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</si>
  <si>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</si>
  <si>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</si>
  <si>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</si>
  <si>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</si>
  <si>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</si>
  <si>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</si>
  <si>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Reed's Ferry Station</t>
  </si>
  <si>
    <t>31-10-8205-0 Laboratory Supplies</t>
  </si>
  <si>
    <t>31-10-8212-0 Equipment Rental</t>
  </si>
  <si>
    <t>01-24-8201-0 Office Supplies</t>
  </si>
  <si>
    <t>Calculators</t>
  </si>
  <si>
    <t>Valuation books</t>
  </si>
  <si>
    <t>01-24-8220-0 Printing</t>
  </si>
  <si>
    <t>Stationery and billing forms</t>
  </si>
  <si>
    <t>01-24-8230-0 Postage</t>
  </si>
  <si>
    <t>International Association of Arson Investigators</t>
  </si>
  <si>
    <t>CLIA waiver State of New Hampshire Medical</t>
  </si>
  <si>
    <t>01-01-8408-0 Agricultural Committee</t>
  </si>
  <si>
    <t>Farm Bureau membership                                                          </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</si>
  <si>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</si>
  <si>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</si>
  <si>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</si>
  <si>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</si>
  <si>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</si>
  <si>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</si>
  <si>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</si>
  <si>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</si>
  <si>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</si>
  <si>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</si>
  <si>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</si>
  <si>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</si>
  <si>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Keystone - shelter and chemical dependency counseling</t>
  </si>
  <si>
    <t>31-10-8420-0 Advertising</t>
  </si>
  <si>
    <t xml:space="preserve"> </t>
  </si>
  <si>
    <t>01-01-8107-0 Wages - Part-Time</t>
  </si>
  <si>
    <t>Secretary</t>
  </si>
  <si>
    <t>Young adult programs</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</si>
  <si>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</si>
  <si>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</si>
  <si>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</si>
  <si>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</si>
  <si>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</si>
  <si>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</si>
  <si>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</si>
  <si>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</si>
  <si>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</si>
  <si>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</si>
  <si>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</si>
  <si>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</si>
  <si>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</si>
  <si>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</si>
  <si>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</si>
  <si>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</si>
  <si>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</si>
  <si>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</si>
  <si>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</si>
  <si>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</si>
  <si>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</si>
  <si>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</si>
  <si>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</si>
  <si>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</si>
  <si>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</si>
  <si>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</si>
  <si>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</si>
  <si>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</si>
  <si>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</si>
  <si>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</si>
  <si>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</si>
  <si>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</si>
  <si>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Wastewater testing required by federal and state agencies</t>
  </si>
  <si>
    <t>31-10-8381-0 Sewer Maintenance</t>
  </si>
  <si>
    <t>Replacement frames and covers</t>
  </si>
  <si>
    <t>01-08-8386-0 Bridge Repairs</t>
  </si>
  <si>
    <t>Secretary I</t>
  </si>
  <si>
    <t>Legal fees</t>
  </si>
  <si>
    <t>Parks &amp; Recreation Director</t>
  </si>
  <si>
    <t>01-01-8143-0 EMPLOYEE INCENTIVES/Raises</t>
  </si>
  <si>
    <t>Book binding of permanent records, mortgage search, and recording and</t>
  </si>
  <si>
    <t>01-15-8504-0 Office Equipment</t>
  </si>
  <si>
    <t>Executive Secretary</t>
  </si>
  <si>
    <t>01-03-8103-0 Wages - Supervisory</t>
  </si>
  <si>
    <t>Assistant Chief</t>
  </si>
  <si>
    <t>Captain</t>
  </si>
  <si>
    <t>Lieutenant</t>
  </si>
  <si>
    <t>Diesel fuel for repairs, pressure washer, and other equipment</t>
  </si>
  <si>
    <t>Electronics</t>
  </si>
  <si>
    <t xml:space="preserve">  Town contribution</t>
  </si>
  <si>
    <t>01-01-8410-0 Elections/Voter Registration</t>
  </si>
  <si>
    <t>Wages:</t>
  </si>
  <si>
    <t xml:space="preserve">  Total wages</t>
  </si>
  <si>
    <t>Social security - 7.65%</t>
  </si>
  <si>
    <t>31-10-8107-0 Wages - Part-Time</t>
  </si>
  <si>
    <t>Pavement markings</t>
  </si>
  <si>
    <t>31-10-8351-0 Consultants</t>
  </si>
  <si>
    <t>01-15-8134-0 Disability Insurance</t>
  </si>
  <si>
    <t>01-25-8260-0 Telephone</t>
  </si>
  <si>
    <t>01-24-8334-0 Maintenance-Office Equipment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</si>
  <si>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</si>
  <si>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</si>
  <si>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</si>
  <si>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</si>
  <si>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</si>
  <si>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</si>
  <si>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</si>
  <si>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</si>
  <si>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</si>
  <si>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</si>
  <si>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</si>
  <si>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01-16-8136-0 Unemployment Compensation</t>
  </si>
  <si>
    <t xml:space="preserve">  training, sick, vacation, court, and holidays</t>
  </si>
  <si>
    <t>Justice of the Peace</t>
  </si>
  <si>
    <t>Ballots and memory pack programming</t>
  </si>
  <si>
    <t>Grand total</t>
  </si>
  <si>
    <t>NHMA Annual Conference</t>
  </si>
  <si>
    <t>01-21-8420-0 Advertising</t>
  </si>
  <si>
    <t>Patrolman</t>
  </si>
  <si>
    <t>MYA Building and outdoor lighting</t>
  </si>
  <si>
    <t>Regional Solid Waste District</t>
  </si>
  <si>
    <t>Council (7)</t>
  </si>
  <si>
    <t>Seminars, meetings, and conferences</t>
  </si>
  <si>
    <t>Dispatchers Part-time</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</si>
  <si>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</si>
  <si>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</si>
  <si>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</si>
  <si>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</si>
  <si>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</si>
  <si>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</si>
  <si>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</si>
  <si>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</si>
  <si>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</si>
  <si>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</si>
  <si>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</si>
  <si>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</si>
  <si>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</si>
  <si>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</si>
  <si>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</si>
  <si>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</si>
  <si>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</si>
  <si>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</si>
  <si>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</si>
  <si>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</si>
  <si>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</si>
  <si>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</si>
  <si>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</si>
  <si>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</si>
  <si>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</si>
  <si>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</si>
  <si>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</si>
  <si>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</si>
  <si>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</si>
  <si>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</si>
  <si>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</si>
  <si>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</si>
  <si>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</si>
  <si>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</si>
  <si>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</si>
  <si>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</si>
  <si>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</si>
  <si>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01-05-8104-0 Wages - Other Full-Time</t>
  </si>
  <si>
    <t xml:space="preserve">    Merrimack River Watershed Council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</si>
  <si>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</si>
  <si>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</si>
  <si>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</si>
  <si>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</si>
  <si>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</si>
  <si>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</si>
  <si>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</si>
  <si>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</si>
  <si>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</si>
  <si>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</si>
  <si>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01-24-8103-0 Wages - Supervisory</t>
  </si>
  <si>
    <t>Transfer to Communication Equipment Capital Reserve Fund</t>
  </si>
  <si>
    <t>Transfer to Fire Equipment Capital Reserve Fund</t>
  </si>
  <si>
    <t>8107 - Maintenance I</t>
  </si>
  <si>
    <t>01-24-8135-0 Workers Compensation</t>
  </si>
  <si>
    <t>Computer equipment (repairs)</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</si>
  <si>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</si>
  <si>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</si>
  <si>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</si>
  <si>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</si>
  <si>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</si>
  <si>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</si>
  <si>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</si>
  <si>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</si>
  <si>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</si>
  <si>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</si>
  <si>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</si>
  <si>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</si>
  <si>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</si>
  <si>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Current street lights:</t>
  </si>
  <si>
    <t>01-13-8204-0 Uniforms</t>
  </si>
  <si>
    <t>01-15-8450-0 Library Materials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</si>
  <si>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</si>
  <si>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</si>
  <si>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</si>
  <si>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</si>
  <si>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</si>
  <si>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</si>
  <si>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</si>
  <si>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</si>
  <si>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</si>
  <si>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</si>
  <si>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</si>
  <si>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</si>
  <si>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</si>
  <si>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</si>
  <si>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</si>
  <si>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</si>
  <si>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</si>
  <si>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</si>
  <si>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</si>
  <si>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</si>
  <si>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</si>
  <si>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</si>
  <si>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01-01-8407-0 Historic Preservation</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</si>
  <si>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</si>
  <si>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</si>
  <si>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</si>
  <si>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</si>
  <si>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</si>
  <si>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</si>
  <si>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</si>
  <si>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</si>
  <si>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</si>
  <si>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</si>
  <si>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</si>
  <si>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</si>
  <si>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Full time employees</t>
  </si>
  <si>
    <t>Postage machine and scale</t>
  </si>
  <si>
    <t>Northern New England Recreation Conference</t>
  </si>
  <si>
    <t>Local Emergency Planning Committee (LEPC) (federal State Regulations)</t>
  </si>
  <si>
    <t>Janitorial supplies, lightbulbs</t>
  </si>
  <si>
    <t>Cable internet/VPN</t>
  </si>
  <si>
    <t>Building Inspector</t>
  </si>
  <si>
    <t>01-21-8107-0 Wages - Part-Time</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</si>
  <si>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</si>
  <si>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</si>
  <si>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</si>
  <si>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</si>
  <si>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</si>
  <si>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</si>
  <si>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</si>
  <si>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</si>
  <si>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</si>
  <si>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Social security</t>
  </si>
  <si>
    <t>Workers compensation</t>
  </si>
  <si>
    <t>Unemployment compensation</t>
  </si>
  <si>
    <t>01-01-8405-0 Nashua Transit System</t>
  </si>
  <si>
    <t>01-03-8406-0 Emergency Management</t>
  </si>
  <si>
    <t>Internet services</t>
  </si>
  <si>
    <t>01-03-8280-0 General Insurance</t>
  </si>
  <si>
    <t>01-24-8504-0 Office Equipment</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</si>
  <si>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</si>
  <si>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</si>
  <si>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</si>
  <si>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</si>
  <si>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</si>
  <si>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</si>
  <si>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</si>
  <si>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</si>
  <si>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</si>
  <si>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01-03-8331-0 Maintenance-Machinery</t>
  </si>
  <si>
    <t>01-13-8374-0 Recreation Programs</t>
  </si>
  <si>
    <t>Easter egg hunt</t>
  </si>
  <si>
    <t>Boot allowance - AFSCME</t>
  </si>
  <si>
    <t>Contingency for purchase of land</t>
  </si>
  <si>
    <t>Clothing allowance and boots</t>
  </si>
  <si>
    <t>31-10-8125-0 Social Security</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</si>
  <si>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</si>
  <si>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</si>
  <si>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</si>
  <si>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</si>
  <si>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</si>
  <si>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</si>
  <si>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</si>
  <si>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</si>
  <si>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</si>
  <si>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</si>
  <si>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Fax/modem line</t>
  </si>
  <si>
    <t xml:space="preserve">  releasing tax liens and deeds</t>
  </si>
  <si>
    <t>01-24-8420-0 Advertising</t>
  </si>
  <si>
    <t>Dog tags</t>
  </si>
  <si>
    <t>31-10-8134-0 Disability Insurance</t>
  </si>
  <si>
    <t>01-04-8132-0 Dental Insurance</t>
  </si>
  <si>
    <t>01-04-8133-0 Life Insurance</t>
  </si>
  <si>
    <t>01-04-8134-0 Disability Insurance</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</si>
  <si>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</si>
  <si>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</si>
  <si>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</si>
  <si>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</si>
  <si>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</si>
  <si>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</si>
  <si>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</si>
  <si>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</si>
  <si>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</si>
  <si>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32-32-8351-0 Consultants</t>
  </si>
  <si>
    <t>Office furniture</t>
  </si>
  <si>
    <t>Movie Licensing USA</t>
  </si>
  <si>
    <t>01-09-8370-0 Landfill Monitoring</t>
  </si>
  <si>
    <t>01-07-8300-0 Travel &amp; Meetings</t>
  </si>
  <si>
    <t>NH Tax Collector Seminar</t>
  </si>
  <si>
    <t>01-03-8335-0 Maintenance-Communications Equipment</t>
  </si>
  <si>
    <t>01-04-8230-0 Postage</t>
  </si>
  <si>
    <t>01-08-8104-0 Wages - Other Full-Time</t>
  </si>
  <si>
    <t xml:space="preserve">  vacation/sick time coverage by Highway</t>
  </si>
  <si>
    <t>8103 - Foreman/Supervisor</t>
  </si>
  <si>
    <t xml:space="preserve"> Chief Operator and Maintenance Manager</t>
  </si>
  <si>
    <t>Contractual ambulance billing service</t>
  </si>
  <si>
    <t xml:space="preserve">  Water and sewer</t>
  </si>
  <si>
    <t>Dispatcher</t>
  </si>
  <si>
    <t>01-05-8105-0 Overtime-Supervisory</t>
  </si>
  <si>
    <t>01-15-8374-0 Programs</t>
  </si>
  <si>
    <t>On call Pay (winter 16 weeks X 7 days X1 hr)</t>
  </si>
  <si>
    <t>01-25-8483-0 Natural Gas Heat</t>
  </si>
  <si>
    <t>01-25-8484-0 Heating Oil and Kerosene</t>
  </si>
  <si>
    <t>Office Manager</t>
  </si>
  <si>
    <t>Account Clerk III</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</si>
  <si>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</si>
  <si>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</si>
  <si>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</si>
  <si>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</si>
  <si>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</si>
  <si>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</si>
  <si>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</si>
  <si>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</si>
  <si>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</si>
  <si>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</si>
  <si>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</si>
  <si>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</si>
  <si>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</si>
  <si>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</si>
  <si>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Media Coordinator</t>
  </si>
  <si>
    <t>Assistant Media Coordinator</t>
  </si>
  <si>
    <t>32-32-8103-0 Wages - Supervisory</t>
  </si>
  <si>
    <t>32-32-8107-0 Wages - Part-Time</t>
  </si>
  <si>
    <t>32-32-8125-0 Social Security</t>
  </si>
  <si>
    <t>01-21-8352-0 Education &amp; Training</t>
  </si>
  <si>
    <t>Children's programs</t>
  </si>
  <si>
    <t>Children's materials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</si>
  <si>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</si>
  <si>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</si>
  <si>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</si>
  <si>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</si>
  <si>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</si>
  <si>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</si>
  <si>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</si>
  <si>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</si>
  <si>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</si>
  <si>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</si>
  <si>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</si>
  <si>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</si>
  <si>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</si>
  <si>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</si>
  <si>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</si>
  <si>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</si>
  <si>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</si>
  <si>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</si>
  <si>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</si>
  <si>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</si>
  <si>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</si>
  <si>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</si>
  <si>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</si>
  <si>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</si>
  <si>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</si>
  <si>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</si>
  <si>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</si>
  <si>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</si>
  <si>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</si>
  <si>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</si>
  <si>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01-04-8335-0 Maintenance-Communications Equipment</t>
  </si>
  <si>
    <t>Radar units and radios</t>
  </si>
  <si>
    <t>01-13-8372-0 Fourth of July</t>
  </si>
  <si>
    <t>NESPIN</t>
  </si>
  <si>
    <t>01-07-8107-0 Wages - Part-Time</t>
  </si>
  <si>
    <t>Net</t>
  </si>
  <si>
    <t>DW Highway Capital Reserve Fund</t>
  </si>
  <si>
    <t>01-08-8382-0 Tree Service</t>
  </si>
  <si>
    <t>01-01-8504-0 Office Equipment</t>
  </si>
  <si>
    <t>01-01-8111-0 Overtime - Other</t>
  </si>
  <si>
    <t>8104</t>
  </si>
  <si>
    <t>01-04-8334-0 Maintenance-Office Equipment</t>
  </si>
  <si>
    <t>Copiers</t>
  </si>
  <si>
    <t>32-32-8104-0 Wages - Other Full-Time</t>
  </si>
  <si>
    <t xml:space="preserve">  Building improvements</t>
  </si>
  <si>
    <t>Uniform cleaning</t>
  </si>
  <si>
    <t>01-04-8220-0 Printing</t>
  </si>
  <si>
    <t>Forms and stationery</t>
  </si>
  <si>
    <t>01-16-8103-0 Wages - Supervisory</t>
  </si>
  <si>
    <t>Foreman</t>
  </si>
  <si>
    <t>01-16-8104-0 Wages - Other Full-Time</t>
  </si>
  <si>
    <t>Merrimack Historical Society:</t>
  </si>
  <si>
    <t xml:space="preserve">  Electricity</t>
  </si>
  <si>
    <t xml:space="preserve">  Telephone</t>
  </si>
  <si>
    <t xml:space="preserve">  Heat</t>
  </si>
  <si>
    <t xml:space="preserve">  Insurance</t>
  </si>
  <si>
    <t xml:space="preserve">  Postage</t>
  </si>
  <si>
    <t>Short-term disability insurance</t>
  </si>
  <si>
    <t>01-05-8260-0 Telephone</t>
  </si>
  <si>
    <t>American Red Cross-disaster, blood, health &amp; safety education</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</si>
  <si>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</si>
  <si>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</si>
  <si>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</si>
  <si>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</si>
  <si>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</si>
  <si>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</si>
  <si>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</si>
  <si>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</si>
  <si>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</si>
  <si>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</si>
  <si>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</si>
  <si>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</si>
  <si>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</si>
  <si>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</si>
  <si>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</si>
  <si>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</si>
  <si>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</si>
  <si>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</si>
  <si>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</si>
  <si>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</si>
  <si>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</si>
  <si>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</si>
  <si>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</si>
  <si>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</si>
  <si>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</si>
  <si>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</si>
  <si>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31-10-8230-0 Postage</t>
  </si>
  <si>
    <t>8102 - Full-time</t>
  </si>
  <si>
    <t>8106 -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</si>
  <si>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</si>
  <si>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</si>
  <si>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</si>
  <si>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</si>
  <si>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</si>
  <si>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</si>
  <si>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</si>
  <si>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</si>
  <si>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01-17-8244-0 Water</t>
  </si>
  <si>
    <t>01-17-8245-0 Sewer</t>
  </si>
  <si>
    <t>01-17-8250-0 Vehicle Fuel</t>
  </si>
  <si>
    <t>01-17-8260-0 Telephone</t>
  </si>
  <si>
    <t>01-17-8280-0 General Insurance</t>
  </si>
  <si>
    <t>01-17-8321-0 Maintenance-Buildings</t>
  </si>
  <si>
    <t>01-07-8230-0 Postage</t>
  </si>
  <si>
    <t>31-10-8280-0 General Insurance</t>
  </si>
  <si>
    <t xml:space="preserve"> Cell Phone Building Official</t>
  </si>
  <si>
    <t xml:space="preserve"> Cell Phone Building Inspector</t>
  </si>
  <si>
    <t xml:space="preserve"> Cell Phone Health Officer</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</si>
  <si>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</si>
  <si>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</si>
  <si>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</si>
  <si>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</si>
  <si>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</si>
  <si>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</si>
  <si>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</si>
  <si>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</si>
  <si>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</si>
  <si>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</si>
  <si>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</si>
  <si>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</si>
  <si>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</si>
  <si>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</si>
  <si>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</si>
  <si>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</si>
  <si>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</si>
  <si>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</si>
  <si>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</si>
  <si>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</si>
  <si>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</si>
  <si>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</si>
  <si>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</si>
  <si>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01-13-8505-0  Infrastructure</t>
  </si>
  <si>
    <t>Nashua Soup Kitchen &amp; Shelter - basic needs and shelters</t>
  </si>
  <si>
    <t>St. Joseph's Community Services - elderly meals and services</t>
  </si>
  <si>
    <t>01-05-8111-0 Overtime - Other</t>
  </si>
  <si>
    <t>Shift overtime and coverage for vacations, sick leave,</t>
  </si>
  <si>
    <t>holidays, and training</t>
  </si>
  <si>
    <t>01-05-8125-0 Social Security</t>
  </si>
  <si>
    <t>01-17-8107-0 Wages - Part-Time</t>
  </si>
  <si>
    <t>01-17-8111-0 Overtime - Other</t>
  </si>
  <si>
    <t>HIV/AIDS Task Force</t>
  </si>
  <si>
    <t>01-13-8322-0 Maintenance-Grounds</t>
  </si>
  <si>
    <t>01-17-8125-0 Social Security</t>
  </si>
  <si>
    <t>01-17-8128-0 Retirement</t>
  </si>
  <si>
    <t>01-17-8131-0 Health Insurance</t>
  </si>
  <si>
    <t>01-04-8102-0 Wages - Clerical</t>
  </si>
  <si>
    <t>Uniform service - AFSCME</t>
  </si>
  <si>
    <t>8103 - Planning/zoning</t>
  </si>
  <si>
    <t>Ambulance Garage</t>
  </si>
  <si>
    <t>College courses and seminars - NEPBA</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</si>
  <si>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</si>
  <si>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</si>
  <si>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</si>
  <si>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</si>
  <si>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</si>
  <si>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</si>
  <si>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</si>
  <si>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</si>
  <si>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</si>
  <si>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</si>
  <si>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</si>
  <si>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</si>
  <si>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</si>
  <si>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</si>
  <si>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</si>
  <si>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</si>
  <si>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</si>
  <si>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</si>
  <si>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</si>
  <si>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</si>
  <si>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</si>
  <si>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</si>
  <si>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</si>
  <si>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</si>
  <si>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</si>
  <si>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</si>
  <si>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Sludge grinder and channel grinder repairs</t>
  </si>
  <si>
    <t>01-03-8105-0 Overtime - Supervisory</t>
  </si>
  <si>
    <t>Excess sick leave purchase</t>
  </si>
  <si>
    <t>Chemical toilet service</t>
  </si>
  <si>
    <t>Tire removal</t>
  </si>
  <si>
    <t>01-25-8230-0 Postage</t>
  </si>
  <si>
    <t>Mailing of reports, notices, and general correspondence</t>
  </si>
  <si>
    <t>Personal services</t>
  </si>
  <si>
    <t>01-02-8270-0 Dues &amp; Fees</t>
  </si>
  <si>
    <t>01-02-8280-0 General Insurance</t>
  </si>
  <si>
    <t>01-03-8131-0 Health Insurance</t>
  </si>
  <si>
    <t>01-03-8132-0 Dental Insurance</t>
  </si>
  <si>
    <t>01-03-8133-0 Life Insurance</t>
  </si>
  <si>
    <t>31-10-8332-0 Maintenance-Vehicles</t>
  </si>
  <si>
    <t>31-10-8334-0 Maintenance-Office Equipment</t>
  </si>
  <si>
    <t>Fire alarm</t>
  </si>
  <si>
    <t>Admin Charge</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</si>
  <si>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</si>
  <si>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</si>
  <si>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</si>
  <si>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</si>
  <si>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</si>
  <si>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</si>
  <si>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</si>
  <si>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</si>
  <si>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</si>
  <si>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</si>
  <si>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</si>
  <si>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</si>
  <si>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</si>
  <si>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</si>
  <si>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</si>
  <si>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</si>
  <si>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</si>
  <si>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</si>
  <si>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</si>
  <si>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</si>
  <si>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</si>
  <si>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</si>
  <si>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</si>
  <si>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</si>
  <si>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</si>
  <si>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</si>
  <si>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</si>
  <si>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</si>
  <si>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</si>
  <si>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</si>
  <si>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</si>
  <si>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</si>
  <si>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Janitorial supplies</t>
  </si>
  <si>
    <t>01-03-8504-0 Office Equipment</t>
  </si>
  <si>
    <t>01-03-8506-0 Communications Equipment</t>
  </si>
  <si>
    <t>01-25-8495-0 Propane fuel heat</t>
  </si>
  <si>
    <t xml:space="preserve">  Supplies, seminars, and other administrative costs</t>
  </si>
  <si>
    <t>01-17-8241-0 Electricity</t>
  </si>
  <si>
    <t>Laminator</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</si>
  <si>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</si>
  <si>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</si>
  <si>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</si>
  <si>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</si>
  <si>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</si>
  <si>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</si>
  <si>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</si>
  <si>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</si>
  <si>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</si>
  <si>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</si>
  <si>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</si>
  <si>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</si>
  <si>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</si>
  <si>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</si>
  <si>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</si>
  <si>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</si>
  <si>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</si>
  <si>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</si>
  <si>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</si>
  <si>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</si>
  <si>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</si>
  <si>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</si>
  <si>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</si>
  <si>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</si>
  <si>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</si>
  <si>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</si>
  <si>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</si>
  <si>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</si>
  <si>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</si>
  <si>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</si>
  <si>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</si>
  <si>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</si>
  <si>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</si>
  <si>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</si>
  <si>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</si>
  <si>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</si>
  <si>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</si>
  <si>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</si>
  <si>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</si>
  <si>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</si>
  <si>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</si>
  <si>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</si>
  <si>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</si>
  <si>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01-13-8321-0 Maintenance-Buildings &amp; Grounds</t>
  </si>
  <si>
    <t>01-08-8342-0 Cold Patch</t>
  </si>
  <si>
    <t>01-08-8359-0 Other Outside Services</t>
  </si>
  <si>
    <t>01-24-8133-0 Life Insurance</t>
  </si>
  <si>
    <t>01-24-8134-0 Disability Insurance</t>
  </si>
  <si>
    <t>424-7312 Fax</t>
  </si>
  <si>
    <t>01-08-8212-0 Equipment Rental</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</si>
  <si>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</si>
  <si>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</si>
  <si>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</si>
  <si>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</si>
  <si>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</si>
  <si>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</si>
  <si>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</si>
  <si>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</si>
  <si>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</si>
  <si>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</si>
  <si>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</si>
  <si>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</si>
  <si>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</si>
  <si>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</si>
  <si>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</si>
  <si>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</si>
  <si>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</si>
  <si>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</si>
  <si>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</si>
  <si>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</si>
  <si>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</si>
  <si>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8104 - Technology Services Coordinator</t>
  </si>
  <si>
    <t>01-13-8107-0 Wages - Part-Time</t>
  </si>
  <si>
    <t>01-17-8104-0 Wages - Other Full-Time</t>
  </si>
  <si>
    <t>Compost facility heating system</t>
  </si>
  <si>
    <t>31-10-8243-0 Heating Oil</t>
  </si>
  <si>
    <t>Diesel fuel for plant generators</t>
  </si>
  <si>
    <t>Insurance</t>
  </si>
  <si>
    <t>Part time employees</t>
  </si>
  <si>
    <t>Bandstand concerts</t>
  </si>
  <si>
    <t xml:space="preserve">  Office supplies </t>
  </si>
  <si>
    <t>Pearson Road Pumping Station</t>
  </si>
  <si>
    <t>01-07-8280-0 General Insurance</t>
  </si>
  <si>
    <t>Security cards, station logs, business cards, and other forms</t>
  </si>
  <si>
    <t>01-05-8131-0 Health Insurance</t>
  </si>
  <si>
    <t>01-03-8104-0 Wages - Other Full-Time</t>
  </si>
  <si>
    <t>Light bulbs</t>
  </si>
  <si>
    <t>NH Municipal Management Association</t>
  </si>
  <si>
    <t>ICMA</t>
  </si>
  <si>
    <t>01-09-8910-0 Capital Reserve Fund Purchases</t>
  </si>
  <si>
    <t>Blueprints, topographical maps</t>
  </si>
  <si>
    <t>NH Public Works Association</t>
  </si>
  <si>
    <t>Other CATV Equipment</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</si>
  <si>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</si>
  <si>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</si>
  <si>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</si>
  <si>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</si>
  <si>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</si>
  <si>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</si>
  <si>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</si>
  <si>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</si>
  <si>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</si>
  <si>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</si>
  <si>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</si>
  <si>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</si>
  <si>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</si>
  <si>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</si>
  <si>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</si>
  <si>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</si>
  <si>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</si>
  <si>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</si>
  <si>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</si>
  <si>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</si>
  <si>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</si>
  <si>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</si>
  <si>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</si>
  <si>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</si>
  <si>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</si>
  <si>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</si>
  <si>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</si>
  <si>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</si>
  <si>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</si>
  <si>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</si>
  <si>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</si>
  <si>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</si>
  <si>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</si>
  <si>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</si>
  <si>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</si>
  <si>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</si>
  <si>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</si>
  <si>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</si>
  <si>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</si>
  <si>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</si>
  <si>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</si>
  <si>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</si>
  <si>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</si>
  <si>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01-03-8508-0 Operating Equipment</t>
  </si>
  <si>
    <t>Boot Allowance - Teamsters</t>
  </si>
  <si>
    <t>Boot Allowance - AFSCME</t>
  </si>
  <si>
    <t>Highway Foreman</t>
  </si>
  <si>
    <t>Annual meeting</t>
  </si>
  <si>
    <t>Special cleaning</t>
  </si>
  <si>
    <t>Elevator inspection</t>
  </si>
  <si>
    <t>Softball</t>
  </si>
  <si>
    <t>01-15-8244-0 Water</t>
  </si>
  <si>
    <t>01-15-8245-0 Sewer</t>
  </si>
  <si>
    <t>State certification requirements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</si>
  <si>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</si>
  <si>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</si>
  <si>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</si>
  <si>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</si>
  <si>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</si>
  <si>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</si>
  <si>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</si>
  <si>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</si>
  <si>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</si>
  <si>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</si>
  <si>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</si>
  <si>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</si>
  <si>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</si>
  <si>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</si>
  <si>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</si>
  <si>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</si>
  <si>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</si>
  <si>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</si>
  <si>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</si>
  <si>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</si>
  <si>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Cellular telephone ( 3 )</t>
  </si>
  <si>
    <t>01-02-8201-0 Office Supplies</t>
  </si>
  <si>
    <t>Field file folders, computer paper, copier toner, and other office supplies</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</si>
  <si>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</si>
  <si>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</si>
  <si>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</si>
  <si>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</si>
  <si>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</si>
  <si>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</si>
  <si>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</si>
  <si>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Maintenance of ancillary &amp; support equipment to include SCADA</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</si>
  <si>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</si>
  <si>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</si>
  <si>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</si>
  <si>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</si>
  <si>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</si>
  <si>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</si>
  <si>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</si>
  <si>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</si>
  <si>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</si>
  <si>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32-32-8230-0 Postage</t>
  </si>
  <si>
    <t>32-32-8260-0 Telephone</t>
  </si>
  <si>
    <t>32-32-8270-0 Dues &amp; Fees</t>
  </si>
  <si>
    <t>32-32-8280-0 General Insurance</t>
  </si>
  <si>
    <t>32-32-8300-0 Travel &amp; Meetings</t>
  </si>
  <si>
    <t>32-32-8334-0 Maintenance-Office Equipment</t>
  </si>
  <si>
    <t>32-32-8352-0 Education &amp; Training</t>
  </si>
  <si>
    <t>New England Conference of Town Clerks</t>
  </si>
  <si>
    <t>Service truck and pool cars - unleaded gasoline</t>
  </si>
  <si>
    <t>01-16-8260-0 Telephone</t>
  </si>
  <si>
    <t>01-01-8101-0 Wages - Elected Officials</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</si>
  <si>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</si>
  <si>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</si>
  <si>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</si>
  <si>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</si>
  <si>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</si>
  <si>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</si>
  <si>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</si>
  <si>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</si>
  <si>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</si>
  <si>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</si>
  <si>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</si>
  <si>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</si>
  <si>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</si>
  <si>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01-17-8132-0 Dental Insurance</t>
  </si>
  <si>
    <t>Salt Shed</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</si>
  <si>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</si>
  <si>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</si>
  <si>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</si>
  <si>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</si>
  <si>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</si>
  <si>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</si>
  <si>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</si>
  <si>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</si>
  <si>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</si>
  <si>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systems and materials for constructing storm water catch basins</t>
  </si>
  <si>
    <t>and manholes</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</si>
  <si>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</si>
  <si>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</si>
  <si>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</si>
  <si>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</si>
  <si>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</si>
  <si>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</si>
  <si>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</si>
  <si>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</si>
  <si>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</si>
  <si>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</si>
  <si>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</si>
  <si>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</si>
  <si>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</si>
  <si>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</si>
  <si>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</si>
  <si>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</si>
  <si>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</si>
  <si>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</si>
  <si>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</si>
  <si>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</si>
  <si>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</si>
  <si>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01-15-8125-0 Social Security</t>
  </si>
  <si>
    <t>01-15-8128-0 Retirement</t>
  </si>
  <si>
    <t>State of NH weighmaster licenses</t>
  </si>
  <si>
    <t>01-08-8335-0 Maintenance-Communications Equip</t>
  </si>
  <si>
    <t>01-08-8341-0 Sand &amp; Salt</t>
  </si>
  <si>
    <t>01-25-8490-0 Prescriptions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</si>
  <si>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</si>
  <si>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</si>
  <si>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</si>
  <si>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</si>
  <si>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</si>
  <si>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</si>
  <si>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</si>
  <si>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</si>
  <si>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</si>
  <si>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</si>
  <si>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</si>
  <si>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</si>
  <si>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</si>
  <si>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</si>
  <si>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</si>
  <si>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</si>
  <si>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</si>
  <si>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</si>
  <si>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</si>
  <si>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01-08-8910-0 Capital Reserve Fund Purchases</t>
  </si>
  <si>
    <t>01-03-8910-0 Capital Reserve Fund Purchases</t>
  </si>
  <si>
    <t>31-10-8910-0 Capital Reserve Fund Purchases</t>
  </si>
  <si>
    <t>Cellular telephones (2)</t>
  </si>
  <si>
    <t>Firefighter Certifications and Training:</t>
  </si>
  <si>
    <t>01-16-8105-0 Overtime-Supervisory</t>
  </si>
  <si>
    <t>01-16-8111-0 Overtime - Other</t>
  </si>
  <si>
    <t>Mechanics</t>
  </si>
  <si>
    <t>01-16-8125-0 Social Security</t>
  </si>
  <si>
    <t>01-16-8128-0 Retirement</t>
  </si>
  <si>
    <t>GRAND TOTAL</t>
  </si>
  <si>
    <t>Rental of power tools and construction equipment</t>
  </si>
  <si>
    <t>01-08-8220-0 Printing</t>
  </si>
  <si>
    <t>01-08-8241-0 Electricity</t>
  </si>
  <si>
    <t>429-2148 Elevator</t>
  </si>
  <si>
    <t>Bridges - rape and assault support services and shelters</t>
  </si>
  <si>
    <t>Admin fee to General Govt</t>
  </si>
  <si>
    <t>32-32-8271-0 Subscriptions</t>
  </si>
  <si>
    <t>32-32-8460-0 Miscellaneous</t>
  </si>
  <si>
    <t>other</t>
  </si>
  <si>
    <t>01-21-8388-0 Economic Development</t>
  </si>
  <si>
    <t>01-08-8103-0 Wages - Supervisory</t>
  </si>
  <si>
    <t>Adult programs</t>
  </si>
  <si>
    <t>01-15-8420-0 Advertising</t>
  </si>
  <si>
    <t>Total - partially offset by revenues</t>
  </si>
  <si>
    <t>Copiers, fax, computers, and other office equipment</t>
  </si>
  <si>
    <t>01-05-8136-0 Unemployment Compensation</t>
  </si>
  <si>
    <t>01-05-8201-0 Office Supplies</t>
  </si>
  <si>
    <t>01-08-8334-0 Maintenance-Office Equipment</t>
  </si>
  <si>
    <t>Grand Total</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</si>
  <si>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</si>
  <si>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</si>
  <si>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</si>
  <si>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</si>
  <si>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</si>
  <si>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</si>
  <si>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</si>
  <si>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</si>
  <si>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</si>
  <si>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</si>
  <si>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Electricity</t>
  </si>
  <si>
    <t>Seminars, workshops, and conferences</t>
  </si>
  <si>
    <t>01-13-8359-0 Other Outside Services</t>
  </si>
  <si>
    <t>Contractual tree work</t>
  </si>
  <si>
    <t>Emergency septic system repair - fully offset by revenues</t>
  </si>
  <si>
    <t>31-10-8104-0 Wages - Other Full-Time</t>
  </si>
  <si>
    <t>01-13-8203-0 Operating Supplies</t>
  </si>
  <si>
    <t>01-21-8102-0 Wages - Clerical</t>
  </si>
  <si>
    <t>01-09-8355-0 Solid Waste Disposal</t>
  </si>
  <si>
    <t xml:space="preserve">8104/8111 </t>
  </si>
  <si>
    <t>01-13-8280-0 General Insurance</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</si>
  <si>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</si>
  <si>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</si>
  <si>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</si>
  <si>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</si>
  <si>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</si>
  <si>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</si>
  <si>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</si>
  <si>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</si>
  <si>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</si>
  <si>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</si>
  <si>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</si>
  <si>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</si>
  <si>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</si>
  <si>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</si>
  <si>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</si>
  <si>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</si>
  <si>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</si>
  <si>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</si>
  <si>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Police officers - NEPBA:</t>
  </si>
  <si>
    <t>K-9 Expenses</t>
  </si>
  <si>
    <t>Volunteers</t>
  </si>
  <si>
    <t>31-27-8606-0 Interest - Long-Term Debt</t>
  </si>
  <si>
    <t>31-27-8608-0 Principal - Long-Term Debt</t>
  </si>
  <si>
    <t>School Crossing Guards</t>
  </si>
  <si>
    <t>01-04-8111-0 Overtime - Other</t>
  </si>
  <si>
    <t>01-04-8125-0 Social Security</t>
  </si>
  <si>
    <t>8106</t>
  </si>
  <si>
    <t>01-04-8128-0 Retirement</t>
  </si>
  <si>
    <t>Term life insurance</t>
  </si>
  <si>
    <t>Part-time:</t>
  </si>
  <si>
    <t>Union</t>
  </si>
  <si>
    <t>01-02-8128-0 Retirement</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</si>
  <si>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</si>
  <si>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</si>
  <si>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</si>
  <si>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</si>
  <si>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</si>
  <si>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</si>
  <si>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</si>
  <si>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</si>
  <si>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</si>
  <si>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01-03-8202-0 Maintenance Supplies</t>
  </si>
  <si>
    <t>01-13-8510-0 Capital Reserve Fund</t>
  </si>
  <si>
    <t>01-01-8510-0 Transfer To Other Funds</t>
  </si>
  <si>
    <t>31-10-8260-0 Telephone</t>
  </si>
  <si>
    <t>and DRA seminars</t>
  </si>
  <si>
    <t>01-08-8280-0 General Insurance</t>
  </si>
  <si>
    <t>01-08-8300-0 Travel &amp; Meetings</t>
  </si>
  <si>
    <t>Hillsborough Registry transfers on-line &amp; recordings</t>
  </si>
  <si>
    <t>Temp - Part-time</t>
  </si>
  <si>
    <t>Hardware, safety equipment, oxygen/acetylene, parts clnr., welding supplies</t>
  </si>
  <si>
    <t xml:space="preserve">other equipment </t>
  </si>
  <si>
    <t xml:space="preserve">01-25-8892-0 Heating/ Electric Assistance Fund </t>
  </si>
  <si>
    <t>Alarm System Monitor</t>
  </si>
  <si>
    <t>Ballistic Vests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</si>
  <si>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</si>
  <si>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</si>
  <si>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</si>
  <si>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</si>
  <si>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</si>
  <si>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</si>
  <si>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</si>
  <si>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</si>
  <si>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</si>
  <si>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</si>
  <si>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</si>
  <si>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</si>
  <si>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</si>
  <si>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</si>
  <si>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</si>
  <si>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</si>
  <si>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</si>
  <si>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</si>
  <si>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</si>
  <si>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</si>
  <si>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</si>
  <si>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</si>
  <si>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</si>
  <si>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</si>
  <si>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</si>
  <si>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</si>
  <si>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</si>
  <si>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</si>
  <si>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</si>
  <si>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</si>
  <si>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</si>
  <si>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</si>
  <si>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</si>
  <si>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</si>
  <si>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</si>
  <si>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</si>
  <si>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</si>
  <si>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</si>
  <si>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01-13-8103-0 Wages - Supervisory</t>
  </si>
  <si>
    <t>01-01-8220-0 Printing</t>
  </si>
  <si>
    <t>Town Report</t>
  </si>
  <si>
    <t>01-17-8331-0 Maintenance-Machinery</t>
  </si>
  <si>
    <t>Computer paper and supplies</t>
  </si>
  <si>
    <t>Other office supplies</t>
  </si>
  <si>
    <t>01-04-8203-0 Operating Supplies</t>
  </si>
  <si>
    <t>Photography supplies</t>
  </si>
  <si>
    <t>01-25-8280-0 General Insurance</t>
  </si>
  <si>
    <t>01-25-8300-0 Travel &amp; Meetings</t>
  </si>
  <si>
    <t>Teaching and promotional materials</t>
  </si>
  <si>
    <t>01-02-8230-0 Postage</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</si>
  <si>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</si>
  <si>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</si>
  <si>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</si>
  <si>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</si>
  <si>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</si>
  <si>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</si>
  <si>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</si>
  <si>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</si>
  <si>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</si>
  <si>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</si>
  <si>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</si>
  <si>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</si>
  <si>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</si>
  <si>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</si>
  <si>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</si>
  <si>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</si>
  <si>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</si>
  <si>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</si>
  <si>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</si>
  <si>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Medical supplies not replaced by Hospital</t>
  </si>
  <si>
    <t>Medical Supplies, Oxygen Cylinders</t>
  </si>
  <si>
    <t>Fire extinguisher Dry Chemical refills, maintenance and replacement</t>
  </si>
  <si>
    <t>Emergency Medical Certifications and Training:</t>
  </si>
  <si>
    <t>Other operating expenses 8201 - 8459</t>
  </si>
  <si>
    <t>Capital outlay 8502 - 8910</t>
  </si>
  <si>
    <t>01-01-8910-0 Capital Reserve Fund Purchases</t>
  </si>
  <si>
    <t>01-05-8910-0 Capital Reserve Fund Purchases</t>
  </si>
  <si>
    <t>01-09-8352-0 Education &amp; Training</t>
  </si>
  <si>
    <t>01-09-8359-0 Other Outside Services</t>
  </si>
  <si>
    <t>01-09-8388-0 Special Waste Disposal</t>
  </si>
  <si>
    <t>01-17-8136-0 Unemployment Compensation</t>
  </si>
  <si>
    <t>01-07-8260-0 Telephone</t>
  </si>
  <si>
    <t>Continuing education</t>
  </si>
  <si>
    <t xml:space="preserve">Temp - Part-time Tax </t>
  </si>
  <si>
    <t>01-02-8103-0 Wages - Field Personnel</t>
  </si>
  <si>
    <t>Assessing Coordinator</t>
  </si>
  <si>
    <t>DRA intensive training courses</t>
  </si>
  <si>
    <t>01-08-8230-0 Postage</t>
  </si>
  <si>
    <t>Outside technical support on computer systems</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</si>
  <si>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</si>
  <si>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</si>
  <si>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</si>
  <si>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</si>
  <si>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</si>
  <si>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</si>
  <si>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</si>
  <si>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</si>
  <si>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</si>
  <si>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</si>
  <si>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</si>
  <si>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</si>
  <si>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</si>
  <si>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Summer Help (4 maintainers x 12 weeks)</t>
  </si>
  <si>
    <t>Fleet AVL/GPS</t>
  </si>
  <si>
    <t>MUTCD-required guide and/regulatory sign replacement</t>
  </si>
  <si>
    <t>Asphalt pile recyling</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</si>
  <si>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</si>
  <si>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</si>
  <si>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</si>
  <si>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</si>
  <si>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</si>
  <si>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</si>
  <si>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</si>
  <si>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</si>
  <si>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</si>
  <si>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Fertilizer</t>
  </si>
  <si>
    <t>Sewer Inspector</t>
  </si>
  <si>
    <t>and holidays and on call</t>
  </si>
  <si>
    <t>Compost facility (meter charge 1")</t>
  </si>
  <si>
    <t>-</t>
  </si>
  <si>
    <t>On Call / Per-Diem EMS Attendant Protective Clothing</t>
  </si>
  <si>
    <t>Annual EMS Certifications and Training (National Registry Requirements)</t>
  </si>
  <si>
    <t>NH Fire Academy Continuing Education Programs (FF III, ICS, Command etc.)</t>
  </si>
  <si>
    <t>New Hampshire Building Officials Association dues</t>
  </si>
  <si>
    <t>New England Health Association dues</t>
  </si>
  <si>
    <t>Health Serve Safe Certification (Food Safety)</t>
  </si>
  <si>
    <t xml:space="preserve">  Education, Seminars, Presentations, and Training</t>
  </si>
  <si>
    <t xml:space="preserve">  Website Hosting Servicess</t>
  </si>
  <si>
    <t>DMV Training</t>
  </si>
  <si>
    <t>ACIM (A Child Is Missing Alert)</t>
  </si>
  <si>
    <t>General Building Renovations</t>
  </si>
  <si>
    <t>01-16-8352-0 Education &amp; Training</t>
  </si>
  <si>
    <t xml:space="preserve"> Microsoft licenses</t>
  </si>
  <si>
    <t xml:space="preserve">Survey supplies, stakes, nails, marking paint and </t>
  </si>
  <si>
    <t>01-15-8910-0 Capital Reserve Fund Purchases</t>
  </si>
  <si>
    <t>Virtual Town Hall</t>
  </si>
  <si>
    <t>Heat (Gas)</t>
  </si>
  <si>
    <t>Open and Close</t>
  </si>
  <si>
    <t>Post Office (PO) Box</t>
  </si>
  <si>
    <t>Telephone &amp; Internet</t>
  </si>
  <si>
    <t xml:space="preserve">water and sewer </t>
  </si>
  <si>
    <t>Seminars and courses</t>
  </si>
  <si>
    <t>Technology Coordinator/Computer tech - seminars and conferences</t>
  </si>
  <si>
    <t>Deputy Finance Director - conferences and seminars</t>
  </si>
  <si>
    <t>NHAAO and DRA meetings, NHAAO and conferences,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</si>
  <si>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</si>
  <si>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</si>
  <si>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</si>
  <si>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</si>
  <si>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Master Fire Fighter</t>
  </si>
  <si>
    <t>Fire Fighter - Paramedic</t>
  </si>
  <si>
    <t>Firefighter</t>
  </si>
  <si>
    <t>Bishop field</t>
  </si>
  <si>
    <t xml:space="preserve">  Town Paid internet</t>
  </si>
  <si>
    <t xml:space="preserve">   Total reimbursed to historical society</t>
  </si>
  <si>
    <t>Checks</t>
  </si>
  <si>
    <t>Office Supplies</t>
  </si>
  <si>
    <t>Seminars / Meetings / Other than Certifications</t>
  </si>
  <si>
    <t>01-06-8321-0 Maintenance-Buildings &amp; Grounds</t>
  </si>
  <si>
    <t>Assistant Chief  Support Services</t>
  </si>
  <si>
    <t>Paramedic In-house Educational Shift Class Coverage</t>
  </si>
  <si>
    <t>Emergency Call Back</t>
  </si>
  <si>
    <t>Holidays - 10 holidays X 24 hr. X 2 personnel</t>
  </si>
  <si>
    <t>CPR AED Supplies</t>
  </si>
  <si>
    <t>Cost Ea.</t>
  </si>
  <si>
    <t xml:space="preserve"> wireless for laptops</t>
  </si>
  <si>
    <t>G4 Communications Fastreach SDSL Annual Business</t>
  </si>
  <si>
    <t>F350 Ambulance 220</t>
  </si>
  <si>
    <t xml:space="preserve">  Supervisors of Checklist - 600 hr X $10</t>
  </si>
  <si>
    <t>Total wages</t>
  </si>
  <si>
    <t>Director allocation (revenue transfer to General Fund)</t>
  </si>
  <si>
    <t>T-shirts</t>
  </si>
  <si>
    <t>Watson Park</t>
  </si>
  <si>
    <t>NH Rec and Park Association</t>
  </si>
  <si>
    <t>Fourth of July Celebration - Parade &amp; Fun Day</t>
  </si>
  <si>
    <t>Winter carnival (Port-a-potty, activity items)</t>
  </si>
  <si>
    <t>Lifeguards &amp; 4th of July</t>
  </si>
  <si>
    <t>Dispatching seminars &amp; Training</t>
  </si>
  <si>
    <t>Emergency Field First Aid supplies</t>
  </si>
  <si>
    <t>Welfare Software Maintenance Fee</t>
  </si>
  <si>
    <t xml:space="preserve">Adult fiction </t>
  </si>
  <si>
    <t>Adult non-fiction</t>
  </si>
  <si>
    <t xml:space="preserve">Reference </t>
  </si>
  <si>
    <t>Periodicals - Newspapers</t>
  </si>
  <si>
    <t>Professional Non-Fiction</t>
  </si>
  <si>
    <t>CDs</t>
  </si>
  <si>
    <t>Video Games</t>
  </si>
  <si>
    <t>Property, liability and auto insurance</t>
  </si>
  <si>
    <t xml:space="preserve">Sprinkler system </t>
  </si>
  <si>
    <t>Elevator permits</t>
  </si>
  <si>
    <t>Maintenance of lawn mowers, bagger for mower, snowblowers and vacuum cleaners</t>
  </si>
  <si>
    <t>Computer paper, ink and miscellaneous office supplies</t>
  </si>
  <si>
    <t>Hand tools, maintenance of power tools, lifts, jacks  and</t>
  </si>
  <si>
    <t>log books and miscellaneous supplies</t>
  </si>
  <si>
    <t>Skid steer, loader, forklift and truck</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</si>
  <si>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</si>
  <si>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</si>
  <si>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</si>
  <si>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</si>
  <si>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</si>
  <si>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</si>
  <si>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</si>
  <si>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</si>
  <si>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Total Station calibration</t>
  </si>
  <si>
    <t xml:space="preserve">Computer equipment </t>
  </si>
  <si>
    <t>Farmers market assistant</t>
  </si>
  <si>
    <t>stationery, software and miscellaneous supplies</t>
  </si>
  <si>
    <t>Uniform service-Part Time</t>
  </si>
  <si>
    <t>Chemicals, filter paper, glassware, small instruments and other</t>
  </si>
  <si>
    <t>Mailing of monthly reports, correspondence and UPS shipping</t>
  </si>
  <si>
    <t>2-Compost hydrant charge 6"</t>
  </si>
  <si>
    <t>Conferences) and mileage reimbursement</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</si>
  <si>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</si>
  <si>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</si>
  <si>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</si>
  <si>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</si>
  <si>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</si>
  <si>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</si>
  <si>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</si>
  <si>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</si>
  <si>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</si>
  <si>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</si>
  <si>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</si>
  <si>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</si>
  <si>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</si>
  <si>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</si>
  <si>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</si>
  <si>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berms, sluiceways and catch basins</t>
  </si>
  <si>
    <t>Seminars, courses, conferences and training materials</t>
  </si>
  <si>
    <t>in-house sign making and traffic marking paint</t>
  </si>
  <si>
    <t>Trash removal</t>
  </si>
  <si>
    <t>Police details</t>
  </si>
  <si>
    <t>Volunteer supplies, Public Work Week outreach and MS4 education</t>
  </si>
  <si>
    <t>Roofing, emergency egress, insulation, air quality improvements</t>
  </si>
  <si>
    <t>Traffic Light Preemption</t>
  </si>
  <si>
    <t>Excess Sick Leave Purchase</t>
  </si>
  <si>
    <t>Finance Director/Assistant Town Manager</t>
  </si>
  <si>
    <t>Maintenance of vehicles, light and heavy equipment</t>
  </si>
  <si>
    <t>Nixel</t>
  </si>
  <si>
    <t>Office Administration (100)</t>
  </si>
  <si>
    <t>8111 - overtime</t>
  </si>
  <si>
    <t>8111 Overtime</t>
  </si>
  <si>
    <t>TM Adjustment</t>
  </si>
  <si>
    <t>01-08-8505-0 Infrastructure/Paving</t>
  </si>
  <si>
    <t xml:space="preserve">Road Infrastructure Capital Reserve Fund </t>
  </si>
  <si>
    <t>33-33-8363-0 Fire Protection Area</t>
  </si>
  <si>
    <t>Employee cost sharing  10%</t>
  </si>
  <si>
    <t>Short courses, technical seminars, conferences, books and APWA national conference</t>
  </si>
  <si>
    <t>01-25-8504-0 Office Equipment</t>
  </si>
  <si>
    <t>01-09-8504-0 Office Equipment</t>
  </si>
  <si>
    <t>01-09-8356-0 Solid Waste Disposal Constr &amp; Demolition materials</t>
  </si>
  <si>
    <t>01-08-8504-0 Office Equipment</t>
  </si>
  <si>
    <t>01-21-8910-0 Capital Reserve Fund Purchases</t>
  </si>
  <si>
    <t>Registration Software for Recreation Programs</t>
  </si>
  <si>
    <t xml:space="preserve">Credit Card Transaction Fees </t>
  </si>
  <si>
    <t>Compost</t>
  </si>
  <si>
    <t>Phase II</t>
  </si>
  <si>
    <t>Phase II and Compost</t>
  </si>
  <si>
    <t xml:space="preserve">   Less revenues</t>
  </si>
  <si>
    <t>Chairs-Replacement (Dispatch Console)</t>
  </si>
  <si>
    <t>Taser Replacement Program</t>
  </si>
  <si>
    <t>Camera / Recorder - Detectives</t>
  </si>
  <si>
    <t>Part Time Admin Clerk</t>
  </si>
  <si>
    <t>Station Shift Coverage (Vacation, Personal Time, 50% sick Time)</t>
  </si>
  <si>
    <t>Telephone cost allocation for Station 1, 2 and 3</t>
  </si>
  <si>
    <t xml:space="preserve">Service truck </t>
  </si>
  <si>
    <t>Fleet maintenance courses and Emergency Vehicle Technician</t>
  </si>
  <si>
    <t>Lawn services</t>
  </si>
  <si>
    <t>Hand tools, safety, and misc items</t>
  </si>
  <si>
    <t>Flagger for working in railroad right-of-way</t>
  </si>
  <si>
    <t>Minor repairs to sewer manholes &amp; sewer line root control</t>
  </si>
  <si>
    <t>Summer Library Student Intern - Youth Services 10 weeks @ 20H</t>
  </si>
  <si>
    <t>01-15-8143 Incentive</t>
  </si>
  <si>
    <t>OverDrive (NHSL downloadable, books, audio, magazines)</t>
  </si>
  <si>
    <t>01-02-8910-0 Capital Reserve Fund Purchases</t>
  </si>
  <si>
    <t>Town Wide valuation</t>
  </si>
  <si>
    <t>Sewer Pump Maintenance agreement  -Police</t>
  </si>
  <si>
    <t>Holiday pay - 10 holidays X 8 hr X 7 employees</t>
  </si>
  <si>
    <t>PT - Animal Control Officer</t>
  </si>
  <si>
    <t>31-10-8143-0 EMPLOYEE INCENTIVES/Raises</t>
  </si>
  <si>
    <t>01-15-8260-0 Telephone &amp; Services</t>
  </si>
  <si>
    <t xml:space="preserve">424-5021  - 5 lines bundled </t>
  </si>
  <si>
    <t>429-0576 Line 2</t>
  </si>
  <si>
    <t>424-8519 Burglar Alarm</t>
  </si>
  <si>
    <t>Employee recruitment ads and public notices; community outreach; marketing</t>
  </si>
  <si>
    <t>01-09-8107-0 Wages - Part-Time</t>
  </si>
  <si>
    <t>31-27-8612-0 Principal - Long-Term Debt</t>
  </si>
  <si>
    <t>31-27-8614-0 Principal - Long-Term Debt</t>
  </si>
  <si>
    <t>31-27-8611-0 Interest - Long-Term Debt</t>
  </si>
  <si>
    <t>On-call Dispatchers</t>
  </si>
  <si>
    <t>College course tuition reimbursement - NEPBA112</t>
  </si>
  <si>
    <t>Master Firefighter - Paramedic</t>
  </si>
  <si>
    <t>Wing Rate</t>
  </si>
  <si>
    <t>and brochures and meals (over 14 hours of work during an emergency)</t>
  </si>
  <si>
    <t>Full-time employees - NEPBA 12</t>
  </si>
  <si>
    <t>Employee cost sharing - NEPBA 12</t>
  </si>
  <si>
    <t>Full-time employees - AFSCME 3657</t>
  </si>
  <si>
    <t>Full-time employees - NEPBA 112</t>
  </si>
  <si>
    <t>01-09-8503-0 Vehicles</t>
  </si>
  <si>
    <t>01-17-8359-0 Other Outside Services</t>
  </si>
  <si>
    <t>8104 - Program Manager</t>
  </si>
  <si>
    <t>Wasserman Park facilities and outdoor lighting</t>
  </si>
  <si>
    <t>AFSCME 3657</t>
  </si>
  <si>
    <t>Operator I</t>
  </si>
  <si>
    <t>Operator II</t>
  </si>
  <si>
    <t>Maintainer I</t>
  </si>
  <si>
    <t>89-89-8375-0 Day Camp</t>
  </si>
  <si>
    <t>Wasserman Park - MYA Cabin</t>
  </si>
  <si>
    <t>Operating supplies - Food</t>
  </si>
  <si>
    <t xml:space="preserve">Uniforms </t>
  </si>
  <si>
    <t>Supplies</t>
  </si>
  <si>
    <t>Sibling Discount</t>
  </si>
  <si>
    <t>Swimming Lessons (8 weeks)</t>
  </si>
  <si>
    <t>Tennis Lessons (8 weeks)</t>
  </si>
  <si>
    <t>Tennis Instructor - 20 hrs/wk x 8 weeks</t>
  </si>
  <si>
    <t>Back ground checks  (1 x $25.00 each)</t>
  </si>
  <si>
    <t>School Vacation Week Programs (3 weeks)</t>
  </si>
  <si>
    <t>Back ground checks  (4 x $25.00 each)</t>
  </si>
  <si>
    <t xml:space="preserve">Operating Expense - Food </t>
  </si>
  <si>
    <t>TOTAL</t>
  </si>
  <si>
    <t>Park Attendant (weekends) for town beach -10 weekends</t>
  </si>
  <si>
    <t xml:space="preserve">Waterfront Director hours divided between town and camp - 20 hr x 9 wk </t>
  </si>
  <si>
    <t>Cellular telephones - (9 Data / 3 service)</t>
  </si>
  <si>
    <t>Access Control / Security System Maintenance (PMI) Agreement</t>
  </si>
  <si>
    <t>Criminal  &amp; Driving records checks</t>
  </si>
  <si>
    <t>Educational Incentive</t>
  </si>
  <si>
    <t>Museum Passes ( Library Insight)</t>
  </si>
  <si>
    <t>EMS Training Requirements</t>
  </si>
  <si>
    <t>Auto Pulse Bands</t>
  </si>
  <si>
    <t>EZIO Needles</t>
  </si>
  <si>
    <t>Large Diameter Supply Hose</t>
  </si>
  <si>
    <t>Custodian Town Hall - Nights</t>
  </si>
  <si>
    <t>Adult Community Center (General Maintenance)</t>
  </si>
  <si>
    <t>Maintenance of B&amp;G Vehicles</t>
  </si>
  <si>
    <t xml:space="preserve">Fleet management license agreement </t>
  </si>
  <si>
    <t>Diagnostic Laptop</t>
  </si>
  <si>
    <t>NH Land Surveyor</t>
  </si>
  <si>
    <t>Cadnet</t>
  </si>
  <si>
    <t>Internet service (Business Class)</t>
  </si>
  <si>
    <t>01-09-8502-0 Buildings</t>
  </si>
  <si>
    <t xml:space="preserve">and miscellaneous supplies. </t>
  </si>
  <si>
    <t>Minor repairs to Park buildings, winterizing, fuel island repairs, etc.</t>
  </si>
  <si>
    <t>Field maintenance (Martel, Twardosky, Watson):</t>
  </si>
  <si>
    <t>Mosquito control application process to State</t>
  </si>
  <si>
    <t>Building repairs</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</si>
  <si>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</si>
  <si>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</si>
  <si>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</si>
  <si>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</si>
  <si>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</si>
  <si>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</si>
  <si>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</si>
  <si>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Sawdust bulking agent for composting</t>
  </si>
  <si>
    <t>First year of five year program to evaluate the sewer system</t>
  </si>
  <si>
    <t xml:space="preserve">Traffic Preemption </t>
  </si>
  <si>
    <t>Hutchinson Tower</t>
  </si>
  <si>
    <t>Job related training and seminars</t>
  </si>
  <si>
    <t>8104 - Other Full-time</t>
  </si>
  <si>
    <t>Electrical and plumbing supplies, ice melt and hand tools</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</si>
  <si>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</si>
  <si>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</si>
  <si>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</si>
  <si>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</si>
  <si>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</si>
  <si>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</si>
  <si>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01-13-8910-0 Capital Reserve Fund Purchases</t>
  </si>
  <si>
    <t>(5021 Line 1; 7536 Line 3; 8456 Fire Alarm; 2519 &amp; 7537 DSL)</t>
  </si>
  <si>
    <t>General Fund Totals</t>
  </si>
  <si>
    <t xml:space="preserve">01 - GENERAL GOVERNMENT </t>
  </si>
  <si>
    <t>08 - HIGHWAY</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</si>
  <si>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</si>
  <si>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</si>
  <si>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</si>
  <si>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</si>
  <si>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</si>
  <si>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</si>
  <si>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</si>
  <si>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</si>
  <si>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</si>
  <si>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</si>
  <si>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</si>
  <si>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</si>
  <si>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</si>
  <si>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</si>
  <si>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</si>
  <si>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</si>
  <si>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</si>
  <si>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</si>
  <si>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</si>
  <si>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</si>
  <si>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</si>
  <si>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Parks &amp; Recreation Revolving Fund</t>
  </si>
  <si>
    <t xml:space="preserve">Animal Control Officer </t>
  </si>
  <si>
    <t>Fuction Hall (propane)</t>
  </si>
  <si>
    <t>Wage Adjustment</t>
  </si>
  <si>
    <t>Holiday pay:10 holidays X 10 hr X 28 employees</t>
  </si>
  <si>
    <t>Misc.</t>
  </si>
  <si>
    <t>01-01-8128-0 Retirement</t>
  </si>
  <si>
    <t>Highway Facility Project Bond</t>
  </si>
  <si>
    <t>01-07-8111-0 Overtime - Other</t>
  </si>
  <si>
    <t>01-21-8111-0 Overtime - Other</t>
  </si>
  <si>
    <t>31-10-8502-0 Buildings</t>
  </si>
  <si>
    <t>31-10-8505-0 Infrastructure</t>
  </si>
  <si>
    <t>32-32-8502-0 Building Improvements</t>
  </si>
  <si>
    <t>89-89-8321-0 Maintenance - Buildings and Grounds</t>
  </si>
  <si>
    <t>89-89-8359-0 Other Outside Services (Credit Card fees)</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</si>
  <si>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</si>
  <si>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</si>
  <si>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</si>
  <si>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</si>
  <si>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</si>
  <si>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</si>
  <si>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</si>
  <si>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</si>
  <si>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</si>
  <si>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 xml:space="preserve"> NEBPA 12</t>
  </si>
  <si>
    <t>Industrial Pretreat Mgr</t>
  </si>
  <si>
    <t>Asst. Maint. MGR.</t>
  </si>
  <si>
    <t>CPAP</t>
  </si>
  <si>
    <t>Firefighter Protective Clothing</t>
  </si>
  <si>
    <t>Advanced EMT Course</t>
  </si>
  <si>
    <t>Master Firefighter Test (Union Contract)</t>
  </si>
  <si>
    <t>Holiday pay - Captains Lieutenants Admin Officer and Fire Marshal</t>
  </si>
  <si>
    <t>Paramedic In-house Educational Development Program</t>
  </si>
  <si>
    <t>IAFF 2904</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</si>
  <si>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</si>
  <si>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</si>
  <si>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</si>
  <si>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</si>
  <si>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</si>
  <si>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</si>
  <si>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PCI Compliance Training (annual re: credit/debit card processing)</t>
  </si>
  <si>
    <t>Voting Booths</t>
  </si>
  <si>
    <t>National Recreation &amp; Park Association</t>
  </si>
  <si>
    <t>Seasonal activities - Movies in the Park</t>
  </si>
  <si>
    <t>Back ground checks  (5 x $25.00 each)</t>
  </si>
  <si>
    <t>Physicals, psychological exams, drug tests, and written entrance exams</t>
  </si>
  <si>
    <t>Mobile Messaging License</t>
  </si>
  <si>
    <t>overdue notices, interlibrary loan books, general correspondence</t>
  </si>
  <si>
    <t>Website hosting annual fee</t>
  </si>
  <si>
    <t>Email hosting annual fee; service</t>
  </si>
  <si>
    <t>Computer and printer maintenance</t>
  </si>
  <si>
    <t xml:space="preserve">Bindery </t>
  </si>
  <si>
    <t>audio books</t>
  </si>
  <si>
    <t xml:space="preserve">Video  </t>
  </si>
  <si>
    <t>Summer engineering student - 3</t>
  </si>
  <si>
    <t>NH Septic Evaluator License</t>
  </si>
  <si>
    <t>Misc., National Public Works Week, PW Open House</t>
  </si>
  <si>
    <t xml:space="preserve">Diagnostic Equipment Software &amp; Updates </t>
  </si>
  <si>
    <t>Pest control (Termites, Ants, Rodents, Etc.) TH &amp; PD &amp; ACC</t>
  </si>
  <si>
    <t>Plowing Municipal Lots</t>
  </si>
  <si>
    <t xml:space="preserve">2 Interns - Summer 440 hours each - Interns to assist </t>
  </si>
  <si>
    <t xml:space="preserve">        Sewer/Pretreatment Program/Lab/Collections System</t>
  </si>
  <si>
    <t>1-Year round, part time maintainer (24 hours/week)</t>
  </si>
  <si>
    <t xml:space="preserve">City of Nashua </t>
  </si>
  <si>
    <t xml:space="preserve">Cellular telephones and wireless communications ( 8) </t>
  </si>
  <si>
    <t xml:space="preserve">Trucks, loaders and sewer cleaner </t>
  </si>
  <si>
    <t>Summer Maintainer T-shirts and safety boot allowance</t>
  </si>
  <si>
    <t>American Public Works Association (3 members)</t>
  </si>
  <si>
    <t>All-weather picnic tables (long lasting) (Replace 5 per year)</t>
  </si>
  <si>
    <t>Electrical Repairs for Vets Scoreboard</t>
  </si>
  <si>
    <t>Irrigation maintenance - (Vets, Reeds, Bise and Bishop)</t>
  </si>
  <si>
    <t>NE Resource Recovery Association</t>
  </si>
  <si>
    <t>Maintenenace software for Scale</t>
  </si>
  <si>
    <t>Chargers and batteries for vehicle and portable radios</t>
  </si>
  <si>
    <t xml:space="preserve">Surveilance Camera </t>
  </si>
  <si>
    <t>Portable Radio Replacement</t>
  </si>
  <si>
    <t>Rescue 1 Breathing Air Cascade Replacement</t>
  </si>
  <si>
    <t>Fire Apparatus Computer Replacement</t>
  </si>
  <si>
    <t>Fire Suppression Hose</t>
  </si>
  <si>
    <t>Crime Scene vehicle replacement upfit</t>
  </si>
  <si>
    <t>01-21-8503-0 Vehicle</t>
  </si>
  <si>
    <t>Pool Car</t>
  </si>
  <si>
    <t>45 - Capital Project Fund</t>
  </si>
  <si>
    <t xml:space="preserve">  10 holidays X 10 hours X 9 officers = 900 hours</t>
  </si>
  <si>
    <t>Unemployment compensation - .18%</t>
  </si>
  <si>
    <t>Last Rest Cemetery</t>
  </si>
  <si>
    <t>Milfoil Treatment Expendable trust</t>
  </si>
  <si>
    <t>8107 - Part Time &gt; $14,000</t>
  </si>
  <si>
    <t>8107 - Part Time &lt; $14,000</t>
  </si>
  <si>
    <t>8107 &gt; $14,000</t>
  </si>
  <si>
    <t>8107 - Part Time &gt;$14,000</t>
  </si>
  <si>
    <t>Personnel services 8102 - 8136</t>
  </si>
  <si>
    <t>SPO2 Adult/Pediatric</t>
  </si>
  <si>
    <t>Fire Command SUV (including Fitup $XXX)</t>
  </si>
  <si>
    <t>International Association Chief of Police (IACP) Model Policy update and subscription service</t>
  </si>
  <si>
    <r>
      <t xml:space="preserve">01-25-8491-0 Other </t>
    </r>
    <r>
      <rPr>
        <sz val="8"/>
        <rFont val="Times New Roman"/>
        <family val="1"/>
      </rPr>
      <t>(property taxes, sewer, water, and personal maintenance)</t>
    </r>
  </si>
  <si>
    <t>Asst Director Waste Water</t>
  </si>
  <si>
    <t>Laptops for patrol vehicles</t>
  </si>
  <si>
    <t>Crossing Guards</t>
  </si>
  <si>
    <t>Pearson Rd. / Reeds Ferry School Ball field</t>
  </si>
  <si>
    <t>Turkey Hill &amp; Martel</t>
  </si>
  <si>
    <t>Matthew Thornton Room Cameras and Equipment</t>
  </si>
  <si>
    <t>8101 - Medicare only</t>
  </si>
  <si>
    <t>8101 - exempt</t>
  </si>
  <si>
    <t>8107 Other</t>
  </si>
  <si>
    <t>2019-20</t>
  </si>
  <si>
    <t>01-01-8502-0 Building Improvements</t>
  </si>
  <si>
    <t>01-09-8460-0 Miscellaneous Expenses</t>
  </si>
  <si>
    <t>01-17-8203-0 Operating Supplies</t>
  </si>
  <si>
    <t>01-17-8212-0 Equipment Rental</t>
  </si>
  <si>
    <t>01-24-8460-0 Misc Operating Expenses</t>
  </si>
  <si>
    <t>31-10-8220-0 Printing</t>
  </si>
  <si>
    <t>45-45-8505-0 Infrastructure</t>
  </si>
  <si>
    <t>89-89-8280-0 General Insurance</t>
  </si>
  <si>
    <t>Workers compensation - 0.15%</t>
  </si>
  <si>
    <t xml:space="preserve">Pump station monitoring </t>
  </si>
  <si>
    <t>Comcast</t>
  </si>
  <si>
    <t>Liability insurance allocation</t>
  </si>
  <si>
    <t>Modems</t>
  </si>
  <si>
    <t>Detectives Secretary</t>
  </si>
  <si>
    <t xml:space="preserve">Prosecutor Secretary </t>
  </si>
  <si>
    <t>Solid Waste Equipment Operator III</t>
  </si>
  <si>
    <t>Solid Waste Recycling Attendant</t>
  </si>
  <si>
    <t>Operator II/ Lab Tech</t>
  </si>
  <si>
    <t>GASB actuarial services</t>
  </si>
  <si>
    <t>Business cards and forms.</t>
  </si>
  <si>
    <t>Family Promise (Anne Marie Transitional Housing for homeless families)</t>
  </si>
  <si>
    <t>Credit card terminals</t>
  </si>
  <si>
    <t>Master Plan Implementation (if needed/deemed necessary)</t>
  </si>
  <si>
    <t>Economic development activities</t>
  </si>
  <si>
    <t>Amazon Prime</t>
  </si>
  <si>
    <t>Constant Contact</t>
  </si>
  <si>
    <t>Notary + Justice of the Peace</t>
  </si>
  <si>
    <t>Niche Academy</t>
  </si>
  <si>
    <t>3M eBooks (Cloud)</t>
  </si>
  <si>
    <t xml:space="preserve">Merrimack River - WWTF Coalition </t>
  </si>
  <si>
    <t/>
  </si>
  <si>
    <t>Professional services - permit renewals/compliance</t>
  </si>
  <si>
    <t>Plumber Services</t>
  </si>
  <si>
    <t>Electrician Services</t>
  </si>
  <si>
    <t>Door/Security Maintenance</t>
  </si>
  <si>
    <t>Irrigation Maintenance</t>
  </si>
  <si>
    <t>Repairs to slate roof old town hall</t>
  </si>
  <si>
    <t>Repairs to Gazebo at Abbie Griffin Park</t>
  </si>
  <si>
    <t>Maintenance Supplies</t>
  </si>
  <si>
    <t>Replace Town Hall sign</t>
  </si>
  <si>
    <t>TH - Window Replacements - West Wing</t>
  </si>
  <si>
    <t>safety supplies/PPE</t>
  </si>
  <si>
    <t>GIS consultant support / Vueworks</t>
  </si>
  <si>
    <t>Stationery, plans, maps, business cards and forms, Door Hangers</t>
  </si>
  <si>
    <t>Repairs to Bise concession stand</t>
  </si>
  <si>
    <t>Turkey Hill Road realignment at Baboosic Lake Road</t>
  </si>
  <si>
    <t>3/4T Pickup H-6</t>
  </si>
  <si>
    <t>6 Wheel dump truck, H-20</t>
  </si>
  <si>
    <t>6 Wheel dump truck, H-30</t>
  </si>
  <si>
    <t>Landscape Trailer</t>
  </si>
  <si>
    <t>Cellular airtime for mobile data terminals - 10</t>
  </si>
  <si>
    <t>Schedule Anywhere</t>
  </si>
  <si>
    <t>Lifeguards (weekdays) for town beach - 40 hr x 9 wk x 2 employees</t>
  </si>
  <si>
    <t xml:space="preserve">Wasserman Park Function Hall </t>
  </si>
  <si>
    <t>Pond Dredging / Beach Erosion Control</t>
  </si>
  <si>
    <t>89-89-8375-0 Day Camp - 9 weeks</t>
  </si>
  <si>
    <t>Education &amp; training - ACA conference, Staff Training Costs</t>
  </si>
  <si>
    <t>Total Expenses</t>
  </si>
  <si>
    <t xml:space="preserve">Camp Trek - 9 Weeks </t>
  </si>
  <si>
    <t>Program Supplies</t>
  </si>
  <si>
    <t>Uniforms &amp; Camper Shirts</t>
  </si>
  <si>
    <t>Director - 40 hours/wk  + 10 Prep</t>
  </si>
  <si>
    <t>Specialty Program Mananger - 40 hrs/wk x 3 wks</t>
  </si>
  <si>
    <t>Counselors  - 40 hrs/wk x 3 wks x 3 employees</t>
  </si>
  <si>
    <t xml:space="preserve">Cook  - 20 hrs/wk x 3 wks </t>
  </si>
  <si>
    <t>Wilderness Medical Training Courses</t>
  </si>
  <si>
    <t>Cardiac 12 Lead Pads / Dfib Pads</t>
  </si>
  <si>
    <t>Tubing (Nitro, Medication)</t>
  </si>
  <si>
    <t>Maintenance Agreement for IV Pumps</t>
  </si>
  <si>
    <t>Hydrocarbon Containment Pools, DECON Replacement Equipment</t>
  </si>
  <si>
    <t>Part Time Emergency Medical Support</t>
  </si>
  <si>
    <t>Part Time Paramedic (ALS)</t>
  </si>
  <si>
    <t>Part Time Advanced Emergency Medical Technician (ALS)</t>
  </si>
  <si>
    <t>Part Time Emergency Medical Technician (BLS)</t>
  </si>
  <si>
    <t>Part Time Fire Prevention / Inspection / Code Enforcement</t>
  </si>
  <si>
    <t>On-Call Firefighter/EMT (Volunteers)</t>
  </si>
  <si>
    <t>On-Call Fire Division (On-Call Group)</t>
  </si>
  <si>
    <t>Media Staff software</t>
  </si>
  <si>
    <t>Cablecast and local head end equipment</t>
  </si>
  <si>
    <t>Computers/RMS</t>
  </si>
  <si>
    <t>Depot Street Boat Ramp</t>
  </si>
  <si>
    <t>01-06-8204-0 Uniforms, Personal Protective Clothing</t>
  </si>
  <si>
    <t>01-21-8510-0 Transfer To GIS CRF</t>
  </si>
  <si>
    <t>SIU Overtime</t>
  </si>
  <si>
    <t>South Fire Station Space Needs Assessment</t>
  </si>
  <si>
    <t>Custodian - Full-time</t>
  </si>
  <si>
    <t>Water analysis re: industrial pretreatment program(PFAS GenX)</t>
  </si>
  <si>
    <t xml:space="preserve">Town Hall (east &amp; west), Ambulance Garage building, </t>
  </si>
  <si>
    <t>Welfare Administrator -28 hr X 52 wk = 1,456 hr</t>
  </si>
  <si>
    <t>43 - Capital Project Fund</t>
  </si>
  <si>
    <t>43-43-8505-0 Infrastructure</t>
  </si>
  <si>
    <t>Training stipend</t>
  </si>
  <si>
    <t xml:space="preserve">Educational bonuses </t>
  </si>
  <si>
    <t>LEEDA Training II</t>
  </si>
  <si>
    <t>Equipment Operator I</t>
  </si>
  <si>
    <t>Equipment Operator II</t>
  </si>
  <si>
    <t>WWTF Phase III Bond</t>
  </si>
  <si>
    <t>2020-21</t>
  </si>
  <si>
    <t>Overtime - other</t>
  </si>
  <si>
    <t>01-05-8300-0 Travel &amp; Meetings</t>
  </si>
  <si>
    <t>01-07-8204 Uniforms</t>
  </si>
  <si>
    <t>32-32-8111-0 Overtime - Other</t>
  </si>
  <si>
    <t>89-89-8374-0 Recreation Programs</t>
  </si>
  <si>
    <t>Radio voting system - phone lines - (Consolidated Communications)</t>
  </si>
  <si>
    <t>Vehicle storage facility (old garage)</t>
  </si>
  <si>
    <t>Consolidated Communications</t>
  </si>
  <si>
    <t>Ipad Pro</t>
  </si>
  <si>
    <t>Scale House</t>
  </si>
  <si>
    <t>Band Stand</t>
  </si>
  <si>
    <t>Town Hall (east &amp; west),</t>
  </si>
  <si>
    <t>Ambulance Garage building</t>
  </si>
  <si>
    <t>Incinerator Building</t>
  </si>
  <si>
    <t>Chlorine Building</t>
  </si>
  <si>
    <t>BOT-L-GAS</t>
  </si>
  <si>
    <t>Pager Admin Fee</t>
  </si>
  <si>
    <t>Police Record Clerk</t>
  </si>
  <si>
    <t xml:space="preserve">  Software Licenses</t>
  </si>
  <si>
    <t>2010 Sewer Interceptor (last yr)</t>
  </si>
  <si>
    <t>Program Manager (50/50 GF and Revolving Fund)</t>
  </si>
  <si>
    <t>Projects</t>
  </si>
  <si>
    <t>Upkeep to flag and flower beds. Park grounds, Addressing wash-out on town beach.</t>
  </si>
  <si>
    <t>Wasserman Park Tennis Court Resurfacing</t>
  </si>
  <si>
    <t xml:space="preserve">8107- Maintenance </t>
  </si>
  <si>
    <t>8103- Parks &amp; Recreation Director</t>
  </si>
  <si>
    <t>Seasonal Park Maintainer - 8 hrs/ day x 55 Days</t>
  </si>
  <si>
    <t>Program Supplies (Sports equipment, Arts &amp; Crafts, Radios, Equipment, etc)</t>
  </si>
  <si>
    <t>Special Events</t>
  </si>
  <si>
    <t>Back ground checks  (34x $25.00 each)</t>
  </si>
  <si>
    <t>Advertising/Marketing</t>
  </si>
  <si>
    <t>Rec Desk - Registration Software Allocation</t>
  </si>
  <si>
    <t xml:space="preserve">Theater Camp </t>
  </si>
  <si>
    <t>WSI's - public  swim lesson- 8hr X 8 wk</t>
  </si>
  <si>
    <t>Lifeguard - public swim lesson- 8hr X 8 wk</t>
  </si>
  <si>
    <t>Instructor - 20 hrs/wk x 3 wks</t>
  </si>
  <si>
    <t>SOLO Course Participant Fees - $50/pp x 45 pp</t>
  </si>
  <si>
    <t>Certified mail, reg mail and shipping</t>
  </si>
  <si>
    <t>Computers 3 work stations</t>
  </si>
  <si>
    <t>Seminars</t>
  </si>
  <si>
    <t>01-05-8504-0 Office Equipment</t>
  </si>
  <si>
    <t>computer replacement</t>
  </si>
  <si>
    <t>Special Response Team Body Armor Replacement (10 members)</t>
  </si>
  <si>
    <t>NHLTA (LBOT)</t>
  </si>
  <si>
    <t>Sensource (door counter system)</t>
  </si>
  <si>
    <t>Community programs</t>
  </si>
  <si>
    <t>Periodicals - Magazines Revistas incl. Professional</t>
  </si>
  <si>
    <t xml:space="preserve">GRAND TOTAL </t>
  </si>
  <si>
    <t>Memorial Conference Room</t>
  </si>
  <si>
    <t xml:space="preserve">Uniform service - Teamsters/AFSCME </t>
  </si>
  <si>
    <t>Replacement of Gear Boxes</t>
  </si>
  <si>
    <t>Golf Cart replacements (2) - Used</t>
  </si>
  <si>
    <t>Welfare officials workshop ($50) &amp; meeting seminars(4 x $15)</t>
  </si>
  <si>
    <t>Town Hall Sprinkler System Replacement - main valves</t>
  </si>
  <si>
    <t>Recycling Building</t>
  </si>
  <si>
    <t>Tipping fees paid at remote disposal site (Rate increase from $70.00)</t>
  </si>
  <si>
    <t>Single stream disposal costs (Rate increase from $54.50)</t>
  </si>
  <si>
    <t>Point of Entry Treatment System Maintenance (3)</t>
  </si>
  <si>
    <t>Cellular telephones -4</t>
  </si>
  <si>
    <t>Install/Remove Netting at Twardowsky</t>
  </si>
  <si>
    <t>Salt for winter road maintenance - 2300 ton x $50</t>
  </si>
  <si>
    <t>Sand  - 1500 ton x $9</t>
  </si>
  <si>
    <t>Fuel tank tightness tests</t>
  </si>
  <si>
    <t>Materials testing</t>
  </si>
  <si>
    <t>Surveillance System</t>
  </si>
  <si>
    <t>Exmark Mower - Replacement of 1 mower</t>
  </si>
  <si>
    <t>Remote Equipment / Mobile Studio</t>
  </si>
  <si>
    <t>01-07-8104-0 Wages - Other Full-Time</t>
  </si>
  <si>
    <t>Stormwater Testing Supplies</t>
  </si>
  <si>
    <t>NH Septic Designer</t>
  </si>
  <si>
    <t>NH Professional Engineer ( 2 @ $150 every other year.)</t>
  </si>
  <si>
    <t>NH Wetland Scientist License</t>
  </si>
  <si>
    <t xml:space="preserve">Account Clerk II </t>
  </si>
  <si>
    <t>LED Upgrade of Town Hall buildings, Ambulance Garage, and</t>
  </si>
  <si>
    <t xml:space="preserve">     Abbie Griffin Park</t>
  </si>
  <si>
    <t>ICC Town Membership dues</t>
  </si>
  <si>
    <t>ICC License, IRC &amp; IBC Certifications (Bldg Insp.)</t>
  </si>
  <si>
    <t>ICC License, IRC &amp; IBC Certifications ( Bldg Official)</t>
  </si>
  <si>
    <t>NH State Master Electrical License (Bldg Insp.)</t>
  </si>
  <si>
    <t>Union 2904</t>
  </si>
  <si>
    <t>Boots, Gloves, Helmets, and SCBA/SABA Masks Protective Radio Pouches</t>
  </si>
  <si>
    <t>Hazardous Materials Containment Booms and Pads &amp; Clean up materials</t>
  </si>
  <si>
    <t>Pallet Water for Emergency Operations</t>
  </si>
  <si>
    <t>Knox Box Key Security System</t>
  </si>
  <si>
    <t>Pumper Truck</t>
  </si>
  <si>
    <t>Toxic gas Monitor</t>
  </si>
  <si>
    <t xml:space="preserve">Motorcycle </t>
  </si>
  <si>
    <t>Gail Road (joey to nora) Drainage improvements</t>
  </si>
  <si>
    <t>Calcium Tank</t>
  </si>
  <si>
    <t>Cement Mixer</t>
  </si>
  <si>
    <t>GIS UPDATE &amp; Maintenance</t>
  </si>
  <si>
    <t>HVAC maintenance</t>
  </si>
  <si>
    <t>Misc operating expenses not otherwise assigned</t>
  </si>
  <si>
    <t>Surveillance cameras for the remote pump stations (3)</t>
  </si>
  <si>
    <t xml:space="preserve"> Legal Union Negotiations/other</t>
  </si>
  <si>
    <t>01-02-8111-0 Overtime - Other</t>
  </si>
  <si>
    <t xml:space="preserve">Head of Youth Services  </t>
  </si>
  <si>
    <t xml:space="preserve">  Library Assistant I - Technical Services    </t>
  </si>
  <si>
    <t xml:space="preserve">  Librarian I - Reference </t>
  </si>
  <si>
    <t>Museum passes ($6,000 LBOT)</t>
  </si>
  <si>
    <t>Library of Things ($2,000 LBOT)</t>
  </si>
  <si>
    <t xml:space="preserve">  Turnover (average $2496) - 12</t>
  </si>
  <si>
    <t xml:space="preserve">  Turnover (average $4870) - 1</t>
  </si>
  <si>
    <t>Asst Chief Operator</t>
  </si>
  <si>
    <t>Building Inspections after hours (25)</t>
  </si>
  <si>
    <t>Shift Differential</t>
  </si>
  <si>
    <t>Shift Diferential</t>
  </si>
  <si>
    <t>2021-22 BUDGET</t>
  </si>
  <si>
    <t>2021-22</t>
  </si>
  <si>
    <t>Verizon Wireless modem</t>
  </si>
  <si>
    <t>Patrolman / Master Patrolmen</t>
  </si>
  <si>
    <t xml:space="preserve">Environmental Coordinator </t>
  </si>
  <si>
    <t>Stormwater Foreman</t>
  </si>
  <si>
    <t>* need to spread 57,524 of overhead cost</t>
  </si>
  <si>
    <t xml:space="preserve"> Actual </t>
  </si>
  <si>
    <t xml:space="preserve"> Budget </t>
  </si>
  <si>
    <t xml:space="preserve"> Department  </t>
  </si>
  <si>
    <t xml:space="preserve"> Town Manager </t>
  </si>
  <si>
    <t xml:space="preserve"> Council </t>
  </si>
  <si>
    <t xml:space="preserve"> Voted </t>
  </si>
  <si>
    <t xml:space="preserve"> 2019-20 </t>
  </si>
  <si>
    <t xml:space="preserve"> 2020-21 </t>
  </si>
  <si>
    <t xml:space="preserve"> 2021-22 </t>
  </si>
  <si>
    <t xml:space="preserve"> - </t>
  </si>
  <si>
    <t>Asst. Tech Coordinator</t>
  </si>
  <si>
    <t>Time Clock System</t>
  </si>
  <si>
    <t xml:space="preserve">  Employees - NHRS Group II - 20 years of service - 4</t>
  </si>
  <si>
    <t xml:space="preserve">  Employees - NHRS Group I - age 60  - 0</t>
  </si>
  <si>
    <t xml:space="preserve">  Moderators - 150 hr X 1 elections = 150 hr X $10</t>
  </si>
  <si>
    <t xml:space="preserve">  Election workers - 150 hr X 1 election = 150 hr X $7.25</t>
  </si>
  <si>
    <t xml:space="preserve">Director   </t>
  </si>
  <si>
    <t xml:space="preserve">Head of Technical Services </t>
  </si>
  <si>
    <t>Head of Adult Services</t>
  </si>
  <si>
    <t xml:space="preserve">Office Manager - Administration  </t>
  </si>
  <si>
    <t xml:space="preserve">Head of Circulation/Executive Dept Head  </t>
  </si>
  <si>
    <t xml:space="preserve">  Library Assistant I - Youth Services  </t>
  </si>
  <si>
    <t xml:space="preserve">  Aide I - Youth Services </t>
  </si>
  <si>
    <t xml:space="preserve">  Aide I -Youth Services  </t>
  </si>
  <si>
    <t>Page/Aide - Circulation</t>
  </si>
  <si>
    <t xml:space="preserve">  Page/Aide - Children's Room  </t>
  </si>
  <si>
    <t xml:space="preserve">  Librarian I - Reference</t>
  </si>
  <si>
    <t>Sustaining the Library (LBOT)</t>
  </si>
  <si>
    <t>GMILCS Web Dewey</t>
  </si>
  <si>
    <t>GMILCS Van</t>
  </si>
  <si>
    <t>Hot spot fees</t>
  </si>
  <si>
    <t>Adult materials (LBOT)</t>
  </si>
  <si>
    <t xml:space="preserve"> Teen materials (incl. graphic &amp; manga)</t>
  </si>
  <si>
    <t xml:space="preserve">Adult Graphic Novels </t>
  </si>
  <si>
    <t xml:space="preserve">Databases  </t>
  </si>
  <si>
    <t>kanopy (streaming video)</t>
  </si>
  <si>
    <t xml:space="preserve">Hoopla </t>
  </si>
  <si>
    <t>Children's materials (LBOT)</t>
  </si>
  <si>
    <t>Personal Protective Equipment</t>
  </si>
  <si>
    <t>Leads Online</t>
  </si>
  <si>
    <t>Rape Aggression Defense Instrutor</t>
  </si>
  <si>
    <t xml:space="preserve">Power DMS </t>
  </si>
  <si>
    <t>K-9 Insurance`</t>
  </si>
  <si>
    <t xml:space="preserve">  Printing</t>
  </si>
  <si>
    <t>Wasserman Park - Dock Replacement</t>
  </si>
  <si>
    <t>Wasserman Park - Office ADA Accessibility &amp; Roof</t>
  </si>
  <si>
    <t>Camp Director - 8 hours/day x 49 days</t>
  </si>
  <si>
    <t>Assistant Director- 8 hours/day x 48 days</t>
  </si>
  <si>
    <t>Camp EMT A - B - 8 hrs/day x 48 days</t>
  </si>
  <si>
    <t>Kitchen Manager/Cook - 8 hrs/day x 46 days</t>
  </si>
  <si>
    <t>Kitchen Help/Cooks Assistant - 8 hrs/day x 46 days</t>
  </si>
  <si>
    <t>Waterfront Director-50/50 split between Town &amp; Camp - 4 hrs/day x 48 days</t>
  </si>
  <si>
    <t>Lifeguard - 8 hrs / day x 46 days x 3 employees</t>
  </si>
  <si>
    <t>WSI's for camp swim lesson- 8 hrs/day x 46 days X 3 employees</t>
  </si>
  <si>
    <t>Senior Counselors- 8 hrs/days x 46 days x 8 employees</t>
  </si>
  <si>
    <t>Junior Counselors -8 hrs/day x 46 days x 6 employees</t>
  </si>
  <si>
    <t>1:1 Aides - 8 hrs/ day x 46 days x 2 employees</t>
  </si>
  <si>
    <t>Activity Specialists -8 hrs / days x 46 days x 5 employees</t>
  </si>
  <si>
    <t>Medical Supplies, Equipment, Tracking</t>
  </si>
  <si>
    <t>Teen Coordinator - 8 hrs/day x 46 days</t>
  </si>
  <si>
    <t>Senior Counselors - 8 hrs x 45 days x 5 employees</t>
  </si>
  <si>
    <t>Bus Transportation (3x per week x 9 weeks) x 2 buses</t>
  </si>
  <si>
    <t>Field Trip Admission Fees (3 days wk x 9 weeks)</t>
  </si>
  <si>
    <t>Program &amp; Medical Supplies</t>
  </si>
  <si>
    <t>Senior Counselors - 40 hrs + 10 Prep x 2 employees</t>
  </si>
  <si>
    <t>Back ground checks  (3 x $25.00 each)</t>
  </si>
  <si>
    <t>Harbor Care (Transitional Housing for Mental Health, HIV &amp; Substance Misue Treatment)</t>
  </si>
  <si>
    <t>in Harbor Care</t>
  </si>
  <si>
    <t>Verizon Wireless 566-6160 - No longer in use</t>
  </si>
  <si>
    <t>Staff Hardware</t>
  </si>
  <si>
    <t>Building and Health Inspection/Test Equipment</t>
  </si>
  <si>
    <t>Building and Health Code Books</t>
  </si>
  <si>
    <t>Personal Protective Clothing and Equipment</t>
  </si>
  <si>
    <t>Uniform allowance for Building and Health Personnel</t>
  </si>
  <si>
    <t>Printing of inspection forms, tags, etc.</t>
  </si>
  <si>
    <t>Unleaded gasoline for 3 vehicles</t>
  </si>
  <si>
    <t>General Maintenance and Repairs</t>
  </si>
  <si>
    <t>Electronic Lock Access to Building Dept Lobby</t>
  </si>
  <si>
    <t>Vehicle maintenance and repairs for 3 vehicles</t>
  </si>
  <si>
    <t xml:space="preserve"> Maintenance of copier, fax, computers, and other</t>
  </si>
  <si>
    <t xml:space="preserve"> office equipment &amp; service agreements</t>
  </si>
  <si>
    <t>Continuing Education and Recertification for Building</t>
  </si>
  <si>
    <t>and Health personnel</t>
  </si>
  <si>
    <t>Computer and Software upgrades</t>
  </si>
  <si>
    <t>EMS Recertification &amp; Training</t>
  </si>
  <si>
    <t>Fire Investigation/Events Inspection/Code Enforcement</t>
  </si>
  <si>
    <t xml:space="preserve"> Part Time Fire inspector 24 hours/week</t>
  </si>
  <si>
    <t>EMT Recertification &amp; Training</t>
  </si>
  <si>
    <t>Miscellaneous office supplies</t>
  </si>
  <si>
    <t>Computer Software Updates</t>
  </si>
  <si>
    <t>Maintenance Supplies for Operating Equipment (saw blades, parts, gas/oil mix, etc)</t>
  </si>
  <si>
    <t>Ambulance Decontamination Supplies, decontamination sprayers</t>
  </si>
  <si>
    <t xml:space="preserve"> Non-union</t>
  </si>
  <si>
    <t>Fire Inspector</t>
  </si>
  <si>
    <t>Off Probation Class A Uniform Issue</t>
  </si>
  <si>
    <t>New Hire Firefighter Protective Clothing</t>
  </si>
  <si>
    <t>New Hire Firefighter Initial Issue Uniforms</t>
  </si>
  <si>
    <t>Uniform Patches and Accessories</t>
  </si>
  <si>
    <t>Bedding and linen service</t>
  </si>
  <si>
    <t>Printing of forms, notices, business cards, etc.</t>
  </si>
  <si>
    <t xml:space="preserve"> Cell Phones - Chief Officers</t>
  </si>
  <si>
    <t xml:space="preserve"> Cell Phones - Fire Prevention </t>
  </si>
  <si>
    <t xml:space="preserve"> Cell Data Plans for Engines and Ambulances</t>
  </si>
  <si>
    <t xml:space="preserve"> Cell Phones for Ambulances</t>
  </si>
  <si>
    <t>National Fire Protection Association (NFPA) Fees</t>
  </si>
  <si>
    <t xml:space="preserve"> Mutual Aid Association Dues</t>
  </si>
  <si>
    <t>Souhegan Mutual Aid Dues (HazMat, foam, swift water resources)</t>
  </si>
  <si>
    <t>Travel and Meeting costs</t>
  </si>
  <si>
    <t>General Maintenance, Repairs, Supplies &amp; Service Contracts - 3 Stations</t>
  </si>
  <si>
    <t>Service, Repair and Maintenance of fire equipment (power units, saws, pumps</t>
  </si>
  <si>
    <t>ground ladders, extrication tools, etc)</t>
  </si>
  <si>
    <t xml:space="preserve"> Annual pump and aerial testing, fire apparatus maintenance services</t>
  </si>
  <si>
    <t>NH Emergency Medical Services State Electronic Reporting Fees</t>
  </si>
  <si>
    <t xml:space="preserve">COMCAST modem, annual radio preventative maintenance, outside services </t>
  </si>
  <si>
    <t xml:space="preserve"> for radio programing</t>
  </si>
  <si>
    <t>Maintenance of Breathing Air systems, air packs, air testing, etc.</t>
  </si>
  <si>
    <t>Hydrostatic testing of SCBA cylinders (Required every 5 years)</t>
  </si>
  <si>
    <t>Stryker stretcher and stair chair maintenance, service and repairs</t>
  </si>
  <si>
    <t>Zoll Cardiac Monitor and Defibrillator service agreement and maintenance</t>
  </si>
  <si>
    <t>National Registry Recertification - Paramedic</t>
  </si>
  <si>
    <t>National Registry Recertification - EMT/AEMT</t>
  </si>
  <si>
    <t>ACLS and PALS Recertification</t>
  </si>
  <si>
    <t>Outside Conferences &amp; Seminars for education &amp; Officer Development</t>
  </si>
  <si>
    <t>Public Safety Educational Materials</t>
  </si>
  <si>
    <t>Safety Education Materials for Risk Reduction Programs including;</t>
  </si>
  <si>
    <t xml:space="preserve">         fire prevention, fire safety, car seat program, fall prevention, etc.</t>
  </si>
  <si>
    <t>Annual Promotional Testing Lieutenant, Captain</t>
  </si>
  <si>
    <t>SCBA Mask Fit Testing</t>
  </si>
  <si>
    <t>Rescue Jacks for auto extrication (pair)</t>
  </si>
  <si>
    <t>Legal notices and bid advertising, handouts</t>
  </si>
  <si>
    <t>Annual Employee Health Physicals</t>
  </si>
  <si>
    <t>New Hire Physicals</t>
  </si>
  <si>
    <t>Chest X-Rays (recommended every 5 years)</t>
  </si>
  <si>
    <t>Refrigerator for first floor kitchenette</t>
  </si>
  <si>
    <t>Computer and office equipment upgrades and replacements</t>
  </si>
  <si>
    <t>PowerDMS Software purchase</t>
  </si>
  <si>
    <t>Replacement Mobile Radios, related equipment and accessories</t>
  </si>
  <si>
    <t>Blowhard battery powered smoke ejector fan</t>
  </si>
  <si>
    <t xml:space="preserve"> Nozzle Parts, Adapters, Ball Valve Parts, Hand Tools</t>
  </si>
  <si>
    <t>Fire Chief</t>
  </si>
  <si>
    <t>Outfall testing, Stormwater meetings</t>
  </si>
  <si>
    <t>ID Wear, safety footwear</t>
  </si>
  <si>
    <t>Vehicle storage facility (old garage) &amp; Salt Shed</t>
  </si>
  <si>
    <t xml:space="preserve">  Signage and wood stock to make repairs</t>
  </si>
  <si>
    <t>APWAPaver, Iworq, ArcView, fuel software)</t>
  </si>
  <si>
    <t>Liquid Calcium Chloride/Brine Operations</t>
  </si>
  <si>
    <t>Pine Knolls Shores Stormwater Study ($75K Reimbursement)</t>
  </si>
  <si>
    <t xml:space="preserve">  Maintenance of existing lights</t>
  </si>
  <si>
    <t>Sidewalk Capital Improvement Plan improvements</t>
  </si>
  <si>
    <t>Flail mower (attachment for trackless machine)</t>
  </si>
  <si>
    <t>20 hr/wk</t>
  </si>
  <si>
    <t>Propane tanks for forklift</t>
  </si>
  <si>
    <t>Propane fuel: forklift</t>
  </si>
  <si>
    <t>Pressure Wash Buildings</t>
  </si>
  <si>
    <t>Waste Oil</t>
  </si>
  <si>
    <t>Misc. Training Courses</t>
  </si>
  <si>
    <t>Replace rail and spindles on Bandstand and add railings at entrance steps</t>
  </si>
  <si>
    <t xml:space="preserve">Rubber boots, gloves and safety items - COVID Cost Increases are not reflected </t>
  </si>
  <si>
    <t>State Agency permit fees (lab, air, compost, scale, hazwaste) - increase to air fee</t>
  </si>
  <si>
    <t>Polymer for screw press</t>
  </si>
  <si>
    <t>Used 22,840 in 19/20</t>
  </si>
  <si>
    <t xml:space="preserve">Maintenance of nine pump stations - pump failure issues have increased </t>
  </si>
  <si>
    <t>Compost facility equipment maintenance (includes agitators)</t>
  </si>
  <si>
    <t xml:space="preserve">Replacement liners for screw conveyors  - replaced liners November 2020 - need to replenish stock. </t>
  </si>
  <si>
    <t>FKC Screw press PM- Buiild-up Screw</t>
  </si>
  <si>
    <t xml:space="preserve">Operator 10 Plus Premium Support </t>
  </si>
  <si>
    <t>53rd week payroll</t>
  </si>
  <si>
    <t>53rd week</t>
  </si>
  <si>
    <t>SRF Pine Knolls Shores Stormwater Study ($75K Reimbursement)</t>
  </si>
  <si>
    <t>Conservation Officer</t>
  </si>
  <si>
    <t>Part-time Summer Maintainer</t>
  </si>
  <si>
    <t xml:space="preserve"> Microsoft 365</t>
  </si>
  <si>
    <t xml:space="preserve">  Library Assistant II - Reference    </t>
  </si>
  <si>
    <t xml:space="preserve">  Aide I - Circulation </t>
  </si>
  <si>
    <t xml:space="preserve">  Aide I - Circulation  </t>
  </si>
  <si>
    <t>Online SRP Tracking - all (Beanstack) 3 yr contract @ 1020/yr</t>
  </si>
  <si>
    <t>Full-time employees -  Union</t>
  </si>
  <si>
    <t xml:space="preserve">Gerneral Govt. Part-time </t>
  </si>
  <si>
    <t>Anti- Rasom Ware protection</t>
  </si>
  <si>
    <t>Patrol SUVs (3)</t>
  </si>
  <si>
    <t>Coverage Day time Attendant</t>
  </si>
  <si>
    <t xml:space="preserve">General Govt. Part-time </t>
  </si>
  <si>
    <t>4 new firefighters ( start July 1)</t>
  </si>
  <si>
    <t>New Firefighter 1</t>
  </si>
  <si>
    <t>New Firefighter 2</t>
  </si>
  <si>
    <t>New Firefighter 3</t>
  </si>
  <si>
    <t>New Firefighter 4</t>
  </si>
  <si>
    <t>Holidays - 10 holidays X 24 hr. X 9personnel</t>
  </si>
  <si>
    <t>45-45-8506-0 Stormwater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</si>
</sst>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0_);_(* \(#,##0.0000\);_(* &quot;-&quot;_);_(@_)"/>
    <numFmt numFmtId="166" formatCode="_(* #,##0.000_);_(* \(#,##0.000\);_(* &quot;-&quot;???_);_(@_)"/>
    <numFmt numFmtId="167" formatCode="0_);\(0\)"/>
    <numFmt numFmtId="168" formatCode="_(* #,##0.0_);_(* \(#,##0.0\);_(* &quot;-&quot;?_);_(@_)"/>
    <numFmt numFmtId="169" formatCode="0.0%"/>
    <numFmt numFmtId="170" formatCode="_(* #,##0.00_);_(* \(#,##0.00\);_(* &quot;-&quot;_);_(@_)"/>
    <numFmt numFmtId="171" formatCode="&quot;$&quot;#,##0.00"/>
    <numFmt numFmtId="172" formatCode="_(* #,##0_);_(* \(#,##0\);_(* &quot;-&quot;??_);_(@_)"/>
    <numFmt numFmtId="173" formatCode="&quot;$&quot;#,##0"/>
    <numFmt numFmtId="174" formatCode="_(* #,##0.00_);_(* \(#,##0.00\);_(* &quot;-&quot;????_);_(@_)"/>
  </numFmts>
  <fonts count="32" x14ac:knownFonts="1">
    <font>
      <sz val="10"/>
      <name val="Arial"/>
    </font>
    <font>
      <sz val="11"/>
      <color theme="1"/>
      <name val="Calibri"/>
      <family val="2"/>
      <scheme val="minor"/>
    </font>
    <font>
      <sz val="10"/>
      <name val="Arial"/>
      <family val="2"/>
    </font>
    <font>
      <sz val="10"/>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strike/>
      <sz val="10"/>
      <name val="Times New Roman"/>
      <family val="1"/>
    </font>
    <font>
      <b/>
      <sz val="14"/>
      <name val="Times New Roman"/>
      <family val="1"/>
    </font>
    <font>
      <sz val="11"/>
      <color theme="1"/>
      <name val="Calibri"/>
      <family val="2"/>
      <scheme val="minor"/>
    </font>
    <font>
      <sz val="11"/>
      <name val="Calibri"/>
      <family val="2"/>
      <scheme val="minor"/>
    </font>
    <font>
      <sz val="11"/>
      <name val="Times New Roman"/>
      <family val="1"/>
    </font>
    <font>
      <sz val="10"/>
      <name val="Arial"/>
      <family val="2"/>
    </font>
    <font>
      <b/>
      <sz val="11"/>
      <name val="Times New Roman"/>
      <family val="1"/>
    </font>
    <font>
      <b/>
      <sz val="10"/>
      <name val="Arial"/>
      <family val="2"/>
    </font>
    <font>
      <b/>
      <sz val="11"/>
      <name val="Calibri"/>
      <family val="2"/>
      <scheme val="minor"/>
    </font>
    <font>
      <b/>
      <sz val="9"/>
      <color indexed="81"/>
      <name val="Tahoma"/>
      <family val="2"/>
    </font>
    <font>
      <sz val="9"/>
      <color indexed="81"/>
      <name val="Tahoma"/>
      <family val="2"/>
    </font>
    <font>
      <sz val="10"/>
      <name val="Calibri"/>
      <family val="2"/>
      <scheme val="minor"/>
    </font>
    <font>
      <u/>
      <sz val="1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5">
    <xf numFmtId="0" fontId="0" fillId="0" borderId="0"/>
    <xf numFmtId="43" fontId="3" fillId="0" borderId="0" applyFont="0" applyFill="0" applyBorder="0" applyAlignment="0" applyProtection="0"/>
    <xf numFmtId="44" fontId="2" fillId="0" borderId="0" applyFont="0" applyFill="0" applyBorder="0" applyAlignment="0" applyProtection="0"/>
    <xf numFmtId="0" fontId="3" fillId="0" borderId="0"/>
    <xf numFmtId="0" fontId="21" fillId="0" borderId="0"/>
    <xf numFmtId="0" fontId="3" fillId="0" borderId="0"/>
    <xf numFmtId="0" fontId="3" fillId="0" borderId="0"/>
    <xf numFmtId="0" fontId="3" fillId="0" borderId="0"/>
    <xf numFmtId="0" fontId="2" fillId="0" borderId="0"/>
    <xf numFmtId="0" fontId="4" fillId="0" borderId="0"/>
    <xf numFmtId="9" fontId="2" fillId="0" borderId="0" applyFont="0" applyFill="0" applyBorder="0" applyAlignment="0" applyProtection="0"/>
    <xf numFmtId="43" fontId="24" fillId="0" borderId="0" applyFont="0" applyFill="0" applyBorder="0" applyAlignment="0" applyProtection="0"/>
    <xf numFmtId="0" fontId="2" fillId="0" borderId="0"/>
    <xf numFmtId="0" fontId="2" fillId="0" borderId="0"/>
    <xf numFmtId="0" fontId="1" fillId="0" borderId="0"/>
  </cellStyleXfs>
  <cellXfs count="268">
    <xf numFmtId="0" fontId="0" fillId="0" borderId="0" xfId="0"/>
    <xf numFmtId="41" fontId="6" fillId="0" borderId="0" xfId="0" applyNumberFormat="1" applyFont="1" applyFill="1"/>
    <xf numFmtId="41" fontId="7" fillId="0" borderId="0" xfId="0" applyNumberFormat="1" applyFont="1" applyFill="1"/>
    <xf numFmtId="41" fontId="7" fillId="0" borderId="0" xfId="0" applyNumberFormat="1" applyFont="1" applyFill="1" applyBorder="1"/>
    <xf numFmtId="41" fontId="6" fillId="0" borderId="0" xfId="0" applyNumberFormat="1" applyFont="1" applyFill="1" applyAlignment="1">
      <alignment horizontal="center"/>
    </xf>
    <xf numFmtId="0" fontId="7" fillId="0" borderId="0" xfId="0" applyFont="1" applyFill="1" applyAlignment="1"/>
    <xf numFmtId="0" fontId="7" fillId="0" borderId="0" xfId="0" applyFont="1" applyFill="1"/>
    <xf numFmtId="41" fontId="7" fillId="0" borderId="0" xfId="0" applyNumberFormat="1" applyFont="1" applyFill="1" applyAlignment="1">
      <alignment horizontal="right"/>
    </xf>
    <xf numFmtId="41" fontId="8" fillId="0" borderId="0" xfId="0" applyNumberFormat="1" applyFont="1" applyFill="1" applyAlignment="1">
      <alignment horizontal="right"/>
    </xf>
    <xf numFmtId="0" fontId="10" fillId="0" borderId="0" xfId="0" applyFont="1" applyFill="1" applyAlignment="1">
      <alignment horizontal="center"/>
    </xf>
    <xf numFmtId="41" fontId="8" fillId="0" borderId="0" xfId="0" applyNumberFormat="1" applyFont="1" applyFill="1"/>
    <xf numFmtId="43" fontId="7" fillId="0" borderId="0" xfId="0" applyNumberFormat="1" applyFont="1" applyFill="1"/>
    <xf numFmtId="0" fontId="7" fillId="0" borderId="0" xfId="0" quotePrefix="1" applyFont="1" applyFill="1"/>
    <xf numFmtId="164" fontId="7" fillId="0" borderId="0" xfId="0" applyNumberFormat="1" applyFont="1" applyFill="1"/>
    <xf numFmtId="0" fontId="10" fillId="0" borderId="0" xfId="0" quotePrefix="1" applyFont="1" applyFill="1" applyAlignment="1">
      <alignment horizontal="center"/>
    </xf>
    <xf numFmtId="41" fontId="7" fillId="0" borderId="0" xfId="0" applyNumberFormat="1" applyFont="1" applyFill="1" applyAlignment="1">
      <alignment horizontal="center"/>
    </xf>
    <xf numFmtId="14" fontId="10" fillId="0" borderId="0" xfId="0" applyNumberFormat="1" applyFont="1" applyFill="1" applyAlignment="1">
      <alignment horizontal="center"/>
    </xf>
    <xf numFmtId="41" fontId="11" fillId="0" borderId="0" xfId="0" applyNumberFormat="1" applyFont="1" applyFill="1"/>
    <xf numFmtId="41" fontId="11" fillId="0" borderId="0" xfId="0" applyNumberFormat="1" applyFont="1" applyFill="1" applyAlignment="1">
      <alignment horizontal="right"/>
    </xf>
    <xf numFmtId="0" fontId="6" fillId="0" borderId="0" xfId="0" applyFont="1" applyFill="1"/>
    <xf numFmtId="0" fontId="7" fillId="0" borderId="0" xfId="0" applyFont="1" applyFill="1" applyAlignment="1">
      <alignment horizontal="center"/>
    </xf>
    <xf numFmtId="43" fontId="7" fillId="0" borderId="0" xfId="0" applyNumberFormat="1" applyFont="1" applyFill="1" applyAlignment="1">
      <alignment horizontal="right"/>
    </xf>
    <xf numFmtId="0" fontId="7" fillId="0" borderId="0" xfId="0" applyFont="1" applyFill="1" applyAlignment="1">
      <alignment horizontal="left"/>
    </xf>
    <xf numFmtId="41" fontId="6" fillId="0" borderId="0" xfId="0" applyNumberFormat="1" applyFont="1" applyFill="1" applyAlignment="1">
      <alignment horizontal="right"/>
    </xf>
    <xf numFmtId="0" fontId="7" fillId="0" borderId="0" xfId="9" applyFont="1" applyFill="1"/>
    <xf numFmtId="41" fontId="7" fillId="0" borderId="0" xfId="9" applyNumberFormat="1" applyFont="1" applyFill="1"/>
    <xf numFmtId="41" fontId="16" fillId="0" borderId="0" xfId="0" applyNumberFormat="1" applyFont="1" applyFill="1"/>
    <xf numFmtId="0" fontId="11" fillId="0" borderId="0" xfId="0" applyFont="1" applyFill="1"/>
    <xf numFmtId="41" fontId="11" fillId="0" borderId="0" xfId="0" applyNumberFormat="1" applyFont="1" applyFill="1" applyAlignment="1">
      <alignment horizontal="center"/>
    </xf>
    <xf numFmtId="0" fontId="7" fillId="0" borderId="0" xfId="0" applyFont="1" applyFill="1" applyAlignment="1">
      <alignment horizontal="right"/>
    </xf>
    <xf numFmtId="41" fontId="8" fillId="0" borderId="0" xfId="0" applyNumberFormat="1" applyFont="1" applyFill="1" applyBorder="1"/>
    <xf numFmtId="0" fontId="7" fillId="0" borderId="0" xfId="0" applyFont="1" applyFill="1" applyAlignment="1">
      <alignment wrapText="1"/>
    </xf>
    <xf numFmtId="0" fontId="7" fillId="0" borderId="0" xfId="0" quotePrefix="1" applyFont="1" applyFill="1" applyAlignment="1">
      <alignment horizontal="left"/>
    </xf>
    <xf numFmtId="41" fontId="7" fillId="0" borderId="1" xfId="0" applyNumberFormat="1" applyFont="1" applyFill="1" applyBorder="1"/>
    <xf numFmtId="43" fontId="6" fillId="0" borderId="0" xfId="0" applyNumberFormat="1" applyFont="1" applyFill="1" applyAlignment="1">
      <alignment horizontal="center"/>
    </xf>
    <xf numFmtId="0" fontId="11" fillId="0" borderId="0" xfId="0" applyFont="1" applyFill="1" applyAlignment="1">
      <alignment horizontal="right"/>
    </xf>
    <xf numFmtId="43" fontId="7" fillId="0" borderId="0" xfId="0" applyNumberFormat="1" applyFont="1" applyFill="1" applyAlignment="1">
      <alignment horizontal="center"/>
    </xf>
    <xf numFmtId="0" fontId="7" fillId="0" borderId="0" xfId="0" applyFont="1" applyFill="1" applyBorder="1" applyAlignment="1">
      <alignment horizontal="left"/>
    </xf>
    <xf numFmtId="0" fontId="7" fillId="0" borderId="0" xfId="0" applyFont="1" applyFill="1" applyBorder="1" applyAlignment="1">
      <alignment vertical="center"/>
    </xf>
    <xf numFmtId="0" fontId="7" fillId="0" borderId="0" xfId="0" applyNumberFormat="1" applyFont="1" applyFill="1" applyBorder="1" applyAlignment="1">
      <alignment horizontal="left"/>
    </xf>
    <xf numFmtId="41" fontId="7" fillId="0" borderId="0" xfId="0" applyNumberFormat="1" applyFont="1" applyFill="1" applyBorder="1" applyAlignment="1">
      <alignment horizontal="left"/>
    </xf>
    <xf numFmtId="166" fontId="7" fillId="0" borderId="0" xfId="0" applyNumberFormat="1" applyFont="1" applyFill="1"/>
    <xf numFmtId="3" fontId="7" fillId="0" borderId="0" xfId="0" applyNumberFormat="1" applyFont="1" applyFill="1"/>
    <xf numFmtId="0" fontId="15" fillId="0" borderId="0" xfId="9" applyFont="1" applyFill="1"/>
    <xf numFmtId="0" fontId="10" fillId="0" borderId="0" xfId="9" applyFont="1" applyFill="1" applyAlignment="1">
      <alignment horizontal="center"/>
    </xf>
    <xf numFmtId="41" fontId="11" fillId="0" borderId="0" xfId="9" applyNumberFormat="1" applyFont="1" applyFill="1"/>
    <xf numFmtId="41" fontId="7" fillId="0" borderId="0" xfId="0" quotePrefix="1" applyNumberFormat="1" applyFont="1" applyFill="1"/>
    <xf numFmtId="41" fontId="7" fillId="0" borderId="0" xfId="0" applyNumberFormat="1" applyFont="1" applyFill="1" applyAlignment="1">
      <alignment horizontal="left"/>
    </xf>
    <xf numFmtId="41" fontId="10" fillId="0" borderId="0" xfId="0" applyNumberFormat="1" applyFont="1" applyFill="1" applyAlignment="1">
      <alignment horizontal="center"/>
    </xf>
    <xf numFmtId="41" fontId="10" fillId="0" borderId="0" xfId="0" applyNumberFormat="1" applyFont="1" applyFill="1"/>
    <xf numFmtId="41" fontId="8" fillId="0" borderId="0" xfId="9" applyNumberFormat="1" applyFont="1" applyFill="1"/>
    <xf numFmtId="0" fontId="7" fillId="0" borderId="0" xfId="9" applyFont="1" applyFill="1" applyAlignment="1">
      <alignment horizontal="left"/>
    </xf>
    <xf numFmtId="12" fontId="11" fillId="0" borderId="0" xfId="9" applyNumberFormat="1" applyFont="1" applyFill="1" applyAlignment="1">
      <alignment horizontal="right"/>
    </xf>
    <xf numFmtId="0" fontId="12" fillId="0" borderId="0" xfId="0" applyFont="1" applyFill="1" applyAlignment="1">
      <alignment horizontal="center"/>
    </xf>
    <xf numFmtId="49" fontId="6" fillId="0" borderId="0" xfId="8" applyNumberFormat="1" applyFont="1" applyFill="1"/>
    <xf numFmtId="0" fontId="7"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xf numFmtId="43" fontId="7" fillId="0" borderId="0" xfId="0" applyNumberFormat="1" applyFont="1" applyFill="1" applyBorder="1"/>
    <xf numFmtId="41" fontId="7" fillId="0" borderId="0" xfId="2" applyNumberFormat="1" applyFont="1" applyFill="1"/>
    <xf numFmtId="0" fontId="18" fillId="0" borderId="0" xfId="0" applyFont="1" applyFill="1" applyAlignment="1"/>
    <xf numFmtId="3" fontId="11" fillId="0" borderId="0" xfId="0" applyNumberFormat="1" applyFont="1" applyFill="1"/>
    <xf numFmtId="1" fontId="7" fillId="0" borderId="0" xfId="0" applyNumberFormat="1" applyFont="1" applyFill="1"/>
    <xf numFmtId="169" fontId="7" fillId="0" borderId="0" xfId="10" applyNumberFormat="1" applyFont="1" applyFill="1" applyAlignment="1">
      <alignment horizontal="left"/>
    </xf>
    <xf numFmtId="41" fontId="11" fillId="0" borderId="0" xfId="0" applyNumberFormat="1" applyFont="1" applyFill="1" applyBorder="1"/>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2" applyNumberFormat="1" applyFont="1" applyFill="1" applyBorder="1"/>
    <xf numFmtId="38" fontId="7" fillId="0" borderId="0" xfId="0" applyNumberFormat="1" applyFont="1" applyFill="1"/>
    <xf numFmtId="164" fontId="7" fillId="0" borderId="0" xfId="0" applyNumberFormat="1" applyFont="1" applyFill="1" applyBorder="1"/>
    <xf numFmtId="3" fontId="7" fillId="0" borderId="0" xfId="0" applyNumberFormat="1" applyFont="1" applyFill="1" applyBorder="1"/>
    <xf numFmtId="41" fontId="13" fillId="0" borderId="0" xfId="0" applyNumberFormat="1" applyFont="1" applyFill="1"/>
    <xf numFmtId="14" fontId="9" fillId="0" borderId="0" xfId="0" applyNumberFormat="1" applyFont="1" applyFill="1" applyBorder="1" applyAlignment="1">
      <alignment horizontal="center"/>
    </xf>
    <xf numFmtId="3" fontId="7" fillId="0" borderId="0" xfId="0" applyNumberFormat="1" applyFont="1" applyFill="1" applyBorder="1" applyAlignment="1" applyProtection="1">
      <alignment horizontal="left"/>
      <protection locked="0"/>
    </xf>
    <xf numFmtId="10" fontId="7" fillId="0" borderId="0" xfId="0" applyNumberFormat="1" applyFont="1" applyFill="1"/>
    <xf numFmtId="0" fontId="11" fillId="0" borderId="0" xfId="0" applyFont="1" applyFill="1" applyAlignment="1">
      <alignment horizontal="left"/>
    </xf>
    <xf numFmtId="0" fontId="10" fillId="0" borderId="0" xfId="0" quotePrefix="1" applyFont="1" applyFill="1" applyBorder="1" applyAlignment="1">
      <alignment horizontal="center"/>
    </xf>
    <xf numFmtId="165" fontId="7" fillId="0" borderId="0" xfId="0" applyNumberFormat="1" applyFont="1" applyFill="1"/>
    <xf numFmtId="0" fontId="6" fillId="0" borderId="0" xfId="0" applyFont="1" applyFill="1" applyAlignment="1"/>
    <xf numFmtId="0" fontId="6" fillId="0" borderId="0" xfId="0" applyNumberFormat="1" applyFont="1" applyFill="1" applyBorder="1" applyAlignment="1">
      <alignment horizontal="left"/>
    </xf>
    <xf numFmtId="41" fontId="7" fillId="0" borderId="0" xfId="3" applyNumberFormat="1" applyFont="1" applyFill="1" applyBorder="1"/>
    <xf numFmtId="0" fontId="7" fillId="0" borderId="0" xfId="3" applyFont="1" applyFill="1" applyBorder="1"/>
    <xf numFmtId="0" fontId="7" fillId="0" borderId="0" xfId="0" applyNumberFormat="1" applyFont="1" applyFill="1"/>
    <xf numFmtId="0" fontId="15" fillId="0" borderId="0" xfId="0" applyFont="1" applyFill="1"/>
    <xf numFmtId="0" fontId="10" fillId="0" borderId="0" xfId="0" applyFont="1" applyFill="1" applyAlignment="1">
      <alignment horizontal="left"/>
    </xf>
    <xf numFmtId="41" fontId="7" fillId="0" borderId="0" xfId="0" applyNumberFormat="1" applyFont="1" applyFill="1" applyBorder="1" applyAlignment="1" applyProtection="1">
      <protection locked="0"/>
    </xf>
    <xf numFmtId="41" fontId="11" fillId="0" borderId="0" xfId="0" applyNumberFormat="1" applyFont="1" applyFill="1" applyBorder="1" applyAlignment="1" applyProtection="1">
      <protection locked="0"/>
    </xf>
    <xf numFmtId="170" fontId="7" fillId="0" borderId="0" xfId="0" applyNumberFormat="1" applyFont="1" applyFill="1"/>
    <xf numFmtId="167" fontId="7" fillId="0" borderId="0" xfId="0" applyNumberFormat="1" applyFont="1" applyFill="1"/>
    <xf numFmtId="41" fontId="7" fillId="0" borderId="0" xfId="4" applyNumberFormat="1" applyFont="1" applyFill="1"/>
    <xf numFmtId="41" fontId="7" fillId="0" borderId="0" xfId="4" applyNumberFormat="1" applyFont="1" applyFill="1" applyAlignment="1">
      <alignment horizontal="center" vertical="center"/>
    </xf>
    <xf numFmtId="41" fontId="8" fillId="0" borderId="0" xfId="4" applyNumberFormat="1" applyFont="1" applyFill="1"/>
    <xf numFmtId="41" fontId="8" fillId="0" borderId="0" xfId="4" applyNumberFormat="1" applyFont="1" applyFill="1" applyAlignment="1">
      <alignment horizontal="center" vertical="center"/>
    </xf>
    <xf numFmtId="3" fontId="8" fillId="0" borderId="0" xfId="0" applyNumberFormat="1" applyFont="1" applyFill="1"/>
    <xf numFmtId="0" fontId="11" fillId="0" borderId="0" xfId="0" applyFont="1" applyFill="1" applyAlignment="1">
      <alignment horizontal="center"/>
    </xf>
    <xf numFmtId="37" fontId="7" fillId="0" borderId="0" xfId="0" applyNumberFormat="1" applyFont="1" applyFill="1" applyBorder="1"/>
    <xf numFmtId="41" fontId="8" fillId="0" borderId="0" xfId="0" applyNumberFormat="1" applyFont="1" applyFill="1" applyBorder="1" applyAlignment="1">
      <alignment horizontal="center"/>
    </xf>
    <xf numFmtId="0" fontId="22" fillId="0" borderId="0" xfId="4" applyFont="1" applyFill="1"/>
    <xf numFmtId="168" fontId="7" fillId="0" borderId="0" xfId="0" applyNumberFormat="1" applyFont="1" applyFill="1"/>
    <xf numFmtId="43" fontId="6" fillId="0" borderId="0" xfId="0" applyNumberFormat="1" applyFont="1" applyFill="1"/>
    <xf numFmtId="171" fontId="7" fillId="0" borderId="0" xfId="0" applyNumberFormat="1" applyFont="1" applyFill="1"/>
    <xf numFmtId="3" fontId="7" fillId="0" borderId="0" xfId="0" applyNumberFormat="1" applyFont="1" applyFill="1" applyAlignment="1">
      <alignment horizontal="right"/>
    </xf>
    <xf numFmtId="3" fontId="8" fillId="0" borderId="0" xfId="0" applyNumberFormat="1" applyFont="1" applyFill="1" applyAlignment="1">
      <alignment horizontal="right"/>
    </xf>
    <xf numFmtId="0" fontId="7" fillId="0" borderId="0" xfId="5" applyFont="1" applyFill="1"/>
    <xf numFmtId="41" fontId="7" fillId="0" borderId="0" xfId="0" quotePrefix="1" applyNumberFormat="1" applyFont="1" applyFill="1" applyAlignment="1">
      <alignment horizontal="left"/>
    </xf>
    <xf numFmtId="14"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0" fontId="20" fillId="0" borderId="0" xfId="0" applyFont="1" applyFill="1" applyAlignment="1"/>
    <xf numFmtId="41" fontId="6" fillId="0" borderId="0" xfId="0" applyNumberFormat="1" applyFont="1" applyFill="1" applyAlignment="1"/>
    <xf numFmtId="41" fontId="20" fillId="0" borderId="0" xfId="0" applyNumberFormat="1" applyFont="1" applyFill="1" applyAlignment="1"/>
    <xf numFmtId="0" fontId="20" fillId="0" borderId="0" xfId="0" applyFont="1" applyFill="1" applyBorder="1" applyAlignment="1"/>
    <xf numFmtId="41" fontId="12" fillId="0" borderId="0" xfId="0" applyNumberFormat="1" applyFont="1" applyFill="1"/>
    <xf numFmtId="0" fontId="7" fillId="0" borderId="0" xfId="0" applyFont="1" applyFill="1"/>
    <xf numFmtId="0" fontId="10" fillId="0" borderId="0" xfId="0" applyFont="1" applyFill="1" applyAlignment="1">
      <alignment horizontal="center"/>
    </xf>
    <xf numFmtId="0" fontId="7" fillId="0" borderId="0" xfId="0" applyFont="1" applyFill="1"/>
    <xf numFmtId="41" fontId="7" fillId="0" borderId="0" xfId="0" quotePrefix="1" applyNumberFormat="1" applyFont="1" applyFill="1" applyBorder="1"/>
    <xf numFmtId="10" fontId="7" fillId="0" borderId="0" xfId="0" applyNumberFormat="1" applyFont="1" applyFill="1" applyBorder="1"/>
    <xf numFmtId="8" fontId="2" fillId="0" borderId="0" xfId="6" applyNumberFormat="1" applyFont="1" applyFill="1"/>
    <xf numFmtId="0" fontId="2" fillId="0" borderId="0" xfId="0" applyFont="1" applyFill="1"/>
    <xf numFmtId="0" fontId="2" fillId="0" borderId="0" xfId="7" applyFont="1" applyFill="1"/>
    <xf numFmtId="0" fontId="7" fillId="0" borderId="0" xfId="0" applyFont="1" applyFill="1" applyBorder="1" applyAlignment="1">
      <alignment wrapText="1"/>
    </xf>
    <xf numFmtId="41" fontId="7" fillId="0" borderId="0" xfId="0" applyNumberFormat="1" applyFont="1" applyFill="1" applyAlignment="1">
      <alignment wrapText="1"/>
    </xf>
    <xf numFmtId="0" fontId="7" fillId="0" borderId="0" xfId="0" applyFont="1" applyFill="1"/>
    <xf numFmtId="172" fontId="7" fillId="0" borderId="0" xfId="11" applyNumberFormat="1" applyFont="1" applyFill="1"/>
    <xf numFmtId="41" fontId="2" fillId="0" borderId="0" xfId="6" applyNumberFormat="1" applyFont="1" applyFill="1"/>
    <xf numFmtId="3" fontId="7" fillId="0" borderId="0" xfId="0" quotePrefix="1" applyNumberFormat="1" applyFont="1" applyFill="1"/>
    <xf numFmtId="41" fontId="7" fillId="0" borderId="1" xfId="0" quotePrefix="1" applyNumberFormat="1" applyFont="1" applyFill="1" applyBorder="1"/>
    <xf numFmtId="0" fontId="7" fillId="0" borderId="0" xfId="0" applyFont="1" applyFill="1"/>
    <xf numFmtId="0" fontId="6" fillId="0" borderId="0" xfId="0" applyFont="1" applyFill="1" applyBorder="1" applyAlignment="1">
      <alignment horizontal="left"/>
    </xf>
    <xf numFmtId="3" fontId="6" fillId="0" borderId="0" xfId="0" applyNumberFormat="1" applyFont="1" applyFill="1"/>
    <xf numFmtId="41" fontId="6" fillId="0" borderId="0" xfId="0" applyNumberFormat="1" applyFont="1" applyFill="1" applyAlignment="1">
      <alignment horizontal="center" vertical="center"/>
    </xf>
    <xf numFmtId="41" fontId="22" fillId="0" borderId="0" xfId="4" applyNumberFormat="1" applyFont="1" applyFill="1"/>
    <xf numFmtId="0" fontId="9" fillId="0" borderId="0" xfId="0" applyFont="1" applyFill="1" applyAlignment="1">
      <alignment horizontal="center"/>
    </xf>
    <xf numFmtId="41" fontId="6" fillId="0" borderId="0" xfId="0" quotePrefix="1" applyNumberFormat="1" applyFont="1" applyFill="1"/>
    <xf numFmtId="0" fontId="7" fillId="0" borderId="0" xfId="0" applyFont="1" applyFill="1"/>
    <xf numFmtId="0" fontId="10" fillId="0" borderId="0" xfId="0" applyFont="1" applyFill="1" applyAlignment="1">
      <alignment horizontal="center"/>
    </xf>
    <xf numFmtId="0" fontId="11" fillId="0" borderId="0" xfId="0" applyFont="1" applyFill="1" applyBorder="1" applyAlignment="1">
      <alignment horizontal="right"/>
    </xf>
    <xf numFmtId="41" fontId="11" fillId="0" borderId="0" xfId="0" applyNumberFormat="1" applyFont="1" applyFill="1" applyBorder="1" applyAlignment="1">
      <alignment horizontal="right"/>
    </xf>
    <xf numFmtId="173" fontId="7" fillId="0" borderId="0" xfId="0" applyNumberFormat="1" applyFont="1" applyFill="1"/>
    <xf numFmtId="0" fontId="2" fillId="0" borderId="0" xfId="3" applyFont="1" applyFill="1"/>
    <xf numFmtId="2" fontId="7" fillId="0" borderId="0" xfId="0" applyNumberFormat="1" applyFont="1" applyFill="1"/>
    <xf numFmtId="43" fontId="22" fillId="0" borderId="0" xfId="4" applyNumberFormat="1" applyFont="1" applyFill="1"/>
    <xf numFmtId="172" fontId="7" fillId="0" borderId="0" xfId="2" applyNumberFormat="1" applyFont="1" applyFill="1"/>
    <xf numFmtId="172" fontId="7" fillId="0" borderId="1" xfId="2" applyNumberFormat="1" applyFont="1" applyFill="1" applyBorder="1"/>
    <xf numFmtId="41" fontId="7" fillId="0" borderId="0" xfId="5" applyNumberFormat="1" applyFont="1" applyFill="1" applyBorder="1"/>
    <xf numFmtId="9" fontId="7" fillId="0" borderId="0" xfId="0" applyNumberFormat="1" applyFont="1" applyFill="1" applyBorder="1"/>
    <xf numFmtId="6" fontId="7" fillId="0" borderId="0" xfId="0" applyNumberFormat="1" applyFont="1" applyFill="1"/>
    <xf numFmtId="41" fontId="2" fillId="0" borderId="0" xfId="0" applyNumberFormat="1" applyFont="1" applyFill="1"/>
    <xf numFmtId="0" fontId="7" fillId="0" borderId="0" xfId="0" applyFont="1" applyFill="1"/>
    <xf numFmtId="43" fontId="7" fillId="0" borderId="0" xfId="9" applyNumberFormat="1" applyFont="1" applyFill="1"/>
    <xf numFmtId="41" fontId="7" fillId="0" borderId="1" xfId="0" applyNumberFormat="1" applyFont="1" applyFill="1" applyBorder="1" applyAlignment="1">
      <alignment horizontal="right"/>
    </xf>
    <xf numFmtId="0" fontId="15" fillId="0" borderId="0" xfId="0" applyFont="1" applyFill="1" applyAlignment="1">
      <alignment vertical="center"/>
    </xf>
    <xf numFmtId="0" fontId="7" fillId="0" borderId="0" xfId="0" applyFont="1" applyFill="1"/>
    <xf numFmtId="41" fontId="8"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10" fillId="0" borderId="0" xfId="0" applyFont="1" applyFill="1" applyAlignment="1">
      <alignment horizontal="center"/>
    </xf>
    <xf numFmtId="0" fontId="6" fillId="0" borderId="0" xfId="0" applyFont="1" applyFill="1" applyAlignment="1">
      <alignment horizontal="center"/>
    </xf>
    <xf numFmtId="0" fontId="23" fillId="0" borderId="0" xfId="0" applyFont="1" applyFill="1" applyAlignment="1"/>
    <xf numFmtId="0" fontId="20" fillId="0" borderId="0" xfId="12" applyFont="1" applyFill="1" applyAlignment="1"/>
    <xf numFmtId="41" fontId="7" fillId="0" borderId="0" xfId="12" applyNumberFormat="1" applyFont="1" applyFill="1"/>
    <xf numFmtId="9" fontId="7" fillId="0" borderId="0" xfId="12" applyNumberFormat="1" applyFont="1" applyFill="1"/>
    <xf numFmtId="41" fontId="7" fillId="0" borderId="0" xfId="12" applyNumberFormat="1" applyFont="1" applyFill="1" applyAlignment="1">
      <alignment horizontal="center"/>
    </xf>
    <xf numFmtId="41" fontId="8" fillId="0" borderId="0" xfId="12" applyNumberFormat="1" applyFont="1" applyFill="1" applyAlignment="1">
      <alignment horizontal="center"/>
    </xf>
    <xf numFmtId="0" fontId="10" fillId="0" borderId="0" xfId="13" applyFont="1" applyFill="1" applyBorder="1" applyAlignment="1">
      <alignment horizontal="center"/>
    </xf>
    <xf numFmtId="41" fontId="25" fillId="0" borderId="0" xfId="13" applyNumberFormat="1" applyFont="1" applyFill="1" applyBorder="1"/>
    <xf numFmtId="41" fontId="7" fillId="0" borderId="0" xfId="13" applyNumberFormat="1" applyFont="1" applyFill="1" applyBorder="1"/>
    <xf numFmtId="0" fontId="7" fillId="0" borderId="0" xfId="13" applyFont="1" applyFill="1" applyBorder="1"/>
    <xf numFmtId="41" fontId="6" fillId="0" borderId="0" xfId="13" applyNumberFormat="1" applyFont="1" applyFill="1" applyBorder="1"/>
    <xf numFmtId="0" fontId="7" fillId="0" borderId="0" xfId="13" applyNumberFormat="1" applyFont="1" applyFill="1" applyBorder="1" applyAlignment="1">
      <alignment horizontal="left"/>
    </xf>
    <xf numFmtId="41" fontId="8" fillId="0" borderId="0" xfId="13" applyNumberFormat="1" applyFont="1" applyFill="1" applyBorder="1"/>
    <xf numFmtId="43" fontId="7" fillId="0" borderId="0" xfId="12" applyNumberFormat="1" applyFont="1" applyFill="1"/>
    <xf numFmtId="43" fontId="27" fillId="0" borderId="0" xfId="14" applyNumberFormat="1" applyFont="1" applyFill="1"/>
    <xf numFmtId="43" fontId="7" fillId="0" borderId="0" xfId="13" applyNumberFormat="1" applyFont="1" applyFill="1" applyBorder="1"/>
    <xf numFmtId="41" fontId="19" fillId="0" borderId="0" xfId="13" applyNumberFormat="1" applyFont="1" applyFill="1" applyBorder="1"/>
    <xf numFmtId="0" fontId="10" fillId="0" borderId="0" xfId="12" applyFont="1" applyFill="1" applyAlignment="1">
      <alignment horizontal="center"/>
    </xf>
    <xf numFmtId="0" fontId="7" fillId="0" borderId="0" xfId="13" applyFont="1" applyFill="1" applyBorder="1" applyAlignment="1">
      <alignment horizontal="left"/>
    </xf>
    <xf numFmtId="0" fontId="7" fillId="0" borderId="0" xfId="13" quotePrefix="1" applyFont="1" applyFill="1" applyBorder="1"/>
    <xf numFmtId="164" fontId="7" fillId="0" borderId="0" xfId="13" applyNumberFormat="1" applyFont="1" applyFill="1" applyBorder="1"/>
    <xf numFmtId="0" fontId="7" fillId="0" borderId="0" xfId="13" applyFont="1" applyFill="1" applyBorder="1" applyAlignment="1"/>
    <xf numFmtId="14" fontId="10" fillId="0" borderId="0" xfId="13" applyNumberFormat="1" applyFont="1" applyFill="1" applyBorder="1" applyAlignment="1">
      <alignment horizontal="center"/>
    </xf>
    <xf numFmtId="41" fontId="7" fillId="0" borderId="0" xfId="13" applyNumberFormat="1" applyFont="1" applyFill="1" applyBorder="1" applyAlignment="1">
      <alignment horizontal="left"/>
    </xf>
    <xf numFmtId="3" fontId="7" fillId="0" borderId="0" xfId="12" applyNumberFormat="1" applyFont="1" applyFill="1"/>
    <xf numFmtId="41" fontId="7" fillId="0" borderId="0" xfId="13" applyNumberFormat="1" applyFont="1" applyFill="1" applyBorder="1" applyProtection="1">
      <protection locked="0"/>
    </xf>
    <xf numFmtId="41" fontId="11" fillId="0" borderId="0" xfId="12" applyNumberFormat="1" applyFont="1" applyFill="1" applyAlignment="1">
      <alignment horizontal="right"/>
    </xf>
    <xf numFmtId="41" fontId="7" fillId="0" borderId="1" xfId="13" applyNumberFormat="1" applyFont="1" applyFill="1" applyBorder="1"/>
    <xf numFmtId="41" fontId="7" fillId="0" borderId="0" xfId="12" applyNumberFormat="1" applyFont="1" applyFill="1" applyBorder="1"/>
    <xf numFmtId="0" fontId="7" fillId="0" borderId="0" xfId="12" applyFont="1" applyFill="1" applyBorder="1"/>
    <xf numFmtId="171" fontId="11" fillId="0" borderId="0" xfId="0" applyNumberFormat="1" applyFont="1" applyFill="1"/>
    <xf numFmtId="172" fontId="7" fillId="0" borderId="0" xfId="0" applyNumberFormat="1" applyFont="1" applyFill="1"/>
    <xf numFmtId="172" fontId="8" fillId="0" borderId="0" xfId="0" applyNumberFormat="1" applyFont="1" applyFill="1"/>
    <xf numFmtId="172" fontId="6" fillId="0" borderId="0" xfId="0" applyNumberFormat="1" applyFont="1" applyFill="1"/>
    <xf numFmtId="173" fontId="8" fillId="0" borderId="0" xfId="0" applyNumberFormat="1" applyFont="1" applyFill="1"/>
    <xf numFmtId="172" fontId="11" fillId="0" borderId="0" xfId="0" applyNumberFormat="1" applyFont="1" applyFill="1"/>
    <xf numFmtId="173" fontId="11" fillId="0" borderId="0" xfId="0" applyNumberFormat="1" applyFont="1" applyFill="1"/>
    <xf numFmtId="41" fontId="14" fillId="0" borderId="0" xfId="0" applyNumberFormat="1" applyFont="1" applyFill="1"/>
    <xf numFmtId="172" fontId="14" fillId="0" borderId="0" xfId="0" applyNumberFormat="1" applyFont="1" applyFill="1"/>
    <xf numFmtId="172" fontId="7" fillId="0" borderId="1" xfId="0" applyNumberFormat="1" applyFont="1" applyFill="1" applyBorder="1"/>
    <xf numFmtId="41" fontId="10" fillId="0" borderId="0" xfId="13" applyNumberFormat="1" applyFont="1" applyFill="1" applyBorder="1" applyAlignment="1">
      <alignment horizontal="center"/>
    </xf>
    <xf numFmtId="41" fontId="7" fillId="0" borderId="0" xfId="13" applyNumberFormat="1" applyFont="1" applyFill="1" applyBorder="1" applyAlignment="1">
      <alignment horizontal="right"/>
    </xf>
    <xf numFmtId="41" fontId="6" fillId="0" borderId="0" xfId="13" applyNumberFormat="1" applyFont="1" applyFill="1" applyBorder="1" applyAlignment="1">
      <alignment horizontal="right"/>
    </xf>
    <xf numFmtId="41" fontId="9" fillId="0" borderId="0" xfId="0" applyNumberFormat="1" applyFont="1" applyFill="1" applyBorder="1" applyAlignment="1">
      <alignment horizontal="center"/>
    </xf>
    <xf numFmtId="41" fontId="17" fillId="0" borderId="0" xfId="0" applyNumberFormat="1" applyFont="1" applyFill="1" applyBorder="1" applyAlignment="1">
      <alignment horizontal="center"/>
    </xf>
    <xf numFmtId="41" fontId="8"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0" fontId="6" fillId="0" borderId="0" xfId="0" applyFont="1" applyFill="1" applyBorder="1" applyAlignment="1">
      <alignment horizontal="right"/>
    </xf>
    <xf numFmtId="43" fontId="7" fillId="0" borderId="0" xfId="13" applyNumberFormat="1" applyFont="1" applyFill="1"/>
    <xf numFmtId="41" fontId="12" fillId="0" borderId="0" xfId="13" applyNumberFormat="1" applyFont="1" applyFill="1" applyAlignment="1">
      <alignment horizontal="center"/>
    </xf>
    <xf numFmtId="41" fontId="7" fillId="0" borderId="0" xfId="13" applyNumberFormat="1" applyFont="1" applyFill="1"/>
    <xf numFmtId="41" fontId="8" fillId="0" borderId="0" xfId="13" applyNumberFormat="1" applyFont="1" applyFill="1"/>
    <xf numFmtId="41" fontId="7" fillId="0" borderId="0" xfId="13" applyNumberFormat="1" applyFont="1" applyFill="1" applyAlignment="1">
      <alignment horizontal="right"/>
    </xf>
    <xf numFmtId="41" fontId="8" fillId="0" borderId="0" xfId="0" applyNumberFormat="1" applyFont="1" applyFill="1" applyAlignment="1">
      <alignment horizontal="center"/>
    </xf>
    <xf numFmtId="174" fontId="7" fillId="0" borderId="0" xfId="0" applyNumberFormat="1" applyFont="1" applyFill="1"/>
    <xf numFmtId="41" fontId="11" fillId="0" borderId="1" xfId="0" applyNumberFormat="1" applyFont="1" applyFill="1" applyBorder="1"/>
    <xf numFmtId="0" fontId="2" fillId="0" borderId="0" xfId="0" quotePrefix="1" applyFont="1" applyFill="1"/>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6" fillId="0" borderId="0" xfId="0" applyFont="1" applyFill="1" applyBorder="1" applyAlignment="1">
      <alignment horizontal="center"/>
    </xf>
    <xf numFmtId="0" fontId="9" fillId="0" borderId="0" xfId="0" applyFont="1" applyFill="1" applyBorder="1" applyAlignment="1">
      <alignment horizontal="center"/>
    </xf>
    <xf numFmtId="0" fontId="7" fillId="0" borderId="0" xfId="12" applyFont="1" applyFill="1"/>
    <xf numFmtId="0" fontId="10" fillId="0" borderId="0" xfId="0" applyFont="1" applyFill="1" applyAlignment="1">
      <alignment horizontal="center"/>
    </xf>
    <xf numFmtId="0" fontId="7" fillId="0" borderId="0" xfId="0" applyFont="1" applyFill="1"/>
    <xf numFmtId="10" fontId="7" fillId="0" borderId="0" xfId="10" applyNumberFormat="1" applyFont="1" applyFill="1"/>
    <xf numFmtId="10" fontId="7" fillId="0" borderId="0" xfId="10" applyNumberFormat="1" applyFont="1" applyFill="1" applyBorder="1"/>
    <xf numFmtId="41" fontId="6" fillId="0" borderId="0" xfId="12" applyNumberFormat="1" applyFont="1" applyFill="1"/>
    <xf numFmtId="43" fontId="22" fillId="0" borderId="0" xfId="14" applyNumberFormat="1" applyFont="1" applyFill="1"/>
    <xf numFmtId="41" fontId="8" fillId="0" borderId="0" xfId="12" applyNumberFormat="1" applyFont="1" applyFill="1" applyBorder="1"/>
    <xf numFmtId="0" fontId="18" fillId="0" borderId="0" xfId="0" applyFont="1" applyFill="1"/>
    <xf numFmtId="41" fontId="26" fillId="0" borderId="0" xfId="0" applyNumberFormat="1" applyFont="1" applyFill="1"/>
    <xf numFmtId="172" fontId="7" fillId="0" borderId="0" xfId="11" applyNumberFormat="1" applyFont="1" applyFill="1" applyBorder="1"/>
    <xf numFmtId="172" fontId="7" fillId="0" borderId="0" xfId="0" applyNumberFormat="1" applyFont="1" applyFill="1" applyBorder="1"/>
    <xf numFmtId="43" fontId="30" fillId="0" borderId="0" xfId="0" applyNumberFormat="1" applyFont="1" applyFill="1"/>
    <xf numFmtId="173" fontId="6" fillId="0" borderId="0" xfId="0" applyNumberFormat="1" applyFont="1" applyFill="1"/>
    <xf numFmtId="173" fontId="7" fillId="0" borderId="0" xfId="0" applyNumberFormat="1" applyFont="1" applyFill="1" applyBorder="1"/>
    <xf numFmtId="44" fontId="7" fillId="0" borderId="0" xfId="0" applyNumberFormat="1" applyFont="1" applyFill="1" applyAlignment="1">
      <alignment horizontal="left"/>
    </xf>
    <xf numFmtId="171" fontId="6" fillId="0" borderId="0" xfId="0" applyNumberFormat="1" applyFont="1" applyFill="1"/>
    <xf numFmtId="44" fontId="7" fillId="0" borderId="0" xfId="0" applyNumberFormat="1" applyFont="1" applyFill="1" applyBorder="1"/>
    <xf numFmtId="44" fontId="7" fillId="0" borderId="0" xfId="0" applyNumberFormat="1" applyFont="1" applyFill="1"/>
    <xf numFmtId="0" fontId="30" fillId="0" borderId="0" xfId="0" applyFont="1" applyFill="1"/>
    <xf numFmtId="3" fontId="30" fillId="0" borderId="0" xfId="0" applyNumberFormat="1" applyFont="1" applyFill="1"/>
    <xf numFmtId="0" fontId="9" fillId="0" borderId="0" xfId="0" applyFont="1" applyFill="1"/>
    <xf numFmtId="0" fontId="27" fillId="0" borderId="0" xfId="0" applyFont="1" applyFill="1"/>
    <xf numFmtId="41" fontId="30" fillId="0" borderId="0" xfId="0" applyNumberFormat="1" applyFont="1" applyFill="1"/>
    <xf numFmtId="41" fontId="31" fillId="0" borderId="0" xfId="0" applyNumberFormat="1" applyFont="1" applyFill="1"/>
    <xf numFmtId="0" fontId="7" fillId="0" borderId="0" xfId="0" applyFont="1" applyFill="1"/>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7" fillId="0" borderId="0" xfId="12" applyFont="1" applyFill="1"/>
    <xf numFmtId="0" fontId="7" fillId="0" borderId="0" xfId="0" applyFont="1" applyFill="1"/>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7" fillId="0" borderId="0" xfId="12" applyFont="1" applyFill="1"/>
    <xf numFmtId="0" fontId="7" fillId="0" borderId="0" xfId="0" applyFont="1" applyFill="1"/>
    <xf numFmtId="0" fontId="10" fillId="0" borderId="0" xfId="0" applyFont="1" applyFill="1" applyAlignment="1">
      <alignment horizontal="center"/>
    </xf>
    <xf numFmtId="0" fontId="6" fillId="0" borderId="0" xfId="0" applyFont="1" applyFill="1" applyAlignment="1">
      <alignment horizontal="center"/>
    </xf>
    <xf numFmtId="0" fontId="7" fillId="0" borderId="0" xfId="0" applyFont="1" applyFill="1"/>
    <xf numFmtId="0" fontId="6" fillId="0" borderId="0" xfId="12" applyFont="1" applyFill="1" applyAlignment="1">
      <alignment horizontal="center"/>
    </xf>
    <xf numFmtId="0" fontId="7" fillId="0" borderId="0" xfId="12" applyFont="1" applyFill="1"/>
    <xf numFmtId="41" fontId="8" fillId="0" borderId="0" xfId="0" applyNumberFormat="1" applyFont="1" applyFill="1" applyAlignment="1">
      <alignment horizontal="center"/>
    </xf>
    <xf numFmtId="0" fontId="8" fillId="0" borderId="0" xfId="0" applyFont="1" applyFill="1" applyAlignment="1">
      <alignment horizontal="center"/>
    </xf>
    <xf numFmtId="0" fontId="10" fillId="0" borderId="0" xfId="0" applyFont="1" applyFill="1" applyAlignment="1">
      <alignment horizontal="center"/>
    </xf>
  </cellXfs>
  <cellStyles count="15">
    <cellStyle name="Comma" xfId="11" builtinId="3"/>
    <cellStyle name="Comma 2" xfId="1"/>
    <cellStyle name="Currency" xfId="2" builtinId="4"/>
    <cellStyle name="Normal" xfId="0" builtinId="0"/>
    <cellStyle name="Normal 2" xfId="3"/>
    <cellStyle name="Normal 2 2" xfId="13"/>
    <cellStyle name="Normal 3" xfId="4"/>
    <cellStyle name="Normal 3 2" xfId="14"/>
    <cellStyle name="Normal 4" xfId="12"/>
    <cellStyle name="Normal_03-fire" xfId="5"/>
    <cellStyle name="Normal_04-police" xfId="6"/>
    <cellStyle name="Normal_08-highway" xfId="7"/>
    <cellStyle name="Normal_budget detail 2006-07" xfId="8"/>
    <cellStyle name="Normal_Highway Parks Solid Waste EquipMaint Budgets" xfId="9"/>
    <cellStyle name="Percent"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udget%20detail%20200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bob/LOCALS~1/Temp/Administrator/Local%20Settings/Temporary%20Internet%20Files/Content.IE5/YNCLY5G7/budget%20detail%20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aul.MERRNET/My%20Documents/budget%202009-10/voted/Approved%20budget%20detail%202009-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Boland/AppData/Local/Microsoft/Windows/INetCache/Content.Outlook/EQQI1HZO/LBOT%20voted%20LIBRARY%20DEPT%202021-22%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SUMMARY BY FUND"/>
      <sheetName val="CRF"/>
      <sheetName val="revenue  (2)"/>
      <sheetName val="revenue "/>
      <sheetName val="01-gen gov"/>
      <sheetName val="02-assessing"/>
      <sheetName val="03-fire"/>
      <sheetName val="04-police"/>
      <sheetName val="05-comm"/>
      <sheetName val="06-code enforcement"/>
      <sheetName val="07-pub works"/>
      <sheetName val="08-highway"/>
      <sheetName val="09-solid waste"/>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43- WWTF capital Project"/>
      <sheetName val="45- capital Projects fund"/>
      <sheetName val="-other SPECIAL REVENUE FUNDING"/>
      <sheetName val="Revolving Fund"/>
    </sheetNames>
    <sheetDataSet>
      <sheetData sheetId="0"/>
      <sheetData sheetId="1">
        <row r="1">
          <cell r="A1" t="str">
            <v>2021-22 BUDGET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J290"/>
  <sheetViews>
    <sheetView view="pageBreakPreview" zoomScaleNormal="100" zoomScaleSheetLayoutView="100" workbookViewId="0">
      <pane ySplit="5" topLeftCell="A118" activePane="bottomLeft" state="frozen"/>
      <selection pane="bottomLeft" sqref="A1:J1"/>
    </sheetView>
  </sheetViews>
  <sheetFormatPr defaultColWidth="8.85546875" defaultRowHeight="12.75" x14ac:dyDescent="0.2"/>
  <cols>
    <col min="1" max="1" width="53.7109375" style="2" customWidth="1"/>
    <col min="2" max="2" width="8.7109375" style="2" bestFit="1" customWidth="1"/>
    <col min="3" max="3" width="10.42578125" style="2" customWidth="1"/>
    <col min="4" max="4" width="11.42578125" style="2" customWidth="1"/>
    <col min="5" max="7" width="10.85546875" style="2" customWidth="1"/>
    <col min="8" max="8" width="13.28515625" style="2" customWidth="1"/>
    <col min="9" max="10" width="10.85546875" style="2" customWidth="1"/>
    <col min="11" max="16384" width="8.85546875" style="2"/>
  </cols>
  <sheetData>
    <row r="1" spans="1:10" x14ac:dyDescent="0.2">
      <c r="A1" s="261" t="s">
        <v>1965</v>
      </c>
      <c r="B1" s="262"/>
      <c r="C1" s="262"/>
      <c r="D1" s="262"/>
      <c r="E1" s="262"/>
      <c r="F1" s="262"/>
      <c r="G1" s="262"/>
      <c r="H1" s="262"/>
      <c r="I1" s="262"/>
      <c r="J1" s="262"/>
    </row>
    <row r="2" spans="1:10" ht="18.75" x14ac:dyDescent="0.3">
      <c r="A2" s="109" t="s">
        <v>1631</v>
      </c>
      <c r="B2" s="108"/>
      <c r="C2" s="108"/>
      <c r="D2" s="108"/>
      <c r="E2" s="108"/>
      <c r="F2" s="108"/>
    </row>
    <row r="4" spans="1:10" x14ac:dyDescent="0.2">
      <c r="E4" s="15" t="s">
        <v>207</v>
      </c>
      <c r="F4" s="15" t="s">
        <v>208</v>
      </c>
      <c r="G4" s="15" t="s">
        <v>63</v>
      </c>
      <c r="H4" s="15" t="s">
        <v>362</v>
      </c>
      <c r="I4" s="15" t="s">
        <v>274</v>
      </c>
      <c r="J4" s="15" t="s">
        <v>305</v>
      </c>
    </row>
    <row r="5" spans="1:10" ht="15" x14ac:dyDescent="0.35">
      <c r="E5" s="221" t="s">
        <v>1759</v>
      </c>
      <c r="F5" s="221" t="s">
        <v>1857</v>
      </c>
      <c r="G5" s="221" t="s">
        <v>1966</v>
      </c>
      <c r="H5" s="221" t="s">
        <v>1966</v>
      </c>
      <c r="I5" s="221" t="s">
        <v>1966</v>
      </c>
      <c r="J5" s="221" t="s">
        <v>1966</v>
      </c>
    </row>
    <row r="6" spans="1:10" ht="13.5" x14ac:dyDescent="0.25">
      <c r="A6" s="48" t="s">
        <v>1084</v>
      </c>
      <c r="E6" s="2">
        <v>27200</v>
      </c>
      <c r="F6" s="2">
        <v>27200</v>
      </c>
      <c r="G6" s="2">
        <v>27200</v>
      </c>
      <c r="H6" s="2">
        <v>27200</v>
      </c>
      <c r="I6" s="2">
        <v>27200</v>
      </c>
      <c r="J6" s="2">
        <v>27200</v>
      </c>
    </row>
    <row r="7" spans="1:10" x14ac:dyDescent="0.2">
      <c r="A7" s="2" t="s">
        <v>434</v>
      </c>
      <c r="B7" s="2">
        <v>7</v>
      </c>
      <c r="C7" s="2">
        <v>3600</v>
      </c>
      <c r="D7" s="2">
        <f>ROUND(B7*C7,0)</f>
        <v>25200</v>
      </c>
    </row>
    <row r="8" spans="1:10" ht="15" x14ac:dyDescent="0.35">
      <c r="A8" s="2" t="s">
        <v>1085</v>
      </c>
      <c r="B8" s="2">
        <v>1</v>
      </c>
      <c r="C8" s="2">
        <v>2000</v>
      </c>
      <c r="D8" s="10">
        <f>ROUND(B8*C8,0)</f>
        <v>2000</v>
      </c>
    </row>
    <row r="9" spans="1:10" x14ac:dyDescent="0.2">
      <c r="A9" s="2" t="s">
        <v>1086</v>
      </c>
      <c r="D9" s="2">
        <f>SUM(D7:D8)</f>
        <v>27200</v>
      </c>
    </row>
    <row r="11" spans="1:10" ht="13.5" x14ac:dyDescent="0.25">
      <c r="A11" s="48" t="s">
        <v>361</v>
      </c>
      <c r="E11" s="2">
        <v>428216</v>
      </c>
      <c r="F11" s="2">
        <v>437057</v>
      </c>
      <c r="G11" s="2">
        <v>539170</v>
      </c>
      <c r="H11" s="2">
        <v>537050</v>
      </c>
      <c r="I11" s="2">
        <v>545742</v>
      </c>
      <c r="J11" s="2">
        <v>545742</v>
      </c>
    </row>
    <row r="12" spans="1:10" x14ac:dyDescent="0.2">
      <c r="A12" s="2" t="s">
        <v>362</v>
      </c>
      <c r="B12" s="2">
        <v>52</v>
      </c>
      <c r="C12" s="2">
        <v>2896</v>
      </c>
      <c r="D12" s="2">
        <f>ROUND(B12*C12,0)</f>
        <v>150592</v>
      </c>
    </row>
    <row r="13" spans="1:10" x14ac:dyDescent="0.2">
      <c r="A13" s="2" t="s">
        <v>1499</v>
      </c>
      <c r="B13" s="2">
        <v>52</v>
      </c>
      <c r="C13" s="2">
        <v>2308</v>
      </c>
      <c r="D13" s="2">
        <f>ROUND(B13*C13,0)</f>
        <v>120016</v>
      </c>
    </row>
    <row r="14" spans="1:10" x14ac:dyDescent="0.2">
      <c r="A14" s="2" t="s">
        <v>1353</v>
      </c>
      <c r="B14" s="2">
        <v>52</v>
      </c>
      <c r="C14" s="2">
        <v>1661</v>
      </c>
      <c r="D14" s="2">
        <f>ROUND(B14*C14,0)</f>
        <v>86372</v>
      </c>
    </row>
    <row r="15" spans="1:10" x14ac:dyDescent="0.2">
      <c r="A15" s="2" t="s">
        <v>248</v>
      </c>
      <c r="B15" s="2">
        <v>52</v>
      </c>
      <c r="C15" s="2">
        <v>1551</v>
      </c>
      <c r="D15" s="2">
        <f>ROUND(B15*C15,0)</f>
        <v>80652</v>
      </c>
    </row>
    <row r="16" spans="1:10" x14ac:dyDescent="0.2">
      <c r="A16" s="2" t="s">
        <v>1622</v>
      </c>
      <c r="B16" s="2">
        <v>52</v>
      </c>
      <c r="C16" s="2">
        <v>1781</v>
      </c>
      <c r="D16" s="2">
        <f>ROUND(B16*C16,0)</f>
        <v>92612</v>
      </c>
    </row>
    <row r="17" spans="1:10" x14ac:dyDescent="0.2">
      <c r="A17" s="2" t="s">
        <v>2139</v>
      </c>
      <c r="B17" s="2">
        <v>1</v>
      </c>
      <c r="C17" s="2">
        <f>SUM(C12:C16)</f>
        <v>10197</v>
      </c>
      <c r="D17" s="2">
        <f>+C17*B17</f>
        <v>10197</v>
      </c>
    </row>
    <row r="18" spans="1:10" ht="15" x14ac:dyDescent="0.35">
      <c r="A18" s="2" t="s">
        <v>833</v>
      </c>
      <c r="D18" s="10">
        <v>5301</v>
      </c>
    </row>
    <row r="19" spans="1:10" x14ac:dyDescent="0.2">
      <c r="D19" s="2">
        <f>SUM(D12:D18)</f>
        <v>545742</v>
      </c>
    </row>
    <row r="21" spans="1:10" ht="13.5" x14ac:dyDescent="0.25">
      <c r="A21" s="48" t="s">
        <v>295</v>
      </c>
      <c r="E21" s="2">
        <v>336380</v>
      </c>
      <c r="F21" s="2">
        <v>371112</v>
      </c>
      <c r="G21" s="2">
        <v>320461</v>
      </c>
      <c r="H21" s="2">
        <v>320461</v>
      </c>
      <c r="I21" s="2">
        <v>326821</v>
      </c>
      <c r="J21" s="2">
        <v>326821</v>
      </c>
    </row>
    <row r="22" spans="1:10" x14ac:dyDescent="0.2">
      <c r="A22" s="2" t="s">
        <v>632</v>
      </c>
      <c r="B22" s="2">
        <v>52</v>
      </c>
      <c r="C22" s="2">
        <v>911</v>
      </c>
      <c r="D22" s="2">
        <f t="shared" ref="D22:D28" si="0">ROUND(B22*C22,0)</f>
        <v>47372</v>
      </c>
    </row>
    <row r="23" spans="1:10" x14ac:dyDescent="0.2">
      <c r="A23" s="2" t="s">
        <v>946</v>
      </c>
      <c r="B23" s="2">
        <v>52</v>
      </c>
      <c r="C23" s="2">
        <v>788</v>
      </c>
      <c r="D23" s="2">
        <f t="shared" si="0"/>
        <v>40976</v>
      </c>
    </row>
    <row r="24" spans="1:10" x14ac:dyDescent="0.2">
      <c r="A24" s="2" t="s">
        <v>154</v>
      </c>
      <c r="B24" s="2">
        <v>52</v>
      </c>
      <c r="C24" s="2">
        <v>1114</v>
      </c>
      <c r="D24" s="2">
        <f t="shared" si="0"/>
        <v>57928</v>
      </c>
    </row>
    <row r="25" spans="1:10" x14ac:dyDescent="0.2">
      <c r="A25" s="2" t="s">
        <v>395</v>
      </c>
      <c r="B25" s="2">
        <v>52</v>
      </c>
      <c r="C25" s="2">
        <v>971</v>
      </c>
      <c r="D25" s="2">
        <f t="shared" si="0"/>
        <v>50492</v>
      </c>
    </row>
    <row r="26" spans="1:10" x14ac:dyDescent="0.2">
      <c r="A26" s="2" t="s">
        <v>395</v>
      </c>
      <c r="B26" s="2">
        <v>52</v>
      </c>
      <c r="C26" s="2">
        <v>1012</v>
      </c>
      <c r="D26" s="2">
        <f t="shared" si="0"/>
        <v>52624</v>
      </c>
    </row>
    <row r="27" spans="1:10" x14ac:dyDescent="0.2">
      <c r="A27" s="2" t="s">
        <v>1622</v>
      </c>
      <c r="B27" s="2">
        <v>52</v>
      </c>
      <c r="C27" s="2">
        <v>0</v>
      </c>
      <c r="D27" s="2">
        <f t="shared" si="0"/>
        <v>0</v>
      </c>
    </row>
    <row r="28" spans="1:10" x14ac:dyDescent="0.2">
      <c r="A28" s="2" t="s">
        <v>1982</v>
      </c>
      <c r="B28" s="2">
        <v>52</v>
      </c>
      <c r="C28" s="2">
        <v>1301</v>
      </c>
      <c r="D28" s="2">
        <f t="shared" si="0"/>
        <v>67652</v>
      </c>
    </row>
    <row r="29" spans="1:10" x14ac:dyDescent="0.2">
      <c r="A29" s="2" t="s">
        <v>2139</v>
      </c>
      <c r="B29" s="2">
        <v>1</v>
      </c>
      <c r="C29" s="2">
        <f>SUM(C22:C28)</f>
        <v>6097</v>
      </c>
      <c r="D29" s="2">
        <f>+C29*B29</f>
        <v>6097</v>
      </c>
    </row>
    <row r="30" spans="1:10" ht="15" x14ac:dyDescent="0.35">
      <c r="A30" s="2" t="s">
        <v>833</v>
      </c>
      <c r="B30" s="2" t="s">
        <v>349</v>
      </c>
      <c r="C30" s="2" t="s">
        <v>349</v>
      </c>
      <c r="D30" s="10">
        <v>3680</v>
      </c>
    </row>
    <row r="31" spans="1:10" x14ac:dyDescent="0.2">
      <c r="A31" s="2" t="s">
        <v>1086</v>
      </c>
      <c r="D31" s="2">
        <f>SUM(D22:D30)</f>
        <v>326821</v>
      </c>
    </row>
    <row r="33" spans="1:10" ht="13.5" x14ac:dyDescent="0.25">
      <c r="A33" s="48" t="s">
        <v>350</v>
      </c>
      <c r="E33" s="2">
        <v>7486</v>
      </c>
      <c r="F33" s="2">
        <v>8861</v>
      </c>
      <c r="G33" s="2">
        <v>8869</v>
      </c>
      <c r="H33" s="2">
        <v>8869</v>
      </c>
      <c r="I33" s="2">
        <v>44361</v>
      </c>
      <c r="J33" s="2">
        <v>44361</v>
      </c>
    </row>
    <row r="34" spans="1:10" x14ac:dyDescent="0.2">
      <c r="A34" s="2" t="s">
        <v>1279</v>
      </c>
      <c r="B34" s="2">
        <v>530</v>
      </c>
      <c r="C34" s="11">
        <v>9.4600000000000009</v>
      </c>
      <c r="D34" s="2">
        <f>ROUND(B34*C34,0)</f>
        <v>5014</v>
      </c>
    </row>
    <row r="35" spans="1:10" x14ac:dyDescent="0.2">
      <c r="A35" s="2" t="s">
        <v>1354</v>
      </c>
      <c r="B35" s="2">
        <v>225</v>
      </c>
      <c r="C35" s="11">
        <v>17.93</v>
      </c>
      <c r="D35" s="2">
        <f>ROUND(B35*C35,0)</f>
        <v>4034</v>
      </c>
    </row>
    <row r="36" spans="1:10" ht="15" x14ac:dyDescent="0.35">
      <c r="A36" s="47" t="s">
        <v>2153</v>
      </c>
      <c r="B36" s="2">
        <v>1455</v>
      </c>
      <c r="C36" s="11">
        <v>24.27</v>
      </c>
      <c r="D36" s="10">
        <f>ROUND(B36*C36,0)</f>
        <v>35313</v>
      </c>
    </row>
    <row r="37" spans="1:10" x14ac:dyDescent="0.2">
      <c r="C37" s="11"/>
      <c r="D37" s="2">
        <f>SUM(D34:D36)</f>
        <v>44361</v>
      </c>
    </row>
    <row r="38" spans="1:10" x14ac:dyDescent="0.2">
      <c r="C38" s="11"/>
    </row>
    <row r="39" spans="1:10" ht="13.5" x14ac:dyDescent="0.25">
      <c r="A39" s="48" t="s">
        <v>694</v>
      </c>
      <c r="C39" s="11"/>
      <c r="E39" s="2">
        <v>24822</v>
      </c>
      <c r="F39" s="2">
        <v>7379</v>
      </c>
      <c r="G39" s="2">
        <v>8218</v>
      </c>
      <c r="H39" s="2">
        <v>8218</v>
      </c>
      <c r="I39" s="2">
        <v>8383</v>
      </c>
      <c r="J39" s="2">
        <v>8383</v>
      </c>
    </row>
    <row r="40" spans="1:10" x14ac:dyDescent="0.2">
      <c r="A40" s="220" t="s">
        <v>1858</v>
      </c>
      <c r="B40" s="2">
        <v>220</v>
      </c>
      <c r="C40" s="11">
        <f>SUM(C22:C28)/40/6*1.5</f>
        <v>38.106250000000003</v>
      </c>
      <c r="D40" s="2">
        <f>+C40*B40</f>
        <v>8383.375</v>
      </c>
    </row>
    <row r="41" spans="1:10" x14ac:dyDescent="0.2">
      <c r="A41" s="2" t="s">
        <v>349</v>
      </c>
      <c r="B41" s="2" t="s">
        <v>349</v>
      </c>
      <c r="C41" s="2" t="s">
        <v>349</v>
      </c>
      <c r="D41" s="2" t="s">
        <v>349</v>
      </c>
    </row>
    <row r="42" spans="1:10" ht="13.5" x14ac:dyDescent="0.25">
      <c r="A42" s="48" t="s">
        <v>155</v>
      </c>
      <c r="E42" s="2">
        <v>64241</v>
      </c>
      <c r="F42" s="2">
        <v>62650</v>
      </c>
      <c r="G42" s="2">
        <v>66923</v>
      </c>
      <c r="H42" s="2">
        <v>66761</v>
      </c>
      <c r="I42" s="2">
        <v>70641</v>
      </c>
      <c r="J42" s="2">
        <v>70641</v>
      </c>
    </row>
    <row r="43" spans="1:10" hidden="1" x14ac:dyDescent="0.2">
      <c r="A43" s="46" t="s">
        <v>156</v>
      </c>
      <c r="B43" s="2">
        <f>+D9</f>
        <v>27200</v>
      </c>
      <c r="C43" s="13">
        <v>1.4500000000000001E-2</v>
      </c>
      <c r="D43" s="2">
        <f>ROUND(B43*C43,0)</f>
        <v>394</v>
      </c>
    </row>
    <row r="44" spans="1:10" hidden="1" x14ac:dyDescent="0.2">
      <c r="A44" s="46" t="s">
        <v>157</v>
      </c>
      <c r="B44" s="2">
        <v>141900</v>
      </c>
      <c r="C44" s="13">
        <v>7.6499999999999999E-2</v>
      </c>
      <c r="D44" s="2">
        <f t="shared" ref="D44:D49" si="1">ROUND(B44*C44,0)</f>
        <v>10855</v>
      </c>
    </row>
    <row r="45" spans="1:10" hidden="1" x14ac:dyDescent="0.2">
      <c r="A45" s="2" t="s">
        <v>157</v>
      </c>
      <c r="B45" s="2">
        <f>IF((D12)&gt;141900,+D12+-141900,D12)</f>
        <v>8692</v>
      </c>
      <c r="C45" s="13">
        <v>1.4500000000000001E-2</v>
      </c>
      <c r="D45" s="2">
        <f t="shared" si="1"/>
        <v>126</v>
      </c>
    </row>
    <row r="46" spans="1:10" hidden="1" x14ac:dyDescent="0.2">
      <c r="A46" s="46" t="s">
        <v>1224</v>
      </c>
      <c r="B46" s="2">
        <f>SUM(D13:D18)</f>
        <v>395150</v>
      </c>
      <c r="C46" s="13">
        <v>7.6499999999999999E-2</v>
      </c>
      <c r="D46" s="2">
        <f t="shared" si="1"/>
        <v>30229</v>
      </c>
    </row>
    <row r="47" spans="1:10" hidden="1" x14ac:dyDescent="0.2">
      <c r="A47" s="46" t="s">
        <v>695</v>
      </c>
      <c r="B47" s="2">
        <f>+D31</f>
        <v>326821</v>
      </c>
      <c r="C47" s="13">
        <v>7.6499999999999999E-2</v>
      </c>
      <c r="D47" s="2">
        <f t="shared" si="1"/>
        <v>25002</v>
      </c>
    </row>
    <row r="48" spans="1:10" hidden="1" x14ac:dyDescent="0.2">
      <c r="A48" s="46" t="s">
        <v>158</v>
      </c>
      <c r="B48" s="2">
        <f>+D37</f>
        <v>44361</v>
      </c>
      <c r="C48" s="13">
        <v>7.6499999999999999E-2</v>
      </c>
      <c r="D48" s="2">
        <f t="shared" si="1"/>
        <v>3394</v>
      </c>
    </row>
    <row r="49" spans="1:10" ht="15" hidden="1" x14ac:dyDescent="0.35">
      <c r="A49" s="46" t="s">
        <v>159</v>
      </c>
      <c r="B49" s="2">
        <f>+D40</f>
        <v>8383.375</v>
      </c>
      <c r="C49" s="13">
        <v>7.6499999999999999E-2</v>
      </c>
      <c r="D49" s="10">
        <f t="shared" si="1"/>
        <v>641</v>
      </c>
    </row>
    <row r="50" spans="1:10" hidden="1" x14ac:dyDescent="0.2">
      <c r="A50" s="2" t="s">
        <v>1086</v>
      </c>
      <c r="C50" s="13"/>
      <c r="D50" s="2">
        <f>SUM(D43:D49)</f>
        <v>70641</v>
      </c>
    </row>
    <row r="51" spans="1:10" x14ac:dyDescent="0.2">
      <c r="C51" s="13"/>
    </row>
    <row r="52" spans="1:10" ht="13.5" x14ac:dyDescent="0.25">
      <c r="A52" s="48" t="s">
        <v>1660</v>
      </c>
      <c r="C52" s="13"/>
      <c r="E52" s="2">
        <v>77371</v>
      </c>
      <c r="F52" s="2">
        <v>91094</v>
      </c>
      <c r="G52" s="2">
        <v>122018</v>
      </c>
      <c r="H52" s="2">
        <v>121720</v>
      </c>
      <c r="I52" s="2">
        <v>123859</v>
      </c>
      <c r="J52" s="2">
        <v>123859</v>
      </c>
    </row>
    <row r="53" spans="1:10" hidden="1" x14ac:dyDescent="0.2">
      <c r="A53" s="46" t="s">
        <v>1095</v>
      </c>
      <c r="B53" s="2">
        <f>+D9</f>
        <v>27200</v>
      </c>
      <c r="C53" s="13">
        <v>0</v>
      </c>
      <c r="D53" s="2">
        <f>+C53*B53</f>
        <v>0</v>
      </c>
    </row>
    <row r="54" spans="1:10" hidden="1" x14ac:dyDescent="0.2">
      <c r="A54" s="46" t="s">
        <v>157</v>
      </c>
      <c r="B54" s="2">
        <f>+D12</f>
        <v>150592</v>
      </c>
      <c r="C54" s="227">
        <v>0.1406</v>
      </c>
      <c r="D54" s="2">
        <f>+C54*B54</f>
        <v>21173.235199999999</v>
      </c>
    </row>
    <row r="55" spans="1:10" hidden="1" x14ac:dyDescent="0.2">
      <c r="A55" s="46" t="s">
        <v>1096</v>
      </c>
      <c r="B55" s="2">
        <f>+D19-B54</f>
        <v>395150</v>
      </c>
      <c r="C55" s="227">
        <v>0.1406</v>
      </c>
      <c r="D55" s="2">
        <f>ROUND(B55*C55,0)</f>
        <v>55558</v>
      </c>
    </row>
    <row r="56" spans="1:10" hidden="1" x14ac:dyDescent="0.2">
      <c r="A56" s="2" t="s">
        <v>958</v>
      </c>
      <c r="B56" s="2">
        <f>+D27</f>
        <v>0</v>
      </c>
      <c r="C56" s="227">
        <v>0.1406</v>
      </c>
      <c r="D56" s="2">
        <f>ROUND(B56*C56,0)</f>
        <v>0</v>
      </c>
    </row>
    <row r="57" spans="1:10" hidden="1" x14ac:dyDescent="0.2">
      <c r="A57" s="2" t="s">
        <v>1097</v>
      </c>
      <c r="B57" s="2">
        <f>+D31-D27</f>
        <v>326821</v>
      </c>
      <c r="C57" s="227">
        <v>0.1406</v>
      </c>
      <c r="D57" s="2">
        <f>ROUND(B57*C57,0)</f>
        <v>45951</v>
      </c>
    </row>
    <row r="58" spans="1:10" ht="15" hidden="1" x14ac:dyDescent="0.35">
      <c r="A58" s="46" t="s">
        <v>1225</v>
      </c>
      <c r="B58" s="2">
        <f>+D40</f>
        <v>8383.375</v>
      </c>
      <c r="C58" s="227">
        <v>0.1406</v>
      </c>
      <c r="D58" s="10">
        <f>ROUND(B58*C58,0)</f>
        <v>1179</v>
      </c>
    </row>
    <row r="59" spans="1:10" hidden="1" x14ac:dyDescent="0.2">
      <c r="A59" s="2" t="s">
        <v>1086</v>
      </c>
      <c r="D59" s="2">
        <f>SUM(D53:D58)-2</f>
        <v>123859.2352</v>
      </c>
    </row>
    <row r="61" spans="1:10" ht="13.5" x14ac:dyDescent="0.25">
      <c r="A61" s="48" t="s">
        <v>805</v>
      </c>
      <c r="E61" s="2">
        <v>200363</v>
      </c>
      <c r="F61" s="2">
        <v>215325</v>
      </c>
      <c r="G61" s="2">
        <v>219450</v>
      </c>
      <c r="H61" s="2">
        <v>217250</v>
      </c>
      <c r="I61" s="2">
        <v>217250</v>
      </c>
      <c r="J61" s="2">
        <v>217250</v>
      </c>
    </row>
    <row r="62" spans="1:10" x14ac:dyDescent="0.2">
      <c r="A62" s="2" t="s">
        <v>369</v>
      </c>
      <c r="B62" s="2">
        <v>11</v>
      </c>
      <c r="C62" s="2">
        <v>19750</v>
      </c>
      <c r="D62" s="2">
        <f>ROUND(B62*C62,0)</f>
        <v>217250</v>
      </c>
    </row>
    <row r="64" spans="1:10" ht="13.5" x14ac:dyDescent="0.25">
      <c r="A64" s="48" t="s">
        <v>806</v>
      </c>
      <c r="E64" s="2">
        <v>12052</v>
      </c>
      <c r="F64" s="2">
        <v>13860</v>
      </c>
      <c r="G64" s="2">
        <v>13860</v>
      </c>
      <c r="H64" s="2">
        <v>13860</v>
      </c>
      <c r="I64" s="2">
        <v>13860</v>
      </c>
      <c r="J64" s="2">
        <v>13860</v>
      </c>
    </row>
    <row r="65" spans="1:10" x14ac:dyDescent="0.2">
      <c r="A65" s="2" t="s">
        <v>369</v>
      </c>
      <c r="B65" s="2">
        <v>11</v>
      </c>
      <c r="C65" s="2">
        <v>1400</v>
      </c>
      <c r="D65" s="2">
        <f>ROUND(B65*C65,0)</f>
        <v>15400</v>
      </c>
    </row>
    <row r="66" spans="1:10" ht="15" x14ac:dyDescent="0.35">
      <c r="A66" s="2" t="s">
        <v>201</v>
      </c>
      <c r="D66" s="10">
        <f>-C65*0.1*B65</f>
        <v>-1540</v>
      </c>
    </row>
    <row r="67" spans="1:10" x14ac:dyDescent="0.2">
      <c r="A67" s="220" t="s">
        <v>690</v>
      </c>
      <c r="D67" s="2">
        <f>SUM(D65:D66)</f>
        <v>13860</v>
      </c>
    </row>
    <row r="69" spans="1:10" ht="13.5" x14ac:dyDescent="0.25">
      <c r="A69" s="48" t="s">
        <v>807</v>
      </c>
      <c r="E69" s="2">
        <v>1695</v>
      </c>
      <c r="F69" s="2">
        <v>1485</v>
      </c>
      <c r="G69" s="2">
        <v>1485</v>
      </c>
      <c r="H69" s="2">
        <v>1485</v>
      </c>
      <c r="I69" s="2">
        <v>1485</v>
      </c>
      <c r="J69" s="2">
        <v>1485</v>
      </c>
    </row>
    <row r="70" spans="1:10" hidden="1" x14ac:dyDescent="0.2">
      <c r="A70" s="2" t="s">
        <v>1094</v>
      </c>
      <c r="B70" s="2">
        <v>11</v>
      </c>
      <c r="C70" s="2">
        <v>135</v>
      </c>
      <c r="D70" s="2">
        <f>ROUND(B70*C70,0)</f>
        <v>1485</v>
      </c>
    </row>
    <row r="72" spans="1:10" ht="13.5" x14ac:dyDescent="0.25">
      <c r="A72" s="48" t="s">
        <v>808</v>
      </c>
      <c r="E72" s="2">
        <v>8660</v>
      </c>
      <c r="F72" s="2">
        <v>6820</v>
      </c>
      <c r="G72" s="2">
        <v>6050</v>
      </c>
      <c r="H72" s="2">
        <v>6050</v>
      </c>
      <c r="I72" s="2">
        <v>6050</v>
      </c>
      <c r="J72" s="2">
        <v>6050</v>
      </c>
    </row>
    <row r="73" spans="1:10" hidden="1" x14ac:dyDescent="0.2">
      <c r="A73" s="2" t="s">
        <v>712</v>
      </c>
      <c r="B73" s="2">
        <v>11</v>
      </c>
      <c r="C73" s="2">
        <v>550</v>
      </c>
      <c r="D73" s="2">
        <f>ROUND(B73*C73,0)</f>
        <v>6050</v>
      </c>
    </row>
    <row r="75" spans="1:10" ht="13.5" x14ac:dyDescent="0.25">
      <c r="A75" s="48" t="s">
        <v>1296</v>
      </c>
      <c r="E75" s="2">
        <v>1186</v>
      </c>
      <c r="F75" s="2">
        <v>1454</v>
      </c>
      <c r="G75" s="2">
        <v>1543</v>
      </c>
      <c r="H75" s="2">
        <v>1539</v>
      </c>
      <c r="I75" s="2">
        <v>1630</v>
      </c>
      <c r="J75" s="2">
        <v>1630</v>
      </c>
    </row>
    <row r="76" spans="1:10" ht="12.6" hidden="1" customHeight="1" x14ac:dyDescent="0.2">
      <c r="A76" s="46" t="s">
        <v>156</v>
      </c>
      <c r="B76" s="2">
        <f>+D9</f>
        <v>27200</v>
      </c>
      <c r="C76" s="13">
        <v>1.6999999999999999E-3</v>
      </c>
      <c r="D76" s="2">
        <f>ROUND(B76*C76,0)</f>
        <v>46</v>
      </c>
    </row>
    <row r="77" spans="1:10" ht="12.6" hidden="1" customHeight="1" x14ac:dyDescent="0.2">
      <c r="A77" s="46" t="s">
        <v>1290</v>
      </c>
      <c r="B77" s="2">
        <f>+D19</f>
        <v>545742</v>
      </c>
      <c r="C77" s="13">
        <v>1.6999999999999999E-3</v>
      </c>
      <c r="D77" s="2">
        <f>ROUND(B77*C77,0)+6</f>
        <v>934</v>
      </c>
    </row>
    <row r="78" spans="1:10" ht="12.6" hidden="1" customHeight="1" x14ac:dyDescent="0.2">
      <c r="A78" s="46" t="s">
        <v>695</v>
      </c>
      <c r="B78" s="2">
        <f>+D31</f>
        <v>326821</v>
      </c>
      <c r="C78" s="13">
        <v>1.6999999999999999E-3</v>
      </c>
      <c r="D78" s="2">
        <f>ROUND(B78*C78,0)</f>
        <v>556</v>
      </c>
    </row>
    <row r="79" spans="1:10" ht="12.6" hidden="1" customHeight="1" x14ac:dyDescent="0.2">
      <c r="A79" s="46" t="s">
        <v>158</v>
      </c>
      <c r="B79" s="2">
        <f>+D37</f>
        <v>44361</v>
      </c>
      <c r="C79" s="13">
        <v>1.6999999999999999E-3</v>
      </c>
      <c r="D79" s="2">
        <f>ROUND(B79*C79,0)</f>
        <v>75</v>
      </c>
    </row>
    <row r="80" spans="1:10" ht="14.45" hidden="1" customHeight="1" x14ac:dyDescent="0.35">
      <c r="A80" s="46" t="s">
        <v>159</v>
      </c>
      <c r="B80" s="2">
        <f>+D40</f>
        <v>8383.375</v>
      </c>
      <c r="C80" s="13">
        <v>1.6999999999999999E-3</v>
      </c>
      <c r="D80" s="10">
        <f>ROUND(B80*C80,0)</f>
        <v>14</v>
      </c>
    </row>
    <row r="81" spans="1:10" ht="12.6" hidden="1" customHeight="1" x14ac:dyDescent="0.2">
      <c r="A81" s="2" t="s">
        <v>1086</v>
      </c>
      <c r="D81" s="2">
        <f>SUM(D76:D80)+5</f>
        <v>1630</v>
      </c>
    </row>
    <row r="83" spans="1:10" ht="13.5" x14ac:dyDescent="0.25">
      <c r="A83" s="48" t="s">
        <v>296</v>
      </c>
      <c r="E83" s="2">
        <v>242</v>
      </c>
      <c r="F83" s="2">
        <v>232</v>
      </c>
      <c r="G83" s="2">
        <v>232</v>
      </c>
      <c r="H83" s="2">
        <v>232</v>
      </c>
      <c r="I83" s="2">
        <v>253</v>
      </c>
      <c r="J83" s="2">
        <v>253</v>
      </c>
    </row>
    <row r="84" spans="1:10" ht="12.6" hidden="1" customHeight="1" x14ac:dyDescent="0.2">
      <c r="A84" s="46" t="s">
        <v>156</v>
      </c>
      <c r="B84" s="2">
        <f>+D9</f>
        <v>27200</v>
      </c>
      <c r="C84" s="2">
        <v>0</v>
      </c>
      <c r="D84" s="2">
        <f>ROUND(B84*C84,0)</f>
        <v>0</v>
      </c>
    </row>
    <row r="85" spans="1:10" ht="12.6" hidden="1" customHeight="1" x14ac:dyDescent="0.2">
      <c r="A85" s="46" t="s">
        <v>1290</v>
      </c>
      <c r="B85" s="2">
        <v>4</v>
      </c>
      <c r="C85" s="2">
        <v>20</v>
      </c>
      <c r="D85" s="2">
        <f>ROUND(B85*C85,0)</f>
        <v>80</v>
      </c>
    </row>
    <row r="86" spans="1:10" ht="12.6" hidden="1" customHeight="1" x14ac:dyDescent="0.2">
      <c r="A86" s="46" t="s">
        <v>695</v>
      </c>
      <c r="B86" s="2">
        <v>7</v>
      </c>
      <c r="C86" s="2">
        <v>20</v>
      </c>
      <c r="D86" s="2">
        <f>ROUND(B86*C86,0)</f>
        <v>140</v>
      </c>
    </row>
    <row r="87" spans="1:10" ht="12.6" hidden="1" customHeight="1" x14ac:dyDescent="0.2">
      <c r="A87" s="46" t="s">
        <v>1357</v>
      </c>
      <c r="B87" s="2">
        <v>1</v>
      </c>
      <c r="C87" s="2">
        <v>20</v>
      </c>
      <c r="D87" s="2">
        <f>ROUND(B87*C87,0)</f>
        <v>20</v>
      </c>
    </row>
    <row r="88" spans="1:10" ht="14.45" hidden="1" customHeight="1" x14ac:dyDescent="0.35">
      <c r="A88" s="46" t="s">
        <v>158</v>
      </c>
      <c r="B88" s="2">
        <f>+B79-D36</f>
        <v>9048</v>
      </c>
      <c r="C88" s="13">
        <v>1.4E-3</v>
      </c>
      <c r="D88" s="10">
        <f>ROUND(B88*C88,0)</f>
        <v>13</v>
      </c>
    </row>
    <row r="89" spans="1:10" ht="12.6" hidden="1" customHeight="1" x14ac:dyDescent="0.2">
      <c r="A89" s="2" t="s">
        <v>1086</v>
      </c>
      <c r="D89" s="2">
        <f>SUM(D84:D88)</f>
        <v>253</v>
      </c>
    </row>
    <row r="90" spans="1:10" ht="13.5" x14ac:dyDescent="0.25">
      <c r="A90" s="111"/>
    </row>
    <row r="91" spans="1:10" ht="13.5" x14ac:dyDescent="0.25">
      <c r="A91" s="48" t="s">
        <v>222</v>
      </c>
      <c r="B91" s="2" t="s">
        <v>349</v>
      </c>
      <c r="E91" s="2">
        <v>227227</v>
      </c>
      <c r="F91" s="2">
        <v>213683</v>
      </c>
      <c r="G91" s="2">
        <v>188741</v>
      </c>
      <c r="H91" s="2">
        <v>188741</v>
      </c>
      <c r="I91" s="2">
        <v>176580</v>
      </c>
      <c r="J91" s="2">
        <v>176580</v>
      </c>
    </row>
    <row r="92" spans="1:10" x14ac:dyDescent="0.2">
      <c r="A92" s="2" t="s">
        <v>261</v>
      </c>
    </row>
    <row r="93" spans="1:10" x14ac:dyDescent="0.2">
      <c r="A93" s="2" t="s">
        <v>1985</v>
      </c>
      <c r="D93" s="2">
        <v>0</v>
      </c>
    </row>
    <row r="94" spans="1:10" x14ac:dyDescent="0.2">
      <c r="A94" s="2" t="s">
        <v>1984</v>
      </c>
      <c r="D94" s="2">
        <f>158789.06-12161</f>
        <v>146628.06</v>
      </c>
    </row>
    <row r="95" spans="1:10" ht="15" x14ac:dyDescent="0.35">
      <c r="A95" s="2" t="s">
        <v>1959</v>
      </c>
      <c r="D95" s="10">
        <v>29952</v>
      </c>
    </row>
    <row r="96" spans="1:10" x14ac:dyDescent="0.2">
      <c r="A96" s="2" t="s">
        <v>224</v>
      </c>
      <c r="D96" s="2">
        <f>SUM(D93:D95)</f>
        <v>176580.06</v>
      </c>
    </row>
    <row r="98" spans="1:10" ht="13.5" x14ac:dyDescent="0.25">
      <c r="A98" s="48" t="s">
        <v>392</v>
      </c>
      <c r="E98" s="2">
        <v>8000</v>
      </c>
      <c r="F98" s="2">
        <v>34663</v>
      </c>
      <c r="G98" s="2">
        <f>13824+35000</f>
        <v>48824</v>
      </c>
      <c r="H98" s="2">
        <f>13824+35000</f>
        <v>48824</v>
      </c>
      <c r="I98" s="2">
        <v>27999</v>
      </c>
      <c r="J98" s="2">
        <v>27999</v>
      </c>
    </row>
    <row r="99" spans="1:10" x14ac:dyDescent="0.2">
      <c r="A99" s="47" t="s">
        <v>153</v>
      </c>
      <c r="D99" s="2">
        <v>5000</v>
      </c>
    </row>
    <row r="100" spans="1:10" ht="15" x14ac:dyDescent="0.35">
      <c r="A100" s="47" t="s">
        <v>1657</v>
      </c>
      <c r="D100" s="10">
        <f>43824-20000+1560-2385</f>
        <v>22999</v>
      </c>
    </row>
    <row r="101" spans="1:10" x14ac:dyDescent="0.2">
      <c r="A101" s="47"/>
      <c r="D101" s="2">
        <f>SUM(D99:D100)</f>
        <v>27999</v>
      </c>
    </row>
    <row r="102" spans="1:10" ht="15" x14ac:dyDescent="0.35">
      <c r="A102" s="47"/>
      <c r="D102" s="10"/>
    </row>
    <row r="103" spans="1:10" ht="15" x14ac:dyDescent="0.35">
      <c r="A103" s="47" t="s">
        <v>2149</v>
      </c>
      <c r="D103" s="10"/>
      <c r="H103" s="2">
        <v>38101</v>
      </c>
    </row>
    <row r="104" spans="1:10" x14ac:dyDescent="0.2">
      <c r="A104" s="28"/>
    </row>
    <row r="105" spans="1:10" ht="13.5" x14ac:dyDescent="0.25">
      <c r="A105" s="48" t="s">
        <v>225</v>
      </c>
      <c r="E105" s="2">
        <v>14858</v>
      </c>
      <c r="F105" s="2">
        <v>11000</v>
      </c>
      <c r="G105" s="2">
        <v>11000</v>
      </c>
      <c r="H105" s="2">
        <v>11000</v>
      </c>
      <c r="I105" s="2">
        <v>11000</v>
      </c>
      <c r="J105" s="2">
        <v>11000</v>
      </c>
    </row>
    <row r="106" spans="1:10" x14ac:dyDescent="0.2">
      <c r="A106" s="2" t="s">
        <v>262</v>
      </c>
      <c r="B106" s="2">
        <v>8500</v>
      </c>
      <c r="C106" s="2">
        <v>11000</v>
      </c>
      <c r="D106" s="2">
        <v>11000</v>
      </c>
    </row>
    <row r="107" spans="1:10" x14ac:dyDescent="0.2">
      <c r="A107" s="2" t="s">
        <v>349</v>
      </c>
      <c r="C107" s="2" t="s">
        <v>349</v>
      </c>
      <c r="D107" s="2" t="s">
        <v>349</v>
      </c>
    </row>
    <row r="108" spans="1:10" ht="15" x14ac:dyDescent="0.35">
      <c r="A108" s="48" t="s">
        <v>1302</v>
      </c>
      <c r="B108" s="221" t="s">
        <v>1759</v>
      </c>
      <c r="C108" s="221" t="s">
        <v>1857</v>
      </c>
      <c r="D108" s="221" t="s">
        <v>1966</v>
      </c>
      <c r="E108" s="2">
        <v>13000</v>
      </c>
      <c r="F108" s="2">
        <v>10000</v>
      </c>
      <c r="G108" s="2">
        <v>10000</v>
      </c>
      <c r="H108" s="2">
        <v>10000</v>
      </c>
      <c r="I108" s="2">
        <v>10000</v>
      </c>
      <c r="J108" s="2">
        <v>10000</v>
      </c>
    </row>
    <row r="109" spans="1:10" x14ac:dyDescent="0.2">
      <c r="A109" s="2" t="s">
        <v>1303</v>
      </c>
      <c r="B109" s="2">
        <v>3000</v>
      </c>
      <c r="C109" s="2">
        <v>3000</v>
      </c>
      <c r="D109" s="2">
        <v>3000</v>
      </c>
    </row>
    <row r="110" spans="1:10" x14ac:dyDescent="0.2">
      <c r="A110" s="2" t="s">
        <v>532</v>
      </c>
      <c r="B110" s="2">
        <v>5000</v>
      </c>
      <c r="C110" s="2">
        <v>5000</v>
      </c>
      <c r="D110" s="2">
        <v>5000</v>
      </c>
    </row>
    <row r="111" spans="1:10" x14ac:dyDescent="0.2">
      <c r="A111" s="2" t="s">
        <v>1418</v>
      </c>
      <c r="B111" s="2">
        <v>500</v>
      </c>
      <c r="C111" s="2">
        <v>500</v>
      </c>
      <c r="D111" s="2">
        <v>500</v>
      </c>
    </row>
    <row r="112" spans="1:10" x14ac:dyDescent="0.2">
      <c r="A112" s="2" t="s">
        <v>277</v>
      </c>
      <c r="B112" s="2">
        <v>700</v>
      </c>
      <c r="C112" s="2">
        <v>700</v>
      </c>
      <c r="D112" s="2">
        <v>700</v>
      </c>
    </row>
    <row r="113" spans="1:10" ht="15" x14ac:dyDescent="0.35">
      <c r="A113" s="2" t="s">
        <v>278</v>
      </c>
      <c r="B113" s="10">
        <v>800</v>
      </c>
      <c r="C113" s="10">
        <v>800</v>
      </c>
      <c r="D113" s="10">
        <v>800</v>
      </c>
    </row>
    <row r="114" spans="1:10" x14ac:dyDescent="0.2">
      <c r="A114" s="2" t="s">
        <v>1086</v>
      </c>
      <c r="B114" s="2">
        <f>SUM(B109:B113)</f>
        <v>10000</v>
      </c>
      <c r="C114" s="2">
        <f>SUM(C109:C113)</f>
        <v>10000</v>
      </c>
      <c r="D114" s="2">
        <f>SUM(D109:D113)</f>
        <v>10000</v>
      </c>
    </row>
    <row r="116" spans="1:10" ht="15" x14ac:dyDescent="0.35">
      <c r="A116" s="48" t="s">
        <v>279</v>
      </c>
      <c r="B116" s="221" t="s">
        <v>1759</v>
      </c>
      <c r="C116" s="221" t="s">
        <v>1857</v>
      </c>
      <c r="D116" s="221" t="s">
        <v>1966</v>
      </c>
      <c r="E116" s="2">
        <v>16618</v>
      </c>
      <c r="F116" s="2">
        <v>7900</v>
      </c>
      <c r="G116" s="2">
        <v>11900</v>
      </c>
      <c r="H116" s="2">
        <v>11900</v>
      </c>
      <c r="I116" s="2">
        <v>11900</v>
      </c>
      <c r="J116" s="2">
        <v>11900</v>
      </c>
    </row>
    <row r="117" spans="1:10" x14ac:dyDescent="0.2">
      <c r="A117" s="2" t="s">
        <v>280</v>
      </c>
      <c r="B117" s="2">
        <v>6500</v>
      </c>
      <c r="C117" s="2">
        <v>7100</v>
      </c>
      <c r="D117" s="2">
        <v>11100</v>
      </c>
    </row>
    <row r="118" spans="1:10" ht="15" x14ac:dyDescent="0.35">
      <c r="A118" s="2" t="s">
        <v>281</v>
      </c>
      <c r="B118" s="10">
        <v>800</v>
      </c>
      <c r="C118" s="10">
        <v>800</v>
      </c>
      <c r="D118" s="10">
        <v>800</v>
      </c>
    </row>
    <row r="119" spans="1:10" x14ac:dyDescent="0.2">
      <c r="A119" s="2" t="s">
        <v>1086</v>
      </c>
      <c r="B119" s="15">
        <f>SUM(B117:B118)</f>
        <v>7300</v>
      </c>
      <c r="C119" s="15">
        <f>SUM(C117:C118)</f>
        <v>7900</v>
      </c>
      <c r="D119" s="15">
        <f>SUM(D117:D118)</f>
        <v>11900</v>
      </c>
    </row>
    <row r="121" spans="1:10" ht="15" x14ac:dyDescent="0.35">
      <c r="A121" s="48" t="s">
        <v>282</v>
      </c>
      <c r="B121" s="221" t="s">
        <v>1759</v>
      </c>
      <c r="C121" s="221" t="s">
        <v>1857</v>
      </c>
      <c r="D121" s="221" t="s">
        <v>1966</v>
      </c>
      <c r="E121" s="2">
        <v>7452</v>
      </c>
      <c r="F121" s="2">
        <v>9250</v>
      </c>
      <c r="G121" s="2">
        <v>11450</v>
      </c>
      <c r="H121" s="2">
        <v>11450</v>
      </c>
      <c r="I121" s="2">
        <v>11450</v>
      </c>
      <c r="J121" s="2">
        <v>11450</v>
      </c>
    </row>
    <row r="122" spans="1:10" x14ac:dyDescent="0.2">
      <c r="A122" s="2" t="s">
        <v>820</v>
      </c>
      <c r="B122" s="2">
        <v>4200</v>
      </c>
      <c r="C122" s="2">
        <v>4000</v>
      </c>
      <c r="D122" s="2">
        <v>4000</v>
      </c>
    </row>
    <row r="123" spans="1:10" x14ac:dyDescent="0.2">
      <c r="A123" s="2" t="s">
        <v>188</v>
      </c>
      <c r="B123" s="2">
        <v>3200</v>
      </c>
      <c r="C123" s="2">
        <v>3200</v>
      </c>
      <c r="D123" s="2">
        <v>5400</v>
      </c>
    </row>
    <row r="124" spans="1:10" x14ac:dyDescent="0.2">
      <c r="A124" s="2" t="s">
        <v>1874</v>
      </c>
      <c r="B124" s="2">
        <v>0</v>
      </c>
      <c r="C124" s="2">
        <v>50</v>
      </c>
      <c r="D124" s="2">
        <v>50</v>
      </c>
    </row>
    <row r="125" spans="1:10" ht="15" x14ac:dyDescent="0.35">
      <c r="A125" s="2" t="s">
        <v>267</v>
      </c>
      <c r="B125" s="10">
        <v>2000</v>
      </c>
      <c r="C125" s="10">
        <v>2000</v>
      </c>
      <c r="D125" s="10">
        <v>2000</v>
      </c>
    </row>
    <row r="126" spans="1:10" x14ac:dyDescent="0.2">
      <c r="A126" s="2" t="s">
        <v>1086</v>
      </c>
      <c r="B126" s="2">
        <f>SUM(B122:B125)</f>
        <v>9400</v>
      </c>
      <c r="C126" s="2">
        <f>SUM(C122:C125)</f>
        <v>9250</v>
      </c>
      <c r="D126" s="2">
        <f>SUM(D122:D125)</f>
        <v>11450</v>
      </c>
    </row>
    <row r="128" spans="1:10" ht="15" x14ac:dyDescent="0.35">
      <c r="A128" s="48" t="s">
        <v>1219</v>
      </c>
      <c r="B128" s="221" t="s">
        <v>1759</v>
      </c>
      <c r="C128" s="221" t="s">
        <v>1857</v>
      </c>
      <c r="D128" s="221" t="s">
        <v>1966</v>
      </c>
      <c r="E128" s="2">
        <v>19622</v>
      </c>
      <c r="F128" s="2">
        <v>27134</v>
      </c>
      <c r="G128" s="2">
        <v>27134</v>
      </c>
      <c r="H128" s="2">
        <v>27134</v>
      </c>
      <c r="I128" s="2">
        <v>27134</v>
      </c>
      <c r="J128" s="2">
        <v>27134</v>
      </c>
    </row>
    <row r="129" spans="1:10" x14ac:dyDescent="0.2">
      <c r="A129" s="2" t="s">
        <v>1220</v>
      </c>
      <c r="B129" s="2">
        <v>17000</v>
      </c>
      <c r="C129" s="2">
        <v>25319</v>
      </c>
      <c r="D129" s="2">
        <v>25319</v>
      </c>
    </row>
    <row r="130" spans="1:10" x14ac:dyDescent="0.2">
      <c r="A130" s="2" t="s">
        <v>974</v>
      </c>
      <c r="B130" s="2">
        <v>250</v>
      </c>
      <c r="C130" s="2">
        <v>250</v>
      </c>
      <c r="D130" s="2">
        <v>250</v>
      </c>
    </row>
    <row r="131" spans="1:10" x14ac:dyDescent="0.2">
      <c r="A131" s="2" t="s">
        <v>975</v>
      </c>
      <c r="B131" s="2">
        <v>1000</v>
      </c>
      <c r="C131" s="2">
        <v>1000</v>
      </c>
      <c r="D131" s="2">
        <v>1000</v>
      </c>
    </row>
    <row r="132" spans="1:10" x14ac:dyDescent="0.2">
      <c r="A132" s="2" t="s">
        <v>1042</v>
      </c>
      <c r="B132" s="2">
        <v>360</v>
      </c>
      <c r="C132" s="2">
        <v>360</v>
      </c>
      <c r="D132" s="2">
        <v>360</v>
      </c>
    </row>
    <row r="133" spans="1:10" x14ac:dyDescent="0.2">
      <c r="A133" s="2" t="s">
        <v>864</v>
      </c>
      <c r="B133" s="2">
        <v>175</v>
      </c>
      <c r="C133" s="2">
        <v>175</v>
      </c>
      <c r="D133" s="2">
        <v>175</v>
      </c>
    </row>
    <row r="134" spans="1:10" ht="15" x14ac:dyDescent="0.35">
      <c r="A134" s="2" t="s">
        <v>1358</v>
      </c>
      <c r="B134" s="10">
        <v>30</v>
      </c>
      <c r="C134" s="10">
        <v>30</v>
      </c>
      <c r="D134" s="10">
        <v>30</v>
      </c>
    </row>
    <row r="135" spans="1:10" x14ac:dyDescent="0.2">
      <c r="A135" s="2" t="s">
        <v>1086</v>
      </c>
      <c r="B135" s="2">
        <f>SUM(B129:B134)</f>
        <v>18815</v>
      </c>
      <c r="C135" s="2">
        <f>SUM(C129:C134)</f>
        <v>27134</v>
      </c>
      <c r="D135" s="2">
        <f>SUM(D129:D134)</f>
        <v>27134</v>
      </c>
    </row>
    <row r="137" spans="1:10" ht="15" x14ac:dyDescent="0.35">
      <c r="A137" s="48" t="s">
        <v>151</v>
      </c>
      <c r="B137" s="221" t="s">
        <v>1759</v>
      </c>
      <c r="C137" s="221" t="s">
        <v>1857</v>
      </c>
      <c r="D137" s="221" t="s">
        <v>1966</v>
      </c>
      <c r="E137" s="2">
        <v>1055</v>
      </c>
      <c r="F137" s="2">
        <v>1570</v>
      </c>
      <c r="G137" s="2">
        <v>1570</v>
      </c>
      <c r="H137" s="2">
        <v>1570</v>
      </c>
      <c r="I137" s="2">
        <v>1570</v>
      </c>
      <c r="J137" s="2">
        <v>1570</v>
      </c>
    </row>
    <row r="138" spans="1:10" x14ac:dyDescent="0.2">
      <c r="A138" s="2" t="s">
        <v>278</v>
      </c>
      <c r="B138" s="2">
        <v>300</v>
      </c>
      <c r="C138" s="2">
        <v>300</v>
      </c>
      <c r="D138" s="2">
        <v>300</v>
      </c>
    </row>
    <row r="139" spans="1:10" x14ac:dyDescent="0.2">
      <c r="A139" s="2" t="s">
        <v>1085</v>
      </c>
      <c r="B139" s="2">
        <v>600</v>
      </c>
      <c r="C139" s="2">
        <v>600</v>
      </c>
      <c r="D139" s="2">
        <v>600</v>
      </c>
    </row>
    <row r="140" spans="1:10" ht="15" x14ac:dyDescent="0.35">
      <c r="A140" s="2" t="s">
        <v>912</v>
      </c>
      <c r="B140" s="10">
        <v>670</v>
      </c>
      <c r="C140" s="10">
        <v>670</v>
      </c>
      <c r="D140" s="10">
        <v>670</v>
      </c>
    </row>
    <row r="141" spans="1:10" x14ac:dyDescent="0.2">
      <c r="A141" s="2" t="s">
        <v>1086</v>
      </c>
      <c r="B141" s="2">
        <f>SUM(B138:B140)</f>
        <v>1570</v>
      </c>
      <c r="C141" s="2">
        <f>SUM(C138:C140)</f>
        <v>1570</v>
      </c>
      <c r="D141" s="2">
        <f>SUM(D138:D140)</f>
        <v>1570</v>
      </c>
    </row>
    <row r="143" spans="1:10" ht="15" x14ac:dyDescent="0.35">
      <c r="A143" s="48" t="s">
        <v>914</v>
      </c>
      <c r="B143" s="221" t="s">
        <v>1759</v>
      </c>
      <c r="C143" s="221" t="s">
        <v>1857</v>
      </c>
      <c r="D143" s="221" t="s">
        <v>1966</v>
      </c>
      <c r="E143" s="2">
        <v>6921</v>
      </c>
      <c r="F143" s="2">
        <v>8436</v>
      </c>
      <c r="G143" s="2">
        <v>9027</v>
      </c>
      <c r="H143" s="2">
        <v>9027</v>
      </c>
      <c r="I143" s="2">
        <v>9027</v>
      </c>
      <c r="J143" s="2">
        <v>9027</v>
      </c>
    </row>
    <row r="144" spans="1:10" x14ac:dyDescent="0.2">
      <c r="A144" s="2" t="s">
        <v>915</v>
      </c>
      <c r="B144" s="2">
        <v>8182</v>
      </c>
      <c r="C144" s="2">
        <v>8436</v>
      </c>
      <c r="D144" s="2">
        <v>9027</v>
      </c>
    </row>
    <row r="146" spans="1:10" ht="15" x14ac:dyDescent="0.35">
      <c r="A146" s="48" t="s">
        <v>916</v>
      </c>
      <c r="B146" s="221" t="s">
        <v>1759</v>
      </c>
      <c r="C146" s="221" t="s">
        <v>1857</v>
      </c>
      <c r="D146" s="221" t="s">
        <v>1966</v>
      </c>
      <c r="E146" s="2">
        <v>187915</v>
      </c>
      <c r="F146" s="2">
        <v>110000</v>
      </c>
      <c r="G146" s="2">
        <v>110000</v>
      </c>
      <c r="H146" s="2">
        <v>110000</v>
      </c>
      <c r="I146" s="2">
        <v>110000</v>
      </c>
      <c r="J146" s="2">
        <v>110000</v>
      </c>
    </row>
    <row r="147" spans="1:10" x14ac:dyDescent="0.2">
      <c r="A147" s="2" t="s">
        <v>380</v>
      </c>
      <c r="B147" s="2">
        <v>100000</v>
      </c>
      <c r="C147" s="2">
        <v>100000</v>
      </c>
      <c r="D147" s="2">
        <v>100000</v>
      </c>
    </row>
    <row r="148" spans="1:10" ht="15" x14ac:dyDescent="0.35">
      <c r="A148" s="2" t="s">
        <v>1952</v>
      </c>
      <c r="B148" s="10">
        <v>10000</v>
      </c>
      <c r="C148" s="10">
        <v>10000</v>
      </c>
      <c r="D148" s="10">
        <v>10000</v>
      </c>
    </row>
    <row r="149" spans="1:10" x14ac:dyDescent="0.2">
      <c r="B149" s="2">
        <f>SUM(B147:B148)</f>
        <v>110000</v>
      </c>
      <c r="C149" s="2">
        <f>SUM(C147:C148)</f>
        <v>110000</v>
      </c>
      <c r="D149" s="2">
        <f>SUM(D147:D148)</f>
        <v>110000</v>
      </c>
    </row>
    <row r="151" spans="1:10" ht="15" x14ac:dyDescent="0.35">
      <c r="A151" s="48" t="s">
        <v>917</v>
      </c>
      <c r="B151" s="221" t="s">
        <v>1759</v>
      </c>
      <c r="C151" s="221" t="s">
        <v>1857</v>
      </c>
      <c r="D151" s="221" t="s">
        <v>1966</v>
      </c>
      <c r="E151" s="2">
        <v>132</v>
      </c>
      <c r="F151" s="2">
        <v>1750</v>
      </c>
      <c r="G151" s="2">
        <v>1750</v>
      </c>
      <c r="H151" s="2">
        <v>1750</v>
      </c>
      <c r="I151" s="2">
        <v>1750</v>
      </c>
      <c r="J151" s="2">
        <v>1750</v>
      </c>
    </row>
    <row r="152" spans="1:10" x14ac:dyDescent="0.2">
      <c r="A152" s="2" t="s">
        <v>472</v>
      </c>
      <c r="B152" s="2">
        <v>250</v>
      </c>
      <c r="C152" s="2">
        <v>250</v>
      </c>
      <c r="D152" s="2">
        <v>250</v>
      </c>
    </row>
    <row r="153" spans="1:10" x14ac:dyDescent="0.2">
      <c r="A153" s="2" t="s">
        <v>132</v>
      </c>
      <c r="B153" s="2">
        <v>250</v>
      </c>
      <c r="C153" s="2">
        <v>250</v>
      </c>
      <c r="D153" s="2">
        <v>250</v>
      </c>
    </row>
    <row r="154" spans="1:10" x14ac:dyDescent="0.2">
      <c r="A154" s="2" t="s">
        <v>203</v>
      </c>
      <c r="B154" s="2">
        <v>250</v>
      </c>
      <c r="C154" s="2">
        <v>250</v>
      </c>
      <c r="D154" s="2">
        <v>250</v>
      </c>
    </row>
    <row r="155" spans="1:10" ht="15" x14ac:dyDescent="0.35">
      <c r="A155" s="2" t="s">
        <v>278</v>
      </c>
      <c r="B155" s="10">
        <v>1000</v>
      </c>
      <c r="C155" s="10">
        <v>1000</v>
      </c>
      <c r="D155" s="10">
        <v>1000</v>
      </c>
    </row>
    <row r="156" spans="1:10" x14ac:dyDescent="0.2">
      <c r="A156" s="2" t="s">
        <v>1086</v>
      </c>
      <c r="B156" s="2">
        <f>SUM(B152:B155)</f>
        <v>1750</v>
      </c>
      <c r="C156" s="2">
        <f>SUM(C152:C155)</f>
        <v>1750</v>
      </c>
      <c r="D156" s="2">
        <f>SUM(D152:D155)</f>
        <v>1750</v>
      </c>
    </row>
    <row r="158" spans="1:10" ht="15" x14ac:dyDescent="0.35">
      <c r="A158" s="48" t="s">
        <v>471</v>
      </c>
      <c r="B158" s="221" t="s">
        <v>1759</v>
      </c>
      <c r="C158" s="221" t="s">
        <v>1857</v>
      </c>
      <c r="D158" s="221" t="s">
        <v>1966</v>
      </c>
      <c r="E158" s="2">
        <v>7299</v>
      </c>
      <c r="F158" s="2">
        <v>4983</v>
      </c>
      <c r="G158" s="2">
        <v>18811</v>
      </c>
      <c r="H158" s="2">
        <v>18811</v>
      </c>
      <c r="I158" s="2">
        <v>4983</v>
      </c>
      <c r="J158" s="2">
        <v>4983</v>
      </c>
    </row>
    <row r="159" spans="1:10" x14ac:dyDescent="0.2">
      <c r="A159" s="2" t="s">
        <v>920</v>
      </c>
      <c r="B159" s="2">
        <v>1885</v>
      </c>
      <c r="C159" s="2">
        <v>1885</v>
      </c>
      <c r="D159" s="2">
        <v>1885</v>
      </c>
    </row>
    <row r="160" spans="1:10" x14ac:dyDescent="0.2">
      <c r="A160" s="2" t="s">
        <v>456</v>
      </c>
      <c r="B160" s="2">
        <v>2003</v>
      </c>
      <c r="C160" s="2">
        <v>2003</v>
      </c>
      <c r="D160" s="2">
        <v>2003</v>
      </c>
    </row>
    <row r="161" spans="1:10" x14ac:dyDescent="0.2">
      <c r="A161" s="2" t="s">
        <v>544</v>
      </c>
      <c r="B161" s="2">
        <v>945</v>
      </c>
      <c r="C161" s="2">
        <v>945</v>
      </c>
      <c r="D161" s="2">
        <v>945</v>
      </c>
    </row>
    <row r="162" spans="1:10" x14ac:dyDescent="0.2">
      <c r="A162" s="2" t="s">
        <v>1983</v>
      </c>
      <c r="D162" s="2">
        <v>0</v>
      </c>
    </row>
    <row r="163" spans="1:10" ht="15" x14ac:dyDescent="0.35">
      <c r="A163" s="2" t="s">
        <v>278</v>
      </c>
      <c r="B163" s="10">
        <v>150</v>
      </c>
      <c r="C163" s="10">
        <v>150</v>
      </c>
      <c r="D163" s="10">
        <v>150</v>
      </c>
    </row>
    <row r="164" spans="1:10" x14ac:dyDescent="0.2">
      <c r="A164" s="2" t="s">
        <v>1086</v>
      </c>
      <c r="B164" s="2">
        <f>SUM(B159:B163)</f>
        <v>4983</v>
      </c>
      <c r="C164" s="2">
        <f>SUM(C159:C163)</f>
        <v>4983</v>
      </c>
      <c r="D164" s="2">
        <f>SUM(D159:D163)</f>
        <v>4983</v>
      </c>
    </row>
    <row r="166" spans="1:10" ht="15" x14ac:dyDescent="0.35">
      <c r="A166" s="48" t="s">
        <v>41</v>
      </c>
      <c r="B166" s="221" t="s">
        <v>1759</v>
      </c>
      <c r="C166" s="221" t="s">
        <v>1857</v>
      </c>
      <c r="D166" s="221" t="s">
        <v>1966</v>
      </c>
      <c r="E166" s="2">
        <v>3484</v>
      </c>
      <c r="F166" s="2">
        <v>5000</v>
      </c>
      <c r="G166" s="2">
        <v>5000</v>
      </c>
      <c r="H166" s="2">
        <v>5000</v>
      </c>
      <c r="I166" s="2">
        <v>5000</v>
      </c>
      <c r="J166" s="2">
        <v>5000</v>
      </c>
    </row>
    <row r="167" spans="1:10" x14ac:dyDescent="0.2">
      <c r="A167" s="2" t="s">
        <v>570</v>
      </c>
      <c r="B167" s="2">
        <v>5000</v>
      </c>
      <c r="C167" s="2">
        <v>5000</v>
      </c>
      <c r="D167" s="2">
        <v>5000</v>
      </c>
    </row>
    <row r="168" spans="1:10" ht="15" x14ac:dyDescent="0.35">
      <c r="A168" s="2" t="s">
        <v>1673</v>
      </c>
      <c r="B168" s="30">
        <v>0</v>
      </c>
      <c r="C168" s="30">
        <v>0</v>
      </c>
      <c r="D168" s="30">
        <v>0</v>
      </c>
    </row>
    <row r="169" spans="1:10" x14ac:dyDescent="0.2">
      <c r="B169" s="2">
        <f>SUM(B167:B168)</f>
        <v>5000</v>
      </c>
      <c r="C169" s="2">
        <f>SUM(C167:C168)</f>
        <v>5000</v>
      </c>
      <c r="D169" s="2">
        <f>SUM(D167:D168)</f>
        <v>5000</v>
      </c>
    </row>
    <row r="171" spans="1:10" ht="15" x14ac:dyDescent="0.35">
      <c r="A171" s="48" t="s">
        <v>42</v>
      </c>
      <c r="B171" s="221" t="s">
        <v>1759</v>
      </c>
      <c r="C171" s="221" t="s">
        <v>1857</v>
      </c>
      <c r="D171" s="221" t="s">
        <v>1966</v>
      </c>
      <c r="E171" s="2">
        <v>2197</v>
      </c>
      <c r="F171" s="2">
        <v>13650</v>
      </c>
      <c r="G171" s="2">
        <v>13650</v>
      </c>
      <c r="H171" s="2">
        <v>13650</v>
      </c>
      <c r="I171" s="2">
        <v>13650</v>
      </c>
      <c r="J171" s="2">
        <v>13650</v>
      </c>
    </row>
    <row r="172" spans="1:10" x14ac:dyDescent="0.2">
      <c r="A172" s="2" t="s">
        <v>472</v>
      </c>
      <c r="B172" s="2">
        <v>750</v>
      </c>
      <c r="C172" s="2">
        <v>750</v>
      </c>
      <c r="D172" s="2">
        <v>750</v>
      </c>
    </row>
    <row r="173" spans="1:10" x14ac:dyDescent="0.2">
      <c r="A173" s="2" t="s">
        <v>894</v>
      </c>
      <c r="B173" s="2">
        <v>500</v>
      </c>
      <c r="C173" s="2">
        <v>500</v>
      </c>
      <c r="D173" s="2">
        <v>500</v>
      </c>
    </row>
    <row r="174" spans="1:10" x14ac:dyDescent="0.2">
      <c r="A174" s="2" t="s">
        <v>1405</v>
      </c>
      <c r="B174" s="2">
        <v>2500</v>
      </c>
      <c r="C174" s="2">
        <v>2500</v>
      </c>
      <c r="D174" s="2">
        <v>2500</v>
      </c>
    </row>
    <row r="175" spans="1:10" x14ac:dyDescent="0.2">
      <c r="A175" s="2" t="s">
        <v>246</v>
      </c>
      <c r="B175" s="2">
        <v>150</v>
      </c>
      <c r="C175" s="2">
        <v>150</v>
      </c>
      <c r="D175" s="2">
        <v>150</v>
      </c>
    </row>
    <row r="176" spans="1:10" x14ac:dyDescent="0.2">
      <c r="A176" s="2" t="s">
        <v>1406</v>
      </c>
      <c r="B176" s="2">
        <v>1000</v>
      </c>
      <c r="C176" s="2">
        <v>1000</v>
      </c>
      <c r="D176" s="2">
        <v>1000</v>
      </c>
    </row>
    <row r="177" spans="1:10" x14ac:dyDescent="0.2">
      <c r="A177" s="2" t="s">
        <v>245</v>
      </c>
      <c r="B177" s="2">
        <v>1000</v>
      </c>
      <c r="C177" s="2">
        <v>1000</v>
      </c>
      <c r="D177" s="2">
        <v>1000</v>
      </c>
    </row>
    <row r="178" spans="1:10" x14ac:dyDescent="0.2">
      <c r="A178" s="2" t="s">
        <v>204</v>
      </c>
      <c r="B178" s="2">
        <v>250</v>
      </c>
      <c r="C178" s="2">
        <v>250</v>
      </c>
      <c r="D178" s="2">
        <v>250</v>
      </c>
    </row>
    <row r="179" spans="1:10" ht="15" x14ac:dyDescent="0.35">
      <c r="A179" s="2" t="s">
        <v>25</v>
      </c>
      <c r="B179" s="10">
        <v>7500</v>
      </c>
      <c r="C179" s="10">
        <v>7500</v>
      </c>
      <c r="D179" s="10">
        <v>7500</v>
      </c>
    </row>
    <row r="180" spans="1:10" x14ac:dyDescent="0.2">
      <c r="A180" s="2" t="s">
        <v>1086</v>
      </c>
      <c r="B180" s="2">
        <f>SUM(B172:B179)</f>
        <v>13650</v>
      </c>
      <c r="C180" s="2">
        <f>SUM(C172:C179)</f>
        <v>13650</v>
      </c>
      <c r="D180" s="2">
        <f>SUM(D172:D179)</f>
        <v>13650</v>
      </c>
    </row>
    <row r="182" spans="1:10" ht="15" x14ac:dyDescent="0.35">
      <c r="A182" s="48" t="s">
        <v>982</v>
      </c>
      <c r="B182" s="221" t="s">
        <v>1759</v>
      </c>
      <c r="C182" s="221" t="s">
        <v>1857</v>
      </c>
      <c r="D182" s="221" t="s">
        <v>1966</v>
      </c>
      <c r="E182" s="2">
        <v>161915</v>
      </c>
      <c r="F182" s="2">
        <v>109900</v>
      </c>
      <c r="G182" s="2">
        <v>119900</v>
      </c>
      <c r="H182" s="2">
        <v>119900</v>
      </c>
      <c r="I182" s="2">
        <v>109900</v>
      </c>
      <c r="J182" s="2">
        <v>109900</v>
      </c>
    </row>
    <row r="183" spans="1:10" x14ac:dyDescent="0.2">
      <c r="A183" s="2" t="s">
        <v>519</v>
      </c>
      <c r="B183" s="2">
        <v>42500</v>
      </c>
      <c r="C183" s="2">
        <v>42500</v>
      </c>
      <c r="D183" s="2">
        <v>42500</v>
      </c>
    </row>
    <row r="184" spans="1:10" x14ac:dyDescent="0.2">
      <c r="A184" s="2" t="s">
        <v>565</v>
      </c>
      <c r="B184" s="2">
        <v>12000</v>
      </c>
      <c r="C184" s="2">
        <v>12000</v>
      </c>
      <c r="D184" s="2">
        <v>12000</v>
      </c>
    </row>
    <row r="185" spans="1:10" x14ac:dyDescent="0.2">
      <c r="A185" s="2" t="s">
        <v>74</v>
      </c>
      <c r="B185" s="2">
        <v>5000</v>
      </c>
      <c r="C185" s="2">
        <v>5000</v>
      </c>
      <c r="D185" s="2">
        <v>5000</v>
      </c>
    </row>
    <row r="186" spans="1:10" x14ac:dyDescent="0.2">
      <c r="A186" s="2" t="s">
        <v>1398</v>
      </c>
      <c r="B186" s="2">
        <v>2300</v>
      </c>
      <c r="C186" s="2">
        <v>2300</v>
      </c>
      <c r="D186" s="2">
        <v>2300</v>
      </c>
    </row>
    <row r="187" spans="1:10" x14ac:dyDescent="0.2">
      <c r="A187" s="2" t="s">
        <v>2150</v>
      </c>
      <c r="C187" s="2">
        <v>23100</v>
      </c>
      <c r="D187" s="2">
        <v>23100</v>
      </c>
    </row>
    <row r="188" spans="1:10" ht="15" x14ac:dyDescent="0.35">
      <c r="A188" s="2" t="s">
        <v>558</v>
      </c>
      <c r="B188" s="10">
        <v>25000</v>
      </c>
      <c r="C188" s="10">
        <v>25000</v>
      </c>
      <c r="D188" s="10">
        <f>35000-10000</f>
        <v>25000</v>
      </c>
    </row>
    <row r="189" spans="1:10" x14ac:dyDescent="0.2">
      <c r="A189" s="2" t="s">
        <v>1086</v>
      </c>
      <c r="B189" s="2">
        <f>SUM(B183:B188)</f>
        <v>86800</v>
      </c>
      <c r="C189" s="2">
        <f>SUM(C183:C188)</f>
        <v>109900</v>
      </c>
      <c r="D189" s="2">
        <f>SUM(D183:D188)</f>
        <v>109900</v>
      </c>
    </row>
    <row r="191" spans="1:10" ht="15" x14ac:dyDescent="0.35">
      <c r="A191" s="48" t="s">
        <v>520</v>
      </c>
      <c r="B191" s="221" t="s">
        <v>1759</v>
      </c>
      <c r="C191" s="221" t="s">
        <v>1857</v>
      </c>
      <c r="D191" s="221" t="s">
        <v>1966</v>
      </c>
      <c r="E191" s="2">
        <v>104721</v>
      </c>
      <c r="F191" s="2">
        <v>115850</v>
      </c>
      <c r="G191" s="2">
        <v>118850</v>
      </c>
      <c r="H191" s="2">
        <v>118850</v>
      </c>
      <c r="I191" s="2">
        <v>108850</v>
      </c>
      <c r="J191" s="2">
        <v>108850</v>
      </c>
    </row>
    <row r="192" spans="1:10" x14ac:dyDescent="0.2">
      <c r="A192" s="2" t="s">
        <v>521</v>
      </c>
      <c r="B192" s="2">
        <v>30200</v>
      </c>
      <c r="C192" s="2">
        <v>33000</v>
      </c>
      <c r="D192" s="2">
        <f>36000-3000</f>
        <v>33000</v>
      </c>
    </row>
    <row r="193" spans="1:10" x14ac:dyDescent="0.2">
      <c r="A193" s="2" t="s">
        <v>908</v>
      </c>
      <c r="B193" s="2">
        <v>15000</v>
      </c>
      <c r="C193" s="2">
        <v>15000</v>
      </c>
      <c r="D193" s="2">
        <f>15000-3000</f>
        <v>12000</v>
      </c>
    </row>
    <row r="194" spans="1:10" x14ac:dyDescent="0.2">
      <c r="A194" s="2" t="s">
        <v>1778</v>
      </c>
      <c r="B194" s="2">
        <v>4000</v>
      </c>
      <c r="C194" s="2">
        <v>4000</v>
      </c>
      <c r="D194" s="2">
        <v>4000</v>
      </c>
    </row>
    <row r="195" spans="1:10" x14ac:dyDescent="0.2">
      <c r="A195" s="2" t="s">
        <v>1587</v>
      </c>
      <c r="B195" s="2">
        <v>12000</v>
      </c>
      <c r="C195" s="2">
        <v>12000</v>
      </c>
      <c r="D195" s="2">
        <v>12000</v>
      </c>
    </row>
    <row r="196" spans="1:10" x14ac:dyDescent="0.2">
      <c r="A196" s="2" t="s">
        <v>780</v>
      </c>
      <c r="B196" s="2">
        <v>3700</v>
      </c>
      <c r="C196" s="2">
        <v>3700</v>
      </c>
      <c r="D196" s="2">
        <v>3700</v>
      </c>
    </row>
    <row r="197" spans="1:10" x14ac:dyDescent="0.2">
      <c r="A197" s="2" t="s">
        <v>623</v>
      </c>
      <c r="B197" s="17">
        <v>48150</v>
      </c>
      <c r="C197" s="17">
        <v>48150</v>
      </c>
      <c r="D197" s="17">
        <f>48150-4000</f>
        <v>44150</v>
      </c>
    </row>
    <row r="198" spans="1:10" x14ac:dyDescent="0.2">
      <c r="A198" s="2" t="s">
        <v>1086</v>
      </c>
      <c r="B198" s="2">
        <f>SUM(B192:B197)</f>
        <v>113050</v>
      </c>
      <c r="C198" s="2">
        <f>SUM(C192:C197)</f>
        <v>115850</v>
      </c>
      <c r="D198" s="2">
        <f>SUM(D192:D197)</f>
        <v>108850</v>
      </c>
    </row>
    <row r="200" spans="1:10" ht="15" x14ac:dyDescent="0.35">
      <c r="A200" s="48" t="s">
        <v>563</v>
      </c>
      <c r="B200" s="221" t="s">
        <v>1759</v>
      </c>
      <c r="C200" s="221" t="s">
        <v>1857</v>
      </c>
      <c r="D200" s="221" t="s">
        <v>1966</v>
      </c>
      <c r="E200" s="2">
        <v>32545</v>
      </c>
      <c r="F200" s="2">
        <v>38866</v>
      </c>
      <c r="G200" s="2">
        <v>38866</v>
      </c>
      <c r="H200" s="2">
        <v>38866</v>
      </c>
      <c r="I200" s="2">
        <v>38866</v>
      </c>
      <c r="J200" s="2">
        <v>38866</v>
      </c>
    </row>
    <row r="201" spans="1:10" x14ac:dyDescent="0.2">
      <c r="A201" s="2" t="s">
        <v>368</v>
      </c>
      <c r="B201" s="2">
        <v>32545</v>
      </c>
      <c r="C201" s="2">
        <v>38866</v>
      </c>
      <c r="D201" s="2">
        <v>38866</v>
      </c>
    </row>
    <row r="203" spans="1:10" ht="13.5" x14ac:dyDescent="0.25">
      <c r="A203" s="48" t="s">
        <v>530</v>
      </c>
      <c r="E203" s="2">
        <v>10352</v>
      </c>
      <c r="F203" s="2">
        <v>5240</v>
      </c>
      <c r="G203" s="2">
        <v>10350</v>
      </c>
      <c r="H203" s="2">
        <v>10350</v>
      </c>
      <c r="I203" s="2">
        <v>10350</v>
      </c>
      <c r="J203" s="2">
        <v>10350</v>
      </c>
    </row>
    <row r="204" spans="1:10" ht="15" x14ac:dyDescent="0.35">
      <c r="A204" s="2" t="s">
        <v>706</v>
      </c>
      <c r="B204" s="221" t="s">
        <v>1759</v>
      </c>
      <c r="C204" s="221" t="s">
        <v>1857</v>
      </c>
      <c r="D204" s="221" t="s">
        <v>1966</v>
      </c>
    </row>
    <row r="205" spans="1:10" x14ac:dyDescent="0.2">
      <c r="A205" s="2" t="s">
        <v>707</v>
      </c>
      <c r="B205" s="2">
        <v>684</v>
      </c>
      <c r="C205" s="2">
        <v>684</v>
      </c>
      <c r="D205" s="2">
        <v>600</v>
      </c>
    </row>
    <row r="206" spans="1:10" x14ac:dyDescent="0.2">
      <c r="A206" s="2" t="s">
        <v>708</v>
      </c>
      <c r="B206" s="2">
        <v>519</v>
      </c>
      <c r="C206" s="2">
        <v>519</v>
      </c>
      <c r="D206" s="2">
        <v>550</v>
      </c>
    </row>
    <row r="207" spans="1:10" x14ac:dyDescent="0.2">
      <c r="A207" s="2" t="s">
        <v>709</v>
      </c>
      <c r="B207" s="2">
        <v>1258</v>
      </c>
      <c r="C207" s="2">
        <v>1964</v>
      </c>
      <c r="D207" s="2">
        <v>1400</v>
      </c>
    </row>
    <row r="208" spans="1:10" x14ac:dyDescent="0.2">
      <c r="A208" s="2" t="s">
        <v>710</v>
      </c>
      <c r="B208" s="2">
        <v>1246</v>
      </c>
      <c r="C208" s="2">
        <v>1493</v>
      </c>
      <c r="D208" s="2">
        <v>1500</v>
      </c>
    </row>
    <row r="209" spans="1:10" x14ac:dyDescent="0.2">
      <c r="A209" s="2" t="s">
        <v>711</v>
      </c>
      <c r="B209" s="2">
        <v>70</v>
      </c>
      <c r="C209" s="2">
        <v>92</v>
      </c>
      <c r="D209" s="2">
        <v>120</v>
      </c>
    </row>
    <row r="210" spans="1:10" x14ac:dyDescent="0.2">
      <c r="A210" s="2" t="s">
        <v>699</v>
      </c>
      <c r="B210" s="2">
        <v>625</v>
      </c>
      <c r="C210" s="2">
        <v>1000</v>
      </c>
      <c r="D210" s="2">
        <v>4500</v>
      </c>
    </row>
    <row r="211" spans="1:10" x14ac:dyDescent="0.2">
      <c r="A211" s="2" t="s">
        <v>624</v>
      </c>
      <c r="B211" s="2">
        <v>307</v>
      </c>
      <c r="C211" s="2">
        <v>182</v>
      </c>
      <c r="D211" s="2">
        <v>200</v>
      </c>
    </row>
    <row r="212" spans="1:10" x14ac:dyDescent="0.2">
      <c r="A212" s="2" t="s">
        <v>2015</v>
      </c>
      <c r="B212" s="2">
        <v>0</v>
      </c>
      <c r="C212" s="2">
        <v>0</v>
      </c>
      <c r="D212" s="2">
        <v>2400</v>
      </c>
    </row>
    <row r="213" spans="1:10" ht="15" x14ac:dyDescent="0.35">
      <c r="A213" s="2" t="s">
        <v>1130</v>
      </c>
      <c r="B213" s="10">
        <v>5986</v>
      </c>
      <c r="C213" s="10">
        <v>1186</v>
      </c>
      <c r="D213" s="10">
        <f>100+500+400+200+50</f>
        <v>1250</v>
      </c>
    </row>
    <row r="214" spans="1:10" x14ac:dyDescent="0.2">
      <c r="A214" s="2" t="s">
        <v>1131</v>
      </c>
      <c r="B214" s="2">
        <f>SUM(B205:B213)</f>
        <v>10695</v>
      </c>
      <c r="C214" s="2">
        <f>SUM(C205:C213)</f>
        <v>7120</v>
      </c>
      <c r="D214" s="2">
        <f>SUM(D205:D213)</f>
        <v>12520</v>
      </c>
    </row>
    <row r="215" spans="1:10" x14ac:dyDescent="0.2">
      <c r="A215" s="2" t="s">
        <v>1521</v>
      </c>
      <c r="B215" s="2">
        <v>-935</v>
      </c>
      <c r="C215" s="2">
        <v>-2120</v>
      </c>
      <c r="D215" s="2">
        <v>-2520</v>
      </c>
    </row>
    <row r="216" spans="1:10" x14ac:dyDescent="0.2">
      <c r="A216" s="2" t="s">
        <v>1222</v>
      </c>
      <c r="B216" s="17">
        <v>0</v>
      </c>
      <c r="C216" s="17">
        <v>0</v>
      </c>
      <c r="D216" s="17">
        <v>0</v>
      </c>
    </row>
    <row r="217" spans="1:10" x14ac:dyDescent="0.2">
      <c r="A217" s="2" t="s">
        <v>1417</v>
      </c>
      <c r="B217" s="2">
        <f>SUM(B214:B216)</f>
        <v>9760</v>
      </c>
      <c r="C217" s="2">
        <f>SUM(C214:C216)</f>
        <v>5000</v>
      </c>
      <c r="D217" s="2">
        <f>SUM(D214:D216)</f>
        <v>10000</v>
      </c>
    </row>
    <row r="218" spans="1:10" x14ac:dyDescent="0.2">
      <c r="A218" s="2" t="s">
        <v>1416</v>
      </c>
      <c r="B218" s="17">
        <v>240</v>
      </c>
      <c r="C218" s="17">
        <v>240</v>
      </c>
      <c r="D218" s="17">
        <v>350</v>
      </c>
    </row>
    <row r="219" spans="1:10" x14ac:dyDescent="0.2">
      <c r="A219" s="2" t="s">
        <v>402</v>
      </c>
      <c r="B219" s="2">
        <f>SUM(B217:B218)</f>
        <v>10000</v>
      </c>
      <c r="C219" s="2">
        <f>SUM(C217:C218)</f>
        <v>5240</v>
      </c>
      <c r="D219" s="2">
        <f>SUM(D217:D218)</f>
        <v>10350</v>
      </c>
    </row>
    <row r="221" spans="1:10" ht="15" x14ac:dyDescent="0.35">
      <c r="A221" s="48" t="s">
        <v>333</v>
      </c>
      <c r="B221" s="221" t="s">
        <v>1759</v>
      </c>
      <c r="C221" s="221" t="s">
        <v>1857</v>
      </c>
      <c r="D221" s="221" t="s">
        <v>1966</v>
      </c>
      <c r="E221" s="2">
        <v>446</v>
      </c>
      <c r="F221" s="2">
        <v>75</v>
      </c>
      <c r="G221" s="2">
        <v>75</v>
      </c>
      <c r="H221" s="2">
        <v>75</v>
      </c>
      <c r="I221" s="2">
        <v>75</v>
      </c>
      <c r="J221" s="2">
        <v>75</v>
      </c>
    </row>
    <row r="222" spans="1:10" x14ac:dyDescent="0.2">
      <c r="A222" s="220" t="s">
        <v>334</v>
      </c>
      <c r="B222" s="2">
        <v>75</v>
      </c>
      <c r="C222" s="2">
        <v>75</v>
      </c>
      <c r="D222" s="2">
        <v>75</v>
      </c>
    </row>
    <row r="223" spans="1:10" ht="15" x14ac:dyDescent="0.35">
      <c r="A223" s="220" t="s">
        <v>26</v>
      </c>
      <c r="B223" s="10">
        <v>0</v>
      </c>
      <c r="C223" s="10">
        <v>0</v>
      </c>
      <c r="D223" s="10">
        <v>0</v>
      </c>
    </row>
    <row r="224" spans="1:10" x14ac:dyDescent="0.2">
      <c r="B224" s="2">
        <f>SUM(B222:B223)</f>
        <v>75</v>
      </c>
      <c r="C224" s="2">
        <f>SUM(C222:C223)</f>
        <v>75</v>
      </c>
      <c r="D224" s="2">
        <f>SUM(D222:D223)</f>
        <v>75</v>
      </c>
    </row>
    <row r="227" spans="1:10" ht="15" x14ac:dyDescent="0.35">
      <c r="A227" s="48" t="s">
        <v>403</v>
      </c>
      <c r="B227" s="221" t="s">
        <v>1759</v>
      </c>
      <c r="C227" s="221" t="s">
        <v>1857</v>
      </c>
      <c r="D227" s="221" t="s">
        <v>1966</v>
      </c>
      <c r="E227" s="2">
        <v>42574</v>
      </c>
      <c r="F227" s="2">
        <v>34822</v>
      </c>
      <c r="G227" s="2">
        <v>19947</v>
      </c>
      <c r="H227" s="2">
        <v>19947</v>
      </c>
      <c r="I227" s="2">
        <v>19947</v>
      </c>
      <c r="J227" s="2">
        <v>19947</v>
      </c>
    </row>
    <row r="228" spans="1:10" x14ac:dyDescent="0.2">
      <c r="A228" s="2" t="s">
        <v>404</v>
      </c>
      <c r="B228" s="2" t="s">
        <v>349</v>
      </c>
    </row>
    <row r="229" spans="1:10" x14ac:dyDescent="0.2">
      <c r="A229" s="2" t="s">
        <v>1431</v>
      </c>
      <c r="B229" s="2">
        <v>6000</v>
      </c>
      <c r="C229" s="2">
        <v>6000</v>
      </c>
      <c r="D229" s="2">
        <v>6000</v>
      </c>
    </row>
    <row r="230" spans="1:10" x14ac:dyDescent="0.2">
      <c r="A230" s="2" t="s">
        <v>1986</v>
      </c>
      <c r="B230" s="2">
        <v>3000</v>
      </c>
      <c r="C230" s="2">
        <v>4500</v>
      </c>
      <c r="D230" s="2">
        <v>1500</v>
      </c>
    </row>
    <row r="231" spans="1:10" ht="15" x14ac:dyDescent="0.35">
      <c r="A231" s="2" t="s">
        <v>1987</v>
      </c>
      <c r="B231" s="10">
        <v>2175</v>
      </c>
      <c r="C231" s="10">
        <v>3263</v>
      </c>
      <c r="D231" s="10">
        <v>1088</v>
      </c>
    </row>
    <row r="232" spans="1:10" x14ac:dyDescent="0.2">
      <c r="A232" s="2" t="s">
        <v>405</v>
      </c>
      <c r="B232" s="2">
        <f>SUM(B229:B231)</f>
        <v>11175</v>
      </c>
      <c r="C232" s="2">
        <f>SUM(C229:C231)</f>
        <v>13763</v>
      </c>
      <c r="D232" s="2">
        <f>SUM(D229:D231)</f>
        <v>8588</v>
      </c>
    </row>
    <row r="233" spans="1:10" x14ac:dyDescent="0.2">
      <c r="A233" s="2" t="s">
        <v>406</v>
      </c>
      <c r="B233" s="2">
        <v>459</v>
      </c>
      <c r="C233" s="2">
        <f>ROUND(C229*0.0765,0)</f>
        <v>459</v>
      </c>
      <c r="D233" s="2">
        <f>ROUND(D229*0.0765,0)</f>
        <v>459</v>
      </c>
    </row>
    <row r="234" spans="1:10" x14ac:dyDescent="0.2">
      <c r="A234" s="2" t="s">
        <v>1768</v>
      </c>
      <c r="B234" s="2">
        <v>10</v>
      </c>
      <c r="C234" s="2">
        <f>ROUND(C229*0.0016,0)</f>
        <v>10</v>
      </c>
      <c r="D234" s="2">
        <f>ROUND(D229*0.0016,0)</f>
        <v>10</v>
      </c>
    </row>
    <row r="235" spans="1:10" x14ac:dyDescent="0.2">
      <c r="A235" s="2" t="s">
        <v>1738</v>
      </c>
      <c r="B235" s="2">
        <v>20.400000000000002</v>
      </c>
      <c r="C235" s="2">
        <f>+C229*0.34%</f>
        <v>20.400000000000002</v>
      </c>
      <c r="D235" s="2">
        <f>+D229*0.34%</f>
        <v>20.400000000000002</v>
      </c>
    </row>
    <row r="236" spans="1:10" x14ac:dyDescent="0.2">
      <c r="A236" s="2" t="s">
        <v>552</v>
      </c>
      <c r="B236" s="2">
        <v>1400</v>
      </c>
      <c r="C236" s="2">
        <v>1400</v>
      </c>
      <c r="D236" s="2">
        <v>1400</v>
      </c>
    </row>
    <row r="237" spans="1:10" x14ac:dyDescent="0.2">
      <c r="A237" s="2" t="s">
        <v>427</v>
      </c>
      <c r="B237" s="2">
        <v>12000</v>
      </c>
      <c r="C237" s="2">
        <v>12000</v>
      </c>
      <c r="D237" s="2">
        <v>4000</v>
      </c>
    </row>
    <row r="238" spans="1:10" x14ac:dyDescent="0.2">
      <c r="A238" s="2" t="s">
        <v>192</v>
      </c>
      <c r="B238" s="2">
        <v>750</v>
      </c>
      <c r="C238" s="2">
        <v>750</v>
      </c>
      <c r="D238" s="2">
        <v>250</v>
      </c>
    </row>
    <row r="239" spans="1:10" x14ac:dyDescent="0.2">
      <c r="A239" s="2" t="s">
        <v>321</v>
      </c>
      <c r="B239" s="2">
        <v>1600</v>
      </c>
      <c r="C239" s="2">
        <v>2400</v>
      </c>
      <c r="D239" s="2">
        <v>1200</v>
      </c>
    </row>
    <row r="240" spans="1:10" x14ac:dyDescent="0.2">
      <c r="A240" s="2" t="s">
        <v>17</v>
      </c>
      <c r="B240" s="2">
        <v>2400</v>
      </c>
      <c r="C240" s="2">
        <v>2400</v>
      </c>
      <c r="D240" s="2">
        <v>2400</v>
      </c>
    </row>
    <row r="241" spans="1:10" x14ac:dyDescent="0.2">
      <c r="A241" s="2" t="s">
        <v>518</v>
      </c>
      <c r="B241" s="2">
        <v>120</v>
      </c>
      <c r="C241" s="2">
        <v>120</v>
      </c>
      <c r="D241" s="2">
        <v>120</v>
      </c>
    </row>
    <row r="242" spans="1:10" ht="15" x14ac:dyDescent="0.35">
      <c r="A242" s="2" t="s">
        <v>18</v>
      </c>
      <c r="B242" s="10">
        <v>1500</v>
      </c>
      <c r="C242" s="10">
        <v>1500</v>
      </c>
      <c r="D242" s="10">
        <v>1500</v>
      </c>
    </row>
    <row r="243" spans="1:10" x14ac:dyDescent="0.2">
      <c r="A243" s="2" t="s">
        <v>1086</v>
      </c>
      <c r="B243" s="2">
        <f>SUM(B232:B242)</f>
        <v>31434.400000000001</v>
      </c>
      <c r="C243" s="2">
        <f>SUM(C232:C242)</f>
        <v>34822.400000000001</v>
      </c>
      <c r="D243" s="2">
        <f>SUM(D232:D242)</f>
        <v>19947.400000000001</v>
      </c>
    </row>
    <row r="245" spans="1:10" ht="15" x14ac:dyDescent="0.35">
      <c r="A245" s="48" t="s">
        <v>19</v>
      </c>
      <c r="B245" s="221" t="s">
        <v>1759</v>
      </c>
      <c r="C245" s="221" t="s">
        <v>1857</v>
      </c>
      <c r="D245" s="221" t="s">
        <v>1966</v>
      </c>
      <c r="E245" s="2">
        <v>26614</v>
      </c>
      <c r="F245" s="2">
        <v>20000</v>
      </c>
      <c r="G245" s="2">
        <v>20000</v>
      </c>
      <c r="H245" s="2">
        <v>20000</v>
      </c>
      <c r="I245" s="2">
        <v>20000</v>
      </c>
      <c r="J245" s="2">
        <v>20000</v>
      </c>
    </row>
    <row r="246" spans="1:10" x14ac:dyDescent="0.2">
      <c r="A246" s="2" t="s">
        <v>593</v>
      </c>
      <c r="B246" s="2">
        <v>20000</v>
      </c>
      <c r="C246" s="2">
        <v>20000</v>
      </c>
      <c r="D246" s="2">
        <v>20000</v>
      </c>
    </row>
    <row r="248" spans="1:10" ht="15" x14ac:dyDescent="0.35">
      <c r="A248" s="48" t="s">
        <v>1018</v>
      </c>
      <c r="B248" s="221" t="s">
        <v>1759</v>
      </c>
      <c r="C248" s="221" t="s">
        <v>1857</v>
      </c>
      <c r="D248" s="221" t="s">
        <v>1966</v>
      </c>
      <c r="E248" s="2">
        <v>17704</v>
      </c>
      <c r="F248" s="2">
        <v>18800</v>
      </c>
      <c r="G248" s="2">
        <v>18800</v>
      </c>
      <c r="H248" s="2">
        <v>18800</v>
      </c>
      <c r="I248" s="2">
        <v>18800</v>
      </c>
      <c r="J248" s="2">
        <v>18800</v>
      </c>
    </row>
    <row r="249" spans="1:10" x14ac:dyDescent="0.2">
      <c r="A249" s="2" t="s">
        <v>1019</v>
      </c>
      <c r="B249" s="2">
        <v>5000</v>
      </c>
      <c r="C249" s="2">
        <v>5000</v>
      </c>
      <c r="D249" s="2">
        <v>5000</v>
      </c>
    </row>
    <row r="250" spans="1:10" x14ac:dyDescent="0.2">
      <c r="A250" s="2" t="s">
        <v>1739</v>
      </c>
      <c r="B250" s="2">
        <v>5000</v>
      </c>
      <c r="C250" s="2">
        <v>5000</v>
      </c>
      <c r="D250" s="2">
        <v>5000</v>
      </c>
    </row>
    <row r="251" spans="1:10" x14ac:dyDescent="0.2">
      <c r="A251" s="2" t="s">
        <v>131</v>
      </c>
      <c r="B251" s="2">
        <v>5500</v>
      </c>
      <c r="C251" s="2">
        <v>8500</v>
      </c>
      <c r="D251" s="2">
        <v>8500</v>
      </c>
    </row>
    <row r="252" spans="1:10" ht="15" x14ac:dyDescent="0.35">
      <c r="A252" s="2" t="s">
        <v>278</v>
      </c>
      <c r="B252" s="10">
        <v>300</v>
      </c>
      <c r="C252" s="10">
        <v>300</v>
      </c>
      <c r="D252" s="10">
        <v>300</v>
      </c>
    </row>
    <row r="253" spans="1:10" x14ac:dyDescent="0.2">
      <c r="A253" s="2" t="s">
        <v>1086</v>
      </c>
      <c r="B253" s="2">
        <f>SUM(B249:B252)</f>
        <v>15800</v>
      </c>
      <c r="C253" s="2">
        <f>SUM(C249:C252)</f>
        <v>18800</v>
      </c>
      <c r="D253" s="2">
        <f>SUM(D249:D252)</f>
        <v>18800</v>
      </c>
    </row>
    <row r="255" spans="1:10" ht="15" x14ac:dyDescent="0.35">
      <c r="A255" s="48" t="s">
        <v>1300</v>
      </c>
      <c r="B255" s="221" t="s">
        <v>1759</v>
      </c>
      <c r="C255" s="221" t="s">
        <v>1857</v>
      </c>
      <c r="D255" s="221" t="s">
        <v>1966</v>
      </c>
      <c r="E255" s="2">
        <v>0</v>
      </c>
      <c r="F255" s="2">
        <v>1</v>
      </c>
      <c r="G255" s="2">
        <v>1</v>
      </c>
      <c r="H255" s="2">
        <v>1</v>
      </c>
      <c r="I255" s="2">
        <v>1</v>
      </c>
      <c r="J255" s="2">
        <v>1</v>
      </c>
    </row>
    <row r="256" spans="1:10" x14ac:dyDescent="0.2">
      <c r="A256" s="2" t="s">
        <v>581</v>
      </c>
      <c r="B256" s="2">
        <v>1</v>
      </c>
      <c r="C256" s="2">
        <v>1</v>
      </c>
      <c r="D256" s="2">
        <v>1</v>
      </c>
    </row>
    <row r="258" spans="1:10" ht="15" x14ac:dyDescent="0.35">
      <c r="A258" s="48" t="s">
        <v>1760</v>
      </c>
      <c r="B258" s="221"/>
      <c r="C258" s="221"/>
      <c r="D258" s="221"/>
      <c r="E258" s="2">
        <v>11167</v>
      </c>
      <c r="F258" s="2">
        <v>0</v>
      </c>
      <c r="G258" s="2">
        <v>0</v>
      </c>
      <c r="H258" s="2">
        <v>0</v>
      </c>
      <c r="I258" s="2">
        <v>0</v>
      </c>
      <c r="J258" s="2">
        <v>0</v>
      </c>
    </row>
    <row r="259" spans="1:10" x14ac:dyDescent="0.2">
      <c r="A259" s="2" t="s">
        <v>1041</v>
      </c>
    </row>
    <row r="261" spans="1:10" ht="15" x14ac:dyDescent="0.35">
      <c r="A261" s="48" t="s">
        <v>693</v>
      </c>
      <c r="B261" s="221" t="s">
        <v>1759</v>
      </c>
      <c r="C261" s="221" t="s">
        <v>1857</v>
      </c>
      <c r="D261" s="221" t="s">
        <v>1966</v>
      </c>
      <c r="E261" s="2">
        <v>40444</v>
      </c>
      <c r="F261" s="2">
        <v>3500</v>
      </c>
      <c r="G261" s="2">
        <v>3500</v>
      </c>
      <c r="H261" s="2">
        <v>3500</v>
      </c>
      <c r="I261" s="2">
        <v>3500</v>
      </c>
      <c r="J261" s="2">
        <v>3500</v>
      </c>
    </row>
    <row r="262" spans="1:10" ht="15" x14ac:dyDescent="0.35">
      <c r="A262" s="2" t="s">
        <v>1244</v>
      </c>
      <c r="B262" s="10">
        <v>3500</v>
      </c>
      <c r="C262" s="10">
        <v>3500</v>
      </c>
      <c r="D262" s="10">
        <v>3500</v>
      </c>
    </row>
    <row r="263" spans="1:10" x14ac:dyDescent="0.2">
      <c r="A263" s="2" t="s">
        <v>1086</v>
      </c>
      <c r="B263" s="2">
        <f>+B262</f>
        <v>3500</v>
      </c>
      <c r="C263" s="2">
        <f>+C262</f>
        <v>3500</v>
      </c>
      <c r="D263" s="2">
        <f>SUM(D262:D262)</f>
        <v>3500</v>
      </c>
    </row>
    <row r="265" spans="1:10" ht="15" x14ac:dyDescent="0.35">
      <c r="A265" s="48" t="s">
        <v>1251</v>
      </c>
      <c r="B265" s="221" t="s">
        <v>1759</v>
      </c>
      <c r="C265" s="221" t="s">
        <v>1857</v>
      </c>
      <c r="D265" s="221" t="s">
        <v>1966</v>
      </c>
      <c r="E265" s="2">
        <v>55000</v>
      </c>
      <c r="F265" s="2">
        <v>55300</v>
      </c>
      <c r="G265" s="2">
        <v>55300</v>
      </c>
      <c r="H265" s="2">
        <v>55300</v>
      </c>
      <c r="I265" s="2">
        <v>55300</v>
      </c>
      <c r="J265" s="2">
        <v>55300</v>
      </c>
    </row>
    <row r="266" spans="1:10" ht="15" x14ac:dyDescent="0.35">
      <c r="A266" s="2" t="s">
        <v>501</v>
      </c>
      <c r="B266" s="18"/>
      <c r="C266" s="18"/>
      <c r="D266" s="18"/>
      <c r="E266" s="10"/>
      <c r="F266" s="10"/>
      <c r="G266" s="10"/>
      <c r="H266" s="10"/>
      <c r="I266" s="10"/>
      <c r="J266" s="10"/>
    </row>
    <row r="267" spans="1:10" x14ac:dyDescent="0.2">
      <c r="A267" s="2" t="s">
        <v>884</v>
      </c>
      <c r="B267" s="7">
        <v>300</v>
      </c>
      <c r="C267" s="7">
        <v>300</v>
      </c>
      <c r="D267" s="7">
        <v>300</v>
      </c>
      <c r="E267" s="7"/>
      <c r="F267" s="7"/>
      <c r="G267" s="7"/>
      <c r="H267" s="7"/>
      <c r="I267" s="7"/>
      <c r="J267" s="7"/>
    </row>
    <row r="268" spans="1:10" x14ac:dyDescent="0.2">
      <c r="A268" s="2" t="s">
        <v>1045</v>
      </c>
      <c r="B268" s="7">
        <v>0</v>
      </c>
      <c r="C268" s="7">
        <v>0</v>
      </c>
      <c r="D268" s="7">
        <v>0</v>
      </c>
      <c r="E268" s="7"/>
      <c r="F268" s="7"/>
      <c r="G268" s="7"/>
      <c r="H268" s="7"/>
      <c r="I268" s="7"/>
      <c r="J268" s="7"/>
    </row>
    <row r="269" spans="1:10" x14ac:dyDescent="0.2">
      <c r="A269" s="2" t="s">
        <v>533</v>
      </c>
      <c r="B269" s="18">
        <v>0</v>
      </c>
      <c r="C269" s="18">
        <v>0</v>
      </c>
      <c r="D269" s="18">
        <v>0</v>
      </c>
      <c r="E269" s="18"/>
      <c r="F269" s="18"/>
      <c r="G269" s="18"/>
      <c r="H269" s="18"/>
      <c r="I269" s="18"/>
      <c r="J269" s="18"/>
    </row>
    <row r="270" spans="1:10" x14ac:dyDescent="0.2">
      <c r="A270" s="2" t="s">
        <v>224</v>
      </c>
      <c r="B270" s="7">
        <f>SUM(B267:B269)</f>
        <v>300</v>
      </c>
      <c r="C270" s="7">
        <f>SUM(C267:C269)</f>
        <v>300</v>
      </c>
      <c r="D270" s="7">
        <f>SUM(D267:D269)</f>
        <v>300</v>
      </c>
      <c r="E270" s="7"/>
      <c r="F270" s="7"/>
      <c r="G270" s="7"/>
      <c r="H270" s="7"/>
      <c r="I270" s="7"/>
      <c r="J270" s="7"/>
    </row>
    <row r="271" spans="1:10" x14ac:dyDescent="0.2">
      <c r="A271" s="2" t="s">
        <v>286</v>
      </c>
      <c r="B271" s="2">
        <v>35000</v>
      </c>
      <c r="C271" s="2">
        <v>35000</v>
      </c>
      <c r="D271" s="2">
        <v>35000</v>
      </c>
    </row>
    <row r="272" spans="1:10" x14ac:dyDescent="0.2">
      <c r="A272" s="2" t="s">
        <v>1740</v>
      </c>
      <c r="B272" s="2">
        <v>10000</v>
      </c>
      <c r="C272" s="2">
        <v>10000</v>
      </c>
      <c r="D272" s="2">
        <v>10000</v>
      </c>
    </row>
    <row r="273" spans="1:10" ht="15" x14ac:dyDescent="0.35">
      <c r="A273" s="2" t="s">
        <v>287</v>
      </c>
      <c r="B273" s="10">
        <v>10000</v>
      </c>
      <c r="C273" s="10">
        <v>10000</v>
      </c>
      <c r="D273" s="10">
        <v>10000</v>
      </c>
    </row>
    <row r="274" spans="1:10" x14ac:dyDescent="0.2">
      <c r="A274" s="2" t="s">
        <v>1086</v>
      </c>
      <c r="B274" s="2">
        <f>SUM(B270:B273)</f>
        <v>55300</v>
      </c>
      <c r="C274" s="2">
        <f>SUM(C270:C273)</f>
        <v>55300</v>
      </c>
      <c r="D274" s="2">
        <f>SUM(D270:D273)</f>
        <v>55300</v>
      </c>
    </row>
    <row r="276" spans="1:10" ht="15" x14ac:dyDescent="0.35">
      <c r="A276" s="48" t="s">
        <v>1338</v>
      </c>
      <c r="B276" s="221" t="s">
        <v>1759</v>
      </c>
      <c r="C276" s="221" t="s">
        <v>1857</v>
      </c>
      <c r="D276" s="221" t="s">
        <v>1966</v>
      </c>
      <c r="E276" s="10">
        <v>103054</v>
      </c>
      <c r="F276" s="10">
        <v>0</v>
      </c>
      <c r="G276" s="10">
        <v>0</v>
      </c>
      <c r="H276" s="10">
        <v>0</v>
      </c>
      <c r="I276" s="10">
        <v>0</v>
      </c>
      <c r="J276" s="10">
        <v>0</v>
      </c>
    </row>
    <row r="277" spans="1:10" x14ac:dyDescent="0.2">
      <c r="A277" s="2" t="s">
        <v>1395</v>
      </c>
      <c r="B277" s="2">
        <v>50000</v>
      </c>
      <c r="C277" s="2">
        <v>0</v>
      </c>
      <c r="D277" s="2">
        <v>0</v>
      </c>
    </row>
    <row r="278" spans="1:10" x14ac:dyDescent="0.2">
      <c r="A278" s="2" t="s">
        <v>2143</v>
      </c>
      <c r="B278" s="2">
        <v>0</v>
      </c>
    </row>
    <row r="279" spans="1:10" ht="15" x14ac:dyDescent="0.35">
      <c r="A279" s="37" t="s">
        <v>1876</v>
      </c>
      <c r="B279" s="10">
        <v>0</v>
      </c>
      <c r="C279" s="10">
        <v>0</v>
      </c>
      <c r="D279" s="10">
        <v>0</v>
      </c>
    </row>
    <row r="280" spans="1:10" x14ac:dyDescent="0.2">
      <c r="B280" s="2">
        <f>SUM(B277:B279)</f>
        <v>50000</v>
      </c>
      <c r="C280" s="2">
        <f>SUM(C277:C279)</f>
        <v>0</v>
      </c>
      <c r="D280" s="2">
        <f>SUM(D277:D279)</f>
        <v>0</v>
      </c>
    </row>
    <row r="281" spans="1:10" x14ac:dyDescent="0.2">
      <c r="A281" s="15" t="s">
        <v>349</v>
      </c>
    </row>
    <row r="282" spans="1:10" x14ac:dyDescent="0.2">
      <c r="A282" s="2" t="s">
        <v>1167</v>
      </c>
      <c r="E282" s="2">
        <f t="shared" ref="E282:J282" si="2">SUM(E6:E276)</f>
        <v>2312230</v>
      </c>
      <c r="F282" s="2">
        <f t="shared" si="2"/>
        <v>2105902</v>
      </c>
      <c r="G282" s="2">
        <f t="shared" si="2"/>
        <v>2209925</v>
      </c>
      <c r="H282" s="2">
        <f t="shared" si="2"/>
        <v>2243242</v>
      </c>
      <c r="I282" s="2">
        <f t="shared" si="2"/>
        <v>2195167</v>
      </c>
      <c r="J282" s="2">
        <f t="shared" si="2"/>
        <v>2195167</v>
      </c>
    </row>
    <row r="284" spans="1:10" x14ac:dyDescent="0.2">
      <c r="A284" s="2" t="s">
        <v>523</v>
      </c>
      <c r="E284" s="2">
        <f>SUM(E6:E98)</f>
        <v>1425141</v>
      </c>
      <c r="F284" s="2">
        <f>SUM(F6:F98)</f>
        <v>1492875</v>
      </c>
      <c r="G284" s="2">
        <f>SUM(G6:G98)</f>
        <v>1573044</v>
      </c>
      <c r="H284" s="2">
        <f>SUM(H6:H103)</f>
        <v>1606361</v>
      </c>
      <c r="I284" s="2">
        <f>SUM(I6:I98)</f>
        <v>1592114</v>
      </c>
      <c r="J284" s="2">
        <f>SUM(J6:J98)</f>
        <v>1592114</v>
      </c>
    </row>
    <row r="285" spans="1:10" x14ac:dyDescent="0.2">
      <c r="A285" s="2" t="s">
        <v>818</v>
      </c>
      <c r="E285" s="2">
        <f t="shared" ref="E285:J285" si="3">SUM(E105:E248)</f>
        <v>677424</v>
      </c>
      <c r="F285" s="2">
        <f t="shared" si="3"/>
        <v>554226</v>
      </c>
      <c r="G285" s="2">
        <f t="shared" si="3"/>
        <v>578080</v>
      </c>
      <c r="H285" s="2">
        <f t="shared" si="3"/>
        <v>578080</v>
      </c>
      <c r="I285" s="2">
        <f t="shared" si="3"/>
        <v>544252</v>
      </c>
      <c r="J285" s="2">
        <f t="shared" si="3"/>
        <v>544252</v>
      </c>
    </row>
    <row r="286" spans="1:10" ht="15" x14ac:dyDescent="0.35">
      <c r="A286" s="2" t="s">
        <v>819</v>
      </c>
      <c r="E286" s="10">
        <f t="shared" ref="E286:J286" si="4">SUM(E255:E276)</f>
        <v>209665</v>
      </c>
      <c r="F286" s="10">
        <f t="shared" si="4"/>
        <v>58801</v>
      </c>
      <c r="G286" s="10">
        <f t="shared" si="4"/>
        <v>58801</v>
      </c>
      <c r="H286" s="10">
        <f t="shared" si="4"/>
        <v>58801</v>
      </c>
      <c r="I286" s="10">
        <f t="shared" si="4"/>
        <v>58801</v>
      </c>
      <c r="J286" s="10">
        <f t="shared" si="4"/>
        <v>58801</v>
      </c>
    </row>
    <row r="287" spans="1:10" x14ac:dyDescent="0.2">
      <c r="A287" s="2" t="s">
        <v>1086</v>
      </c>
      <c r="E287" s="2">
        <f t="shared" ref="E287:J287" si="5">SUM(E284:E286)</f>
        <v>2312230</v>
      </c>
      <c r="F287" s="2">
        <f t="shared" si="5"/>
        <v>2105902</v>
      </c>
      <c r="G287" s="2">
        <f t="shared" si="5"/>
        <v>2209925</v>
      </c>
      <c r="H287" s="2">
        <f t="shared" ref="H287" si="6">SUM(H284:H286)</f>
        <v>2243242</v>
      </c>
      <c r="I287" s="2">
        <f t="shared" si="5"/>
        <v>2195167</v>
      </c>
      <c r="J287" s="2">
        <f t="shared" si="5"/>
        <v>2195167</v>
      </c>
    </row>
    <row r="290" spans="7:7" x14ac:dyDescent="0.2">
      <c r="G290" s="2">
        <f>+G287-F287</f>
        <v>104023</v>
      </c>
    </row>
  </sheetData>
  <mergeCells count="1">
    <mergeCell ref="A1:J1"/>
  </mergeCells>
  <phoneticPr fontId="0" type="noConversion"/>
  <printOptions gridLines="1"/>
  <pageMargins left="0.75" right="0.16" top="0.51" bottom="0.22" header="0.5" footer="0.24"/>
  <pageSetup scale="85" fitToHeight="12" orientation="landscape" r:id="rId1"/>
  <headerFooter alignWithMargins="0"/>
  <rowBreaks count="3" manualBreakCount="3">
    <brk id="63" max="9" man="1"/>
    <brk id="120" max="9" man="1"/>
    <brk id="202" max="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333"/>
  <sheetViews>
    <sheetView view="pageBreakPreview" zoomScaleNormal="100" zoomScaleSheetLayoutView="100" workbookViewId="0">
      <pane ySplit="5" topLeftCell="A86" activePane="bottomLeft" state="frozen"/>
      <selection pane="bottomLeft" sqref="A1:J1"/>
    </sheetView>
  </sheetViews>
  <sheetFormatPr defaultColWidth="8.85546875" defaultRowHeight="12.75" x14ac:dyDescent="0.2"/>
  <cols>
    <col min="1" max="1" width="58.85546875" style="220" customWidth="1"/>
    <col min="2" max="3" width="9.5703125" style="220" bestFit="1" customWidth="1"/>
    <col min="4" max="4" width="9.5703125" style="2" bestFit="1" customWidth="1"/>
    <col min="5" max="6" width="9.140625" style="220" bestFit="1" customWidth="1"/>
    <col min="7" max="7" width="11.7109375" style="220" bestFit="1" customWidth="1"/>
    <col min="8" max="8" width="12.42578125" style="2" customWidth="1"/>
    <col min="9" max="9" width="9.5703125" style="220" bestFit="1" customWidth="1"/>
    <col min="10" max="10" width="9.42578125" style="220" bestFit="1" customWidth="1"/>
    <col min="11" max="16384" width="8.85546875" style="220"/>
  </cols>
  <sheetData>
    <row r="1" spans="1:10" x14ac:dyDescent="0.2">
      <c r="A1" s="261" t="s">
        <v>1965</v>
      </c>
      <c r="B1" s="262"/>
      <c r="C1" s="262"/>
      <c r="D1" s="262"/>
      <c r="E1" s="262"/>
      <c r="F1" s="262"/>
      <c r="G1" s="262"/>
      <c r="H1" s="262"/>
      <c r="I1" s="262"/>
      <c r="J1" s="262"/>
    </row>
    <row r="2" spans="1:10" ht="18.75" x14ac:dyDescent="0.3">
      <c r="A2" s="107" t="s">
        <v>1640</v>
      </c>
      <c r="B2" s="107"/>
      <c r="C2" s="107"/>
      <c r="D2" s="107"/>
      <c r="E2" s="107"/>
      <c r="F2" s="107"/>
    </row>
    <row r="3" spans="1:10" x14ac:dyDescent="0.2">
      <c r="B3" s="2"/>
      <c r="C3" s="2"/>
      <c r="E3" s="2"/>
      <c r="F3" s="2"/>
    </row>
    <row r="4" spans="1:10" x14ac:dyDescent="0.2">
      <c r="B4" s="2"/>
      <c r="C4" s="2"/>
      <c r="E4" s="15" t="s">
        <v>207</v>
      </c>
      <c r="F4" s="15" t="s">
        <v>208</v>
      </c>
      <c r="G4" s="15" t="s">
        <v>63</v>
      </c>
      <c r="H4" s="15" t="s">
        <v>362</v>
      </c>
      <c r="I4" s="15" t="s">
        <v>274</v>
      </c>
      <c r="J4" s="15" t="s">
        <v>305</v>
      </c>
    </row>
    <row r="5" spans="1:10" ht="15" x14ac:dyDescent="0.35">
      <c r="B5" s="2"/>
      <c r="C5" s="2"/>
      <c r="E5" s="221" t="s">
        <v>1759</v>
      </c>
      <c r="F5" s="221" t="s">
        <v>1857</v>
      </c>
      <c r="G5" s="221" t="s">
        <v>1966</v>
      </c>
      <c r="H5" s="221" t="s">
        <v>1966</v>
      </c>
      <c r="I5" s="221" t="s">
        <v>1966</v>
      </c>
      <c r="J5" s="221" t="s">
        <v>1966</v>
      </c>
    </row>
    <row r="6" spans="1:10" ht="13.5" x14ac:dyDescent="0.25">
      <c r="A6" s="225" t="s">
        <v>1301</v>
      </c>
      <c r="B6" s="2"/>
      <c r="C6" s="2"/>
      <c r="E6" s="2">
        <v>70047</v>
      </c>
      <c r="F6" s="2">
        <v>75315</v>
      </c>
      <c r="G6" s="2">
        <v>76737</v>
      </c>
      <c r="H6" s="2">
        <v>76737</v>
      </c>
      <c r="I6" s="2">
        <v>78221</v>
      </c>
      <c r="J6" s="2">
        <v>78221</v>
      </c>
    </row>
    <row r="7" spans="1:10" x14ac:dyDescent="0.2">
      <c r="A7" s="22" t="s">
        <v>391</v>
      </c>
      <c r="B7" s="2">
        <v>52</v>
      </c>
      <c r="C7" s="2">
        <v>1450</v>
      </c>
      <c r="D7" s="2">
        <f>+C7*B7</f>
        <v>75400</v>
      </c>
      <c r="E7" s="2"/>
      <c r="F7" s="2"/>
      <c r="G7" s="2"/>
      <c r="I7" s="2"/>
      <c r="J7" s="2"/>
    </row>
    <row r="8" spans="1:10" x14ac:dyDescent="0.2">
      <c r="A8" s="2" t="s">
        <v>2139</v>
      </c>
      <c r="B8" s="2">
        <v>1</v>
      </c>
      <c r="C8" s="2">
        <v>1450</v>
      </c>
      <c r="D8" s="2">
        <f>+C8*B8</f>
        <v>1450</v>
      </c>
      <c r="E8" s="2"/>
      <c r="F8" s="2"/>
      <c r="G8" s="2"/>
      <c r="I8" s="2"/>
      <c r="J8" s="2"/>
    </row>
    <row r="9" spans="1:10" ht="15" x14ac:dyDescent="0.35">
      <c r="A9" s="220" t="s">
        <v>833</v>
      </c>
      <c r="B9" s="2"/>
      <c r="C9" s="2"/>
      <c r="D9" s="10">
        <f>-23+1394</f>
        <v>1371</v>
      </c>
      <c r="E9" s="2"/>
      <c r="F9" s="10"/>
      <c r="G9" s="10"/>
      <c r="H9" s="10"/>
      <c r="I9" s="10"/>
      <c r="J9" s="10"/>
    </row>
    <row r="10" spans="1:10" x14ac:dyDescent="0.2">
      <c r="A10" s="220" t="s">
        <v>1086</v>
      </c>
      <c r="B10" s="2"/>
      <c r="C10" s="2"/>
      <c r="D10" s="2">
        <f>SUM(D7:D9)</f>
        <v>78221</v>
      </c>
      <c r="E10" s="2"/>
      <c r="F10" s="2"/>
      <c r="G10" s="2"/>
      <c r="I10" s="2"/>
      <c r="J10" s="2"/>
    </row>
    <row r="11" spans="1:10" x14ac:dyDescent="0.2">
      <c r="B11" s="2"/>
      <c r="C11" s="2"/>
      <c r="E11" s="2"/>
      <c r="F11" s="2"/>
      <c r="G11" s="2"/>
      <c r="I11" s="2"/>
      <c r="J11" s="2"/>
    </row>
    <row r="12" spans="1:10" x14ac:dyDescent="0.2">
      <c r="B12" s="2"/>
      <c r="C12" s="2"/>
      <c r="E12" s="2"/>
      <c r="F12" s="2"/>
      <c r="G12" s="2"/>
      <c r="I12" s="2"/>
      <c r="J12" s="2"/>
    </row>
    <row r="13" spans="1:10" ht="13.5" x14ac:dyDescent="0.25">
      <c r="A13" s="225" t="s">
        <v>1653</v>
      </c>
      <c r="B13" s="2"/>
      <c r="C13" s="2"/>
      <c r="E13" s="2">
        <v>43252</v>
      </c>
      <c r="F13" s="2">
        <v>44980</v>
      </c>
      <c r="G13" s="2">
        <v>45845</v>
      </c>
      <c r="H13" s="2">
        <v>45845</v>
      </c>
      <c r="I13" s="2">
        <v>46746</v>
      </c>
      <c r="J13" s="2">
        <v>46746</v>
      </c>
    </row>
    <row r="14" spans="1:10" x14ac:dyDescent="0.2">
      <c r="A14" s="220" t="s">
        <v>1878</v>
      </c>
      <c r="B14" s="2">
        <v>52</v>
      </c>
      <c r="C14" s="2">
        <v>882</v>
      </c>
      <c r="D14" s="2">
        <f>+C14*B14</f>
        <v>45864</v>
      </c>
      <c r="E14" s="2"/>
      <c r="F14" s="2"/>
      <c r="G14" s="2"/>
      <c r="I14" s="2"/>
      <c r="J14" s="2"/>
    </row>
    <row r="15" spans="1:10" x14ac:dyDescent="0.2">
      <c r="A15" s="2" t="s">
        <v>2139</v>
      </c>
      <c r="B15" s="2">
        <v>1</v>
      </c>
      <c r="C15" s="2">
        <v>882</v>
      </c>
      <c r="D15" s="2">
        <f>+C15*B15</f>
        <v>882</v>
      </c>
      <c r="E15" s="2"/>
      <c r="F15" s="2"/>
      <c r="G15" s="2"/>
      <c r="I15" s="2"/>
      <c r="J15" s="2"/>
    </row>
    <row r="16" spans="1:10" ht="15" x14ac:dyDescent="0.35">
      <c r="A16" s="220" t="s">
        <v>833</v>
      </c>
      <c r="B16" s="2"/>
      <c r="C16" s="2"/>
      <c r="D16" s="10">
        <v>0</v>
      </c>
      <c r="H16" s="220"/>
      <c r="I16" s="251"/>
      <c r="J16" s="256"/>
    </row>
    <row r="17" spans="1:10" x14ac:dyDescent="0.2">
      <c r="A17" s="220" t="s">
        <v>1086</v>
      </c>
      <c r="B17" s="2"/>
      <c r="C17" s="2"/>
      <c r="D17" s="2">
        <f>SUM(D14:D16)</f>
        <v>46746</v>
      </c>
      <c r="E17" s="2"/>
      <c r="F17" s="2"/>
      <c r="G17" s="2"/>
      <c r="I17" s="2"/>
      <c r="J17" s="2"/>
    </row>
    <row r="18" spans="1:10" x14ac:dyDescent="0.2">
      <c r="B18" s="2"/>
      <c r="C18" s="2"/>
      <c r="E18" s="2"/>
      <c r="F18" s="2"/>
      <c r="G18" s="2"/>
      <c r="I18" s="2"/>
      <c r="J18" s="2"/>
    </row>
    <row r="19" spans="1:10" x14ac:dyDescent="0.2">
      <c r="B19" s="2"/>
      <c r="C19" s="2"/>
      <c r="E19" s="2"/>
      <c r="F19" s="2"/>
      <c r="G19" s="2"/>
      <c r="I19" s="2"/>
      <c r="J19" s="2"/>
    </row>
    <row r="20" spans="1:10" ht="13.5" x14ac:dyDescent="0.25">
      <c r="A20" s="225" t="s">
        <v>959</v>
      </c>
      <c r="B20" s="2"/>
      <c r="C20" s="2"/>
      <c r="E20" s="2">
        <v>23290</v>
      </c>
      <c r="F20" s="2">
        <v>29028</v>
      </c>
      <c r="G20" s="2">
        <v>38649</v>
      </c>
      <c r="H20" s="2">
        <v>38649</v>
      </c>
      <c r="I20" s="2">
        <v>38649</v>
      </c>
      <c r="J20" s="2">
        <v>38649</v>
      </c>
    </row>
    <row r="21" spans="1:10" x14ac:dyDescent="0.2">
      <c r="A21" s="220" t="s">
        <v>1583</v>
      </c>
      <c r="B21" s="2">
        <v>440</v>
      </c>
      <c r="C21" s="11">
        <v>10</v>
      </c>
      <c r="D21" s="2">
        <f>ROUND(B21*C21,0)</f>
        <v>4400</v>
      </c>
      <c r="E21" s="2"/>
      <c r="F21" s="2"/>
      <c r="G21" s="2"/>
      <c r="I21" s="2"/>
      <c r="J21" s="2"/>
    </row>
    <row r="22" spans="1:10" x14ac:dyDescent="0.2">
      <c r="A22" s="220" t="s">
        <v>1812</v>
      </c>
      <c r="B22" s="2">
        <v>1140</v>
      </c>
      <c r="C22" s="11">
        <v>12.25</v>
      </c>
      <c r="D22" s="2">
        <v>13960.44</v>
      </c>
      <c r="E22" s="2"/>
      <c r="F22" s="2"/>
      <c r="G22" s="2"/>
      <c r="I22" s="2"/>
      <c r="J22" s="2"/>
    </row>
    <row r="23" spans="1:10" x14ac:dyDescent="0.2">
      <c r="A23" s="220" t="s">
        <v>1584</v>
      </c>
      <c r="B23" s="2">
        <v>220</v>
      </c>
      <c r="C23" s="11">
        <v>17.39</v>
      </c>
      <c r="D23" s="2">
        <f>ROUND(B23*C23,0)</f>
        <v>3826</v>
      </c>
      <c r="E23" s="2"/>
      <c r="F23" s="2"/>
      <c r="G23" s="2"/>
      <c r="I23" s="2"/>
      <c r="J23" s="2"/>
    </row>
    <row r="24" spans="1:10" ht="15" x14ac:dyDescent="0.35">
      <c r="A24" s="220" t="s">
        <v>1568</v>
      </c>
      <c r="B24" s="2">
        <v>1040</v>
      </c>
      <c r="C24" s="11">
        <v>15.83</v>
      </c>
      <c r="D24" s="10">
        <f>ROUND(B24*C24,0)</f>
        <v>16463</v>
      </c>
      <c r="E24" s="2"/>
      <c r="F24" s="2"/>
      <c r="G24" s="2"/>
      <c r="I24" s="2"/>
      <c r="J24" s="2"/>
    </row>
    <row r="25" spans="1:10" x14ac:dyDescent="0.2">
      <c r="A25" s="220" t="s">
        <v>1086</v>
      </c>
      <c r="B25" s="2"/>
      <c r="C25" s="2"/>
      <c r="D25" s="2">
        <f>SUM(D21:D24)</f>
        <v>38649.440000000002</v>
      </c>
      <c r="E25" s="2"/>
      <c r="F25" s="2"/>
      <c r="G25" s="2"/>
      <c r="I25" s="2"/>
      <c r="J25" s="2"/>
    </row>
    <row r="26" spans="1:10" x14ac:dyDescent="0.2">
      <c r="H26" s="220"/>
      <c r="I26" s="251"/>
      <c r="J26" s="256"/>
    </row>
    <row r="27" spans="1:10" ht="13.5" x14ac:dyDescent="0.25">
      <c r="A27" s="225" t="s">
        <v>4</v>
      </c>
      <c r="E27" s="2">
        <v>371</v>
      </c>
      <c r="F27" s="2">
        <v>599</v>
      </c>
      <c r="G27" s="2">
        <v>599</v>
      </c>
      <c r="H27" s="2">
        <v>599</v>
      </c>
      <c r="I27" s="2">
        <v>599</v>
      </c>
      <c r="J27" s="2">
        <v>599</v>
      </c>
    </row>
    <row r="28" spans="1:10" x14ac:dyDescent="0.2">
      <c r="A28" s="220" t="s">
        <v>1439</v>
      </c>
      <c r="B28" s="2">
        <v>38</v>
      </c>
      <c r="C28" s="11">
        <v>15.75</v>
      </c>
      <c r="D28" s="2">
        <f>+ROUND(C28*B28,0)</f>
        <v>599</v>
      </c>
      <c r="E28" s="2"/>
      <c r="F28" s="2"/>
      <c r="G28" s="2"/>
      <c r="I28" s="2"/>
      <c r="J28" s="2"/>
    </row>
    <row r="29" spans="1:10" ht="13.5" x14ac:dyDescent="0.25">
      <c r="A29" s="225" t="s">
        <v>5</v>
      </c>
      <c r="E29" s="2">
        <v>10809</v>
      </c>
      <c r="F29" s="2">
        <v>11477</v>
      </c>
      <c r="G29" s="2">
        <v>12387</v>
      </c>
      <c r="H29" s="2">
        <v>12387</v>
      </c>
      <c r="I29" s="2">
        <v>12570</v>
      </c>
      <c r="J29" s="2">
        <v>12570</v>
      </c>
    </row>
    <row r="30" spans="1:10" hidden="1" x14ac:dyDescent="0.2">
      <c r="A30" s="12" t="s">
        <v>1290</v>
      </c>
      <c r="B30" s="2">
        <f>+D10</f>
        <v>78221</v>
      </c>
      <c r="C30" s="13">
        <v>7.6499999999999999E-2</v>
      </c>
      <c r="D30" s="2">
        <f>ROUND(B30*C30,0)+6</f>
        <v>5990</v>
      </c>
      <c r="E30" s="2"/>
      <c r="F30" s="2"/>
      <c r="G30" s="2"/>
      <c r="I30" s="2"/>
      <c r="J30" s="2"/>
    </row>
    <row r="31" spans="1:10" hidden="1" x14ac:dyDescent="0.2">
      <c r="A31" s="12" t="s">
        <v>695</v>
      </c>
      <c r="B31" s="2">
        <f>+D17</f>
        <v>46746</v>
      </c>
      <c r="C31" s="13">
        <v>7.6499999999999999E-2</v>
      </c>
      <c r="D31" s="2">
        <f>ROUND(B31*C31,0)</f>
        <v>3576</v>
      </c>
      <c r="E31" s="2"/>
      <c r="F31" s="2"/>
      <c r="G31" s="2"/>
      <c r="I31" s="2"/>
      <c r="J31" s="2"/>
    </row>
    <row r="32" spans="1:10" hidden="1" x14ac:dyDescent="0.2">
      <c r="A32" s="12" t="s">
        <v>158</v>
      </c>
      <c r="B32" s="2">
        <f>+D25</f>
        <v>38649.440000000002</v>
      </c>
      <c r="C32" s="13">
        <v>7.6499999999999999E-2</v>
      </c>
      <c r="D32" s="2">
        <f>ROUND(B32*C32,0)+1</f>
        <v>2958</v>
      </c>
      <c r="E32" s="2"/>
      <c r="F32" s="2"/>
      <c r="G32" s="2"/>
      <c r="I32" s="2"/>
      <c r="J32" s="2"/>
    </row>
    <row r="33" spans="1:10" ht="15" hidden="1" x14ac:dyDescent="0.35">
      <c r="A33" s="12" t="s">
        <v>159</v>
      </c>
      <c r="B33" s="2">
        <f>+D28</f>
        <v>599</v>
      </c>
      <c r="C33" s="13">
        <v>7.6499999999999999E-2</v>
      </c>
      <c r="D33" s="10">
        <f>ROUND(B33*C33,0)</f>
        <v>46</v>
      </c>
      <c r="E33" s="2"/>
      <c r="F33" s="2"/>
      <c r="G33" s="2"/>
      <c r="I33" s="2"/>
      <c r="J33" s="2"/>
    </row>
    <row r="34" spans="1:10" hidden="1" x14ac:dyDescent="0.2">
      <c r="A34" s="220" t="s">
        <v>1086</v>
      </c>
      <c r="D34" s="2">
        <f>SUM(D30:D33)</f>
        <v>12570</v>
      </c>
      <c r="E34" s="2"/>
      <c r="F34" s="2"/>
      <c r="G34" s="2"/>
      <c r="I34" s="2"/>
      <c r="J34" s="2"/>
    </row>
    <row r="35" spans="1:10" x14ac:dyDescent="0.2">
      <c r="E35" s="2"/>
      <c r="F35" s="2"/>
      <c r="G35" s="2"/>
      <c r="I35" s="2"/>
      <c r="J35" s="2"/>
    </row>
    <row r="36" spans="1:10" ht="13.5" x14ac:dyDescent="0.25">
      <c r="A36" s="225" t="s">
        <v>36</v>
      </c>
      <c r="E36" s="2">
        <v>12939</v>
      </c>
      <c r="F36" s="2">
        <v>13437</v>
      </c>
      <c r="G36" s="2">
        <v>17235</v>
      </c>
      <c r="H36" s="2">
        <v>17235</v>
      </c>
      <c r="I36" s="2">
        <v>17570</v>
      </c>
      <c r="J36" s="2">
        <v>17570</v>
      </c>
    </row>
    <row r="37" spans="1:10" hidden="1" x14ac:dyDescent="0.2">
      <c r="A37" s="12" t="s">
        <v>1290</v>
      </c>
      <c r="B37" s="2">
        <f>+D10</f>
        <v>78221</v>
      </c>
      <c r="C37" s="228">
        <v>0.1406</v>
      </c>
      <c r="D37" s="2">
        <f>ROUND(B37*C37,0)</f>
        <v>10998</v>
      </c>
      <c r="E37" s="2"/>
      <c r="F37" s="2"/>
      <c r="G37" s="2"/>
      <c r="I37" s="2"/>
      <c r="J37" s="2"/>
    </row>
    <row r="38" spans="1:10" ht="15" hidden="1" x14ac:dyDescent="0.35">
      <c r="A38" s="12" t="s">
        <v>695</v>
      </c>
      <c r="B38" s="2">
        <f>+D17</f>
        <v>46746</v>
      </c>
      <c r="C38" s="228">
        <v>0.1406</v>
      </c>
      <c r="D38" s="10">
        <f>ROUND(B38*C38,0)</f>
        <v>6572</v>
      </c>
      <c r="E38" s="2"/>
      <c r="F38" s="2"/>
      <c r="G38" s="2"/>
      <c r="I38" s="2"/>
      <c r="J38" s="2"/>
    </row>
    <row r="39" spans="1:10" hidden="1" x14ac:dyDescent="0.2">
      <c r="A39" s="220" t="s">
        <v>1086</v>
      </c>
      <c r="B39" s="2"/>
      <c r="C39" s="13"/>
      <c r="D39" s="2">
        <f>SUM(D37:D38)</f>
        <v>17570</v>
      </c>
      <c r="E39" s="2"/>
      <c r="F39" s="2"/>
      <c r="G39" s="2"/>
      <c r="I39" s="2"/>
      <c r="J39" s="2"/>
    </row>
    <row r="40" spans="1:10" x14ac:dyDescent="0.2">
      <c r="E40" s="2"/>
      <c r="F40" s="2"/>
      <c r="G40" s="2"/>
      <c r="I40" s="2"/>
      <c r="J40" s="2"/>
    </row>
    <row r="41" spans="1:10" ht="13.5" x14ac:dyDescent="0.25">
      <c r="A41" s="225" t="s">
        <v>37</v>
      </c>
      <c r="E41" s="2">
        <v>38474</v>
      </c>
      <c r="F41" s="2">
        <v>39150</v>
      </c>
      <c r="G41" s="2">
        <v>39900</v>
      </c>
      <c r="H41" s="2">
        <v>39500</v>
      </c>
      <c r="I41" s="2">
        <v>39500</v>
      </c>
      <c r="J41" s="2">
        <v>39500</v>
      </c>
    </row>
    <row r="42" spans="1:10" x14ac:dyDescent="0.2">
      <c r="A42" s="220" t="s">
        <v>369</v>
      </c>
      <c r="B42" s="98">
        <v>2</v>
      </c>
      <c r="C42" s="2">
        <v>19750</v>
      </c>
      <c r="D42" s="2">
        <f>ROUND(B42*C42,0)</f>
        <v>39500</v>
      </c>
      <c r="E42" s="2"/>
      <c r="F42" s="2"/>
      <c r="G42" s="2"/>
      <c r="I42" s="2"/>
      <c r="J42" s="2"/>
    </row>
    <row r="43" spans="1:10" x14ac:dyDescent="0.2">
      <c r="B43" s="98"/>
      <c r="E43" s="2"/>
      <c r="F43" s="2"/>
      <c r="G43" s="2"/>
      <c r="I43" s="2"/>
      <c r="J43" s="2"/>
    </row>
    <row r="44" spans="1:10" ht="13.5" x14ac:dyDescent="0.25">
      <c r="A44" s="225" t="s">
        <v>945</v>
      </c>
      <c r="B44" s="98"/>
      <c r="E44" s="2">
        <v>2390</v>
      </c>
      <c r="F44" s="2">
        <v>2520</v>
      </c>
      <c r="G44" s="2">
        <v>2520</v>
      </c>
      <c r="H44" s="2">
        <v>2520</v>
      </c>
      <c r="I44" s="2">
        <v>2520</v>
      </c>
      <c r="J44" s="2">
        <v>2520</v>
      </c>
    </row>
    <row r="45" spans="1:10" x14ac:dyDescent="0.2">
      <c r="A45" s="220" t="s">
        <v>369</v>
      </c>
      <c r="B45" s="98">
        <v>2</v>
      </c>
      <c r="C45" s="2">
        <v>1400</v>
      </c>
      <c r="D45" s="2">
        <f>ROUND(B45*C45,0)</f>
        <v>2800</v>
      </c>
      <c r="E45" s="2"/>
      <c r="F45" s="2"/>
      <c r="G45" s="2"/>
      <c r="I45" s="2"/>
      <c r="J45" s="2"/>
    </row>
    <row r="46" spans="1:10" ht="15" x14ac:dyDescent="0.35">
      <c r="A46" s="220" t="s">
        <v>201</v>
      </c>
      <c r="B46" s="98"/>
      <c r="C46" s="2"/>
      <c r="D46" s="10">
        <f>+C45*-0.1*B45</f>
        <v>-280</v>
      </c>
      <c r="E46" s="2"/>
      <c r="F46" s="2"/>
      <c r="G46" s="2"/>
      <c r="I46" s="2"/>
      <c r="J46" s="2"/>
    </row>
    <row r="47" spans="1:10" x14ac:dyDescent="0.2">
      <c r="A47" s="220" t="s">
        <v>690</v>
      </c>
      <c r="B47" s="98"/>
      <c r="C47" s="2"/>
      <c r="D47" s="2">
        <f>SUM(D45:D46)</f>
        <v>2520</v>
      </c>
      <c r="E47" s="2"/>
      <c r="F47" s="2"/>
      <c r="G47" s="2"/>
      <c r="I47" s="2"/>
      <c r="J47" s="2"/>
    </row>
    <row r="48" spans="1:10" x14ac:dyDescent="0.2">
      <c r="B48" s="98"/>
      <c r="E48" s="2"/>
      <c r="F48" s="2"/>
      <c r="G48" s="2"/>
      <c r="I48" s="2"/>
      <c r="J48" s="2"/>
    </row>
    <row r="49" spans="1:10" ht="13.5" x14ac:dyDescent="0.25">
      <c r="A49" s="225" t="s">
        <v>126</v>
      </c>
      <c r="B49" s="98"/>
      <c r="E49" s="2">
        <v>261</v>
      </c>
      <c r="F49" s="2">
        <v>270</v>
      </c>
      <c r="G49" s="2">
        <v>270</v>
      </c>
      <c r="H49" s="2">
        <v>270</v>
      </c>
      <c r="I49" s="2">
        <v>270</v>
      </c>
      <c r="J49" s="2">
        <v>270</v>
      </c>
    </row>
    <row r="50" spans="1:10" hidden="1" x14ac:dyDescent="0.2">
      <c r="A50" s="220" t="s">
        <v>369</v>
      </c>
      <c r="B50" s="98">
        <v>2</v>
      </c>
      <c r="C50" s="2">
        <v>135</v>
      </c>
      <c r="D50" s="2">
        <f>ROUND(B50*C50,0)</f>
        <v>270</v>
      </c>
      <c r="E50" s="2"/>
      <c r="F50" s="2"/>
      <c r="G50" s="2"/>
      <c r="I50" s="2"/>
      <c r="J50" s="2"/>
    </row>
    <row r="51" spans="1:10" x14ac:dyDescent="0.2">
      <c r="B51" s="98"/>
      <c r="E51" s="2"/>
      <c r="F51" s="2"/>
      <c r="G51" s="2"/>
      <c r="I51" s="2"/>
      <c r="J51" s="2"/>
    </row>
    <row r="52" spans="1:10" ht="13.5" x14ac:dyDescent="0.25">
      <c r="A52" s="225" t="s">
        <v>127</v>
      </c>
      <c r="B52" s="98"/>
      <c r="E52" s="2">
        <v>1326</v>
      </c>
      <c r="F52" s="2">
        <v>1250</v>
      </c>
      <c r="G52" s="2">
        <v>1100</v>
      </c>
      <c r="H52" s="2">
        <v>1100</v>
      </c>
      <c r="I52" s="2">
        <v>1100</v>
      </c>
      <c r="J52" s="2">
        <v>1100</v>
      </c>
    </row>
    <row r="53" spans="1:10" hidden="1" x14ac:dyDescent="0.2">
      <c r="A53" s="220" t="s">
        <v>369</v>
      </c>
      <c r="B53" s="98">
        <v>2</v>
      </c>
      <c r="C53" s="2">
        <v>550</v>
      </c>
      <c r="D53" s="2">
        <f>ROUND(B53*C53,0)</f>
        <v>1100</v>
      </c>
      <c r="E53" s="2"/>
      <c r="F53" s="2"/>
      <c r="G53" s="2"/>
      <c r="I53" s="2"/>
      <c r="J53" s="2"/>
    </row>
    <row r="54" spans="1:10" x14ac:dyDescent="0.2">
      <c r="E54" s="2"/>
      <c r="F54" s="2"/>
      <c r="G54" s="2"/>
      <c r="I54" s="2"/>
      <c r="J54" s="2"/>
    </row>
    <row r="55" spans="1:10" ht="13.5" x14ac:dyDescent="0.25">
      <c r="A55" s="225" t="s">
        <v>128</v>
      </c>
      <c r="E55" s="2">
        <f>400+2605</f>
        <v>3005</v>
      </c>
      <c r="F55" s="2">
        <v>4319</v>
      </c>
      <c r="G55" s="2">
        <v>4227</v>
      </c>
      <c r="H55" s="2">
        <v>4227</v>
      </c>
      <c r="I55" s="2">
        <v>4251</v>
      </c>
      <c r="J55" s="2">
        <v>4251</v>
      </c>
    </row>
    <row r="56" spans="1:10" hidden="1" x14ac:dyDescent="0.2">
      <c r="A56" s="12" t="s">
        <v>1015</v>
      </c>
      <c r="B56" s="2">
        <f>+D7+D9</f>
        <v>76771</v>
      </c>
      <c r="C56" s="13">
        <v>2.6100000000000002E-2</v>
      </c>
      <c r="D56" s="2">
        <f>ROUND(B56*C56,0)</f>
        <v>2004</v>
      </c>
      <c r="E56" s="2"/>
      <c r="F56" s="2"/>
      <c r="G56" s="2"/>
      <c r="I56" s="2"/>
      <c r="J56" s="2"/>
    </row>
    <row r="57" spans="1:10" hidden="1" x14ac:dyDescent="0.2">
      <c r="A57" s="12" t="s">
        <v>1620</v>
      </c>
      <c r="B57" s="2">
        <f>+B31</f>
        <v>46746</v>
      </c>
      <c r="C57" s="13">
        <v>2.6100000000000002E-2</v>
      </c>
      <c r="D57" s="2">
        <f>ROUND(B57*C57,0)</f>
        <v>1220</v>
      </c>
      <c r="E57" s="2"/>
      <c r="F57" s="2"/>
      <c r="G57" s="2"/>
      <c r="I57" s="2"/>
      <c r="J57" s="2"/>
    </row>
    <row r="58" spans="1:10" hidden="1" x14ac:dyDescent="0.2">
      <c r="A58" s="12" t="s">
        <v>489</v>
      </c>
      <c r="B58" s="2">
        <f>+D24</f>
        <v>16463</v>
      </c>
      <c r="C58" s="13">
        <v>2.6100000000000002E-2</v>
      </c>
      <c r="D58" s="2">
        <f>ROUND(B58*C58,0)</f>
        <v>430</v>
      </c>
      <c r="E58" s="2"/>
      <c r="F58" s="2"/>
      <c r="G58" s="2"/>
      <c r="I58" s="2"/>
      <c r="J58" s="2"/>
    </row>
    <row r="59" spans="1:10" hidden="1" x14ac:dyDescent="0.2">
      <c r="A59" s="12" t="s">
        <v>1328</v>
      </c>
      <c r="B59" s="2">
        <f>+D23+D22+D21</f>
        <v>22186.440000000002</v>
      </c>
      <c r="C59" s="13">
        <v>2.6100000000000002E-2</v>
      </c>
      <c r="D59" s="2">
        <f>ROUND(B59*C59,0)</f>
        <v>579</v>
      </c>
      <c r="E59" s="2"/>
      <c r="F59" s="2"/>
      <c r="G59" s="2"/>
      <c r="I59" s="2"/>
      <c r="J59" s="2"/>
    </row>
    <row r="60" spans="1:10" ht="15" hidden="1" x14ac:dyDescent="0.35">
      <c r="A60" s="12" t="s">
        <v>1670</v>
      </c>
      <c r="B60" s="2">
        <f>+D28</f>
        <v>599</v>
      </c>
      <c r="C60" s="13">
        <v>2.6100000000000002E-2</v>
      </c>
      <c r="D60" s="10">
        <f>ROUND(B60*C60,0)</f>
        <v>16</v>
      </c>
      <c r="E60" s="2"/>
      <c r="F60" s="2"/>
      <c r="G60" s="2"/>
      <c r="I60" s="2"/>
      <c r="J60" s="2"/>
    </row>
    <row r="61" spans="1:10" hidden="1" x14ac:dyDescent="0.2">
      <c r="A61" s="220" t="s">
        <v>1086</v>
      </c>
      <c r="D61" s="2">
        <f>SUM(D56:D60)+2</f>
        <v>4251</v>
      </c>
      <c r="E61" s="2"/>
      <c r="F61" s="2"/>
      <c r="G61" s="2"/>
      <c r="I61" s="2"/>
      <c r="J61" s="2"/>
    </row>
    <row r="62" spans="1:10" x14ac:dyDescent="0.2">
      <c r="E62" s="2"/>
      <c r="F62" s="2"/>
      <c r="G62" s="2"/>
      <c r="I62" s="2"/>
      <c r="J62" s="2"/>
    </row>
    <row r="63" spans="1:10" ht="13.5" x14ac:dyDescent="0.25">
      <c r="A63" s="225" t="s">
        <v>297</v>
      </c>
      <c r="E63" s="2">
        <v>39</v>
      </c>
      <c r="F63" s="2">
        <v>100</v>
      </c>
      <c r="G63" s="2">
        <v>114</v>
      </c>
      <c r="H63" s="2">
        <v>114</v>
      </c>
      <c r="I63" s="2">
        <v>114</v>
      </c>
      <c r="J63" s="2">
        <v>114</v>
      </c>
    </row>
    <row r="64" spans="1:10" hidden="1" x14ac:dyDescent="0.2">
      <c r="A64" s="220" t="s">
        <v>1883</v>
      </c>
      <c r="B64" s="2">
        <v>1</v>
      </c>
      <c r="C64" s="2">
        <v>20</v>
      </c>
      <c r="D64" s="2">
        <f>ROUND(B64*C64,0)</f>
        <v>20</v>
      </c>
      <c r="E64" s="2"/>
      <c r="F64" s="2"/>
      <c r="G64" s="2"/>
      <c r="I64" s="2"/>
      <c r="J64" s="2"/>
    </row>
    <row r="65" spans="1:10" hidden="1" x14ac:dyDescent="0.2">
      <c r="A65" s="12" t="s">
        <v>1620</v>
      </c>
      <c r="B65" s="2">
        <v>1</v>
      </c>
      <c r="C65" s="2">
        <v>20</v>
      </c>
      <c r="D65" s="2">
        <f>ROUND(B65*C65,0)</f>
        <v>20</v>
      </c>
      <c r="E65" s="2"/>
      <c r="F65" s="2"/>
      <c r="G65" s="2"/>
      <c r="I65" s="2"/>
      <c r="J65" s="2"/>
    </row>
    <row r="66" spans="1:10" hidden="1" x14ac:dyDescent="0.2">
      <c r="A66" s="12" t="s">
        <v>1563</v>
      </c>
      <c r="B66" s="98">
        <v>0.5</v>
      </c>
      <c r="C66" s="2">
        <v>20</v>
      </c>
      <c r="D66" s="2">
        <f>ROUND(B66*C66,0)</f>
        <v>10</v>
      </c>
      <c r="E66" s="2"/>
      <c r="F66" s="2"/>
      <c r="G66" s="2"/>
      <c r="I66" s="2"/>
      <c r="J66" s="2"/>
    </row>
    <row r="67" spans="1:10" hidden="1" x14ac:dyDescent="0.2">
      <c r="A67" s="12" t="s">
        <v>158</v>
      </c>
      <c r="B67" s="2">
        <f>+D21+D22+D23</f>
        <v>22186.440000000002</v>
      </c>
      <c r="C67" s="13">
        <v>1.4E-3</v>
      </c>
      <c r="D67" s="2">
        <f>ROUND(B67*C67,0)+13</f>
        <v>44</v>
      </c>
      <c r="E67" s="2"/>
      <c r="F67" s="2"/>
      <c r="G67" s="2"/>
      <c r="I67" s="2"/>
      <c r="J67" s="2"/>
    </row>
    <row r="68" spans="1:10" ht="15" hidden="1" x14ac:dyDescent="0.35">
      <c r="A68" s="12" t="s">
        <v>1882</v>
      </c>
      <c r="B68" s="2">
        <v>1</v>
      </c>
      <c r="C68" s="2">
        <v>20</v>
      </c>
      <c r="D68" s="10">
        <f>ROUND(B68*C68,0)</f>
        <v>20</v>
      </c>
      <c r="E68" s="2"/>
      <c r="F68" s="2"/>
      <c r="G68" s="2"/>
      <c r="I68" s="2"/>
      <c r="J68" s="2"/>
    </row>
    <row r="69" spans="1:10" hidden="1" x14ac:dyDescent="0.2">
      <c r="A69" s="220" t="s">
        <v>1086</v>
      </c>
      <c r="D69" s="2">
        <f>SUM(D64:D68)</f>
        <v>114</v>
      </c>
      <c r="E69" s="2"/>
      <c r="F69" s="2"/>
      <c r="G69" s="2"/>
      <c r="I69" s="2"/>
      <c r="J69" s="2"/>
    </row>
    <row r="70" spans="1:10" x14ac:dyDescent="0.2">
      <c r="E70" s="2"/>
      <c r="F70" s="2"/>
      <c r="G70" s="2"/>
      <c r="I70" s="2"/>
      <c r="J70" s="2"/>
    </row>
    <row r="71" spans="1:10" ht="13.5" x14ac:dyDescent="0.25">
      <c r="A71" s="225" t="s">
        <v>298</v>
      </c>
      <c r="E71" s="2">
        <v>1818</v>
      </c>
      <c r="F71" s="2">
        <v>1000</v>
      </c>
      <c r="G71" s="2">
        <v>1000</v>
      </c>
      <c r="H71" s="2">
        <v>1000</v>
      </c>
      <c r="I71" s="2">
        <v>1000</v>
      </c>
      <c r="J71" s="2">
        <v>1000</v>
      </c>
    </row>
    <row r="72" spans="1:10" x14ac:dyDescent="0.2">
      <c r="A72" s="220" t="s">
        <v>367</v>
      </c>
      <c r="D72" s="2" t="s">
        <v>349</v>
      </c>
      <c r="E72" s="2"/>
      <c r="F72" s="2"/>
      <c r="G72" s="2"/>
      <c r="I72" s="2"/>
      <c r="J72" s="2"/>
    </row>
    <row r="73" spans="1:10" x14ac:dyDescent="0.2">
      <c r="A73" s="220" t="s">
        <v>517</v>
      </c>
      <c r="C73" s="2"/>
      <c r="D73" s="2">
        <v>1000</v>
      </c>
      <c r="E73" s="2"/>
      <c r="F73" s="2"/>
      <c r="G73" s="2"/>
      <c r="I73" s="2"/>
      <c r="J73" s="2"/>
    </row>
    <row r="74" spans="1:10" x14ac:dyDescent="0.2">
      <c r="A74" s="220" t="s">
        <v>349</v>
      </c>
      <c r="C74" s="2" t="s">
        <v>349</v>
      </c>
      <c r="D74" s="2" t="s">
        <v>349</v>
      </c>
      <c r="E74" s="2"/>
      <c r="F74" s="2"/>
      <c r="G74" s="2"/>
      <c r="I74" s="2"/>
      <c r="J74" s="2"/>
    </row>
    <row r="75" spans="1:10" ht="13.5" x14ac:dyDescent="0.25">
      <c r="A75" s="225" t="s">
        <v>1203</v>
      </c>
      <c r="C75" s="2"/>
      <c r="E75" s="2">
        <v>3756</v>
      </c>
      <c r="F75" s="2">
        <v>3500</v>
      </c>
      <c r="G75" s="2">
        <v>3500</v>
      </c>
      <c r="H75" s="2">
        <v>3500</v>
      </c>
      <c r="I75" s="2">
        <v>3500</v>
      </c>
      <c r="J75" s="2">
        <v>3500</v>
      </c>
    </row>
    <row r="76" spans="1:10" x14ac:dyDescent="0.2">
      <c r="A76" s="220" t="s">
        <v>447</v>
      </c>
      <c r="B76" s="5"/>
      <c r="C76" s="2"/>
      <c r="D76" s="2">
        <v>3500</v>
      </c>
      <c r="E76" s="2"/>
      <c r="F76" s="2"/>
      <c r="G76" s="2"/>
      <c r="I76" s="2"/>
      <c r="J76" s="2"/>
    </row>
    <row r="77" spans="1:10" x14ac:dyDescent="0.2">
      <c r="A77" s="5"/>
      <c r="B77" s="5"/>
      <c r="C77" s="2"/>
      <c r="E77" s="2"/>
      <c r="F77" s="2"/>
      <c r="G77" s="2"/>
      <c r="I77" s="2"/>
      <c r="J77" s="2"/>
    </row>
    <row r="78" spans="1:10" ht="13.5" x14ac:dyDescent="0.25">
      <c r="A78" s="225" t="s">
        <v>506</v>
      </c>
      <c r="D78" s="2" t="s">
        <v>349</v>
      </c>
      <c r="E78" s="2">
        <v>500</v>
      </c>
      <c r="F78" s="2">
        <v>500</v>
      </c>
      <c r="G78" s="2">
        <v>500</v>
      </c>
      <c r="H78" s="2">
        <v>500</v>
      </c>
      <c r="I78" s="2">
        <v>500</v>
      </c>
      <c r="J78" s="2">
        <v>500</v>
      </c>
    </row>
    <row r="79" spans="1:10" x14ac:dyDescent="0.2">
      <c r="A79" s="220" t="s">
        <v>1434</v>
      </c>
      <c r="B79" s="2" t="s">
        <v>349</v>
      </c>
      <c r="C79" s="2" t="s">
        <v>349</v>
      </c>
      <c r="D79" s="2">
        <v>500</v>
      </c>
      <c r="E79" s="2"/>
      <c r="F79" s="2"/>
      <c r="G79" s="2"/>
      <c r="I79" s="2"/>
      <c r="J79" s="2"/>
    </row>
    <row r="80" spans="1:10" x14ac:dyDescent="0.2">
      <c r="E80" s="2"/>
      <c r="F80" s="2"/>
      <c r="G80" s="2"/>
      <c r="I80" s="2"/>
      <c r="J80" s="2"/>
    </row>
    <row r="81" spans="1:10" ht="13.5" x14ac:dyDescent="0.25">
      <c r="A81" s="225" t="s">
        <v>910</v>
      </c>
      <c r="E81" s="2">
        <v>190</v>
      </c>
      <c r="F81" s="2">
        <v>300</v>
      </c>
      <c r="G81" s="2">
        <v>300</v>
      </c>
      <c r="H81" s="2">
        <v>300</v>
      </c>
      <c r="I81" s="2">
        <v>300</v>
      </c>
      <c r="J81" s="2">
        <v>300</v>
      </c>
    </row>
    <row r="82" spans="1:10" x14ac:dyDescent="0.2">
      <c r="A82" s="220" t="s">
        <v>379</v>
      </c>
      <c r="C82" s="2"/>
      <c r="D82" s="2">
        <v>300</v>
      </c>
      <c r="H82" s="220"/>
      <c r="I82" s="251"/>
      <c r="J82" s="256"/>
    </row>
    <row r="83" spans="1:10" x14ac:dyDescent="0.2">
      <c r="A83" s="220" t="s">
        <v>349</v>
      </c>
      <c r="C83" s="2" t="s">
        <v>349</v>
      </c>
      <c r="D83" s="2" t="s">
        <v>349</v>
      </c>
      <c r="E83" s="2"/>
      <c r="F83" s="2"/>
      <c r="G83" s="2"/>
      <c r="I83" s="2"/>
      <c r="J83" s="2"/>
    </row>
    <row r="84" spans="1:10" ht="13.5" x14ac:dyDescent="0.25">
      <c r="A84" s="225" t="s">
        <v>981</v>
      </c>
      <c r="C84" s="2"/>
      <c r="E84" s="2">
        <v>408</v>
      </c>
      <c r="F84" s="2">
        <v>950</v>
      </c>
      <c r="G84" s="2">
        <v>700</v>
      </c>
      <c r="H84" s="2">
        <v>700</v>
      </c>
      <c r="I84" s="2">
        <v>700</v>
      </c>
      <c r="J84" s="2">
        <v>700</v>
      </c>
    </row>
    <row r="85" spans="1:10" x14ac:dyDescent="0.2">
      <c r="A85" s="220" t="s">
        <v>675</v>
      </c>
      <c r="C85" s="2"/>
      <c r="D85" s="2">
        <v>700</v>
      </c>
      <c r="E85" s="2"/>
      <c r="F85" s="2"/>
      <c r="G85" s="2"/>
      <c r="I85" s="2"/>
      <c r="J85" s="2"/>
    </row>
    <row r="86" spans="1:10" ht="15" x14ac:dyDescent="0.35">
      <c r="A86" s="220" t="s">
        <v>1043</v>
      </c>
      <c r="C86" s="2"/>
      <c r="D86" s="10">
        <v>0</v>
      </c>
      <c r="E86" s="2"/>
      <c r="F86" s="2"/>
      <c r="G86" s="2"/>
      <c r="I86" s="2"/>
      <c r="J86" s="2"/>
    </row>
    <row r="87" spans="1:10" x14ac:dyDescent="0.2">
      <c r="C87" s="2"/>
      <c r="D87" s="2">
        <f>SUM(D85:D86)</f>
        <v>700</v>
      </c>
      <c r="E87" s="2"/>
      <c r="F87" s="2"/>
      <c r="G87" s="2"/>
      <c r="I87" s="2"/>
      <c r="J87" s="2"/>
    </row>
    <row r="88" spans="1:10" ht="13.5" x14ac:dyDescent="0.25">
      <c r="A88" s="225" t="s">
        <v>555</v>
      </c>
      <c r="C88" s="2"/>
      <c r="E88" s="2">
        <v>26176</v>
      </c>
      <c r="F88" s="2">
        <v>27500</v>
      </c>
      <c r="G88" s="2">
        <v>27000</v>
      </c>
      <c r="H88" s="2">
        <v>27000</v>
      </c>
      <c r="I88" s="2">
        <v>27000</v>
      </c>
      <c r="J88" s="2">
        <v>27000</v>
      </c>
    </row>
    <row r="89" spans="1:10" x14ac:dyDescent="0.2">
      <c r="A89" s="220" t="s">
        <v>432</v>
      </c>
      <c r="C89" s="2"/>
      <c r="D89" s="2">
        <v>8250</v>
      </c>
      <c r="E89" s="2"/>
      <c r="F89" s="2"/>
      <c r="G89" s="2"/>
      <c r="I89" s="2"/>
      <c r="J89" s="2"/>
    </row>
    <row r="90" spans="1:10" x14ac:dyDescent="0.2">
      <c r="A90" s="220" t="s">
        <v>45</v>
      </c>
      <c r="C90" s="2"/>
      <c r="D90" s="2">
        <v>200</v>
      </c>
      <c r="E90" s="2"/>
      <c r="F90" s="2"/>
      <c r="G90" s="2"/>
      <c r="I90" s="2"/>
      <c r="J90" s="2"/>
    </row>
    <row r="91" spans="1:10" x14ac:dyDescent="0.2">
      <c r="A91" s="220" t="s">
        <v>263</v>
      </c>
      <c r="C91" s="2"/>
      <c r="D91" s="2">
        <v>4000</v>
      </c>
      <c r="E91" s="2"/>
      <c r="F91" s="2"/>
      <c r="G91" s="2"/>
      <c r="I91" s="2"/>
      <c r="J91" s="2"/>
    </row>
    <row r="92" spans="1:10" x14ac:dyDescent="0.2">
      <c r="A92" s="220" t="s">
        <v>264</v>
      </c>
      <c r="C92" s="2"/>
      <c r="D92" s="2">
        <v>1000</v>
      </c>
      <c r="E92" s="2"/>
      <c r="F92" s="2"/>
      <c r="G92" s="2"/>
      <c r="I92" s="2"/>
      <c r="J92" s="2"/>
    </row>
    <row r="93" spans="1:10" x14ac:dyDescent="0.2">
      <c r="A93" s="220" t="s">
        <v>265</v>
      </c>
      <c r="C93" s="2"/>
      <c r="D93" s="2">
        <v>1200</v>
      </c>
      <c r="E93" s="2"/>
      <c r="F93" s="2"/>
      <c r="G93" s="2"/>
      <c r="I93" s="2"/>
      <c r="J93" s="2"/>
    </row>
    <row r="94" spans="1:10" x14ac:dyDescent="0.2">
      <c r="A94" s="220" t="s">
        <v>1868</v>
      </c>
      <c r="C94" s="2"/>
      <c r="D94" s="2">
        <v>550</v>
      </c>
      <c r="E94" s="2"/>
      <c r="F94" s="2"/>
      <c r="G94" s="2"/>
      <c r="I94" s="2"/>
      <c r="J94" s="2"/>
    </row>
    <row r="95" spans="1:10" x14ac:dyDescent="0.2">
      <c r="A95" s="220" t="s">
        <v>1435</v>
      </c>
      <c r="C95" s="2"/>
      <c r="D95" s="2">
        <v>200</v>
      </c>
      <c r="E95" s="2"/>
      <c r="F95" s="2"/>
      <c r="G95" s="2"/>
      <c r="I95" s="2"/>
      <c r="J95" s="2"/>
    </row>
    <row r="96" spans="1:10" ht="15" x14ac:dyDescent="0.35">
      <c r="A96" s="220" t="s">
        <v>1564</v>
      </c>
      <c r="C96" s="10"/>
      <c r="D96" s="2">
        <v>11400</v>
      </c>
      <c r="E96" s="2"/>
      <c r="F96" s="2"/>
      <c r="G96" s="2"/>
      <c r="I96" s="2"/>
      <c r="J96" s="2"/>
    </row>
    <row r="97" spans="1:10" ht="15" x14ac:dyDescent="0.35">
      <c r="A97" s="220" t="s">
        <v>1415</v>
      </c>
      <c r="C97" s="10"/>
      <c r="D97" s="17">
        <v>200</v>
      </c>
      <c r="E97" s="2"/>
      <c r="F97" s="2"/>
      <c r="G97" s="2"/>
      <c r="I97" s="2"/>
      <c r="J97" s="2"/>
    </row>
    <row r="98" spans="1:10" x14ac:dyDescent="0.2">
      <c r="A98" s="220" t="s">
        <v>1086</v>
      </c>
      <c r="C98" s="2"/>
      <c r="D98" s="2">
        <f>SUM(D89:D97)</f>
        <v>27000</v>
      </c>
      <c r="E98" s="2"/>
      <c r="F98" s="2"/>
      <c r="G98" s="2"/>
      <c r="I98" s="2"/>
      <c r="J98" s="2"/>
    </row>
    <row r="99" spans="1:10" x14ac:dyDescent="0.2">
      <c r="C99" s="2"/>
      <c r="E99" s="2"/>
      <c r="F99" s="2"/>
      <c r="G99" s="2"/>
      <c r="I99" s="2"/>
      <c r="J99" s="2"/>
    </row>
    <row r="100" spans="1:10" ht="13.5" x14ac:dyDescent="0.25">
      <c r="A100" s="225" t="s">
        <v>337</v>
      </c>
      <c r="C100" s="2"/>
      <c r="E100" s="2">
        <v>8754</v>
      </c>
      <c r="F100" s="2">
        <v>11500</v>
      </c>
      <c r="G100" s="2">
        <v>9750</v>
      </c>
      <c r="H100" s="2">
        <v>9750</v>
      </c>
      <c r="I100" s="2">
        <v>9750</v>
      </c>
      <c r="J100" s="2">
        <v>9750</v>
      </c>
    </row>
    <row r="101" spans="1:10" x14ac:dyDescent="0.2">
      <c r="A101" s="220" t="s">
        <v>232</v>
      </c>
      <c r="B101" s="2"/>
      <c r="C101" s="11"/>
      <c r="D101" s="2">
        <v>1750</v>
      </c>
      <c r="E101" s="2"/>
      <c r="F101" s="2"/>
      <c r="G101" s="2"/>
      <c r="I101" s="2"/>
      <c r="J101" s="2"/>
    </row>
    <row r="102" spans="1:10" ht="15" x14ac:dyDescent="0.35">
      <c r="A102" s="220" t="s">
        <v>1656</v>
      </c>
      <c r="B102" s="2"/>
      <c r="C102" s="11"/>
      <c r="D102" s="10">
        <v>8000</v>
      </c>
      <c r="E102" s="2"/>
      <c r="F102" s="2"/>
      <c r="G102" s="2"/>
      <c r="I102" s="2"/>
      <c r="J102" s="2"/>
    </row>
    <row r="103" spans="1:10" x14ac:dyDescent="0.2">
      <c r="B103" s="2"/>
      <c r="C103" s="11"/>
      <c r="D103" s="2">
        <f>SUM(D101:D102)</f>
        <v>9750</v>
      </c>
      <c r="E103" s="2"/>
      <c r="F103" s="2"/>
      <c r="G103" s="2"/>
      <c r="I103" s="2"/>
      <c r="J103" s="2"/>
    </row>
    <row r="104" spans="1:10" x14ac:dyDescent="0.2">
      <c r="B104" s="2"/>
      <c r="C104" s="11"/>
      <c r="E104" s="2"/>
      <c r="F104" s="2"/>
      <c r="G104" s="2"/>
      <c r="I104" s="2"/>
      <c r="J104" s="2"/>
    </row>
    <row r="105" spans="1:10" ht="13.5" x14ac:dyDescent="0.25">
      <c r="A105" s="225" t="s">
        <v>233</v>
      </c>
      <c r="E105" s="2">
        <v>10184</v>
      </c>
      <c r="F105" s="2">
        <v>13950</v>
      </c>
      <c r="G105" s="2">
        <v>10500</v>
      </c>
      <c r="H105" s="2">
        <v>10500</v>
      </c>
      <c r="I105" s="2">
        <v>10500</v>
      </c>
      <c r="J105" s="2">
        <v>10500</v>
      </c>
    </row>
    <row r="106" spans="1:10" x14ac:dyDescent="0.2">
      <c r="A106" s="220" t="s">
        <v>1754</v>
      </c>
      <c r="D106" s="2">
        <v>1300</v>
      </c>
      <c r="E106" s="2"/>
      <c r="F106" s="2"/>
      <c r="G106" s="2"/>
      <c r="I106" s="2"/>
      <c r="J106" s="2"/>
    </row>
    <row r="107" spans="1:10" x14ac:dyDescent="0.2">
      <c r="A107" s="220" t="s">
        <v>1138</v>
      </c>
      <c r="D107" s="2">
        <v>2100</v>
      </c>
      <c r="E107" s="2"/>
      <c r="F107" s="2"/>
      <c r="G107" s="2"/>
      <c r="I107" s="2"/>
      <c r="J107" s="2"/>
    </row>
    <row r="108" spans="1:10" x14ac:dyDescent="0.2">
      <c r="A108" s="220" t="s">
        <v>1672</v>
      </c>
      <c r="D108" s="2">
        <v>3000</v>
      </c>
      <c r="E108" s="2"/>
      <c r="F108" s="2"/>
      <c r="G108" s="2"/>
      <c r="I108" s="2"/>
      <c r="J108" s="2"/>
    </row>
    <row r="109" spans="1:10" x14ac:dyDescent="0.2">
      <c r="A109" s="220" t="s">
        <v>1753</v>
      </c>
      <c r="D109" s="2">
        <v>1300</v>
      </c>
      <c r="E109" s="2"/>
      <c r="F109" s="2"/>
      <c r="G109" s="2"/>
      <c r="I109" s="2"/>
      <c r="J109" s="2"/>
    </row>
    <row r="110" spans="1:10" x14ac:dyDescent="0.2">
      <c r="A110" s="220" t="s">
        <v>1139</v>
      </c>
      <c r="D110" s="2">
        <v>1600</v>
      </c>
      <c r="E110" s="2"/>
      <c r="F110" s="17"/>
      <c r="G110" s="17"/>
      <c r="H110" s="17"/>
      <c r="I110" s="17"/>
      <c r="J110" s="17"/>
    </row>
    <row r="111" spans="1:10" x14ac:dyDescent="0.2">
      <c r="A111" s="220" t="s">
        <v>1140</v>
      </c>
      <c r="B111" s="27"/>
      <c r="D111" s="17">
        <v>1200</v>
      </c>
      <c r="E111" s="2"/>
      <c r="F111" s="2"/>
      <c r="G111" s="2"/>
      <c r="I111" s="2"/>
      <c r="J111" s="2"/>
    </row>
    <row r="112" spans="1:10" x14ac:dyDescent="0.2">
      <c r="D112" s="2">
        <f>SUM(D106:D111)</f>
        <v>10500</v>
      </c>
      <c r="E112" s="2"/>
      <c r="F112" s="2"/>
      <c r="G112" s="2"/>
      <c r="I112" s="2"/>
      <c r="J112" s="2"/>
    </row>
    <row r="113" spans="1:10" x14ac:dyDescent="0.2">
      <c r="A113" s="220" t="s">
        <v>349</v>
      </c>
      <c r="D113" s="2" t="s">
        <v>349</v>
      </c>
      <c r="E113" s="2"/>
      <c r="F113" s="2"/>
      <c r="G113" s="2"/>
      <c r="I113" s="2"/>
      <c r="J113" s="2"/>
    </row>
    <row r="114" spans="1:10" ht="13.5" x14ac:dyDescent="0.25">
      <c r="A114" s="225" t="s">
        <v>13</v>
      </c>
      <c r="E114" s="2">
        <v>535</v>
      </c>
      <c r="F114" s="2">
        <v>542</v>
      </c>
      <c r="G114" s="2">
        <v>608</v>
      </c>
      <c r="H114" s="2">
        <v>608</v>
      </c>
      <c r="I114" s="2">
        <v>608</v>
      </c>
      <c r="J114" s="2">
        <v>608</v>
      </c>
    </row>
    <row r="115" spans="1:10" x14ac:dyDescent="0.2">
      <c r="A115" s="220" t="s">
        <v>554</v>
      </c>
      <c r="D115" s="2">
        <f>304+304</f>
        <v>608</v>
      </c>
      <c r="E115" s="2"/>
      <c r="F115" s="2"/>
      <c r="G115" s="2"/>
      <c r="I115" s="2"/>
      <c r="J115" s="2"/>
    </row>
    <row r="116" spans="1:10" x14ac:dyDescent="0.2">
      <c r="E116" s="2"/>
      <c r="F116" s="2"/>
      <c r="G116" s="2"/>
      <c r="I116" s="2"/>
      <c r="J116" s="2"/>
    </row>
    <row r="117" spans="1:10" ht="13.5" x14ac:dyDescent="0.25">
      <c r="A117" s="225" t="s">
        <v>14</v>
      </c>
      <c r="E117" s="2">
        <v>256</v>
      </c>
      <c r="F117" s="2">
        <v>593</v>
      </c>
      <c r="G117" s="2">
        <v>450</v>
      </c>
      <c r="H117" s="2">
        <v>450</v>
      </c>
      <c r="I117" s="2">
        <v>450</v>
      </c>
      <c r="J117" s="2">
        <v>450</v>
      </c>
    </row>
    <row r="118" spans="1:10" x14ac:dyDescent="0.2">
      <c r="A118" s="220" t="s">
        <v>445</v>
      </c>
      <c r="B118" s="2">
        <v>200</v>
      </c>
      <c r="C118" s="11">
        <v>2.25</v>
      </c>
      <c r="D118" s="2">
        <f>ROUND(B118*C118,0)</f>
        <v>450</v>
      </c>
      <c r="F118" s="2"/>
      <c r="G118" s="2"/>
      <c r="I118" s="2"/>
      <c r="J118" s="2"/>
    </row>
    <row r="119" spans="1:10" x14ac:dyDescent="0.2">
      <c r="E119" s="2"/>
      <c r="F119" s="2"/>
      <c r="G119" s="2"/>
      <c r="I119" s="2"/>
      <c r="J119" s="2"/>
    </row>
    <row r="120" spans="1:10" ht="13.5" x14ac:dyDescent="0.25">
      <c r="A120" s="225" t="s">
        <v>809</v>
      </c>
      <c r="D120" s="7" t="s">
        <v>349</v>
      </c>
      <c r="E120" s="2">
        <v>6027</v>
      </c>
      <c r="F120" s="2">
        <v>5920</v>
      </c>
      <c r="G120" s="2">
        <v>6170</v>
      </c>
      <c r="H120" s="2">
        <v>6170</v>
      </c>
      <c r="I120" s="2">
        <v>6170</v>
      </c>
      <c r="J120" s="2">
        <v>6170</v>
      </c>
    </row>
    <row r="121" spans="1:10" x14ac:dyDescent="0.2">
      <c r="A121" s="220" t="s">
        <v>820</v>
      </c>
      <c r="C121" s="2"/>
      <c r="D121" s="2">
        <v>3250</v>
      </c>
      <c r="E121" s="2"/>
      <c r="F121" s="17"/>
      <c r="G121" s="17"/>
      <c r="H121" s="17"/>
      <c r="I121" s="17"/>
      <c r="J121" s="17"/>
    </row>
    <row r="122" spans="1:10" x14ac:dyDescent="0.2">
      <c r="A122" s="220" t="s">
        <v>1671</v>
      </c>
      <c r="C122" s="2"/>
      <c r="D122" s="2">
        <v>1900</v>
      </c>
      <c r="E122" s="2"/>
      <c r="F122" s="17"/>
      <c r="G122" s="17"/>
      <c r="H122" s="17"/>
      <c r="I122" s="17"/>
      <c r="J122" s="17"/>
    </row>
    <row r="123" spans="1:10" ht="15" x14ac:dyDescent="0.35">
      <c r="A123" s="220" t="s">
        <v>266</v>
      </c>
      <c r="C123" s="10"/>
      <c r="D123" s="17">
        <v>1019.76</v>
      </c>
      <c r="E123" s="2"/>
      <c r="F123" s="2"/>
      <c r="G123" s="2"/>
      <c r="I123" s="2"/>
      <c r="J123" s="2"/>
    </row>
    <row r="124" spans="1:10" x14ac:dyDescent="0.2">
      <c r="A124" s="220" t="s">
        <v>1086</v>
      </c>
      <c r="C124" s="2"/>
      <c r="D124" s="2">
        <f>SUM(D121:D123)</f>
        <v>6169.76</v>
      </c>
      <c r="E124" s="2"/>
      <c r="F124" s="2"/>
      <c r="G124" s="2"/>
      <c r="I124" s="2"/>
      <c r="J124" s="2"/>
    </row>
    <row r="125" spans="1:10" x14ac:dyDescent="0.2">
      <c r="C125" s="2"/>
      <c r="E125" s="2"/>
      <c r="F125" s="2"/>
      <c r="G125" s="2"/>
      <c r="I125" s="2"/>
      <c r="J125" s="2"/>
    </row>
    <row r="126" spans="1:10" ht="13.5" x14ac:dyDescent="0.25">
      <c r="A126" s="225" t="s">
        <v>1034</v>
      </c>
      <c r="C126" s="2"/>
      <c r="E126" s="2">
        <v>405</v>
      </c>
      <c r="F126" s="2">
        <v>405</v>
      </c>
      <c r="G126" s="2">
        <v>405</v>
      </c>
      <c r="H126" s="2">
        <v>405</v>
      </c>
      <c r="I126" s="2">
        <v>405</v>
      </c>
      <c r="J126" s="2">
        <v>405</v>
      </c>
    </row>
    <row r="127" spans="1:10" x14ac:dyDescent="0.2">
      <c r="A127" s="220" t="s">
        <v>1436</v>
      </c>
      <c r="B127" s="2" t="s">
        <v>349</v>
      </c>
      <c r="C127" s="2"/>
      <c r="D127" s="2">
        <v>130</v>
      </c>
      <c r="E127" s="2"/>
      <c r="F127" s="2"/>
      <c r="G127" s="2"/>
      <c r="I127" s="2"/>
      <c r="J127" s="2"/>
    </row>
    <row r="128" spans="1:10" x14ac:dyDescent="0.2">
      <c r="A128" s="220" t="s">
        <v>35</v>
      </c>
      <c r="B128" s="2"/>
      <c r="C128" s="2"/>
      <c r="D128" s="2">
        <v>100</v>
      </c>
      <c r="E128" s="2"/>
      <c r="F128" s="2"/>
      <c r="G128" s="2"/>
      <c r="I128" s="2"/>
      <c r="J128" s="2"/>
    </row>
    <row r="129" spans="1:10" ht="15" x14ac:dyDescent="0.35">
      <c r="A129" s="220" t="s">
        <v>1696</v>
      </c>
      <c r="B129" s="2"/>
      <c r="C129" s="10"/>
      <c r="D129" s="10">
        <v>175</v>
      </c>
      <c r="E129" s="2"/>
      <c r="F129" s="2"/>
      <c r="G129" s="2"/>
      <c r="I129" s="2"/>
      <c r="J129" s="2"/>
    </row>
    <row r="130" spans="1:10" x14ac:dyDescent="0.2">
      <c r="A130" s="220" t="s">
        <v>1086</v>
      </c>
      <c r="B130" s="2"/>
      <c r="C130" s="2"/>
      <c r="D130" s="2">
        <f>SUM(D127:D129)</f>
        <v>405</v>
      </c>
      <c r="E130" s="2"/>
      <c r="F130" s="2"/>
      <c r="G130" s="2"/>
      <c r="I130" s="2"/>
      <c r="J130" s="2"/>
    </row>
    <row r="131" spans="1:10" x14ac:dyDescent="0.2">
      <c r="A131" s="220" t="s">
        <v>349</v>
      </c>
      <c r="C131" s="2"/>
      <c r="D131" s="2" t="s">
        <v>349</v>
      </c>
      <c r="E131" s="2"/>
      <c r="F131" s="2"/>
      <c r="G131" s="2"/>
      <c r="I131" s="2"/>
      <c r="J131" s="2"/>
    </row>
    <row r="132" spans="1:10" ht="13.5" x14ac:dyDescent="0.25">
      <c r="A132" s="16" t="s">
        <v>1207</v>
      </c>
      <c r="C132" s="2"/>
      <c r="E132" s="2">
        <v>3588</v>
      </c>
      <c r="F132" s="2">
        <v>5179</v>
      </c>
      <c r="G132" s="2">
        <v>5542</v>
      </c>
      <c r="H132" s="2">
        <v>5542</v>
      </c>
      <c r="I132" s="2">
        <v>5542</v>
      </c>
      <c r="J132" s="2">
        <v>5542</v>
      </c>
    </row>
    <row r="133" spans="1:10" x14ac:dyDescent="0.2">
      <c r="A133" s="220" t="s">
        <v>915</v>
      </c>
      <c r="C133" s="2"/>
      <c r="D133" s="2">
        <v>5542</v>
      </c>
      <c r="E133" s="2"/>
      <c r="F133" s="2"/>
      <c r="G133" s="2"/>
      <c r="I133" s="2"/>
      <c r="J133" s="2"/>
    </row>
    <row r="134" spans="1:10" x14ac:dyDescent="0.2">
      <c r="C134" s="2"/>
      <c r="E134" s="2"/>
      <c r="F134" s="2"/>
      <c r="G134" s="2"/>
      <c r="I134" s="2"/>
      <c r="J134" s="2"/>
    </row>
    <row r="135" spans="1:10" ht="13.5" x14ac:dyDescent="0.25">
      <c r="A135" s="225" t="s">
        <v>129</v>
      </c>
      <c r="C135" s="2"/>
      <c r="E135" s="2">
        <v>518</v>
      </c>
      <c r="F135" s="2">
        <v>550</v>
      </c>
      <c r="G135" s="2">
        <v>550</v>
      </c>
      <c r="H135" s="2">
        <v>550</v>
      </c>
      <c r="I135" s="2">
        <v>550</v>
      </c>
      <c r="J135" s="2">
        <v>550</v>
      </c>
    </row>
    <row r="136" spans="1:10" x14ac:dyDescent="0.2">
      <c r="A136" s="220" t="s">
        <v>545</v>
      </c>
      <c r="C136" s="2"/>
      <c r="D136" s="2">
        <v>550</v>
      </c>
      <c r="E136" s="2"/>
      <c r="F136" s="2"/>
      <c r="G136" s="2"/>
      <c r="I136" s="2"/>
      <c r="J136" s="2"/>
    </row>
    <row r="137" spans="1:10" x14ac:dyDescent="0.2">
      <c r="A137" s="220" t="s">
        <v>349</v>
      </c>
      <c r="C137" s="2"/>
      <c r="D137" s="2" t="s">
        <v>349</v>
      </c>
      <c r="E137" s="2"/>
      <c r="F137" s="2"/>
      <c r="G137" s="2"/>
      <c r="I137" s="2"/>
      <c r="J137" s="2"/>
    </row>
    <row r="138" spans="1:10" ht="13.5" x14ac:dyDescent="0.25">
      <c r="A138" s="225" t="s">
        <v>930</v>
      </c>
      <c r="C138" s="7"/>
      <c r="D138" s="7" t="s">
        <v>349</v>
      </c>
      <c r="E138" s="2">
        <v>50428</v>
      </c>
      <c r="F138" s="2">
        <v>21230</v>
      </c>
      <c r="G138" s="2">
        <v>21230</v>
      </c>
      <c r="H138" s="2">
        <v>21230</v>
      </c>
      <c r="I138" s="2">
        <v>21230</v>
      </c>
      <c r="J138" s="2">
        <v>21230</v>
      </c>
    </row>
    <row r="139" spans="1:10" x14ac:dyDescent="0.2">
      <c r="A139" s="60" t="s">
        <v>540</v>
      </c>
      <c r="B139" s="5"/>
      <c r="C139" s="2"/>
      <c r="D139" s="2">
        <v>10490</v>
      </c>
      <c r="E139" s="2"/>
      <c r="F139" s="2"/>
      <c r="G139" s="2"/>
      <c r="I139" s="2"/>
      <c r="J139" s="2"/>
    </row>
    <row r="140" spans="1:10" x14ac:dyDescent="0.2">
      <c r="A140" s="60" t="s">
        <v>86</v>
      </c>
      <c r="B140" s="5"/>
      <c r="C140" s="2"/>
      <c r="D140" s="2">
        <v>2240</v>
      </c>
      <c r="E140" s="2"/>
      <c r="F140" s="2"/>
      <c r="G140" s="2"/>
      <c r="I140" s="2"/>
      <c r="J140" s="2"/>
    </row>
    <row r="141" spans="1:10" x14ac:dyDescent="0.2">
      <c r="A141" s="5" t="s">
        <v>438</v>
      </c>
      <c r="B141" s="5"/>
      <c r="C141" s="2"/>
      <c r="D141" s="2">
        <v>3000</v>
      </c>
      <c r="E141" s="2"/>
      <c r="F141" s="2"/>
      <c r="G141" s="2"/>
      <c r="I141" s="2"/>
      <c r="J141" s="2"/>
    </row>
    <row r="142" spans="1:10" x14ac:dyDescent="0.2">
      <c r="A142" s="220" t="s">
        <v>1813</v>
      </c>
      <c r="C142" s="2" t="s">
        <v>349</v>
      </c>
      <c r="D142" s="2">
        <v>3500</v>
      </c>
      <c r="E142" s="2"/>
      <c r="F142" s="2"/>
      <c r="G142" s="2"/>
      <c r="I142" s="2"/>
      <c r="J142" s="2"/>
    </row>
    <row r="143" spans="1:10" ht="18" x14ac:dyDescent="0.4">
      <c r="A143" s="220" t="s">
        <v>586</v>
      </c>
      <c r="C143" s="26"/>
      <c r="D143" s="10">
        <v>2000</v>
      </c>
      <c r="E143" s="2"/>
      <c r="F143" s="2"/>
      <c r="G143" s="2"/>
      <c r="I143" s="2"/>
      <c r="J143" s="2"/>
    </row>
    <row r="144" spans="1:10" x14ac:dyDescent="0.2">
      <c r="A144" s="220" t="s">
        <v>1086</v>
      </c>
      <c r="C144" s="2"/>
      <c r="D144" s="2">
        <f>SUM(D139:D143)</f>
        <v>21230</v>
      </c>
      <c r="E144" s="2"/>
      <c r="F144" s="2"/>
      <c r="G144" s="2"/>
      <c r="I144" s="2"/>
      <c r="J144" s="2"/>
    </row>
    <row r="145" spans="1:10" x14ac:dyDescent="0.2">
      <c r="C145" s="2"/>
      <c r="E145" s="2"/>
      <c r="F145" s="2"/>
      <c r="G145" s="2"/>
      <c r="I145" s="2"/>
      <c r="J145" s="2"/>
    </row>
    <row r="146" spans="1:10" ht="13.5" x14ac:dyDescent="0.25">
      <c r="A146" s="225" t="s">
        <v>796</v>
      </c>
      <c r="C146" s="2"/>
      <c r="E146" s="2">
        <v>0</v>
      </c>
      <c r="F146" s="2">
        <v>2000</v>
      </c>
      <c r="G146" s="2">
        <v>2000</v>
      </c>
      <c r="H146" s="2">
        <v>2000</v>
      </c>
      <c r="I146" s="2">
        <v>2000</v>
      </c>
      <c r="J146" s="2">
        <v>2000</v>
      </c>
    </row>
    <row r="147" spans="1:10" x14ac:dyDescent="0.2">
      <c r="A147" s="220" t="s">
        <v>1880</v>
      </c>
      <c r="C147" s="2"/>
      <c r="D147" s="2">
        <v>2000</v>
      </c>
      <c r="E147" s="2"/>
      <c r="H147" s="220"/>
      <c r="I147" s="251"/>
      <c r="J147" s="256"/>
    </row>
    <row r="148" spans="1:10" x14ac:dyDescent="0.2">
      <c r="C148" s="2"/>
      <c r="E148" s="2"/>
      <c r="F148" s="2"/>
      <c r="G148" s="2"/>
      <c r="I148" s="2"/>
      <c r="J148" s="2"/>
    </row>
    <row r="149" spans="1:10" x14ac:dyDescent="0.2">
      <c r="C149" s="2"/>
      <c r="E149" s="2"/>
      <c r="F149" s="2"/>
      <c r="G149" s="2"/>
      <c r="I149" s="2"/>
      <c r="J149" s="2"/>
    </row>
    <row r="150" spans="1:10" ht="13.5" x14ac:dyDescent="0.25">
      <c r="A150" s="225" t="s">
        <v>1289</v>
      </c>
      <c r="C150" s="2"/>
      <c r="E150" s="2">
        <v>283</v>
      </c>
      <c r="F150" s="2">
        <v>1000</v>
      </c>
      <c r="G150" s="2">
        <v>1000</v>
      </c>
      <c r="H150" s="2">
        <v>1000</v>
      </c>
      <c r="I150" s="2">
        <v>1000</v>
      </c>
      <c r="J150" s="2">
        <v>1000</v>
      </c>
    </row>
    <row r="151" spans="1:10" x14ac:dyDescent="0.2">
      <c r="A151" s="220" t="s">
        <v>542</v>
      </c>
      <c r="C151" s="2"/>
      <c r="D151" s="2">
        <v>750</v>
      </c>
      <c r="E151" s="2"/>
      <c r="F151" s="2"/>
      <c r="G151" s="2"/>
      <c r="I151" s="2"/>
      <c r="J151" s="2"/>
    </row>
    <row r="152" spans="1:10" ht="15" x14ac:dyDescent="0.35">
      <c r="A152" s="220" t="s">
        <v>66</v>
      </c>
      <c r="C152" s="10"/>
      <c r="D152" s="10">
        <v>250</v>
      </c>
      <c r="E152" s="2"/>
      <c r="F152" s="2"/>
      <c r="G152" s="2"/>
      <c r="I152" s="2"/>
      <c r="J152" s="2"/>
    </row>
    <row r="153" spans="1:10" x14ac:dyDescent="0.2">
      <c r="A153" s="220" t="s">
        <v>1086</v>
      </c>
      <c r="C153" s="2"/>
      <c r="D153" s="2">
        <f>SUM(D151:D152)</f>
        <v>1000</v>
      </c>
      <c r="E153" s="2"/>
      <c r="H153" s="220"/>
      <c r="I153" s="251"/>
      <c r="J153" s="256"/>
    </row>
    <row r="154" spans="1:10" x14ac:dyDescent="0.2">
      <c r="C154" s="2"/>
      <c r="E154" s="2"/>
      <c r="F154" s="2"/>
      <c r="G154" s="2"/>
      <c r="I154" s="2"/>
      <c r="J154" s="2"/>
    </row>
    <row r="155" spans="1:10" ht="13.5" x14ac:dyDescent="0.25">
      <c r="A155" s="225" t="s">
        <v>1129</v>
      </c>
      <c r="C155" s="2"/>
      <c r="E155" s="2">
        <v>110</v>
      </c>
      <c r="F155" s="2">
        <v>400</v>
      </c>
      <c r="G155" s="2">
        <v>400</v>
      </c>
      <c r="H155" s="2">
        <v>400</v>
      </c>
      <c r="I155" s="2">
        <v>400</v>
      </c>
      <c r="J155" s="2">
        <v>400</v>
      </c>
    </row>
    <row r="156" spans="1:10" x14ac:dyDescent="0.2">
      <c r="A156" s="220" t="s">
        <v>988</v>
      </c>
      <c r="C156" s="2"/>
      <c r="D156" s="2">
        <v>400</v>
      </c>
      <c r="E156" s="2"/>
      <c r="F156" s="2"/>
      <c r="G156" s="2"/>
      <c r="I156" s="2"/>
      <c r="J156" s="2"/>
    </row>
    <row r="157" spans="1:10" x14ac:dyDescent="0.2">
      <c r="C157" s="2"/>
      <c r="E157" s="2"/>
      <c r="F157" s="2"/>
      <c r="G157" s="2"/>
      <c r="I157" s="2"/>
      <c r="J157" s="2"/>
    </row>
    <row r="158" spans="1:10" ht="13.5" x14ac:dyDescent="0.25">
      <c r="A158" s="225" t="s">
        <v>989</v>
      </c>
      <c r="C158" s="2"/>
      <c r="E158" s="2">
        <v>477</v>
      </c>
      <c r="F158" s="2">
        <v>500</v>
      </c>
      <c r="G158" s="2">
        <v>500</v>
      </c>
      <c r="H158" s="2">
        <v>500</v>
      </c>
      <c r="I158" s="2">
        <v>500</v>
      </c>
      <c r="J158" s="2">
        <v>500</v>
      </c>
    </row>
    <row r="159" spans="1:10" x14ac:dyDescent="0.2">
      <c r="A159" s="220" t="s">
        <v>1198</v>
      </c>
      <c r="C159" s="2"/>
      <c r="D159" s="2">
        <v>500</v>
      </c>
      <c r="E159" s="2"/>
      <c r="F159" s="2"/>
      <c r="G159" s="2"/>
      <c r="I159" s="2"/>
      <c r="J159" s="2"/>
    </row>
    <row r="160" spans="1:10" x14ac:dyDescent="0.2">
      <c r="A160" s="220" t="s">
        <v>349</v>
      </c>
      <c r="C160" s="2"/>
      <c r="D160" s="2" t="s">
        <v>349</v>
      </c>
      <c r="E160" s="2"/>
      <c r="F160" s="2"/>
      <c r="G160" s="2"/>
      <c r="I160" s="2"/>
      <c r="J160" s="2"/>
    </row>
    <row r="161" spans="1:10" ht="13.5" x14ac:dyDescent="0.25">
      <c r="A161" s="225" t="s">
        <v>1199</v>
      </c>
      <c r="C161" s="2"/>
      <c r="E161" s="2">
        <v>0</v>
      </c>
      <c r="F161" s="2">
        <v>200</v>
      </c>
      <c r="G161" s="2">
        <v>0</v>
      </c>
      <c r="H161" s="2">
        <v>0</v>
      </c>
      <c r="I161" s="2">
        <v>0</v>
      </c>
      <c r="J161" s="2">
        <v>0</v>
      </c>
    </row>
    <row r="162" spans="1:10" x14ac:dyDescent="0.2">
      <c r="A162" s="220" t="s">
        <v>541</v>
      </c>
      <c r="C162" s="2"/>
      <c r="D162" s="2">
        <v>0</v>
      </c>
      <c r="E162" s="2"/>
      <c r="F162" s="2"/>
      <c r="G162" s="2"/>
      <c r="I162" s="2"/>
      <c r="J162" s="2"/>
    </row>
    <row r="163" spans="1:10" x14ac:dyDescent="0.2">
      <c r="D163" s="7" t="s">
        <v>349</v>
      </c>
      <c r="E163" s="2"/>
      <c r="F163" s="2"/>
      <c r="G163" s="2"/>
      <c r="I163" s="2"/>
      <c r="J163" s="2"/>
    </row>
    <row r="164" spans="1:10" ht="13.5" x14ac:dyDescent="0.25">
      <c r="A164" s="225" t="s">
        <v>655</v>
      </c>
      <c r="D164" s="220"/>
      <c r="E164" s="2">
        <v>72096</v>
      </c>
      <c r="F164" s="15">
        <v>74446</v>
      </c>
      <c r="G164" s="15">
        <v>79679</v>
      </c>
      <c r="H164" s="15">
        <v>79679</v>
      </c>
      <c r="I164" s="15">
        <v>79679</v>
      </c>
      <c r="J164" s="15">
        <v>79679</v>
      </c>
    </row>
    <row r="165" spans="1:10" ht="13.5" x14ac:dyDescent="0.25">
      <c r="A165" s="225"/>
      <c r="B165" s="18" t="s">
        <v>1759</v>
      </c>
      <c r="C165" s="18" t="s">
        <v>1857</v>
      </c>
      <c r="D165" s="18" t="s">
        <v>1966</v>
      </c>
      <c r="E165" s="2"/>
      <c r="F165" s="15"/>
      <c r="G165" s="15"/>
      <c r="H165" s="15"/>
      <c r="I165" s="15"/>
      <c r="J165" s="15"/>
    </row>
    <row r="166" spans="1:10" x14ac:dyDescent="0.2">
      <c r="A166" s="19" t="s">
        <v>1263</v>
      </c>
      <c r="B166" s="2">
        <v>26055</v>
      </c>
      <c r="C166" s="2">
        <v>29555</v>
      </c>
      <c r="D166" s="2">
        <v>29555</v>
      </c>
      <c r="E166" s="2"/>
      <c r="H166" s="220"/>
      <c r="I166" s="251"/>
      <c r="J166" s="256"/>
    </row>
    <row r="167" spans="1:10" x14ac:dyDescent="0.2">
      <c r="A167" s="220" t="s">
        <v>656</v>
      </c>
      <c r="B167" s="2">
        <v>135275</v>
      </c>
      <c r="C167" s="2">
        <v>165535</v>
      </c>
      <c r="D167" s="2">
        <v>139995</v>
      </c>
      <c r="E167" s="2"/>
      <c r="H167" s="220"/>
      <c r="I167" s="251"/>
      <c r="J167" s="256"/>
    </row>
    <row r="168" spans="1:10" x14ac:dyDescent="0.2">
      <c r="A168" s="220" t="s">
        <v>659</v>
      </c>
      <c r="B168" s="2">
        <v>84080</v>
      </c>
      <c r="C168" s="2">
        <v>71490</v>
      </c>
      <c r="D168" s="2">
        <v>63880</v>
      </c>
      <c r="E168" s="2"/>
      <c r="H168" s="220"/>
      <c r="I168" s="251"/>
      <c r="J168" s="256"/>
    </row>
    <row r="169" spans="1:10" x14ac:dyDescent="0.2">
      <c r="A169" s="220" t="s">
        <v>660</v>
      </c>
      <c r="B169" s="15">
        <v>53885</v>
      </c>
      <c r="C169" s="15">
        <v>54240</v>
      </c>
      <c r="D169" s="15">
        <v>44653</v>
      </c>
      <c r="E169" s="2"/>
      <c r="F169" s="15"/>
      <c r="G169" s="15"/>
      <c r="H169" s="15"/>
      <c r="I169" s="15"/>
      <c r="J169" s="15"/>
    </row>
    <row r="170" spans="1:10" x14ac:dyDescent="0.2">
      <c r="A170" s="220" t="s">
        <v>901</v>
      </c>
      <c r="B170" s="15">
        <v>100550</v>
      </c>
      <c r="C170" s="15">
        <v>79786</v>
      </c>
      <c r="D170" s="15">
        <v>74225</v>
      </c>
      <c r="E170" s="2"/>
      <c r="F170" s="15"/>
      <c r="G170" s="15"/>
      <c r="H170" s="15"/>
      <c r="I170" s="15"/>
      <c r="J170" s="15"/>
    </row>
    <row r="171" spans="1:10" x14ac:dyDescent="0.2">
      <c r="A171" s="220" t="s">
        <v>661</v>
      </c>
      <c r="B171" s="15">
        <v>46510</v>
      </c>
      <c r="C171" s="15">
        <v>44957</v>
      </c>
      <c r="D171" s="15">
        <v>43365</v>
      </c>
      <c r="E171" s="2"/>
      <c r="F171" s="15"/>
      <c r="G171" s="15"/>
      <c r="H171" s="15"/>
      <c r="I171" s="15"/>
      <c r="J171" s="15"/>
    </row>
    <row r="172" spans="1:10" x14ac:dyDescent="0.2">
      <c r="A172" s="220" t="s">
        <v>1030</v>
      </c>
      <c r="B172" s="15">
        <v>29100</v>
      </c>
      <c r="C172" s="15">
        <v>46356</v>
      </c>
      <c r="D172" s="15">
        <v>51052</v>
      </c>
      <c r="E172" s="2"/>
      <c r="F172" s="15"/>
      <c r="G172" s="15"/>
      <c r="H172" s="15"/>
      <c r="I172" s="15"/>
      <c r="J172" s="15"/>
    </row>
    <row r="173" spans="1:10" ht="15" x14ac:dyDescent="0.35">
      <c r="A173" s="220" t="s">
        <v>781</v>
      </c>
      <c r="B173" s="221">
        <v>32236</v>
      </c>
      <c r="C173" s="221">
        <v>22721</v>
      </c>
      <c r="D173" s="221">
        <v>16866</v>
      </c>
      <c r="E173" s="2"/>
      <c r="F173" s="221"/>
      <c r="G173" s="221"/>
      <c r="H173" s="221"/>
      <c r="I173" s="252"/>
      <c r="J173" s="257"/>
    </row>
    <row r="174" spans="1:10" x14ac:dyDescent="0.2">
      <c r="A174" s="220" t="s">
        <v>662</v>
      </c>
      <c r="B174" s="15">
        <f>SUM(B166:B173)</f>
        <v>507691</v>
      </c>
      <c r="C174" s="15">
        <f>SUM(C166:C173)</f>
        <v>514640</v>
      </c>
      <c r="D174" s="15">
        <f>SUM(D166:D173)</f>
        <v>463591</v>
      </c>
      <c r="E174" s="2"/>
      <c r="F174" s="15"/>
      <c r="G174" s="15"/>
      <c r="H174" s="15"/>
      <c r="I174" s="15"/>
      <c r="J174" s="15"/>
    </row>
    <row r="175" spans="1:10" ht="15" x14ac:dyDescent="0.35">
      <c r="A175" s="220" t="s">
        <v>663</v>
      </c>
      <c r="B175" s="221">
        <v>-435595</v>
      </c>
      <c r="C175" s="221">
        <v>-440194</v>
      </c>
      <c r="D175" s="221">
        <v>-383912</v>
      </c>
      <c r="E175" s="2"/>
      <c r="F175" s="221"/>
      <c r="G175" s="221"/>
      <c r="H175" s="221"/>
      <c r="I175" s="252"/>
      <c r="J175" s="257"/>
    </row>
    <row r="176" spans="1:10" x14ac:dyDescent="0.2">
      <c r="A176" s="220" t="s">
        <v>664</v>
      </c>
      <c r="B176" s="15">
        <f>B174+B175</f>
        <v>72096</v>
      </c>
      <c r="C176" s="15">
        <f>C174+C175</f>
        <v>74446</v>
      </c>
      <c r="D176" s="15">
        <f>D174+D175</f>
        <v>79679</v>
      </c>
      <c r="E176" s="2"/>
      <c r="F176" s="15"/>
      <c r="G176" s="15"/>
      <c r="H176" s="15"/>
      <c r="I176" s="15"/>
      <c r="J176" s="15"/>
    </row>
    <row r="177" spans="1:10" ht="15" x14ac:dyDescent="0.35">
      <c r="A177" s="220" t="s">
        <v>1144</v>
      </c>
      <c r="B177" s="221">
        <v>0</v>
      </c>
      <c r="C177" s="221">
        <v>0</v>
      </c>
      <c r="D177" s="221">
        <v>0</v>
      </c>
      <c r="E177" s="2"/>
      <c r="F177" s="221"/>
      <c r="G177" s="221"/>
      <c r="H177" s="221"/>
      <c r="I177" s="252"/>
      <c r="J177" s="257"/>
    </row>
    <row r="178" spans="1:10" x14ac:dyDescent="0.2">
      <c r="A178" s="220" t="s">
        <v>1145</v>
      </c>
      <c r="B178" s="15">
        <f>+B176+B177</f>
        <v>72096</v>
      </c>
      <c r="C178" s="15">
        <f>+C176+C177</f>
        <v>74446</v>
      </c>
      <c r="D178" s="15">
        <f>+D176+D177</f>
        <v>79679</v>
      </c>
      <c r="E178" s="2"/>
      <c r="F178" s="15"/>
      <c r="G178" s="15"/>
      <c r="H178" s="15"/>
      <c r="I178" s="15"/>
      <c r="J178" s="15"/>
    </row>
    <row r="179" spans="1:10" x14ac:dyDescent="0.2">
      <c r="A179" s="220" t="s">
        <v>609</v>
      </c>
      <c r="B179" s="15"/>
      <c r="C179" s="15"/>
      <c r="D179" s="15"/>
      <c r="E179" s="2"/>
      <c r="F179" s="15"/>
      <c r="G179" s="15"/>
      <c r="H179" s="15"/>
      <c r="I179" s="15"/>
      <c r="J179" s="15"/>
    </row>
    <row r="180" spans="1:10" x14ac:dyDescent="0.2">
      <c r="A180" s="220" t="s">
        <v>1278</v>
      </c>
      <c r="B180" s="28">
        <v>0</v>
      </c>
      <c r="C180" s="28">
        <v>0</v>
      </c>
      <c r="D180" s="28">
        <v>0</v>
      </c>
      <c r="E180" s="2"/>
      <c r="F180" s="28"/>
      <c r="G180" s="28"/>
      <c r="H180" s="28"/>
      <c r="I180" s="28"/>
      <c r="J180" s="28"/>
    </row>
    <row r="181" spans="1:10" x14ac:dyDescent="0.2">
      <c r="B181" s="15">
        <f>SUM(B178:B180)</f>
        <v>72096</v>
      </c>
      <c r="C181" s="15">
        <f>SUM(C178:C180)</f>
        <v>74446</v>
      </c>
      <c r="D181" s="15">
        <f>SUM(D178:D180)</f>
        <v>79679</v>
      </c>
      <c r="E181" s="2"/>
      <c r="F181" s="15"/>
      <c r="G181" s="15"/>
      <c r="H181" s="15"/>
      <c r="I181" s="15"/>
      <c r="J181" s="15"/>
    </row>
    <row r="182" spans="1:10" x14ac:dyDescent="0.2">
      <c r="B182" s="2"/>
      <c r="C182" s="2"/>
      <c r="D182" s="28"/>
      <c r="E182" s="2"/>
      <c r="F182" s="15"/>
      <c r="G182" s="15"/>
      <c r="H182" s="15"/>
      <c r="I182" s="15"/>
      <c r="J182" s="15"/>
    </row>
    <row r="183" spans="1:10" ht="13.5" x14ac:dyDescent="0.25">
      <c r="A183" s="225" t="s">
        <v>687</v>
      </c>
      <c r="B183" s="29" t="s">
        <v>349</v>
      </c>
      <c r="C183" s="29" t="s">
        <v>349</v>
      </c>
      <c r="D183" s="15"/>
      <c r="E183" s="2">
        <v>48818</v>
      </c>
      <c r="F183" s="2">
        <v>50000</v>
      </c>
      <c r="G183" s="2">
        <v>50000</v>
      </c>
      <c r="H183" s="2">
        <v>50000</v>
      </c>
      <c r="I183" s="2">
        <v>50000</v>
      </c>
      <c r="J183" s="2">
        <v>50000</v>
      </c>
    </row>
    <row r="184" spans="1:10" x14ac:dyDescent="0.2">
      <c r="A184" s="220" t="s">
        <v>1437</v>
      </c>
      <c r="B184" s="2" t="s">
        <v>349</v>
      </c>
      <c r="C184" s="2" t="s">
        <v>349</v>
      </c>
      <c r="D184" s="2">
        <v>50000</v>
      </c>
      <c r="E184" s="2"/>
      <c r="F184" s="2"/>
      <c r="G184" s="2"/>
      <c r="I184" s="2"/>
      <c r="J184" s="2"/>
    </row>
    <row r="185" spans="1:10" x14ac:dyDescent="0.2">
      <c r="E185" s="2"/>
      <c r="F185" s="2"/>
      <c r="G185" s="2"/>
      <c r="I185" s="2"/>
      <c r="J185" s="2"/>
    </row>
    <row r="186" spans="1:10" ht="13.5" x14ac:dyDescent="0.25">
      <c r="A186" s="225" t="s">
        <v>357</v>
      </c>
      <c r="E186" s="2">
        <v>1000</v>
      </c>
      <c r="F186" s="2">
        <v>1000</v>
      </c>
      <c r="G186" s="2">
        <v>1000</v>
      </c>
      <c r="H186" s="2">
        <v>1000</v>
      </c>
      <c r="I186" s="2">
        <v>1000</v>
      </c>
      <c r="J186" s="2">
        <v>1000</v>
      </c>
    </row>
    <row r="187" spans="1:10" x14ac:dyDescent="0.2">
      <c r="A187" s="220" t="s">
        <v>358</v>
      </c>
      <c r="D187" s="2">
        <v>1000</v>
      </c>
      <c r="E187" s="2"/>
      <c r="F187" s="2"/>
      <c r="G187" s="2"/>
      <c r="I187" s="2"/>
      <c r="J187" s="2"/>
    </row>
    <row r="188" spans="1:10" x14ac:dyDescent="0.2">
      <c r="E188" s="2"/>
      <c r="F188" s="2"/>
      <c r="G188" s="2"/>
      <c r="I188" s="2"/>
      <c r="J188" s="2"/>
    </row>
    <row r="189" spans="1:10" ht="13.5" x14ac:dyDescent="0.25">
      <c r="A189" s="225" t="s">
        <v>578</v>
      </c>
      <c r="D189" s="7" t="s">
        <v>349</v>
      </c>
      <c r="E189" s="2">
        <v>12875</v>
      </c>
      <c r="F189" s="2">
        <v>13200</v>
      </c>
      <c r="G189" s="2">
        <v>13200</v>
      </c>
      <c r="H189" s="2">
        <v>13200</v>
      </c>
      <c r="I189" s="2">
        <v>13200</v>
      </c>
      <c r="J189" s="2">
        <v>13200</v>
      </c>
    </row>
    <row r="190" spans="1:10" x14ac:dyDescent="0.2">
      <c r="A190" s="220" t="s">
        <v>579</v>
      </c>
      <c r="C190" s="2"/>
      <c r="D190" s="2">
        <v>1500</v>
      </c>
      <c r="E190" s="2"/>
      <c r="H190" s="220"/>
      <c r="I190" s="251"/>
      <c r="J190" s="256"/>
    </row>
    <row r="191" spans="1:10" x14ac:dyDescent="0.2">
      <c r="A191" s="220" t="s">
        <v>67</v>
      </c>
      <c r="C191" s="2"/>
      <c r="D191" s="2">
        <v>0</v>
      </c>
      <c r="E191" s="2"/>
      <c r="H191" s="220"/>
      <c r="I191" s="251"/>
      <c r="J191" s="256"/>
    </row>
    <row r="192" spans="1:10" x14ac:dyDescent="0.2">
      <c r="A192" s="220" t="s">
        <v>68</v>
      </c>
      <c r="C192" s="2"/>
      <c r="D192" s="2">
        <v>2000</v>
      </c>
      <c r="E192" s="2"/>
      <c r="H192" s="220"/>
      <c r="I192" s="251"/>
      <c r="J192" s="256"/>
    </row>
    <row r="193" spans="1:10" x14ac:dyDescent="0.2">
      <c r="A193" s="220" t="s">
        <v>69</v>
      </c>
      <c r="C193" s="2"/>
      <c r="D193" s="2">
        <v>1300</v>
      </c>
      <c r="E193" s="2"/>
      <c r="F193" s="2"/>
      <c r="G193" s="2"/>
      <c r="I193" s="2"/>
      <c r="J193" s="2"/>
    </row>
    <row r="194" spans="1:10" x14ac:dyDescent="0.2">
      <c r="A194" s="220" t="s">
        <v>70</v>
      </c>
      <c r="C194" s="2"/>
      <c r="D194" s="2">
        <v>1000</v>
      </c>
      <c r="E194" s="2"/>
      <c r="F194" s="2"/>
      <c r="G194" s="2"/>
      <c r="I194" s="2"/>
      <c r="J194" s="2"/>
    </row>
    <row r="195" spans="1:10" x14ac:dyDescent="0.2">
      <c r="A195" s="220" t="s">
        <v>1438</v>
      </c>
      <c r="C195" s="2"/>
      <c r="D195" s="2">
        <v>1200</v>
      </c>
      <c r="E195" s="2"/>
      <c r="F195" s="2"/>
      <c r="G195" s="2"/>
      <c r="I195" s="2"/>
      <c r="J195" s="2"/>
    </row>
    <row r="196" spans="1:10" x14ac:dyDescent="0.2">
      <c r="A196" s="220" t="s">
        <v>71</v>
      </c>
      <c r="C196" s="2"/>
      <c r="D196" s="2">
        <v>0</v>
      </c>
      <c r="E196" s="2"/>
      <c r="F196" s="2"/>
      <c r="G196" s="2"/>
      <c r="I196" s="2"/>
      <c r="J196" s="2"/>
    </row>
    <row r="197" spans="1:10" x14ac:dyDescent="0.2">
      <c r="A197" s="220" t="s">
        <v>1697</v>
      </c>
      <c r="C197" s="2"/>
      <c r="D197" s="2">
        <v>1200</v>
      </c>
      <c r="E197" s="2"/>
      <c r="F197" s="2"/>
      <c r="G197" s="2"/>
      <c r="I197" s="2"/>
      <c r="J197" s="2"/>
    </row>
    <row r="198" spans="1:10" ht="15" x14ac:dyDescent="0.35">
      <c r="A198" s="220" t="s">
        <v>966</v>
      </c>
      <c r="C198" s="2"/>
      <c r="D198" s="10">
        <v>5000</v>
      </c>
      <c r="E198" s="2"/>
      <c r="F198" s="2"/>
      <c r="G198" s="2"/>
      <c r="I198" s="2"/>
      <c r="J198" s="2"/>
    </row>
    <row r="199" spans="1:10" x14ac:dyDescent="0.2">
      <c r="A199" s="5" t="s">
        <v>1181</v>
      </c>
      <c r="C199" s="2"/>
      <c r="D199" s="2">
        <f>SUM(D190:D198)</f>
        <v>13200</v>
      </c>
      <c r="E199" s="2"/>
      <c r="F199" s="2"/>
      <c r="G199" s="2"/>
      <c r="I199" s="2"/>
      <c r="J199" s="2"/>
    </row>
    <row r="200" spans="1:10" x14ac:dyDescent="0.2">
      <c r="A200" s="5"/>
      <c r="C200" s="2"/>
      <c r="E200" s="2"/>
      <c r="F200" s="2"/>
      <c r="G200" s="2"/>
      <c r="I200" s="2"/>
      <c r="J200" s="2"/>
    </row>
    <row r="201" spans="1:10" ht="13.5" x14ac:dyDescent="0.25">
      <c r="A201" s="225" t="s">
        <v>415</v>
      </c>
      <c r="E201" s="2">
        <v>6437</v>
      </c>
      <c r="F201" s="2">
        <v>8000</v>
      </c>
      <c r="G201" s="2">
        <v>8000</v>
      </c>
      <c r="H201" s="2">
        <v>8000</v>
      </c>
      <c r="I201" s="2">
        <v>8000</v>
      </c>
      <c r="J201" s="2">
        <v>8000</v>
      </c>
    </row>
    <row r="202" spans="1:10" x14ac:dyDescent="0.2">
      <c r="A202" s="220" t="s">
        <v>416</v>
      </c>
      <c r="B202" s="220" t="s">
        <v>349</v>
      </c>
      <c r="C202" s="2"/>
      <c r="D202" s="2">
        <v>8000</v>
      </c>
      <c r="E202" s="2"/>
      <c r="F202" s="2"/>
      <c r="G202" s="2"/>
      <c r="I202" s="2"/>
      <c r="J202" s="2"/>
    </row>
    <row r="203" spans="1:10" x14ac:dyDescent="0.2">
      <c r="D203" s="7" t="s">
        <v>349</v>
      </c>
      <c r="E203" s="2"/>
      <c r="F203" s="2"/>
      <c r="G203" s="2"/>
      <c r="I203" s="2"/>
      <c r="J203" s="2"/>
    </row>
    <row r="204" spans="1:10" ht="13.5" x14ac:dyDescent="0.25">
      <c r="A204" s="225" t="s">
        <v>417</v>
      </c>
      <c r="D204" s="220"/>
      <c r="E204" s="2">
        <v>22576</v>
      </c>
      <c r="F204" s="2">
        <v>22576</v>
      </c>
      <c r="G204" s="2">
        <v>27690</v>
      </c>
      <c r="H204" s="2">
        <v>27690</v>
      </c>
      <c r="I204" s="2">
        <v>27690</v>
      </c>
      <c r="J204" s="2">
        <v>27690</v>
      </c>
    </row>
    <row r="205" spans="1:10" ht="13.5" x14ac:dyDescent="0.25">
      <c r="A205" s="225"/>
      <c r="B205" s="18" t="s">
        <v>1759</v>
      </c>
      <c r="C205" s="18" t="s">
        <v>1857</v>
      </c>
      <c r="D205" s="18" t="s">
        <v>1966</v>
      </c>
      <c r="E205" s="2"/>
      <c r="F205" s="2"/>
      <c r="G205" s="2"/>
      <c r="I205" s="2"/>
      <c r="J205" s="2"/>
    </row>
    <row r="206" spans="1:10" x14ac:dyDescent="0.2">
      <c r="A206" s="220" t="s">
        <v>908</v>
      </c>
      <c r="B206" s="90">
        <v>40</v>
      </c>
      <c r="C206" s="90">
        <v>40</v>
      </c>
      <c r="D206" s="90">
        <v>40</v>
      </c>
      <c r="E206" s="2"/>
      <c r="H206" s="220"/>
      <c r="I206" s="251"/>
      <c r="J206" s="256"/>
    </row>
    <row r="207" spans="1:10" x14ac:dyDescent="0.2">
      <c r="A207" s="220" t="s">
        <v>1223</v>
      </c>
      <c r="B207" s="90">
        <v>100</v>
      </c>
      <c r="C207" s="90">
        <v>50</v>
      </c>
      <c r="D207" s="90">
        <v>50</v>
      </c>
      <c r="E207" s="2"/>
      <c r="H207" s="220"/>
      <c r="I207" s="251"/>
      <c r="J207" s="256"/>
    </row>
    <row r="208" spans="1:10" x14ac:dyDescent="0.2">
      <c r="A208" s="220" t="s">
        <v>1027</v>
      </c>
      <c r="B208" s="90">
        <v>400</v>
      </c>
      <c r="C208" s="90">
        <v>400</v>
      </c>
      <c r="D208" s="90">
        <v>300</v>
      </c>
      <c r="E208" s="2"/>
      <c r="H208" s="220"/>
      <c r="I208" s="251"/>
      <c r="J208" s="256"/>
    </row>
    <row r="209" spans="1:10" x14ac:dyDescent="0.2">
      <c r="A209" s="220" t="s">
        <v>244</v>
      </c>
      <c r="B209" s="90">
        <v>500</v>
      </c>
      <c r="C209" s="90">
        <v>500</v>
      </c>
      <c r="D209" s="90">
        <v>400</v>
      </c>
      <c r="E209" s="2"/>
      <c r="F209" s="2"/>
      <c r="G209" s="2"/>
      <c r="I209" s="2"/>
      <c r="J209" s="2"/>
    </row>
    <row r="210" spans="1:10" x14ac:dyDescent="0.2">
      <c r="A210" s="220" t="s">
        <v>870</v>
      </c>
      <c r="B210" s="90">
        <v>6850</v>
      </c>
      <c r="C210" s="90">
        <v>6750</v>
      </c>
      <c r="D210" s="90">
        <v>8500</v>
      </c>
      <c r="E210" s="2"/>
      <c r="F210" s="2"/>
      <c r="G210" s="2"/>
      <c r="I210" s="2"/>
      <c r="J210" s="2"/>
    </row>
    <row r="211" spans="1:10" x14ac:dyDescent="0.2">
      <c r="A211" s="220" t="s">
        <v>1197</v>
      </c>
      <c r="B211" s="90">
        <v>7200</v>
      </c>
      <c r="C211" s="90">
        <v>7100</v>
      </c>
      <c r="D211" s="90">
        <v>7400</v>
      </c>
      <c r="E211" s="2"/>
      <c r="F211" s="2"/>
      <c r="G211" s="2"/>
      <c r="I211" s="2"/>
      <c r="J211" s="2"/>
    </row>
    <row r="212" spans="1:10" x14ac:dyDescent="0.2">
      <c r="A212" s="220" t="s">
        <v>871</v>
      </c>
      <c r="B212" s="90">
        <v>500</v>
      </c>
      <c r="C212" s="90">
        <v>200</v>
      </c>
      <c r="D212" s="90">
        <v>300</v>
      </c>
      <c r="E212" s="2"/>
      <c r="F212" s="2"/>
      <c r="G212" s="2"/>
      <c r="I212" s="2"/>
      <c r="J212" s="2"/>
    </row>
    <row r="213" spans="1:10" x14ac:dyDescent="0.2">
      <c r="A213" s="220" t="s">
        <v>1399</v>
      </c>
      <c r="B213" s="90">
        <v>2000</v>
      </c>
      <c r="C213" s="90">
        <v>2000</v>
      </c>
      <c r="D213" s="90">
        <v>2100</v>
      </c>
      <c r="E213" s="2"/>
      <c r="F213" s="2"/>
      <c r="G213" s="2"/>
      <c r="I213" s="2"/>
      <c r="J213" s="2"/>
    </row>
    <row r="214" spans="1:10" x14ac:dyDescent="0.2">
      <c r="A214" s="220" t="s">
        <v>964</v>
      </c>
      <c r="B214" s="90">
        <v>1200</v>
      </c>
      <c r="C214" s="90">
        <v>1000</v>
      </c>
      <c r="D214" s="90">
        <v>1200</v>
      </c>
      <c r="E214" s="2"/>
      <c r="F214" s="2"/>
      <c r="G214" s="2"/>
      <c r="I214" s="2"/>
      <c r="J214" s="2"/>
    </row>
    <row r="215" spans="1:10" x14ac:dyDescent="0.2">
      <c r="A215" s="220" t="s">
        <v>880</v>
      </c>
      <c r="B215" s="90">
        <v>600</v>
      </c>
      <c r="C215" s="90">
        <v>500</v>
      </c>
      <c r="D215" s="90">
        <v>2000</v>
      </c>
      <c r="E215" s="2"/>
      <c r="F215" s="2"/>
      <c r="G215" s="2"/>
      <c r="I215" s="2"/>
      <c r="J215" s="2"/>
    </row>
    <row r="216" spans="1:10" x14ac:dyDescent="0.2">
      <c r="A216" s="220" t="s">
        <v>911</v>
      </c>
      <c r="B216" s="90">
        <v>500</v>
      </c>
      <c r="C216" s="90">
        <v>250</v>
      </c>
      <c r="D216" s="90">
        <v>300</v>
      </c>
      <c r="E216" s="2"/>
      <c r="F216" s="2"/>
      <c r="G216" s="2"/>
      <c r="I216" s="2"/>
      <c r="J216" s="2"/>
    </row>
    <row r="217" spans="1:10" x14ac:dyDescent="0.2">
      <c r="A217" s="220" t="s">
        <v>734</v>
      </c>
      <c r="B217" s="90">
        <v>900</v>
      </c>
      <c r="C217" s="90">
        <v>400</v>
      </c>
      <c r="D217" s="90">
        <v>300</v>
      </c>
      <c r="E217" s="2"/>
      <c r="F217" s="2"/>
      <c r="G217" s="2"/>
      <c r="I217" s="2"/>
      <c r="J217" s="2"/>
    </row>
    <row r="218" spans="1:10" x14ac:dyDescent="0.2">
      <c r="A218" s="220" t="s">
        <v>1400</v>
      </c>
      <c r="B218" s="90">
        <v>0</v>
      </c>
      <c r="C218" s="90">
        <v>0</v>
      </c>
      <c r="D218" s="90">
        <v>0</v>
      </c>
      <c r="E218" s="2"/>
      <c r="F218" s="2"/>
      <c r="G218" s="2"/>
      <c r="I218" s="2"/>
      <c r="J218" s="2"/>
    </row>
    <row r="219" spans="1:10" ht="15" x14ac:dyDescent="0.25">
      <c r="A219" s="220" t="s">
        <v>280</v>
      </c>
      <c r="B219" s="97">
        <v>155</v>
      </c>
      <c r="C219" s="131">
        <v>100</v>
      </c>
      <c r="D219" s="131">
        <v>100</v>
      </c>
      <c r="E219" s="2"/>
      <c r="F219" s="2"/>
      <c r="G219" s="2"/>
      <c r="I219" s="2"/>
      <c r="J219" s="2"/>
    </row>
    <row r="220" spans="1:10" ht="15" x14ac:dyDescent="0.25">
      <c r="A220" s="220" t="s">
        <v>1401</v>
      </c>
      <c r="B220" s="97">
        <v>140</v>
      </c>
      <c r="C220" s="131">
        <v>200</v>
      </c>
      <c r="D220" s="131">
        <v>200</v>
      </c>
      <c r="E220" s="2"/>
      <c r="F220" s="2"/>
      <c r="G220" s="2"/>
      <c r="I220" s="2"/>
      <c r="J220" s="2"/>
    </row>
    <row r="221" spans="1:10" ht="15" x14ac:dyDescent="0.25">
      <c r="A221" s="220" t="s">
        <v>872</v>
      </c>
      <c r="B221" s="97">
        <v>3500</v>
      </c>
      <c r="C221" s="131">
        <v>1000</v>
      </c>
      <c r="D221" s="131">
        <v>1000</v>
      </c>
      <c r="E221" s="2"/>
      <c r="F221" s="2"/>
      <c r="G221" s="2"/>
      <c r="I221" s="2"/>
      <c r="J221" s="2"/>
    </row>
    <row r="222" spans="1:10" x14ac:dyDescent="0.2">
      <c r="A222" s="220" t="s">
        <v>873</v>
      </c>
      <c r="B222" s="90">
        <v>250</v>
      </c>
      <c r="C222" s="90">
        <v>100</v>
      </c>
      <c r="D222" s="90">
        <v>100</v>
      </c>
      <c r="E222" s="2"/>
      <c r="F222" s="2"/>
      <c r="G222" s="2"/>
      <c r="I222" s="2"/>
      <c r="J222" s="2"/>
    </row>
    <row r="223" spans="1:10" x14ac:dyDescent="0.2">
      <c r="A223" s="220" t="s">
        <v>1028</v>
      </c>
      <c r="B223" s="90">
        <v>300</v>
      </c>
      <c r="C223" s="90">
        <v>0</v>
      </c>
      <c r="D223" s="90">
        <v>200</v>
      </c>
      <c r="E223" s="2"/>
      <c r="F223" s="2"/>
      <c r="G223" s="2"/>
      <c r="I223" s="2"/>
      <c r="J223" s="2"/>
    </row>
    <row r="224" spans="1:10" x14ac:dyDescent="0.2">
      <c r="A224" s="220" t="s">
        <v>1402</v>
      </c>
      <c r="B224" s="90">
        <v>1800</v>
      </c>
      <c r="C224" s="90">
        <v>1400</v>
      </c>
      <c r="D224" s="90">
        <v>1500</v>
      </c>
      <c r="E224" s="2"/>
      <c r="F224" s="2"/>
      <c r="G224" s="2"/>
      <c r="I224" s="2"/>
      <c r="J224" s="2"/>
    </row>
    <row r="225" spans="1:10" x14ac:dyDescent="0.2">
      <c r="A225" s="220" t="s">
        <v>1403</v>
      </c>
      <c r="B225" s="90">
        <v>900</v>
      </c>
      <c r="C225" s="90">
        <v>1000</v>
      </c>
      <c r="D225" s="90">
        <v>1200</v>
      </c>
      <c r="E225" s="2"/>
      <c r="F225" s="2"/>
      <c r="G225" s="2"/>
      <c r="I225" s="2"/>
      <c r="J225" s="2"/>
    </row>
    <row r="226" spans="1:10" x14ac:dyDescent="0.2">
      <c r="A226" s="220" t="s">
        <v>1041</v>
      </c>
      <c r="B226" s="90">
        <v>5241</v>
      </c>
      <c r="C226" s="90">
        <v>2000</v>
      </c>
      <c r="D226" s="90">
        <v>500</v>
      </c>
      <c r="E226" s="2"/>
      <c r="F226" s="2"/>
      <c r="G226" s="2"/>
      <c r="I226" s="2"/>
      <c r="J226" s="2"/>
    </row>
    <row r="227" spans="1:10" ht="15" x14ac:dyDescent="0.2">
      <c r="A227" s="220" t="s">
        <v>813</v>
      </c>
      <c r="B227" s="92">
        <v>12000</v>
      </c>
      <c r="C227" s="92">
        <v>18000</v>
      </c>
      <c r="D227" s="92">
        <v>18000</v>
      </c>
      <c r="E227" s="2"/>
      <c r="F227" s="2"/>
      <c r="G227" s="2"/>
      <c r="I227" s="2"/>
      <c r="J227" s="2"/>
    </row>
    <row r="228" spans="1:10" x14ac:dyDescent="0.2">
      <c r="A228" s="220" t="s">
        <v>662</v>
      </c>
      <c r="B228" s="90">
        <f>SUM(B206:B227)</f>
        <v>45076</v>
      </c>
      <c r="C228" s="90">
        <f>SUM(C206:C227)</f>
        <v>42990</v>
      </c>
      <c r="D228" s="90">
        <f>SUM(D206:D227)</f>
        <v>45690</v>
      </c>
      <c r="E228" s="2"/>
      <c r="F228" s="2"/>
      <c r="G228" s="2"/>
      <c r="I228" s="2"/>
      <c r="J228" s="2"/>
    </row>
    <row r="229" spans="1:10" x14ac:dyDescent="0.2">
      <c r="A229" s="220" t="s">
        <v>610</v>
      </c>
      <c r="B229" s="89">
        <v>-22500</v>
      </c>
      <c r="C229" s="89">
        <v>-20414</v>
      </c>
      <c r="D229" s="89">
        <v>-18000</v>
      </c>
      <c r="E229" s="2"/>
      <c r="F229" s="2"/>
      <c r="G229" s="2"/>
      <c r="I229" s="2"/>
      <c r="J229" s="2"/>
    </row>
    <row r="230" spans="1:10" ht="15" x14ac:dyDescent="0.35">
      <c r="A230" s="220" t="s">
        <v>1278</v>
      </c>
      <c r="B230" s="91">
        <v>0</v>
      </c>
      <c r="C230" s="91">
        <v>0</v>
      </c>
      <c r="D230" s="91">
        <v>0</v>
      </c>
      <c r="E230" s="2"/>
      <c r="F230" s="2"/>
      <c r="G230" s="2"/>
      <c r="I230" s="2"/>
      <c r="J230" s="2"/>
    </row>
    <row r="231" spans="1:10" x14ac:dyDescent="0.2">
      <c r="A231" s="220" t="s">
        <v>645</v>
      </c>
      <c r="B231" s="89">
        <f>SUM(B228:B230)</f>
        <v>22576</v>
      </c>
      <c r="C231" s="89">
        <f>SUM(C228:C230)</f>
        <v>22576</v>
      </c>
      <c r="D231" s="89">
        <f>SUM(D228:D230)</f>
        <v>27690</v>
      </c>
      <c r="E231" s="2"/>
      <c r="F231" s="2"/>
      <c r="G231" s="2"/>
      <c r="I231" s="2"/>
      <c r="J231" s="2"/>
    </row>
    <row r="232" spans="1:10" x14ac:dyDescent="0.2">
      <c r="B232" s="2"/>
      <c r="C232" s="2"/>
      <c r="D232" s="89"/>
      <c r="E232" s="2"/>
      <c r="F232" s="2"/>
      <c r="G232" s="2"/>
      <c r="I232" s="2"/>
      <c r="J232" s="2"/>
    </row>
    <row r="233" spans="1:10" ht="13.5" x14ac:dyDescent="0.25">
      <c r="A233" s="225" t="s">
        <v>360</v>
      </c>
      <c r="B233" s="18" t="s">
        <v>1759</v>
      </c>
      <c r="C233" s="18" t="s">
        <v>1857</v>
      </c>
      <c r="D233" s="18" t="s">
        <v>1966</v>
      </c>
      <c r="E233" s="2">
        <v>3405</v>
      </c>
      <c r="F233" s="2">
        <v>0</v>
      </c>
      <c r="G233" s="2">
        <v>0</v>
      </c>
      <c r="H233" s="2">
        <v>0</v>
      </c>
      <c r="I233" s="2">
        <v>0</v>
      </c>
      <c r="J233" s="2">
        <v>0</v>
      </c>
    </row>
    <row r="234" spans="1:10" x14ac:dyDescent="0.2">
      <c r="A234" s="220" t="s">
        <v>1516</v>
      </c>
      <c r="B234" s="2">
        <v>0</v>
      </c>
      <c r="C234" s="2">
        <v>0</v>
      </c>
      <c r="D234" s="2">
        <v>0</v>
      </c>
      <c r="E234" s="2"/>
      <c r="F234" s="2"/>
      <c r="G234" s="2"/>
      <c r="I234" s="2"/>
      <c r="J234" s="2"/>
    </row>
    <row r="235" spans="1:10" x14ac:dyDescent="0.2">
      <c r="B235" s="2"/>
      <c r="C235" s="2"/>
      <c r="E235" s="2"/>
      <c r="F235" s="2"/>
      <c r="G235" s="2"/>
      <c r="I235" s="2"/>
      <c r="J235" s="2"/>
    </row>
    <row r="236" spans="1:10" x14ac:dyDescent="0.2">
      <c r="A236" s="132" t="s">
        <v>786</v>
      </c>
      <c r="B236" s="18" t="s">
        <v>1759</v>
      </c>
      <c r="C236" s="18" t="s">
        <v>1857</v>
      </c>
      <c r="D236" s="18" t="s">
        <v>1966</v>
      </c>
      <c r="E236" s="2">
        <v>0</v>
      </c>
      <c r="F236" s="2">
        <v>37000</v>
      </c>
      <c r="G236" s="2">
        <v>41200</v>
      </c>
      <c r="H236" s="2">
        <v>41200</v>
      </c>
      <c r="I236" s="2">
        <v>41200</v>
      </c>
      <c r="J236" s="2">
        <v>41200</v>
      </c>
    </row>
    <row r="237" spans="1:10" x14ac:dyDescent="0.2">
      <c r="A237" s="22" t="s">
        <v>1814</v>
      </c>
      <c r="B237" s="2">
        <v>95000</v>
      </c>
      <c r="C237" s="2">
        <v>0</v>
      </c>
      <c r="D237" s="2">
        <v>0</v>
      </c>
      <c r="E237" s="2"/>
      <c r="F237" s="2"/>
      <c r="G237" s="2"/>
      <c r="I237" s="2"/>
      <c r="J237" s="2"/>
    </row>
    <row r="238" spans="1:10" x14ac:dyDescent="0.2">
      <c r="A238" s="22" t="s">
        <v>1570</v>
      </c>
      <c r="B238" s="2">
        <v>8000</v>
      </c>
      <c r="C238" s="2">
        <v>0</v>
      </c>
      <c r="D238" s="2">
        <v>0</v>
      </c>
      <c r="E238" s="2"/>
      <c r="F238" s="2"/>
      <c r="G238" s="2"/>
      <c r="I238" s="2"/>
      <c r="J238" s="2"/>
    </row>
    <row r="239" spans="1:10" x14ac:dyDescent="0.2">
      <c r="A239" s="22" t="s">
        <v>1881</v>
      </c>
      <c r="B239" s="2">
        <v>0</v>
      </c>
      <c r="C239" s="2">
        <v>37000</v>
      </c>
      <c r="D239" s="2">
        <v>0</v>
      </c>
      <c r="E239" s="2"/>
      <c r="F239" s="2"/>
      <c r="G239" s="2"/>
      <c r="I239" s="2"/>
      <c r="J239" s="2"/>
    </row>
    <row r="240" spans="1:10" x14ac:dyDescent="0.2">
      <c r="A240" s="22" t="s">
        <v>2016</v>
      </c>
      <c r="B240" s="2"/>
      <c r="C240" s="2">
        <v>0</v>
      </c>
      <c r="D240" s="2">
        <v>26400</v>
      </c>
      <c r="E240" s="2"/>
      <c r="F240" s="2"/>
      <c r="G240" s="2"/>
      <c r="I240" s="2"/>
      <c r="J240" s="2"/>
    </row>
    <row r="241" spans="1:10" ht="15" x14ac:dyDescent="0.35">
      <c r="A241" s="22" t="s">
        <v>2017</v>
      </c>
      <c r="B241" s="10">
        <v>0</v>
      </c>
      <c r="C241" s="10">
        <v>0</v>
      </c>
      <c r="D241" s="10">
        <v>14800</v>
      </c>
      <c r="E241" s="10"/>
      <c r="F241" s="2"/>
      <c r="G241" s="2"/>
      <c r="I241" s="2"/>
      <c r="J241" s="2"/>
    </row>
    <row r="242" spans="1:10" x14ac:dyDescent="0.2">
      <c r="A242" s="75"/>
      <c r="B242" s="2">
        <f>SUM(B237:B241)</f>
        <v>103000</v>
      </c>
      <c r="C242" s="2">
        <f>SUM(C237:C241)</f>
        <v>37000</v>
      </c>
      <c r="D242" s="2">
        <f>SUM(D237:D241)</f>
        <v>41200</v>
      </c>
      <c r="E242" s="2"/>
      <c r="F242" s="2"/>
      <c r="G242" s="2"/>
      <c r="I242" s="2"/>
      <c r="J242" s="2"/>
    </row>
    <row r="243" spans="1:10" x14ac:dyDescent="0.2">
      <c r="A243" s="75"/>
      <c r="B243" s="2"/>
      <c r="C243" s="2"/>
      <c r="E243" s="2"/>
      <c r="F243" s="2"/>
      <c r="G243" s="2"/>
      <c r="I243" s="2"/>
      <c r="J243" s="2"/>
    </row>
    <row r="244" spans="1:10" ht="13.5" x14ac:dyDescent="0.25">
      <c r="A244" s="225" t="s">
        <v>360</v>
      </c>
      <c r="B244" s="2"/>
      <c r="C244" s="2"/>
      <c r="E244" s="2">
        <v>0</v>
      </c>
      <c r="F244" s="2">
        <v>0</v>
      </c>
      <c r="G244" s="2">
        <v>0</v>
      </c>
      <c r="H244" s="2">
        <v>0</v>
      </c>
      <c r="I244" s="2">
        <v>0</v>
      </c>
      <c r="J244" s="2">
        <v>0</v>
      </c>
    </row>
    <row r="245" spans="1:10" x14ac:dyDescent="0.2">
      <c r="B245" s="2"/>
      <c r="C245" s="2"/>
      <c r="E245" s="2"/>
      <c r="F245" s="2"/>
      <c r="G245" s="2"/>
      <c r="I245" s="2"/>
      <c r="J245" s="2"/>
    </row>
    <row r="246" spans="1:10" ht="13.5" x14ac:dyDescent="0.25">
      <c r="A246" s="225" t="s">
        <v>1250</v>
      </c>
      <c r="B246" s="18" t="s">
        <v>1759</v>
      </c>
      <c r="C246" s="18" t="s">
        <v>1857</v>
      </c>
      <c r="D246" s="18" t="s">
        <v>1966</v>
      </c>
      <c r="E246" s="2">
        <v>0</v>
      </c>
      <c r="F246" s="2">
        <v>5000</v>
      </c>
      <c r="G246" s="2">
        <v>5000</v>
      </c>
      <c r="H246" s="2">
        <v>5000</v>
      </c>
      <c r="I246" s="2">
        <v>5000</v>
      </c>
      <c r="J246" s="2">
        <v>5000</v>
      </c>
    </row>
    <row r="247" spans="1:10" x14ac:dyDescent="0.2">
      <c r="A247" s="220" t="s">
        <v>363</v>
      </c>
      <c r="B247" s="2">
        <v>0</v>
      </c>
      <c r="C247" s="2">
        <v>5000</v>
      </c>
      <c r="D247" s="2">
        <v>5000</v>
      </c>
      <c r="E247" s="2"/>
      <c r="F247" s="2"/>
      <c r="G247" s="2"/>
      <c r="I247" s="2"/>
      <c r="J247" s="2"/>
    </row>
    <row r="248" spans="1:10" ht="15" x14ac:dyDescent="0.35">
      <c r="B248" s="10">
        <v>0</v>
      </c>
      <c r="C248" s="10">
        <v>0</v>
      </c>
      <c r="D248" s="10">
        <v>0</v>
      </c>
      <c r="E248" s="2"/>
      <c r="F248" s="2"/>
      <c r="G248" s="2"/>
      <c r="I248" s="2"/>
      <c r="J248" s="2"/>
    </row>
    <row r="249" spans="1:10" x14ac:dyDescent="0.2">
      <c r="A249" s="220" t="s">
        <v>1086</v>
      </c>
      <c r="B249" s="2">
        <f>SUM(B247:B248)</f>
        <v>0</v>
      </c>
      <c r="C249" s="2">
        <f>SUM(C247:C248)</f>
        <v>5000</v>
      </c>
      <c r="D249" s="2">
        <f>SUM(D247:D248)</f>
        <v>5000</v>
      </c>
      <c r="E249" s="2"/>
      <c r="F249" s="2"/>
      <c r="G249" s="2"/>
      <c r="I249" s="2"/>
      <c r="J249" s="2"/>
    </row>
    <row r="250" spans="1:10" x14ac:dyDescent="0.2">
      <c r="B250" s="2"/>
      <c r="C250" s="2"/>
      <c r="E250" s="2"/>
      <c r="F250" s="2"/>
      <c r="G250" s="2"/>
      <c r="I250" s="2"/>
      <c r="J250" s="2"/>
    </row>
    <row r="251" spans="1:10" x14ac:dyDescent="0.2">
      <c r="B251" s="2"/>
      <c r="C251" s="2"/>
      <c r="E251" s="2"/>
      <c r="F251" s="2"/>
      <c r="G251" s="2"/>
      <c r="I251" s="2"/>
      <c r="J251" s="2"/>
    </row>
    <row r="252" spans="1:10" ht="15" x14ac:dyDescent="0.35">
      <c r="A252" s="225" t="s">
        <v>1628</v>
      </c>
      <c r="B252" s="18" t="s">
        <v>1759</v>
      </c>
      <c r="C252" s="18" t="s">
        <v>1857</v>
      </c>
      <c r="D252" s="18" t="s">
        <v>1966</v>
      </c>
      <c r="E252" s="10">
        <v>0</v>
      </c>
      <c r="F252" s="10">
        <v>0</v>
      </c>
      <c r="G252" s="10">
        <v>0</v>
      </c>
      <c r="H252" s="10">
        <v>0</v>
      </c>
      <c r="I252" s="10">
        <v>0</v>
      </c>
      <c r="J252" s="10">
        <v>0</v>
      </c>
    </row>
    <row r="253" spans="1:10" x14ac:dyDescent="0.2">
      <c r="B253" s="2"/>
      <c r="C253" s="2"/>
      <c r="E253" s="2"/>
      <c r="F253" s="2"/>
      <c r="G253" s="2"/>
      <c r="I253" s="2"/>
      <c r="J253" s="2"/>
    </row>
    <row r="254" spans="1:10" x14ac:dyDescent="0.2">
      <c r="A254" s="220" t="s">
        <v>1167</v>
      </c>
      <c r="C254" s="2"/>
      <c r="E254" s="2">
        <f t="shared" ref="E254:J254" si="0">SUM(E6:E252)</f>
        <v>487823</v>
      </c>
      <c r="F254" s="2">
        <f t="shared" si="0"/>
        <v>531386</v>
      </c>
      <c r="G254" s="2">
        <f t="shared" si="0"/>
        <v>557457</v>
      </c>
      <c r="H254" s="2">
        <f t="shared" si="0"/>
        <v>557057</v>
      </c>
      <c r="I254" s="2">
        <f t="shared" si="0"/>
        <v>559984</v>
      </c>
      <c r="J254" s="2">
        <f t="shared" si="0"/>
        <v>559984</v>
      </c>
    </row>
    <row r="255" spans="1:10" x14ac:dyDescent="0.2">
      <c r="C255" s="2"/>
      <c r="E255" s="2"/>
      <c r="F255" s="2"/>
      <c r="G255" s="2"/>
      <c r="I255" s="2"/>
      <c r="J255" s="2"/>
    </row>
    <row r="256" spans="1:10" x14ac:dyDescent="0.2">
      <c r="A256" s="220" t="s">
        <v>838</v>
      </c>
      <c r="E256" s="2">
        <f t="shared" ref="E256:J256" si="1">SUM(E6:E69)</f>
        <v>206203</v>
      </c>
      <c r="F256" s="2">
        <f t="shared" si="1"/>
        <v>222445</v>
      </c>
      <c r="G256" s="2">
        <f t="shared" si="1"/>
        <v>239583</v>
      </c>
      <c r="H256" s="2">
        <f t="shared" si="1"/>
        <v>239183</v>
      </c>
      <c r="I256" s="2">
        <f t="shared" si="1"/>
        <v>242110</v>
      </c>
      <c r="J256" s="2">
        <f t="shared" si="1"/>
        <v>242110</v>
      </c>
    </row>
    <row r="257" spans="1:10" x14ac:dyDescent="0.2">
      <c r="A257" s="220" t="s">
        <v>818</v>
      </c>
      <c r="E257" s="2">
        <f t="shared" ref="E257:J257" si="2">SUM(E71:E231)</f>
        <v>278215</v>
      </c>
      <c r="F257" s="2">
        <f t="shared" si="2"/>
        <v>266941</v>
      </c>
      <c r="G257" s="2">
        <f t="shared" si="2"/>
        <v>271674</v>
      </c>
      <c r="H257" s="2">
        <f t="shared" si="2"/>
        <v>271674</v>
      </c>
      <c r="I257" s="2">
        <f t="shared" si="2"/>
        <v>271674</v>
      </c>
      <c r="J257" s="2">
        <f t="shared" si="2"/>
        <v>271674</v>
      </c>
    </row>
    <row r="258" spans="1:10" ht="15" x14ac:dyDescent="0.35">
      <c r="A258" s="220" t="s">
        <v>819</v>
      </c>
      <c r="E258" s="10">
        <f t="shared" ref="E258:J258" si="3">SUM(E233:E252)</f>
        <v>3405</v>
      </c>
      <c r="F258" s="10">
        <f t="shared" si="3"/>
        <v>42000</v>
      </c>
      <c r="G258" s="10">
        <f t="shared" si="3"/>
        <v>46200</v>
      </c>
      <c r="H258" s="10">
        <f t="shared" si="3"/>
        <v>46200</v>
      </c>
      <c r="I258" s="10">
        <f t="shared" si="3"/>
        <v>46200</v>
      </c>
      <c r="J258" s="10">
        <f t="shared" si="3"/>
        <v>46200</v>
      </c>
    </row>
    <row r="259" spans="1:10" x14ac:dyDescent="0.2">
      <c r="A259" s="220" t="s">
        <v>1086</v>
      </c>
      <c r="E259" s="2">
        <f t="shared" ref="E259:J259" si="4">SUM(E256:E258)</f>
        <v>487823</v>
      </c>
      <c r="F259" s="2">
        <f t="shared" si="4"/>
        <v>531386</v>
      </c>
      <c r="G259" s="2">
        <f t="shared" si="4"/>
        <v>557457</v>
      </c>
      <c r="H259" s="2">
        <f t="shared" ref="H259" si="5">SUM(H256:H258)</f>
        <v>557057</v>
      </c>
      <c r="I259" s="2">
        <f t="shared" si="4"/>
        <v>559984</v>
      </c>
      <c r="J259" s="2">
        <f t="shared" si="4"/>
        <v>559984</v>
      </c>
    </row>
    <row r="260" spans="1:10" x14ac:dyDescent="0.2">
      <c r="H260" s="220"/>
      <c r="I260" s="2"/>
      <c r="J260" s="2"/>
    </row>
    <row r="261" spans="1:10" x14ac:dyDescent="0.2">
      <c r="F261" s="2"/>
      <c r="H261" s="220"/>
      <c r="I261" s="2"/>
      <c r="J261" s="2"/>
    </row>
    <row r="262" spans="1:10" x14ac:dyDescent="0.2">
      <c r="H262" s="220"/>
      <c r="I262" s="2"/>
      <c r="J262" s="2"/>
    </row>
    <row r="263" spans="1:10" x14ac:dyDescent="0.2">
      <c r="H263" s="220"/>
      <c r="I263" s="2"/>
      <c r="J263" s="2"/>
    </row>
    <row r="264" spans="1:10" x14ac:dyDescent="0.2">
      <c r="H264" s="220"/>
    </row>
    <row r="265" spans="1:10" x14ac:dyDescent="0.2">
      <c r="H265" s="220"/>
    </row>
    <row r="266" spans="1:10" x14ac:dyDescent="0.2">
      <c r="H266" s="220"/>
    </row>
    <row r="267" spans="1:10" x14ac:dyDescent="0.2">
      <c r="H267" s="220"/>
    </row>
    <row r="268" spans="1:10" x14ac:dyDescent="0.2">
      <c r="H268" s="220"/>
    </row>
    <row r="269" spans="1:10" x14ac:dyDescent="0.2">
      <c r="H269" s="220"/>
    </row>
    <row r="270" spans="1:10" x14ac:dyDescent="0.2">
      <c r="H270" s="220"/>
    </row>
    <row r="271" spans="1:10" x14ac:dyDescent="0.2">
      <c r="H271" s="220"/>
    </row>
    <row r="272" spans="1:10" x14ac:dyDescent="0.2">
      <c r="H272" s="220"/>
    </row>
    <row r="273" spans="8:8" x14ac:dyDescent="0.2">
      <c r="H273" s="220"/>
    </row>
    <row r="274" spans="8:8" x14ac:dyDescent="0.2">
      <c r="H274" s="220"/>
    </row>
    <row r="275" spans="8:8" x14ac:dyDescent="0.2">
      <c r="H275" s="220"/>
    </row>
    <row r="276" spans="8:8" x14ac:dyDescent="0.2">
      <c r="H276" s="220"/>
    </row>
    <row r="277" spans="8:8" x14ac:dyDescent="0.2">
      <c r="H277" s="220"/>
    </row>
    <row r="278" spans="8:8" x14ac:dyDescent="0.2">
      <c r="H278" s="220"/>
    </row>
    <row r="279" spans="8:8" x14ac:dyDescent="0.2">
      <c r="H279" s="220"/>
    </row>
    <row r="280" spans="8:8" x14ac:dyDescent="0.2">
      <c r="H280" s="220"/>
    </row>
    <row r="281" spans="8:8" x14ac:dyDescent="0.2">
      <c r="H281" s="220"/>
    </row>
    <row r="282" spans="8:8" x14ac:dyDescent="0.2">
      <c r="H282" s="220"/>
    </row>
    <row r="283" spans="8:8" x14ac:dyDescent="0.2">
      <c r="H283" s="220"/>
    </row>
    <row r="284" spans="8:8" x14ac:dyDescent="0.2">
      <c r="H284" s="220"/>
    </row>
    <row r="285" spans="8:8" x14ac:dyDescent="0.2">
      <c r="H285" s="220"/>
    </row>
    <row r="286" spans="8:8" x14ac:dyDescent="0.2">
      <c r="H286" s="220"/>
    </row>
    <row r="287" spans="8:8" x14ac:dyDescent="0.2">
      <c r="H287" s="220"/>
    </row>
    <row r="288" spans="8:8" x14ac:dyDescent="0.2">
      <c r="H288" s="220"/>
    </row>
    <row r="289" spans="8:8" x14ac:dyDescent="0.2">
      <c r="H289" s="220"/>
    </row>
    <row r="290" spans="8:8" x14ac:dyDescent="0.2">
      <c r="H290" s="220"/>
    </row>
    <row r="291" spans="8:8" x14ac:dyDescent="0.2">
      <c r="H291" s="220"/>
    </row>
    <row r="292" spans="8:8" x14ac:dyDescent="0.2">
      <c r="H292" s="220"/>
    </row>
    <row r="293" spans="8:8" x14ac:dyDescent="0.2">
      <c r="H293" s="220"/>
    </row>
    <row r="294" spans="8:8" x14ac:dyDescent="0.2">
      <c r="H294" s="220"/>
    </row>
    <row r="295" spans="8:8" x14ac:dyDescent="0.2">
      <c r="H295" s="220"/>
    </row>
    <row r="296" spans="8:8" x14ac:dyDescent="0.2">
      <c r="H296" s="220"/>
    </row>
    <row r="297" spans="8:8" x14ac:dyDescent="0.2">
      <c r="H297" s="220"/>
    </row>
    <row r="298" spans="8:8" x14ac:dyDescent="0.2">
      <c r="H298" s="220"/>
    </row>
    <row r="299" spans="8:8" x14ac:dyDescent="0.2">
      <c r="H299" s="220"/>
    </row>
    <row r="300" spans="8:8" x14ac:dyDescent="0.2">
      <c r="H300" s="220"/>
    </row>
    <row r="301" spans="8:8" x14ac:dyDescent="0.2">
      <c r="H301" s="220"/>
    </row>
    <row r="302" spans="8:8" x14ac:dyDescent="0.2">
      <c r="H302" s="220"/>
    </row>
    <row r="303" spans="8:8" x14ac:dyDescent="0.2">
      <c r="H303" s="220"/>
    </row>
    <row r="304" spans="8:8" x14ac:dyDescent="0.2">
      <c r="H304" s="220"/>
    </row>
    <row r="305" spans="8:8" x14ac:dyDescent="0.2">
      <c r="H305" s="220"/>
    </row>
    <row r="306" spans="8:8" x14ac:dyDescent="0.2">
      <c r="H306" s="220"/>
    </row>
    <row r="307" spans="8:8" x14ac:dyDescent="0.2">
      <c r="H307" s="220"/>
    </row>
    <row r="308" spans="8:8" x14ac:dyDescent="0.2">
      <c r="H308" s="220"/>
    </row>
    <row r="309" spans="8:8" x14ac:dyDescent="0.2">
      <c r="H309" s="220"/>
    </row>
    <row r="310" spans="8:8" x14ac:dyDescent="0.2">
      <c r="H310" s="220"/>
    </row>
    <row r="311" spans="8:8" x14ac:dyDescent="0.2">
      <c r="H311" s="220"/>
    </row>
    <row r="312" spans="8:8" x14ac:dyDescent="0.2">
      <c r="H312" s="220"/>
    </row>
    <row r="313" spans="8:8" x14ac:dyDescent="0.2">
      <c r="H313" s="220"/>
    </row>
    <row r="314" spans="8:8" x14ac:dyDescent="0.2">
      <c r="H314" s="220"/>
    </row>
    <row r="315" spans="8:8" x14ac:dyDescent="0.2">
      <c r="H315" s="220"/>
    </row>
    <row r="316" spans="8:8" x14ac:dyDescent="0.2">
      <c r="H316" s="220"/>
    </row>
    <row r="317" spans="8:8" x14ac:dyDescent="0.2">
      <c r="H317" s="220"/>
    </row>
    <row r="318" spans="8:8" x14ac:dyDescent="0.2">
      <c r="H318" s="220"/>
    </row>
    <row r="319" spans="8:8" x14ac:dyDescent="0.2">
      <c r="H319" s="220"/>
    </row>
    <row r="320" spans="8:8" x14ac:dyDescent="0.2">
      <c r="H320" s="220"/>
    </row>
    <row r="321" spans="8:8" x14ac:dyDescent="0.2">
      <c r="H321" s="220"/>
    </row>
    <row r="322" spans="8:8" x14ac:dyDescent="0.2">
      <c r="H322" s="220"/>
    </row>
    <row r="323" spans="8:8" x14ac:dyDescent="0.2">
      <c r="H323" s="220"/>
    </row>
    <row r="324" spans="8:8" x14ac:dyDescent="0.2">
      <c r="H324" s="220"/>
    </row>
    <row r="325" spans="8:8" x14ac:dyDescent="0.2">
      <c r="H325" s="220"/>
    </row>
    <row r="326" spans="8:8" x14ac:dyDescent="0.2">
      <c r="H326" s="220"/>
    </row>
    <row r="327" spans="8:8" x14ac:dyDescent="0.2">
      <c r="H327" s="220"/>
    </row>
    <row r="328" spans="8:8" x14ac:dyDescent="0.2">
      <c r="H328" s="220"/>
    </row>
    <row r="329" spans="8:8" x14ac:dyDescent="0.2">
      <c r="H329" s="220"/>
    </row>
    <row r="330" spans="8:8" x14ac:dyDescent="0.2">
      <c r="H330" s="220"/>
    </row>
    <row r="331" spans="8:8" x14ac:dyDescent="0.2">
      <c r="H331" s="220"/>
    </row>
    <row r="332" spans="8:8" x14ac:dyDescent="0.2">
      <c r="H332" s="220"/>
    </row>
    <row r="333" spans="8:8" x14ac:dyDescent="0.2">
      <c r="H333" s="220"/>
    </row>
  </sheetData>
  <mergeCells count="1">
    <mergeCell ref="A1:J1"/>
  </mergeCells>
  <phoneticPr fontId="0" type="noConversion"/>
  <printOptions gridLines="1"/>
  <pageMargins left="0.75" right="0.16" top="0.51" bottom="0.22" header="0.5" footer="0"/>
  <pageSetup scale="83" fitToHeight="16" orientation="landscape" r:id="rId1"/>
  <headerFooter alignWithMargins="0"/>
  <rowBreaks count="4" manualBreakCount="4">
    <brk id="119" max="9" man="1"/>
    <brk id="163" max="9" man="1"/>
    <brk id="203" max="9" man="1"/>
    <brk id="245" max="9"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76"/>
  <sheetViews>
    <sheetView view="pageBreakPreview" zoomScaleNormal="100" zoomScaleSheetLayoutView="100" workbookViewId="0">
      <pane ySplit="5" topLeftCell="A129" activePane="bottomLeft" state="frozen"/>
      <selection activeCell="I6" sqref="I6:I240"/>
      <selection pane="bottomLeft" activeCell="B249" sqref="B249"/>
    </sheetView>
  </sheetViews>
  <sheetFormatPr defaultColWidth="8.85546875" defaultRowHeight="12.75" x14ac:dyDescent="0.2"/>
  <cols>
    <col min="1" max="1" width="53" style="220" customWidth="1"/>
    <col min="2" max="2" width="9.140625" style="220" bestFit="1" customWidth="1"/>
    <col min="3" max="3" width="9.28515625" style="220" bestFit="1" customWidth="1"/>
    <col min="4" max="4" width="11" style="220" customWidth="1"/>
    <col min="5" max="6" width="10.85546875" style="220" customWidth="1"/>
    <col min="7" max="7" width="14.140625" style="220" bestFit="1" customWidth="1"/>
    <col min="8" max="8" width="12.140625" style="2" customWidth="1"/>
    <col min="9" max="10" width="10.42578125" style="220" bestFit="1" customWidth="1"/>
    <col min="11" max="16384" width="8.85546875" style="220"/>
  </cols>
  <sheetData>
    <row r="1" spans="1:11" x14ac:dyDescent="0.2">
      <c r="A1" s="263" t="str">
        <f>'[4]SUMMARY BY FUND'!A1:J1</f>
        <v>2021-22 BUDGET</v>
      </c>
      <c r="B1" s="264"/>
      <c r="C1" s="264"/>
      <c r="D1" s="264"/>
      <c r="E1" s="264"/>
      <c r="F1" s="264"/>
      <c r="G1" s="264"/>
      <c r="H1" s="264"/>
      <c r="I1" s="264"/>
      <c r="J1" s="224"/>
    </row>
    <row r="2" spans="1:11" ht="18.75" x14ac:dyDescent="0.3">
      <c r="A2" s="160" t="s">
        <v>1641</v>
      </c>
      <c r="B2" s="160"/>
      <c r="C2" s="160"/>
      <c r="D2" s="160"/>
      <c r="E2" s="160"/>
      <c r="F2" s="224"/>
      <c r="G2" s="224"/>
      <c r="H2" s="161"/>
      <c r="I2" s="224"/>
      <c r="J2" s="224"/>
    </row>
    <row r="3" spans="1:11" x14ac:dyDescent="0.2">
      <c r="A3" s="224"/>
      <c r="B3" s="161"/>
      <c r="C3" s="161"/>
      <c r="D3" s="161"/>
      <c r="E3" s="161"/>
      <c r="F3" s="224"/>
      <c r="G3" s="224"/>
      <c r="H3" s="161"/>
      <c r="I3" s="162"/>
      <c r="J3" s="224"/>
    </row>
    <row r="4" spans="1:11" x14ac:dyDescent="0.2">
      <c r="A4" s="224"/>
      <c r="B4" s="161"/>
      <c r="C4" s="161"/>
      <c r="D4" s="224"/>
      <c r="E4" s="163" t="s">
        <v>207</v>
      </c>
      <c r="F4" s="163" t="s">
        <v>208</v>
      </c>
      <c r="G4" s="163" t="s">
        <v>63</v>
      </c>
      <c r="H4" s="163" t="s">
        <v>362</v>
      </c>
      <c r="I4" s="163" t="s">
        <v>274</v>
      </c>
      <c r="J4" s="163" t="s">
        <v>305</v>
      </c>
    </row>
    <row r="5" spans="1:11" ht="15" x14ac:dyDescent="0.35">
      <c r="A5" s="224"/>
      <c r="B5" s="161"/>
      <c r="C5" s="161"/>
      <c r="D5" s="224"/>
      <c r="E5" s="164" t="s">
        <v>1759</v>
      </c>
      <c r="F5" s="164" t="s">
        <v>1857</v>
      </c>
      <c r="G5" s="164" t="s">
        <v>1966</v>
      </c>
      <c r="H5" s="164" t="s">
        <v>1966</v>
      </c>
      <c r="I5" s="164" t="s">
        <v>1966</v>
      </c>
      <c r="J5" s="164" t="s">
        <v>1966</v>
      </c>
    </row>
    <row r="6" spans="1:11" ht="15" x14ac:dyDescent="0.25">
      <c r="A6" s="165" t="s">
        <v>364</v>
      </c>
      <c r="B6" s="166"/>
      <c r="C6" s="167"/>
      <c r="D6" s="167"/>
      <c r="E6" s="167">
        <v>276238</v>
      </c>
      <c r="F6" s="167">
        <v>307108</v>
      </c>
      <c r="G6" s="161">
        <v>312962</v>
      </c>
      <c r="H6" s="161">
        <v>312962</v>
      </c>
      <c r="I6" s="161">
        <v>312962</v>
      </c>
      <c r="J6" s="161">
        <v>312962</v>
      </c>
      <c r="K6" s="2"/>
    </row>
    <row r="7" spans="1:11" x14ac:dyDescent="0.2">
      <c r="A7" s="168" t="s">
        <v>1988</v>
      </c>
      <c r="B7" s="161">
        <v>52</v>
      </c>
      <c r="C7" s="169">
        <v>1506</v>
      </c>
      <c r="D7" s="167">
        <f t="shared" ref="D7:D13" si="0">+C7*B7</f>
        <v>78312</v>
      </c>
      <c r="E7" s="167"/>
      <c r="F7" s="167"/>
      <c r="G7" s="167"/>
      <c r="H7" s="167"/>
      <c r="I7" s="167"/>
      <c r="J7" s="167"/>
      <c r="K7" s="2"/>
    </row>
    <row r="8" spans="1:11" x14ac:dyDescent="0.2">
      <c r="A8" s="168" t="s">
        <v>1989</v>
      </c>
      <c r="B8" s="161">
        <v>52</v>
      </c>
      <c r="C8" s="169">
        <v>858</v>
      </c>
      <c r="D8" s="167">
        <f t="shared" si="0"/>
        <v>44616</v>
      </c>
      <c r="E8" s="167"/>
      <c r="F8" s="167"/>
      <c r="G8" s="167"/>
      <c r="H8" s="167"/>
      <c r="I8" s="167"/>
      <c r="J8" s="167"/>
      <c r="K8" s="2"/>
    </row>
    <row r="9" spans="1:11" x14ac:dyDescent="0.2">
      <c r="A9" s="168" t="s">
        <v>1990</v>
      </c>
      <c r="B9" s="161">
        <v>52</v>
      </c>
      <c r="C9" s="169">
        <v>825</v>
      </c>
      <c r="D9" s="167">
        <f t="shared" si="0"/>
        <v>42900</v>
      </c>
      <c r="E9" s="167"/>
      <c r="F9" s="167"/>
      <c r="G9" s="224"/>
      <c r="H9" s="224"/>
      <c r="I9" s="253"/>
      <c r="J9" s="258"/>
      <c r="K9" s="2"/>
    </row>
    <row r="10" spans="1:11" x14ac:dyDescent="0.2">
      <c r="A10" s="170" t="s">
        <v>1954</v>
      </c>
      <c r="B10" s="161">
        <v>52</v>
      </c>
      <c r="C10" s="169">
        <v>825</v>
      </c>
      <c r="D10" s="167">
        <f t="shared" si="0"/>
        <v>42900</v>
      </c>
      <c r="E10" s="167"/>
      <c r="F10" s="224"/>
      <c r="G10" s="224"/>
      <c r="H10" s="224"/>
      <c r="I10" s="253"/>
      <c r="J10" s="258"/>
      <c r="K10" s="2"/>
    </row>
    <row r="11" spans="1:11" x14ac:dyDescent="0.2">
      <c r="A11" s="168" t="s">
        <v>1991</v>
      </c>
      <c r="B11" s="161">
        <v>52</v>
      </c>
      <c r="C11" s="169">
        <v>891</v>
      </c>
      <c r="D11" s="167">
        <f t="shared" si="0"/>
        <v>46332</v>
      </c>
      <c r="E11" s="167"/>
      <c r="F11" s="224"/>
      <c r="G11" s="224"/>
      <c r="H11" s="224"/>
      <c r="I11" s="253"/>
      <c r="J11" s="258"/>
      <c r="K11" s="2"/>
    </row>
    <row r="12" spans="1:11" x14ac:dyDescent="0.2">
      <c r="A12" s="168" t="s">
        <v>1992</v>
      </c>
      <c r="B12" s="161">
        <v>52</v>
      </c>
      <c r="C12" s="169">
        <v>949</v>
      </c>
      <c r="D12" s="167">
        <f t="shared" si="0"/>
        <v>49348</v>
      </c>
      <c r="E12" s="224"/>
      <c r="F12" s="224"/>
      <c r="G12" s="224"/>
      <c r="H12" s="224"/>
      <c r="I12" s="253"/>
      <c r="J12" s="258"/>
      <c r="K12" s="2"/>
    </row>
    <row r="13" spans="1:11" x14ac:dyDescent="0.2">
      <c r="A13" s="2" t="s">
        <v>2139</v>
      </c>
      <c r="B13" s="161">
        <v>1</v>
      </c>
      <c r="C13" s="169">
        <f>SUM(C7:C12)</f>
        <v>5854</v>
      </c>
      <c r="D13" s="167">
        <f t="shared" si="0"/>
        <v>5854</v>
      </c>
      <c r="E13" s="224"/>
      <c r="F13" s="224"/>
      <c r="G13" s="224"/>
      <c r="H13" s="224"/>
      <c r="I13" s="253"/>
      <c r="J13" s="258"/>
      <c r="K13" s="2"/>
    </row>
    <row r="14" spans="1:11" ht="15" x14ac:dyDescent="0.35">
      <c r="A14" s="168" t="s">
        <v>833</v>
      </c>
      <c r="B14" s="167"/>
      <c r="C14" s="167"/>
      <c r="D14" s="171">
        <v>2700</v>
      </c>
      <c r="E14" s="167"/>
      <c r="F14" s="167"/>
      <c r="G14" s="167"/>
      <c r="H14" s="167"/>
      <c r="I14" s="167"/>
      <c r="J14" s="167"/>
      <c r="K14" s="2"/>
    </row>
    <row r="15" spans="1:11" x14ac:dyDescent="0.2">
      <c r="A15" s="168" t="s">
        <v>1086</v>
      </c>
      <c r="B15" s="167"/>
      <c r="C15" s="161"/>
      <c r="D15" s="167">
        <f>SUM(D7:D14)</f>
        <v>312962</v>
      </c>
      <c r="E15" s="167"/>
      <c r="F15" s="167"/>
      <c r="G15" s="167"/>
      <c r="H15" s="167"/>
      <c r="I15" s="167"/>
      <c r="J15" s="167"/>
      <c r="K15" s="2"/>
    </row>
    <row r="16" spans="1:11" x14ac:dyDescent="0.2">
      <c r="A16" s="168"/>
      <c r="B16" s="167"/>
      <c r="C16" s="167"/>
      <c r="D16" s="167"/>
      <c r="E16" s="167"/>
      <c r="F16" s="168"/>
      <c r="G16" s="168"/>
      <c r="H16" s="168"/>
      <c r="I16" s="168"/>
      <c r="J16" s="168"/>
      <c r="K16" s="2"/>
    </row>
    <row r="17" spans="1:11" ht="13.5" x14ac:dyDescent="0.25">
      <c r="A17" s="165" t="s">
        <v>889</v>
      </c>
      <c r="B17" s="167"/>
      <c r="C17" s="167"/>
      <c r="D17" s="167"/>
      <c r="E17" s="167">
        <v>235067</v>
      </c>
      <c r="F17" s="167">
        <v>270127.52571428573</v>
      </c>
      <c r="G17" s="167">
        <v>249158.32</v>
      </c>
      <c r="H17" s="167">
        <v>249158.32</v>
      </c>
      <c r="I17" s="167">
        <v>249158.32</v>
      </c>
      <c r="J17" s="167">
        <v>249158.32</v>
      </c>
      <c r="K17" s="2"/>
    </row>
    <row r="18" spans="1:11" x14ac:dyDescent="0.2">
      <c r="A18" s="168" t="s">
        <v>890</v>
      </c>
      <c r="B18" s="167" t="s">
        <v>349</v>
      </c>
      <c r="C18" s="167" t="s">
        <v>349</v>
      </c>
      <c r="D18" s="167" t="s">
        <v>349</v>
      </c>
      <c r="E18" s="167"/>
      <c r="F18" s="167"/>
      <c r="G18" s="167"/>
      <c r="H18" s="167"/>
      <c r="I18" s="167"/>
      <c r="J18" s="167"/>
      <c r="K18" s="2"/>
    </row>
    <row r="19" spans="1:11" x14ac:dyDescent="0.2">
      <c r="A19" s="224" t="s">
        <v>2144</v>
      </c>
      <c r="B19" s="161">
        <v>52</v>
      </c>
      <c r="C19" s="229">
        <v>642</v>
      </c>
      <c r="D19" s="167">
        <f>+C19*B19</f>
        <v>33384</v>
      </c>
      <c r="E19" s="167"/>
      <c r="F19" s="167"/>
      <c r="G19" s="167"/>
      <c r="H19" s="167"/>
      <c r="I19" s="167"/>
      <c r="J19" s="167"/>
      <c r="K19" s="2"/>
    </row>
    <row r="20" spans="1:11" x14ac:dyDescent="0.2">
      <c r="A20" s="224" t="s">
        <v>1993</v>
      </c>
      <c r="B20" s="161">
        <v>52</v>
      </c>
      <c r="C20" s="229">
        <v>624</v>
      </c>
      <c r="D20" s="167">
        <f>+C20*B20</f>
        <v>32448</v>
      </c>
      <c r="E20" s="167"/>
      <c r="F20" s="167"/>
      <c r="G20" s="167"/>
      <c r="H20" s="167"/>
      <c r="I20" s="167"/>
      <c r="J20" s="167"/>
      <c r="K20" s="2"/>
    </row>
    <row r="21" spans="1:11" x14ac:dyDescent="0.2">
      <c r="A21" s="224" t="s">
        <v>1955</v>
      </c>
      <c r="B21" s="161">
        <v>52</v>
      </c>
      <c r="C21" s="229">
        <v>642</v>
      </c>
      <c r="D21" s="167">
        <f>+C21*B21</f>
        <v>33384</v>
      </c>
      <c r="E21" s="167"/>
      <c r="F21" s="167"/>
      <c r="G21" s="167"/>
      <c r="H21" s="167"/>
      <c r="I21" s="167"/>
      <c r="J21" s="167"/>
      <c r="K21" s="2"/>
    </row>
    <row r="22" spans="1:11" x14ac:dyDescent="0.2">
      <c r="A22" s="2" t="s">
        <v>2139</v>
      </c>
      <c r="B22" s="161">
        <v>1</v>
      </c>
      <c r="C22" s="229">
        <f>SUM(C19:C21)</f>
        <v>1908</v>
      </c>
      <c r="D22" s="167">
        <f>+C22*B22</f>
        <v>1908</v>
      </c>
      <c r="E22" s="167"/>
      <c r="F22" s="167"/>
      <c r="G22" s="167"/>
      <c r="H22" s="167"/>
      <c r="I22" s="167"/>
      <c r="J22" s="167"/>
      <c r="K22" s="2"/>
    </row>
    <row r="23" spans="1:11" x14ac:dyDescent="0.2">
      <c r="A23" s="224" t="s">
        <v>833</v>
      </c>
      <c r="B23" s="224"/>
      <c r="C23" s="224"/>
      <c r="D23" s="167">
        <v>500</v>
      </c>
      <c r="E23" s="167"/>
      <c r="F23" s="167"/>
      <c r="G23" s="167"/>
      <c r="H23" s="167"/>
      <c r="I23" s="167"/>
      <c r="J23" s="167"/>
      <c r="K23" s="2"/>
    </row>
    <row r="24" spans="1:11" x14ac:dyDescent="0.2">
      <c r="A24" s="224" t="s">
        <v>1237</v>
      </c>
      <c r="B24" s="224" t="s">
        <v>349</v>
      </c>
      <c r="C24" s="167"/>
      <c r="D24" s="224"/>
      <c r="E24" s="224"/>
      <c r="F24" s="167"/>
      <c r="G24" s="167"/>
      <c r="H24" s="167"/>
      <c r="I24" s="167"/>
      <c r="J24" s="167"/>
      <c r="K24" s="2"/>
    </row>
    <row r="25" spans="1:11" ht="15" x14ac:dyDescent="0.25">
      <c r="A25" s="224" t="s">
        <v>1994</v>
      </c>
      <c r="B25" s="224">
        <v>1060</v>
      </c>
      <c r="C25" s="173">
        <v>12</v>
      </c>
      <c r="D25" s="167">
        <f t="shared" ref="D25:D32" si="1">+C25*B25</f>
        <v>12720</v>
      </c>
      <c r="E25" s="167"/>
      <c r="F25" s="161"/>
      <c r="G25" s="172"/>
      <c r="H25" s="172"/>
      <c r="I25" s="172"/>
      <c r="J25" s="172"/>
      <c r="K25" s="2"/>
    </row>
    <row r="26" spans="1:11" ht="15" x14ac:dyDescent="0.25">
      <c r="A26" s="224" t="s">
        <v>1995</v>
      </c>
      <c r="B26" s="224">
        <v>1060</v>
      </c>
      <c r="C26" s="173">
        <v>12.62</v>
      </c>
      <c r="D26" s="167">
        <f t="shared" si="1"/>
        <v>13377.199999999999</v>
      </c>
      <c r="E26" s="167"/>
      <c r="F26" s="161"/>
      <c r="G26" s="172"/>
      <c r="H26" s="172"/>
      <c r="I26" s="172"/>
      <c r="J26" s="172"/>
      <c r="K26" s="2"/>
    </row>
    <row r="27" spans="1:11" ht="15" x14ac:dyDescent="0.25">
      <c r="A27" s="224" t="s">
        <v>1534</v>
      </c>
      <c r="B27" s="224">
        <v>200</v>
      </c>
      <c r="C27" s="173">
        <v>12</v>
      </c>
      <c r="D27" s="167">
        <f t="shared" si="1"/>
        <v>2400</v>
      </c>
      <c r="E27" s="167"/>
      <c r="F27" s="161"/>
      <c r="G27" s="172"/>
      <c r="H27" s="172"/>
      <c r="I27" s="172"/>
      <c r="J27" s="172"/>
      <c r="K27" s="2"/>
    </row>
    <row r="28" spans="1:11" ht="15" x14ac:dyDescent="0.25">
      <c r="A28" s="224" t="s">
        <v>2145</v>
      </c>
      <c r="B28" s="224">
        <v>742</v>
      </c>
      <c r="C28" s="173">
        <v>12</v>
      </c>
      <c r="D28" s="167">
        <f t="shared" si="1"/>
        <v>8904</v>
      </c>
      <c r="E28" s="167"/>
      <c r="F28" s="161"/>
      <c r="G28" s="172"/>
      <c r="H28" s="172"/>
      <c r="I28" s="172"/>
      <c r="J28" s="172"/>
      <c r="K28" s="2"/>
    </row>
    <row r="29" spans="1:11" ht="15" x14ac:dyDescent="0.25">
      <c r="A29" s="224" t="s">
        <v>2146</v>
      </c>
      <c r="B29" s="224">
        <v>1060</v>
      </c>
      <c r="C29" s="230">
        <v>12</v>
      </c>
      <c r="D29" s="167">
        <f t="shared" si="1"/>
        <v>12720</v>
      </c>
      <c r="E29" s="167"/>
      <c r="F29" s="161"/>
      <c r="G29" s="172"/>
      <c r="H29" s="172"/>
      <c r="I29" s="172"/>
      <c r="J29" s="172"/>
      <c r="K29" s="2"/>
    </row>
    <row r="30" spans="1:11" ht="15" x14ac:dyDescent="0.25">
      <c r="A30" s="224" t="s">
        <v>2145</v>
      </c>
      <c r="B30" s="224">
        <v>636</v>
      </c>
      <c r="C30" s="173">
        <v>12</v>
      </c>
      <c r="D30" s="167">
        <f t="shared" si="1"/>
        <v>7632</v>
      </c>
      <c r="E30" s="167"/>
      <c r="F30" s="161"/>
      <c r="G30" s="172"/>
      <c r="H30" s="172"/>
      <c r="I30" s="172"/>
      <c r="J30" s="172"/>
      <c r="K30" s="2"/>
    </row>
    <row r="31" spans="1:11" ht="15" x14ac:dyDescent="0.25">
      <c r="A31" s="224" t="s">
        <v>2145</v>
      </c>
      <c r="B31" s="224">
        <v>742</v>
      </c>
      <c r="C31" s="173">
        <v>12</v>
      </c>
      <c r="D31" s="167">
        <f t="shared" si="1"/>
        <v>8904</v>
      </c>
      <c r="E31" s="167"/>
      <c r="F31" s="161"/>
      <c r="G31" s="172"/>
      <c r="H31" s="172"/>
      <c r="I31" s="172"/>
      <c r="J31" s="172"/>
      <c r="K31" s="2"/>
    </row>
    <row r="32" spans="1:11" ht="15" x14ac:dyDescent="0.25">
      <c r="A32" s="224" t="s">
        <v>2146</v>
      </c>
      <c r="B32" s="224">
        <v>742</v>
      </c>
      <c r="C32" s="173">
        <v>13.23</v>
      </c>
      <c r="D32" s="167">
        <f t="shared" si="1"/>
        <v>9816.66</v>
      </c>
      <c r="E32" s="167"/>
      <c r="F32" s="161"/>
      <c r="G32" s="172"/>
      <c r="H32" s="172"/>
      <c r="I32" s="172"/>
      <c r="J32" s="172"/>
      <c r="K32" s="2"/>
    </row>
    <row r="33" spans="1:11" ht="15" x14ac:dyDescent="0.25">
      <c r="A33" s="224" t="s">
        <v>1996</v>
      </c>
      <c r="B33" s="224">
        <v>318</v>
      </c>
      <c r="C33" s="173">
        <v>9.81</v>
      </c>
      <c r="D33" s="167">
        <f t="shared" ref="D33:D39" si="2">+C33*B33</f>
        <v>3119.5800000000004</v>
      </c>
      <c r="E33" s="167"/>
      <c r="F33" s="161"/>
      <c r="G33" s="172"/>
      <c r="H33" s="172"/>
      <c r="I33" s="172"/>
      <c r="J33" s="172"/>
      <c r="K33" s="2"/>
    </row>
    <row r="34" spans="1:11" ht="15" x14ac:dyDescent="0.25">
      <c r="A34" s="168" t="s">
        <v>1997</v>
      </c>
      <c r="B34" s="167">
        <v>636</v>
      </c>
      <c r="C34" s="173">
        <v>10.08</v>
      </c>
      <c r="D34" s="167">
        <f t="shared" si="2"/>
        <v>6410.88</v>
      </c>
      <c r="E34" s="167"/>
      <c r="F34" s="161"/>
      <c r="G34" s="172"/>
      <c r="H34" s="172"/>
      <c r="I34" s="172"/>
      <c r="J34" s="172"/>
      <c r="K34" s="2"/>
    </row>
    <row r="35" spans="1:11" ht="15" x14ac:dyDescent="0.25">
      <c r="A35" s="168" t="s">
        <v>2145</v>
      </c>
      <c r="B35" s="167">
        <v>795</v>
      </c>
      <c r="C35" s="230">
        <v>12</v>
      </c>
      <c r="D35" s="167">
        <f t="shared" si="2"/>
        <v>9540</v>
      </c>
      <c r="E35" s="167"/>
      <c r="F35" s="161"/>
      <c r="G35" s="172"/>
      <c r="H35" s="172"/>
      <c r="I35" s="172"/>
      <c r="J35" s="172"/>
      <c r="K35" s="2"/>
    </row>
    <row r="36" spans="1:11" ht="15" x14ac:dyDescent="0.25">
      <c r="A36" s="224" t="s">
        <v>2145</v>
      </c>
      <c r="B36" s="224">
        <v>1272</v>
      </c>
      <c r="C36" s="173">
        <v>12</v>
      </c>
      <c r="D36" s="167">
        <f>+C36*B36</f>
        <v>15264</v>
      </c>
      <c r="E36" s="167"/>
      <c r="F36" s="161"/>
      <c r="G36" s="172"/>
      <c r="H36" s="172"/>
      <c r="I36" s="172"/>
      <c r="J36" s="172"/>
      <c r="K36" s="2"/>
    </row>
    <row r="37" spans="1:11" ht="15" x14ac:dyDescent="0.25">
      <c r="A37" s="168" t="s">
        <v>1956</v>
      </c>
      <c r="B37" s="167">
        <v>1060</v>
      </c>
      <c r="C37" s="173">
        <v>15.6</v>
      </c>
      <c r="D37" s="167">
        <f t="shared" si="2"/>
        <v>16536</v>
      </c>
      <c r="E37" s="167"/>
      <c r="F37" s="161"/>
      <c r="G37" s="172"/>
      <c r="H37" s="172"/>
      <c r="I37" s="172"/>
      <c r="J37" s="172"/>
      <c r="K37" s="2"/>
    </row>
    <row r="38" spans="1:11" ht="15" x14ac:dyDescent="0.25">
      <c r="A38" s="168" t="s">
        <v>1998</v>
      </c>
      <c r="B38" s="167">
        <v>1060</v>
      </c>
      <c r="C38" s="173">
        <v>15.6</v>
      </c>
      <c r="D38" s="167">
        <f t="shared" si="2"/>
        <v>16536</v>
      </c>
      <c r="E38" s="167"/>
      <c r="F38" s="161"/>
      <c r="G38" s="172"/>
      <c r="H38" s="172"/>
      <c r="I38" s="172"/>
      <c r="J38" s="172"/>
      <c r="K38" s="2"/>
    </row>
    <row r="39" spans="1:11" ht="15" x14ac:dyDescent="0.25">
      <c r="A39" s="168" t="s">
        <v>510</v>
      </c>
      <c r="B39" s="167">
        <v>300</v>
      </c>
      <c r="C39" s="230">
        <v>12.18</v>
      </c>
      <c r="D39" s="167">
        <f t="shared" si="2"/>
        <v>3654</v>
      </c>
      <c r="E39" s="167"/>
      <c r="F39" s="161"/>
      <c r="G39" s="172"/>
      <c r="H39" s="172"/>
      <c r="I39" s="172"/>
      <c r="J39" s="172"/>
      <c r="K39" s="2"/>
    </row>
    <row r="40" spans="1:11" ht="16.5" x14ac:dyDescent="0.35">
      <c r="A40" s="168" t="s">
        <v>1588</v>
      </c>
      <c r="B40" s="224"/>
      <c r="C40" s="230">
        <v>0</v>
      </c>
      <c r="D40" s="171">
        <v>0</v>
      </c>
      <c r="E40" s="167"/>
      <c r="F40" s="161"/>
      <c r="G40" s="172"/>
      <c r="H40" s="172"/>
      <c r="I40" s="172"/>
      <c r="J40" s="172"/>
      <c r="K40" s="2"/>
    </row>
    <row r="41" spans="1:11" x14ac:dyDescent="0.2">
      <c r="A41" s="168" t="s">
        <v>1086</v>
      </c>
      <c r="B41" s="167"/>
      <c r="C41" s="167"/>
      <c r="D41" s="167">
        <f>SUM(D19:D40)</f>
        <v>249158.32</v>
      </c>
      <c r="E41" s="167">
        <f>SUM(E19:E40)</f>
        <v>0</v>
      </c>
      <c r="F41" s="167"/>
      <c r="G41" s="167"/>
      <c r="H41" s="167"/>
      <c r="I41" s="167"/>
      <c r="J41" s="167"/>
      <c r="K41" s="2"/>
    </row>
    <row r="42" spans="1:11" x14ac:dyDescent="0.2">
      <c r="A42" s="168"/>
      <c r="B42" s="167" t="s">
        <v>349</v>
      </c>
      <c r="C42" s="167"/>
      <c r="D42" s="167"/>
      <c r="E42" s="167"/>
      <c r="F42" s="168"/>
      <c r="G42" s="168"/>
      <c r="H42" s="168"/>
      <c r="I42" s="168"/>
      <c r="J42" s="168"/>
      <c r="K42" s="2"/>
    </row>
    <row r="43" spans="1:11" ht="13.5" x14ac:dyDescent="0.25">
      <c r="A43" s="165" t="s">
        <v>511</v>
      </c>
      <c r="B43" s="168"/>
      <c r="C43" s="168"/>
      <c r="D43" s="167"/>
      <c r="E43" s="167">
        <v>40660</v>
      </c>
      <c r="F43" s="167">
        <v>40768</v>
      </c>
      <c r="G43" s="167">
        <v>41552</v>
      </c>
      <c r="H43" s="167">
        <v>41552</v>
      </c>
      <c r="I43" s="167">
        <v>41552</v>
      </c>
      <c r="J43" s="167">
        <v>41552</v>
      </c>
      <c r="K43" s="2"/>
    </row>
    <row r="44" spans="1:11" x14ac:dyDescent="0.2">
      <c r="A44" s="168" t="s">
        <v>1845</v>
      </c>
      <c r="B44" s="161">
        <v>52</v>
      </c>
      <c r="C44" s="169">
        <v>784</v>
      </c>
      <c r="D44" s="167">
        <f>+C44*B44</f>
        <v>40768</v>
      </c>
      <c r="E44" s="167"/>
      <c r="F44" s="167"/>
      <c r="G44" s="167"/>
      <c r="H44" s="167"/>
      <c r="I44" s="167"/>
      <c r="J44" s="167"/>
      <c r="K44" s="2"/>
    </row>
    <row r="45" spans="1:11" ht="15" x14ac:dyDescent="0.35">
      <c r="A45" s="2" t="s">
        <v>2139</v>
      </c>
      <c r="B45" s="161">
        <v>1</v>
      </c>
      <c r="C45" s="169">
        <v>784</v>
      </c>
      <c r="D45" s="171">
        <f>+C45*B45</f>
        <v>784</v>
      </c>
      <c r="E45" s="175"/>
      <c r="F45" s="175"/>
      <c r="G45" s="175"/>
      <c r="H45" s="175"/>
      <c r="I45" s="175"/>
      <c r="J45" s="175"/>
      <c r="K45" s="2"/>
    </row>
    <row r="46" spans="1:11" x14ac:dyDescent="0.2">
      <c r="A46" s="168" t="s">
        <v>1086</v>
      </c>
      <c r="B46" s="167"/>
      <c r="C46" s="167"/>
      <c r="D46" s="167">
        <f>SUM(D44:D45)</f>
        <v>41552</v>
      </c>
      <c r="E46" s="167"/>
      <c r="F46" s="167"/>
      <c r="G46" s="167"/>
      <c r="H46" s="167"/>
      <c r="I46" s="167"/>
      <c r="J46" s="167"/>
      <c r="K46" s="2"/>
    </row>
    <row r="47" spans="1:11" x14ac:dyDescent="0.2">
      <c r="A47" s="168"/>
      <c r="B47" s="167"/>
      <c r="C47" s="174"/>
      <c r="D47" s="167"/>
      <c r="E47" s="167"/>
      <c r="F47" s="167"/>
      <c r="G47" s="167"/>
      <c r="H47" s="167"/>
      <c r="I47" s="167"/>
      <c r="J47" s="167"/>
      <c r="K47" s="2"/>
    </row>
    <row r="48" spans="1:11" ht="13.5" x14ac:dyDescent="0.25">
      <c r="A48" s="176" t="s">
        <v>4</v>
      </c>
      <c r="B48" s="224"/>
      <c r="C48" s="224"/>
      <c r="D48" s="161"/>
      <c r="E48" s="161">
        <v>0</v>
      </c>
      <c r="F48" s="161">
        <v>0</v>
      </c>
      <c r="G48" s="161">
        <v>100</v>
      </c>
      <c r="H48" s="161">
        <v>100</v>
      </c>
      <c r="I48" s="161">
        <v>100</v>
      </c>
      <c r="J48" s="161">
        <v>100</v>
      </c>
      <c r="K48" s="2"/>
    </row>
    <row r="49" spans="1:11" x14ac:dyDescent="0.2">
      <c r="A49" s="168" t="s">
        <v>278</v>
      </c>
      <c r="B49" s="167"/>
      <c r="C49" s="174"/>
      <c r="D49" s="167">
        <v>100</v>
      </c>
      <c r="E49" s="167"/>
      <c r="F49" s="167"/>
      <c r="G49" s="167"/>
      <c r="H49" s="167"/>
      <c r="I49" s="167"/>
      <c r="J49" s="167"/>
      <c r="K49" s="2"/>
    </row>
    <row r="50" spans="1:11" x14ac:dyDescent="0.2">
      <c r="A50" s="168"/>
      <c r="B50" s="167"/>
      <c r="C50" s="174"/>
      <c r="D50" s="167"/>
      <c r="E50" s="167"/>
      <c r="F50" s="167"/>
      <c r="G50" s="167"/>
      <c r="H50" s="167"/>
      <c r="I50" s="167"/>
      <c r="J50" s="167"/>
      <c r="K50" s="2"/>
    </row>
    <row r="51" spans="1:11" ht="13.5" x14ac:dyDescent="0.25">
      <c r="A51" s="165" t="s">
        <v>1132</v>
      </c>
      <c r="B51" s="168"/>
      <c r="C51" s="168"/>
      <c r="D51" s="167"/>
      <c r="E51" s="167">
        <v>43138</v>
      </c>
      <c r="F51" s="167">
        <v>47277.269717142852</v>
      </c>
      <c r="G51" s="167">
        <v>46182</v>
      </c>
      <c r="H51" s="167">
        <v>46182</v>
      </c>
      <c r="I51" s="167">
        <v>46182</v>
      </c>
      <c r="J51" s="167">
        <v>46182</v>
      </c>
      <c r="K51" s="2"/>
    </row>
    <row r="52" spans="1:11" hidden="1" x14ac:dyDescent="0.2">
      <c r="A52" s="177">
        <v>8103</v>
      </c>
      <c r="B52" s="167">
        <f>+D15</f>
        <v>312962</v>
      </c>
      <c r="C52" s="168">
        <v>7.6499999999999999E-2</v>
      </c>
      <c r="D52" s="2">
        <f>ROUND(B52*C52,0)</f>
        <v>23942</v>
      </c>
      <c r="E52" s="167"/>
      <c r="F52" s="167"/>
      <c r="G52" s="167"/>
      <c r="H52" s="167"/>
      <c r="I52" s="167"/>
      <c r="J52" s="167"/>
      <c r="K52" s="2"/>
    </row>
    <row r="53" spans="1:11" hidden="1" x14ac:dyDescent="0.2">
      <c r="A53" s="178" t="s">
        <v>695</v>
      </c>
      <c r="B53" s="167">
        <f>+D41</f>
        <v>249158.32</v>
      </c>
      <c r="C53" s="168">
        <v>7.6499999999999999E-2</v>
      </c>
      <c r="D53" s="2">
        <f>ROUND(B53*C53,0)</f>
        <v>19061</v>
      </c>
      <c r="E53" s="167"/>
      <c r="F53" s="167"/>
      <c r="G53" s="167"/>
      <c r="H53" s="167"/>
      <c r="I53" s="167"/>
      <c r="J53" s="167"/>
      <c r="K53" s="2"/>
    </row>
    <row r="54" spans="1:11" ht="15" hidden="1" x14ac:dyDescent="0.35">
      <c r="A54" s="178" t="s">
        <v>158</v>
      </c>
      <c r="B54" s="167">
        <f>+D46</f>
        <v>41552</v>
      </c>
      <c r="C54" s="168">
        <v>7.6499999999999999E-2</v>
      </c>
      <c r="D54" s="10">
        <f>ROUND(B54*C54,0)</f>
        <v>3179</v>
      </c>
      <c r="E54" s="167"/>
      <c r="F54" s="167"/>
      <c r="G54" s="167"/>
      <c r="H54" s="167"/>
      <c r="I54" s="167"/>
      <c r="J54" s="167"/>
      <c r="K54" s="2"/>
    </row>
    <row r="55" spans="1:11" hidden="1" x14ac:dyDescent="0.2">
      <c r="A55" s="168" t="s">
        <v>1086</v>
      </c>
      <c r="B55" s="168"/>
      <c r="C55" s="168"/>
      <c r="D55" s="167">
        <f>SUM(D52:D54)</f>
        <v>46182</v>
      </c>
      <c r="E55" s="167"/>
      <c r="F55" s="167"/>
      <c r="G55" s="167"/>
      <c r="H55" s="167"/>
      <c r="I55" s="167"/>
      <c r="J55" s="167"/>
      <c r="K55" s="2"/>
    </row>
    <row r="56" spans="1:11" x14ac:dyDescent="0.2">
      <c r="A56" s="168"/>
      <c r="B56" s="168"/>
      <c r="C56" s="168"/>
      <c r="D56" s="167"/>
      <c r="E56" s="167"/>
      <c r="F56" s="167"/>
      <c r="G56" s="167"/>
      <c r="H56" s="167"/>
      <c r="I56" s="167"/>
      <c r="J56" s="167"/>
      <c r="K56" s="2"/>
    </row>
    <row r="57" spans="1:11" ht="13.5" x14ac:dyDescent="0.25">
      <c r="A57" s="165" t="s">
        <v>1133</v>
      </c>
      <c r="B57" s="168"/>
      <c r="C57" s="168"/>
      <c r="D57" s="167"/>
      <c r="E57" s="167">
        <v>48418</v>
      </c>
      <c r="F57" s="167">
        <v>53829.570399999997</v>
      </c>
      <c r="G57" s="167">
        <v>64133.002800000002</v>
      </c>
      <c r="H57" s="167">
        <v>64133.002800000002</v>
      </c>
      <c r="I57" s="167">
        <v>64133.002800000002</v>
      </c>
      <c r="J57" s="167">
        <v>64133.002800000002</v>
      </c>
      <c r="K57" s="2"/>
    </row>
    <row r="58" spans="1:11" hidden="1" x14ac:dyDescent="0.2">
      <c r="A58" s="177">
        <v>8103</v>
      </c>
      <c r="B58" s="167">
        <f>+B52</f>
        <v>312962</v>
      </c>
      <c r="C58" s="228">
        <v>0.1406</v>
      </c>
      <c r="D58" s="167">
        <f>+C58*B58</f>
        <v>44002.457200000004</v>
      </c>
      <c r="E58" s="167"/>
      <c r="F58" s="167"/>
      <c r="G58" s="167"/>
      <c r="H58" s="167"/>
      <c r="I58" s="167"/>
      <c r="J58" s="167"/>
      <c r="K58" s="2"/>
    </row>
    <row r="59" spans="1:11" hidden="1" x14ac:dyDescent="0.2">
      <c r="A59" s="168" t="s">
        <v>252</v>
      </c>
      <c r="B59" s="167">
        <f>+SUM(D19:D24)</f>
        <v>101624</v>
      </c>
      <c r="C59" s="228">
        <v>0.1406</v>
      </c>
      <c r="D59" s="167">
        <f>+C59*B59</f>
        <v>14288.3344</v>
      </c>
      <c r="E59" s="167"/>
      <c r="F59" s="167"/>
      <c r="G59" s="167"/>
      <c r="H59" s="167"/>
      <c r="I59" s="167"/>
      <c r="J59" s="167"/>
      <c r="K59" s="2"/>
    </row>
    <row r="60" spans="1:11" ht="15" hidden="1" x14ac:dyDescent="0.35">
      <c r="A60" s="168" t="s">
        <v>253</v>
      </c>
      <c r="B60" s="167">
        <f>+D46</f>
        <v>41552</v>
      </c>
      <c r="C60" s="228">
        <v>0.1406</v>
      </c>
      <c r="D60" s="171">
        <f>+C60*B60</f>
        <v>5842.2111999999997</v>
      </c>
      <c r="E60" s="167"/>
      <c r="F60" s="167"/>
      <c r="G60" s="167"/>
      <c r="H60" s="167"/>
      <c r="I60" s="167"/>
      <c r="J60" s="167"/>
      <c r="K60" s="2"/>
    </row>
    <row r="61" spans="1:11" hidden="1" x14ac:dyDescent="0.2">
      <c r="A61" s="168" t="s">
        <v>1086</v>
      </c>
      <c r="B61" s="168"/>
      <c r="C61" s="168"/>
      <c r="D61" s="167">
        <f>SUM(D58:D60)</f>
        <v>64133.002800000002</v>
      </c>
      <c r="E61" s="167"/>
      <c r="F61" s="167"/>
      <c r="G61" s="167"/>
      <c r="H61" s="167"/>
      <c r="I61" s="167"/>
      <c r="J61" s="167"/>
      <c r="K61" s="2"/>
    </row>
    <row r="62" spans="1:11" x14ac:dyDescent="0.2">
      <c r="A62" s="168"/>
      <c r="B62" s="168"/>
      <c r="C62" s="168"/>
      <c r="D62" s="167"/>
      <c r="E62" s="167"/>
      <c r="F62" s="167"/>
      <c r="G62" s="167"/>
      <c r="H62" s="167"/>
      <c r="I62" s="167"/>
      <c r="J62" s="167"/>
      <c r="K62" s="2"/>
    </row>
    <row r="63" spans="1:11" ht="13.5" x14ac:dyDescent="0.25">
      <c r="A63" s="165" t="s">
        <v>947</v>
      </c>
      <c r="B63" s="168"/>
      <c r="C63" s="168"/>
      <c r="D63" s="167"/>
      <c r="E63" s="167">
        <v>110583</v>
      </c>
      <c r="F63" s="167">
        <v>132000</v>
      </c>
      <c r="G63" s="167">
        <v>126500</v>
      </c>
      <c r="H63" s="167">
        <v>126500</v>
      </c>
      <c r="I63" s="167">
        <v>126500</v>
      </c>
      <c r="J63" s="167">
        <v>126500</v>
      </c>
      <c r="K63" s="2"/>
    </row>
    <row r="64" spans="1:11" x14ac:dyDescent="0.2">
      <c r="A64" s="168" t="s">
        <v>369</v>
      </c>
      <c r="B64" s="167">
        <v>10</v>
      </c>
      <c r="C64" s="167">
        <v>12650</v>
      </c>
      <c r="D64" s="167">
        <f>+C64*B64</f>
        <v>126500</v>
      </c>
      <c r="E64" s="167"/>
      <c r="F64" s="167"/>
      <c r="G64" s="167"/>
      <c r="H64" s="167"/>
      <c r="I64" s="167"/>
      <c r="J64" s="167"/>
      <c r="K64" s="2"/>
    </row>
    <row r="65" spans="1:11" x14ac:dyDescent="0.2">
      <c r="A65" s="168"/>
      <c r="B65" s="168"/>
      <c r="C65" s="168"/>
      <c r="D65" s="167"/>
      <c r="E65" s="167"/>
      <c r="F65" s="167"/>
      <c r="G65" s="167"/>
      <c r="H65" s="167"/>
      <c r="I65" s="167"/>
      <c r="J65" s="167"/>
      <c r="K65" s="2"/>
    </row>
    <row r="66" spans="1:11" ht="13.5" x14ac:dyDescent="0.25">
      <c r="A66" s="165" t="s">
        <v>948</v>
      </c>
      <c r="B66" s="168"/>
      <c r="C66" s="168"/>
      <c r="D66" s="167"/>
      <c r="E66" s="167">
        <v>7808</v>
      </c>
      <c r="F66" s="167">
        <v>11880</v>
      </c>
      <c r="G66" s="167">
        <v>9225</v>
      </c>
      <c r="H66" s="167">
        <v>9225</v>
      </c>
      <c r="I66" s="167">
        <v>9225</v>
      </c>
      <c r="J66" s="167">
        <v>9225</v>
      </c>
      <c r="K66" s="2"/>
    </row>
    <row r="67" spans="1:11" x14ac:dyDescent="0.2">
      <c r="A67" s="168" t="s">
        <v>369</v>
      </c>
      <c r="B67" s="167">
        <v>10</v>
      </c>
      <c r="C67" s="167">
        <v>1025</v>
      </c>
      <c r="D67" s="167">
        <f>+C67*B67</f>
        <v>10250</v>
      </c>
      <c r="E67" s="167"/>
      <c r="F67" s="167"/>
      <c r="G67" s="167"/>
      <c r="H67" s="167"/>
      <c r="I67" s="167"/>
      <c r="J67" s="167"/>
      <c r="K67" s="2"/>
    </row>
    <row r="68" spans="1:11" ht="15" x14ac:dyDescent="0.35">
      <c r="A68" s="168" t="s">
        <v>201</v>
      </c>
      <c r="B68" s="167"/>
      <c r="C68" s="167"/>
      <c r="D68" s="171">
        <f>+C67*-0.1*B67</f>
        <v>-1025</v>
      </c>
      <c r="E68" s="167"/>
      <c r="F68" s="167"/>
      <c r="G68" s="167"/>
      <c r="H68" s="167"/>
      <c r="I68" s="167"/>
      <c r="J68" s="167"/>
      <c r="K68" s="2"/>
    </row>
    <row r="69" spans="1:11" x14ac:dyDescent="0.2">
      <c r="A69" s="168" t="s">
        <v>690</v>
      </c>
      <c r="B69" s="167"/>
      <c r="C69" s="167"/>
      <c r="D69" s="167">
        <f>SUM(D67:D68)</f>
        <v>9225</v>
      </c>
      <c r="E69" s="167"/>
      <c r="F69" s="167"/>
      <c r="G69" s="167"/>
      <c r="H69" s="167"/>
      <c r="I69" s="167"/>
      <c r="J69" s="167"/>
      <c r="K69" s="2"/>
    </row>
    <row r="70" spans="1:11" x14ac:dyDescent="0.2">
      <c r="A70" s="168"/>
      <c r="B70" s="168"/>
      <c r="C70" s="168"/>
      <c r="D70" s="167"/>
      <c r="E70" s="167"/>
      <c r="F70" s="167"/>
      <c r="G70" s="167"/>
      <c r="H70" s="167"/>
      <c r="I70" s="167"/>
      <c r="J70" s="167"/>
      <c r="K70" s="2"/>
    </row>
    <row r="71" spans="1:11" ht="12.75" customHeight="1" x14ac:dyDescent="0.25">
      <c r="A71" s="165" t="s">
        <v>1280</v>
      </c>
      <c r="B71" s="168"/>
      <c r="C71" s="168"/>
      <c r="D71" s="167"/>
      <c r="E71" s="167">
        <v>983</v>
      </c>
      <c r="F71" s="167">
        <v>1485</v>
      </c>
      <c r="G71" s="167">
        <v>1485</v>
      </c>
      <c r="H71" s="167">
        <v>1485</v>
      </c>
      <c r="I71" s="167">
        <v>1485</v>
      </c>
      <c r="J71" s="167">
        <v>1485</v>
      </c>
      <c r="K71" s="2"/>
    </row>
    <row r="72" spans="1:11" ht="12.75" hidden="1" customHeight="1" x14ac:dyDescent="0.2">
      <c r="A72" s="168" t="s">
        <v>365</v>
      </c>
      <c r="B72" s="167">
        <v>1</v>
      </c>
      <c r="C72" s="167">
        <v>135</v>
      </c>
      <c r="D72" s="167">
        <f>+C72*B72</f>
        <v>135</v>
      </c>
      <c r="E72" s="167"/>
      <c r="F72" s="168"/>
      <c r="G72" s="168"/>
      <c r="H72" s="168"/>
      <c r="I72" s="168"/>
      <c r="J72" s="168"/>
      <c r="K72" s="2"/>
    </row>
    <row r="73" spans="1:11" ht="15" hidden="1" customHeight="1" x14ac:dyDescent="0.2">
      <c r="A73" s="168" t="s">
        <v>1281</v>
      </c>
      <c r="B73" s="167">
        <v>5</v>
      </c>
      <c r="C73" s="167">
        <v>135</v>
      </c>
      <c r="D73" s="167">
        <f>+C73*B73</f>
        <v>675</v>
      </c>
      <c r="E73" s="167"/>
      <c r="F73" s="168"/>
      <c r="G73" s="168"/>
      <c r="H73" s="168"/>
      <c r="I73" s="168"/>
      <c r="J73" s="168"/>
      <c r="K73" s="2"/>
    </row>
    <row r="74" spans="1:11" ht="12.75" hidden="1" customHeight="1" x14ac:dyDescent="0.35">
      <c r="A74" s="168" t="s">
        <v>913</v>
      </c>
      <c r="B74" s="167">
        <v>5</v>
      </c>
      <c r="C74" s="167">
        <v>135</v>
      </c>
      <c r="D74" s="171">
        <f>+C74*B74</f>
        <v>675</v>
      </c>
      <c r="E74" s="167"/>
      <c r="F74" s="168"/>
      <c r="G74" s="168"/>
      <c r="H74" s="168"/>
      <c r="I74" s="168"/>
      <c r="J74" s="168"/>
      <c r="K74" s="2"/>
    </row>
    <row r="75" spans="1:11" hidden="1" x14ac:dyDescent="0.2">
      <c r="A75" s="168" t="s">
        <v>1086</v>
      </c>
      <c r="B75" s="168"/>
      <c r="C75" s="168"/>
      <c r="D75" s="167">
        <f>SUM(D72:D74)</f>
        <v>1485</v>
      </c>
      <c r="E75" s="167"/>
      <c r="F75" s="168"/>
      <c r="G75" s="168"/>
      <c r="H75" s="168"/>
      <c r="I75" s="168"/>
      <c r="J75" s="168"/>
      <c r="K75" s="2"/>
    </row>
    <row r="76" spans="1:11" x14ac:dyDescent="0.2">
      <c r="A76" s="168"/>
      <c r="B76" s="168"/>
      <c r="C76" s="168"/>
      <c r="D76" s="167"/>
      <c r="E76" s="167"/>
      <c r="F76" s="168"/>
      <c r="G76" s="168"/>
      <c r="H76" s="168"/>
      <c r="I76" s="168"/>
      <c r="J76" s="168"/>
      <c r="K76" s="2"/>
    </row>
    <row r="77" spans="1:11" ht="13.5" x14ac:dyDescent="0.25">
      <c r="A77" s="165" t="s">
        <v>410</v>
      </c>
      <c r="B77" s="168"/>
      <c r="C77" s="168"/>
      <c r="D77" s="167"/>
      <c r="E77" s="167">
        <v>2847</v>
      </c>
      <c r="F77" s="167">
        <v>6600</v>
      </c>
      <c r="G77" s="167">
        <v>5500</v>
      </c>
      <c r="H77" s="167">
        <v>5500</v>
      </c>
      <c r="I77" s="167">
        <v>5500</v>
      </c>
      <c r="J77" s="167">
        <v>5500</v>
      </c>
      <c r="K77" s="2"/>
    </row>
    <row r="78" spans="1:11" hidden="1" x14ac:dyDescent="0.2">
      <c r="A78" s="168" t="s">
        <v>712</v>
      </c>
      <c r="B78" s="167">
        <v>10</v>
      </c>
      <c r="C78" s="167">
        <v>550</v>
      </c>
      <c r="D78" s="167">
        <f>+C78*B78</f>
        <v>5500</v>
      </c>
      <c r="E78" s="167"/>
      <c r="F78" s="167"/>
      <c r="G78" s="167"/>
      <c r="H78" s="167"/>
      <c r="I78" s="167"/>
      <c r="J78" s="167"/>
      <c r="K78" s="2"/>
    </row>
    <row r="79" spans="1:11" x14ac:dyDescent="0.2">
      <c r="A79" s="168"/>
      <c r="B79" s="168"/>
      <c r="C79" s="168"/>
      <c r="D79" s="167"/>
      <c r="E79" s="167"/>
      <c r="F79" s="167"/>
      <c r="G79" s="167"/>
      <c r="H79" s="167"/>
      <c r="I79" s="167"/>
      <c r="J79" s="167"/>
      <c r="K79" s="2"/>
    </row>
    <row r="80" spans="1:11" ht="13.5" x14ac:dyDescent="0.25">
      <c r="A80" s="165" t="s">
        <v>165</v>
      </c>
      <c r="B80" s="168"/>
      <c r="C80" s="168"/>
      <c r="D80" s="167"/>
      <c r="E80" s="167">
        <v>1340</v>
      </c>
      <c r="F80" s="167">
        <v>1756</v>
      </c>
      <c r="G80" s="167">
        <v>1776.178944</v>
      </c>
      <c r="H80" s="167">
        <v>1776.178944</v>
      </c>
      <c r="I80" s="167">
        <v>1776.178944</v>
      </c>
      <c r="J80" s="167">
        <v>1776.178944</v>
      </c>
      <c r="K80" s="2"/>
    </row>
    <row r="81" spans="1:11" hidden="1" x14ac:dyDescent="0.2">
      <c r="A81" s="178" t="s">
        <v>1290</v>
      </c>
      <c r="B81" s="167">
        <f>+D15</f>
        <v>312962</v>
      </c>
      <c r="C81" s="179">
        <v>1.6999999999999999E-3</v>
      </c>
      <c r="D81" s="167">
        <f>+C81*B81</f>
        <v>532.03539999999998</v>
      </c>
      <c r="E81" s="167"/>
      <c r="F81" s="167"/>
      <c r="G81" s="167"/>
      <c r="H81" s="167"/>
      <c r="I81" s="167"/>
      <c r="J81" s="167"/>
      <c r="K81" s="2"/>
    </row>
    <row r="82" spans="1:11" hidden="1" x14ac:dyDescent="0.2">
      <c r="A82" s="178" t="s">
        <v>695</v>
      </c>
      <c r="B82" s="167">
        <f>+D41</f>
        <v>249158.32</v>
      </c>
      <c r="C82" s="179">
        <v>1.6999999999999999E-3</v>
      </c>
      <c r="D82" s="167">
        <f>+C82*B82</f>
        <v>423.56914399999999</v>
      </c>
      <c r="E82" s="167"/>
      <c r="F82" s="167"/>
      <c r="G82" s="167"/>
      <c r="H82" s="167"/>
      <c r="I82" s="167"/>
      <c r="J82" s="167"/>
      <c r="K82" s="2"/>
    </row>
    <row r="83" spans="1:11" hidden="1" x14ac:dyDescent="0.2">
      <c r="A83" s="178" t="s">
        <v>158</v>
      </c>
      <c r="B83" s="167">
        <f>+D46</f>
        <v>41552</v>
      </c>
      <c r="C83" s="179">
        <v>1.9699999999999999E-2</v>
      </c>
      <c r="D83" s="167">
        <f>+C83*B83</f>
        <v>818.57439999999997</v>
      </c>
      <c r="E83" s="167"/>
      <c r="F83" s="167"/>
      <c r="G83" s="167"/>
      <c r="H83" s="167"/>
      <c r="I83" s="167"/>
      <c r="J83" s="167"/>
      <c r="K83" s="2"/>
    </row>
    <row r="84" spans="1:11" hidden="1" x14ac:dyDescent="0.2">
      <c r="A84" s="168" t="s">
        <v>1086</v>
      </c>
      <c r="B84" s="168"/>
      <c r="C84" s="168"/>
      <c r="D84" s="167">
        <f>SUM(D81:D83)+2</f>
        <v>1776.178944</v>
      </c>
      <c r="E84" s="167"/>
      <c r="F84" s="167"/>
      <c r="G84" s="167"/>
      <c r="H84" s="167"/>
      <c r="I84" s="167"/>
      <c r="J84" s="167"/>
      <c r="K84" s="2"/>
    </row>
    <row r="85" spans="1:11" x14ac:dyDescent="0.2">
      <c r="A85" s="168"/>
      <c r="B85" s="168"/>
      <c r="C85" s="168"/>
      <c r="D85" s="167"/>
      <c r="E85" s="167"/>
      <c r="F85" s="167"/>
      <c r="G85" s="167"/>
      <c r="H85" s="167"/>
      <c r="I85" s="167"/>
      <c r="J85" s="167"/>
      <c r="K85" s="2"/>
    </row>
    <row r="86" spans="1:11" ht="13.5" x14ac:dyDescent="0.25">
      <c r="A86" s="165" t="s">
        <v>166</v>
      </c>
      <c r="B86" s="168"/>
      <c r="C86" s="168"/>
      <c r="D86" s="167"/>
      <c r="E86" s="167">
        <v>266</v>
      </c>
      <c r="F86" s="167">
        <v>402</v>
      </c>
      <c r="G86" s="167">
        <v>399</v>
      </c>
      <c r="H86" s="167">
        <v>399</v>
      </c>
      <c r="I86" s="167">
        <v>399</v>
      </c>
      <c r="J86" s="167">
        <v>399</v>
      </c>
      <c r="K86" s="2"/>
    </row>
    <row r="87" spans="1:11" hidden="1" x14ac:dyDescent="0.2">
      <c r="A87" s="178" t="s">
        <v>1290</v>
      </c>
      <c r="B87" s="167">
        <v>6</v>
      </c>
      <c r="C87" s="167">
        <v>20</v>
      </c>
      <c r="D87" s="167">
        <f t="shared" ref="D87:D91" si="3">+C87*B87</f>
        <v>120</v>
      </c>
      <c r="E87" s="167"/>
      <c r="F87" s="167"/>
      <c r="G87" s="167"/>
      <c r="H87" s="167"/>
      <c r="I87" s="167"/>
      <c r="J87" s="167"/>
      <c r="K87" s="2"/>
    </row>
    <row r="88" spans="1:11" hidden="1" x14ac:dyDescent="0.2">
      <c r="A88" s="178" t="s">
        <v>252</v>
      </c>
      <c r="B88" s="167">
        <v>3</v>
      </c>
      <c r="C88" s="167">
        <v>20</v>
      </c>
      <c r="D88" s="167">
        <f t="shared" si="3"/>
        <v>60</v>
      </c>
      <c r="E88" s="167"/>
      <c r="F88" s="167"/>
      <c r="G88" s="167"/>
      <c r="H88" s="167"/>
      <c r="I88" s="167"/>
      <c r="J88" s="167"/>
      <c r="K88" s="2"/>
    </row>
    <row r="89" spans="1:11" hidden="1" x14ac:dyDescent="0.2">
      <c r="A89" s="168" t="s">
        <v>259</v>
      </c>
      <c r="B89" s="167">
        <v>3</v>
      </c>
      <c r="C89" s="167">
        <v>20</v>
      </c>
      <c r="D89" s="167">
        <f t="shared" si="3"/>
        <v>60</v>
      </c>
      <c r="E89" s="167"/>
      <c r="F89" s="167"/>
      <c r="G89" s="167"/>
      <c r="H89" s="167"/>
      <c r="I89" s="167"/>
      <c r="J89" s="167"/>
      <c r="K89" s="2"/>
    </row>
    <row r="90" spans="1:11" hidden="1" x14ac:dyDescent="0.2">
      <c r="A90" s="168" t="s">
        <v>522</v>
      </c>
      <c r="B90" s="167">
        <f>+SUM(D25:D35)+D39+D40</f>
        <v>99198.32</v>
      </c>
      <c r="C90" s="179">
        <v>1.4E-3</v>
      </c>
      <c r="D90" s="167">
        <f t="shared" si="3"/>
        <v>138.87764800000002</v>
      </c>
      <c r="E90" s="167"/>
      <c r="F90" s="167"/>
      <c r="G90" s="167"/>
      <c r="H90" s="167"/>
      <c r="I90" s="167"/>
      <c r="J90" s="167"/>
      <c r="K90" s="2"/>
    </row>
    <row r="91" spans="1:11" ht="15" hidden="1" x14ac:dyDescent="0.35">
      <c r="A91" s="168" t="s">
        <v>253</v>
      </c>
      <c r="B91" s="167">
        <v>1</v>
      </c>
      <c r="C91" s="167">
        <v>20</v>
      </c>
      <c r="D91" s="171">
        <f t="shared" si="3"/>
        <v>20</v>
      </c>
      <c r="E91" s="167"/>
      <c r="F91" s="167"/>
      <c r="G91" s="167"/>
      <c r="H91" s="167"/>
      <c r="I91" s="167"/>
      <c r="J91" s="167"/>
      <c r="K91" s="2"/>
    </row>
    <row r="92" spans="1:11" hidden="1" x14ac:dyDescent="0.2">
      <c r="A92" s="168" t="s">
        <v>1086</v>
      </c>
      <c r="B92" s="168"/>
      <c r="C92" s="168"/>
      <c r="D92" s="167">
        <f>SUM(D87:D91)</f>
        <v>398.87764800000002</v>
      </c>
      <c r="E92" s="167"/>
      <c r="F92" s="168"/>
      <c r="G92" s="168"/>
      <c r="H92" s="168"/>
      <c r="I92" s="168"/>
      <c r="J92" s="168"/>
      <c r="K92" s="2"/>
    </row>
    <row r="93" spans="1:11" x14ac:dyDescent="0.2">
      <c r="A93" s="168"/>
      <c r="B93" s="168"/>
      <c r="C93" s="168"/>
      <c r="D93" s="167"/>
      <c r="E93" s="167"/>
      <c r="F93" s="168"/>
      <c r="G93" s="168"/>
      <c r="H93" s="168"/>
      <c r="I93" s="168"/>
      <c r="J93" s="168"/>
      <c r="K93" s="2"/>
    </row>
    <row r="94" spans="1:11" ht="13.5" x14ac:dyDescent="0.25">
      <c r="A94" s="165" t="s">
        <v>1535</v>
      </c>
      <c r="B94" s="168"/>
      <c r="C94" s="168"/>
      <c r="D94" s="167"/>
      <c r="E94" s="167">
        <v>1330</v>
      </c>
      <c r="F94" s="168">
        <v>1500</v>
      </c>
      <c r="G94" s="167">
        <v>1500</v>
      </c>
      <c r="H94" s="167">
        <v>1500</v>
      </c>
      <c r="I94" s="167">
        <v>1500</v>
      </c>
      <c r="J94" s="167">
        <v>1500</v>
      </c>
      <c r="K94" s="2"/>
    </row>
    <row r="95" spans="1:11" x14ac:dyDescent="0.2">
      <c r="A95" s="168" t="s">
        <v>153</v>
      </c>
      <c r="B95" s="168"/>
      <c r="C95" s="168"/>
      <c r="D95" s="167">
        <v>1500</v>
      </c>
      <c r="E95" s="167"/>
      <c r="F95" s="224"/>
      <c r="G95" s="161"/>
      <c r="H95" s="161"/>
      <c r="I95" s="161"/>
      <c r="J95" s="161"/>
      <c r="K95" s="2"/>
    </row>
    <row r="96" spans="1:11" x14ac:dyDescent="0.2">
      <c r="A96" s="168"/>
      <c r="B96" s="168"/>
      <c r="C96" s="168"/>
      <c r="D96" s="167"/>
      <c r="E96" s="167"/>
      <c r="F96" s="168"/>
      <c r="G96" s="168"/>
      <c r="H96" s="168"/>
      <c r="I96" s="168"/>
      <c r="J96" s="168"/>
      <c r="K96" s="2"/>
    </row>
    <row r="97" spans="1:11" ht="13.5" x14ac:dyDescent="0.25">
      <c r="A97" s="165" t="s">
        <v>231</v>
      </c>
      <c r="B97" s="168"/>
      <c r="C97" s="168"/>
      <c r="D97" s="167"/>
      <c r="E97" s="167">
        <v>10200</v>
      </c>
      <c r="F97" s="167">
        <v>9520</v>
      </c>
      <c r="G97" s="167">
        <v>9520</v>
      </c>
      <c r="H97" s="167">
        <v>9520</v>
      </c>
      <c r="I97" s="167">
        <v>9520</v>
      </c>
      <c r="J97" s="167">
        <v>9520</v>
      </c>
      <c r="K97" s="2"/>
    </row>
    <row r="98" spans="1:11" x14ac:dyDescent="0.2">
      <c r="A98" s="180" t="s">
        <v>466</v>
      </c>
      <c r="B98" s="180"/>
      <c r="C98" s="167"/>
      <c r="D98" s="167">
        <f>3600+820+300</f>
        <v>4720</v>
      </c>
      <c r="E98" s="167"/>
      <c r="F98" s="167"/>
      <c r="G98" s="167"/>
      <c r="H98" s="167"/>
      <c r="I98" s="167"/>
      <c r="J98" s="167"/>
      <c r="K98" s="2"/>
    </row>
    <row r="99" spans="1:11" x14ac:dyDescent="0.2">
      <c r="A99" s="180" t="s">
        <v>467</v>
      </c>
      <c r="B99" s="180"/>
      <c r="C99" s="167"/>
      <c r="D99" s="167">
        <v>2800</v>
      </c>
      <c r="E99" s="167"/>
      <c r="F99" s="167"/>
      <c r="G99" s="167"/>
      <c r="H99" s="167"/>
      <c r="I99" s="167"/>
      <c r="J99" s="167"/>
      <c r="K99" s="2"/>
    </row>
    <row r="100" spans="1:11" ht="15" x14ac:dyDescent="0.35">
      <c r="A100" s="180" t="s">
        <v>205</v>
      </c>
      <c r="B100" s="180"/>
      <c r="C100" s="171"/>
      <c r="D100" s="171">
        <v>2000</v>
      </c>
      <c r="E100" s="167"/>
      <c r="F100" s="167"/>
      <c r="G100" s="167"/>
      <c r="H100" s="167"/>
      <c r="I100" s="167"/>
      <c r="J100" s="167"/>
      <c r="K100" s="2"/>
    </row>
    <row r="101" spans="1:11" x14ac:dyDescent="0.2">
      <c r="A101" s="180" t="s">
        <v>1086</v>
      </c>
      <c r="B101" s="180"/>
      <c r="C101" s="167"/>
      <c r="D101" s="167">
        <f>SUM(D98:D100)</f>
        <v>9520</v>
      </c>
      <c r="E101" s="167"/>
      <c r="F101" s="167"/>
      <c r="G101" s="167"/>
      <c r="H101" s="167"/>
      <c r="I101" s="167"/>
      <c r="J101" s="167"/>
      <c r="K101" s="2"/>
    </row>
    <row r="102" spans="1:11" x14ac:dyDescent="0.2">
      <c r="A102" s="180"/>
      <c r="B102" s="180"/>
      <c r="C102" s="167"/>
      <c r="D102" s="167"/>
      <c r="E102" s="167"/>
      <c r="F102" s="167"/>
      <c r="G102" s="167"/>
      <c r="H102" s="167"/>
      <c r="I102" s="167"/>
      <c r="J102" s="167"/>
      <c r="K102" s="2"/>
    </row>
    <row r="103" spans="1:11" ht="13.5" x14ac:dyDescent="0.25">
      <c r="A103" s="165" t="s">
        <v>22</v>
      </c>
      <c r="B103" s="168"/>
      <c r="C103" s="167"/>
      <c r="D103" s="167" t="s">
        <v>349</v>
      </c>
      <c r="E103" s="167">
        <v>1914</v>
      </c>
      <c r="F103" s="167">
        <v>6000</v>
      </c>
      <c r="G103" s="167">
        <v>4000</v>
      </c>
      <c r="H103" s="167">
        <v>4000</v>
      </c>
      <c r="I103" s="167">
        <v>4000</v>
      </c>
      <c r="J103" s="167">
        <v>4000</v>
      </c>
      <c r="K103" s="2"/>
    </row>
    <row r="104" spans="1:11" x14ac:dyDescent="0.2">
      <c r="A104" s="168" t="s">
        <v>880</v>
      </c>
      <c r="B104" s="168"/>
      <c r="C104" s="167"/>
      <c r="D104" s="167">
        <v>4000</v>
      </c>
      <c r="E104" s="167"/>
      <c r="F104" s="167"/>
      <c r="G104" s="167"/>
      <c r="H104" s="167"/>
      <c r="I104" s="167"/>
      <c r="J104" s="167"/>
      <c r="K104" s="2"/>
    </row>
    <row r="105" spans="1:11" x14ac:dyDescent="0.2">
      <c r="A105" s="168" t="s">
        <v>349</v>
      </c>
      <c r="B105" s="168"/>
      <c r="C105" s="167"/>
      <c r="D105" s="167" t="s">
        <v>349</v>
      </c>
      <c r="E105" s="167"/>
      <c r="F105" s="167"/>
      <c r="G105" s="167"/>
      <c r="H105" s="167"/>
      <c r="I105" s="167"/>
      <c r="J105" s="167"/>
      <c r="K105" s="2"/>
    </row>
    <row r="106" spans="1:11" ht="13.5" x14ac:dyDescent="0.25">
      <c r="A106" s="165" t="s">
        <v>206</v>
      </c>
      <c r="B106" s="168"/>
      <c r="C106" s="167"/>
      <c r="D106" s="167"/>
      <c r="E106" s="167">
        <v>563</v>
      </c>
      <c r="F106" s="167">
        <v>700</v>
      </c>
      <c r="G106" s="167">
        <v>600</v>
      </c>
      <c r="H106" s="167">
        <v>600</v>
      </c>
      <c r="I106" s="167">
        <v>600</v>
      </c>
      <c r="J106" s="167">
        <v>600</v>
      </c>
      <c r="K106" s="2"/>
    </row>
    <row r="107" spans="1:11" x14ac:dyDescent="0.2">
      <c r="A107" s="168" t="s">
        <v>1701</v>
      </c>
      <c r="B107" s="168"/>
      <c r="C107" s="167"/>
      <c r="D107" s="167">
        <v>600</v>
      </c>
      <c r="E107" s="167"/>
      <c r="F107" s="167"/>
      <c r="G107" s="167"/>
      <c r="H107" s="167"/>
      <c r="I107" s="167"/>
      <c r="J107" s="167"/>
      <c r="K107" s="2"/>
    </row>
    <row r="108" spans="1:11" x14ac:dyDescent="0.2">
      <c r="A108" s="168"/>
      <c r="B108" s="168"/>
      <c r="C108" s="167"/>
      <c r="D108" s="224"/>
      <c r="E108" s="167"/>
      <c r="F108" s="167"/>
      <c r="G108" s="167"/>
      <c r="H108" s="167"/>
      <c r="I108" s="167"/>
      <c r="J108" s="167"/>
      <c r="K108" s="2"/>
    </row>
    <row r="109" spans="1:11" ht="13.5" x14ac:dyDescent="0.25">
      <c r="A109" s="165" t="s">
        <v>1208</v>
      </c>
      <c r="B109" s="168"/>
      <c r="C109" s="167"/>
      <c r="D109" s="167" t="s">
        <v>349</v>
      </c>
      <c r="E109" s="167">
        <v>13410</v>
      </c>
      <c r="F109" s="167">
        <v>16000</v>
      </c>
      <c r="G109" s="167">
        <v>15500</v>
      </c>
      <c r="H109" s="167">
        <v>15500</v>
      </c>
      <c r="I109" s="167">
        <v>15500</v>
      </c>
      <c r="J109" s="167">
        <v>15500</v>
      </c>
      <c r="K109" s="2"/>
    </row>
    <row r="110" spans="1:11" x14ac:dyDescent="0.2">
      <c r="A110" s="168" t="s">
        <v>1209</v>
      </c>
      <c r="B110" s="168"/>
      <c r="C110" s="167"/>
      <c r="D110" s="167">
        <v>15500</v>
      </c>
      <c r="E110" s="167"/>
      <c r="F110" s="167"/>
      <c r="G110" s="167"/>
      <c r="H110" s="167"/>
      <c r="I110" s="167"/>
      <c r="J110" s="167"/>
      <c r="K110" s="2"/>
    </row>
    <row r="111" spans="1:11" x14ac:dyDescent="0.2">
      <c r="A111" s="168" t="s">
        <v>349</v>
      </c>
      <c r="B111" s="168"/>
      <c r="C111" s="168"/>
      <c r="D111" s="167" t="s">
        <v>349</v>
      </c>
      <c r="E111" s="167"/>
      <c r="F111" s="167"/>
      <c r="G111" s="167"/>
      <c r="H111" s="167"/>
      <c r="I111" s="167"/>
      <c r="J111" s="167"/>
      <c r="K111" s="2"/>
    </row>
    <row r="112" spans="1:11" ht="13.5" x14ac:dyDescent="0.25">
      <c r="A112" s="165" t="s">
        <v>345</v>
      </c>
      <c r="B112" s="168"/>
      <c r="C112" s="168"/>
      <c r="D112" s="167"/>
      <c r="E112" s="167">
        <v>3911</v>
      </c>
      <c r="F112" s="167">
        <v>5000</v>
      </c>
      <c r="G112" s="167">
        <v>5000</v>
      </c>
      <c r="H112" s="167">
        <v>5000</v>
      </c>
      <c r="I112" s="167">
        <v>5000</v>
      </c>
      <c r="J112" s="167">
        <v>5000</v>
      </c>
      <c r="K112" s="2"/>
    </row>
    <row r="113" spans="1:11" x14ac:dyDescent="0.2">
      <c r="A113" s="168" t="s">
        <v>1209</v>
      </c>
      <c r="B113" s="168"/>
      <c r="C113" s="168"/>
      <c r="D113" s="167">
        <v>5000</v>
      </c>
      <c r="E113" s="167"/>
      <c r="F113" s="167"/>
      <c r="G113" s="167"/>
      <c r="H113" s="167"/>
      <c r="I113" s="167"/>
      <c r="J113" s="167"/>
      <c r="K113" s="2"/>
    </row>
    <row r="114" spans="1:11" x14ac:dyDescent="0.2">
      <c r="A114" s="168"/>
      <c r="B114" s="168"/>
      <c r="C114" s="168"/>
      <c r="D114" s="167"/>
      <c r="E114" s="167"/>
      <c r="F114" s="167"/>
      <c r="G114" s="167"/>
      <c r="H114" s="167"/>
      <c r="I114" s="167"/>
      <c r="J114" s="167"/>
      <c r="K114" s="2"/>
    </row>
    <row r="115" spans="1:11" ht="13.5" x14ac:dyDescent="0.25">
      <c r="A115" s="165" t="s">
        <v>1031</v>
      </c>
      <c r="B115" s="168"/>
      <c r="C115" s="168"/>
      <c r="D115" s="167"/>
      <c r="E115" s="167">
        <v>1489</v>
      </c>
      <c r="F115" s="167">
        <v>1650</v>
      </c>
      <c r="G115" s="167">
        <v>1750</v>
      </c>
      <c r="H115" s="167">
        <v>1750</v>
      </c>
      <c r="I115" s="167">
        <v>1750</v>
      </c>
      <c r="J115" s="167">
        <v>1750</v>
      </c>
      <c r="K115" s="2"/>
    </row>
    <row r="116" spans="1:11" x14ac:dyDescent="0.2">
      <c r="A116" s="168" t="s">
        <v>1209</v>
      </c>
      <c r="B116" s="168"/>
      <c r="C116" s="167"/>
      <c r="D116" s="167">
        <v>1750</v>
      </c>
      <c r="E116" s="167"/>
      <c r="F116" s="167"/>
      <c r="G116" s="167"/>
      <c r="H116" s="167"/>
      <c r="I116" s="167"/>
      <c r="J116" s="167"/>
      <c r="K116" s="2"/>
    </row>
    <row r="117" spans="1:11" x14ac:dyDescent="0.2">
      <c r="A117" s="168"/>
      <c r="B117" s="168"/>
      <c r="C117" s="167"/>
      <c r="D117" s="167"/>
      <c r="E117" s="167"/>
      <c r="F117" s="167"/>
      <c r="G117" s="167"/>
      <c r="H117" s="167"/>
      <c r="I117" s="167"/>
      <c r="J117" s="167"/>
      <c r="K117" s="2"/>
    </row>
    <row r="118" spans="1:11" ht="13.5" x14ac:dyDescent="0.25">
      <c r="A118" s="165" t="s">
        <v>1032</v>
      </c>
      <c r="B118" s="168"/>
      <c r="C118" s="167"/>
      <c r="D118" s="167"/>
      <c r="E118" s="167">
        <v>196</v>
      </c>
      <c r="F118" s="167">
        <v>271</v>
      </c>
      <c r="G118" s="167">
        <v>304</v>
      </c>
      <c r="H118" s="167">
        <v>304</v>
      </c>
      <c r="I118" s="167">
        <v>304</v>
      </c>
      <c r="J118" s="167">
        <v>304</v>
      </c>
      <c r="K118" s="2"/>
    </row>
    <row r="119" spans="1:11" x14ac:dyDescent="0.2">
      <c r="A119" s="168" t="s">
        <v>1209</v>
      </c>
      <c r="B119" s="168"/>
      <c r="C119" s="167"/>
      <c r="D119" s="167">
        <v>304</v>
      </c>
      <c r="E119" s="167"/>
      <c r="F119" s="167"/>
      <c r="G119" s="167"/>
      <c r="H119" s="167"/>
      <c r="I119" s="167"/>
      <c r="J119" s="167"/>
      <c r="K119" s="2"/>
    </row>
    <row r="120" spans="1:11" x14ac:dyDescent="0.2">
      <c r="A120" s="168"/>
      <c r="B120" s="168"/>
      <c r="C120" s="167"/>
      <c r="D120" s="167"/>
      <c r="E120" s="167"/>
      <c r="F120" s="167"/>
      <c r="G120" s="167"/>
      <c r="H120" s="167"/>
      <c r="I120" s="167"/>
      <c r="J120" s="167"/>
      <c r="K120" s="2"/>
    </row>
    <row r="121" spans="1:11" ht="13.5" x14ac:dyDescent="0.25">
      <c r="A121" s="165" t="s">
        <v>1543</v>
      </c>
      <c r="B121" s="168"/>
      <c r="C121" s="167"/>
      <c r="D121" s="167"/>
      <c r="E121" s="167">
        <v>5411</v>
      </c>
      <c r="F121" s="167">
        <v>5600</v>
      </c>
      <c r="G121" s="167">
        <v>5600</v>
      </c>
      <c r="H121" s="167">
        <v>5600</v>
      </c>
      <c r="I121" s="167">
        <v>5600</v>
      </c>
      <c r="J121" s="167">
        <v>5600</v>
      </c>
      <c r="K121" s="2"/>
    </row>
    <row r="122" spans="1:11" x14ac:dyDescent="0.2">
      <c r="A122" s="178" t="s">
        <v>1544</v>
      </c>
      <c r="B122" s="168"/>
      <c r="C122" s="167"/>
      <c r="D122" s="167">
        <v>2975</v>
      </c>
      <c r="E122" s="167"/>
      <c r="F122" s="167"/>
      <c r="G122" s="167"/>
      <c r="H122" s="167"/>
      <c r="I122" s="167"/>
      <c r="J122" s="167"/>
      <c r="K122" s="2"/>
    </row>
    <row r="123" spans="1:11" x14ac:dyDescent="0.2">
      <c r="A123" s="168" t="s">
        <v>1629</v>
      </c>
      <c r="B123" s="168"/>
      <c r="C123" s="167"/>
      <c r="D123" s="167"/>
      <c r="E123" s="167"/>
      <c r="F123" s="167"/>
      <c r="G123" s="167"/>
      <c r="H123" s="167"/>
      <c r="I123" s="167"/>
      <c r="J123" s="167"/>
      <c r="K123" s="2"/>
    </row>
    <row r="124" spans="1:11" x14ac:dyDescent="0.2">
      <c r="A124" s="178" t="s">
        <v>1545</v>
      </c>
      <c r="B124" s="168"/>
      <c r="C124" s="167"/>
      <c r="D124" s="167">
        <v>749</v>
      </c>
      <c r="E124" s="167"/>
      <c r="F124" s="167"/>
      <c r="G124" s="167"/>
      <c r="H124" s="167"/>
      <c r="I124" s="167"/>
      <c r="J124" s="167"/>
      <c r="K124" s="2"/>
    </row>
    <row r="125" spans="1:11" x14ac:dyDescent="0.2">
      <c r="A125" s="168" t="s">
        <v>935</v>
      </c>
      <c r="B125" s="168"/>
      <c r="C125" s="167"/>
      <c r="D125" s="167">
        <v>736</v>
      </c>
      <c r="E125" s="167"/>
      <c r="F125" s="167"/>
      <c r="G125" s="167"/>
      <c r="H125" s="167"/>
      <c r="I125" s="167"/>
      <c r="J125" s="167"/>
      <c r="K125" s="2"/>
    </row>
    <row r="126" spans="1:11" x14ac:dyDescent="0.2">
      <c r="A126" s="168" t="s">
        <v>1171</v>
      </c>
      <c r="B126" s="168"/>
      <c r="C126" s="167"/>
      <c r="D126" s="167">
        <v>417</v>
      </c>
      <c r="E126" s="167"/>
      <c r="F126" s="167"/>
      <c r="G126" s="167"/>
      <c r="H126" s="167"/>
      <c r="I126" s="167"/>
      <c r="J126" s="167"/>
      <c r="K126" s="2"/>
    </row>
    <row r="127" spans="1:11" ht="15" x14ac:dyDescent="0.35">
      <c r="A127" s="168" t="s">
        <v>1546</v>
      </c>
      <c r="B127" s="168"/>
      <c r="C127" s="171"/>
      <c r="D127" s="171">
        <v>723</v>
      </c>
      <c r="E127" s="167"/>
      <c r="F127" s="167"/>
      <c r="G127" s="167"/>
      <c r="H127" s="167"/>
      <c r="I127" s="167"/>
      <c r="J127" s="167"/>
      <c r="K127" s="2"/>
    </row>
    <row r="128" spans="1:11" x14ac:dyDescent="0.2">
      <c r="A128" s="168" t="s">
        <v>1086</v>
      </c>
      <c r="B128" s="168"/>
      <c r="C128" s="167"/>
      <c r="D128" s="167">
        <f>SUM(D122:D127)</f>
        <v>5600</v>
      </c>
      <c r="E128" s="167"/>
      <c r="F128" s="167"/>
      <c r="G128" s="167"/>
      <c r="H128" s="167"/>
      <c r="I128" s="167"/>
      <c r="J128" s="167"/>
      <c r="K128" s="2"/>
    </row>
    <row r="129" spans="1:11" x14ac:dyDescent="0.2">
      <c r="A129" s="168"/>
      <c r="B129" s="168"/>
      <c r="C129" s="167"/>
      <c r="D129" s="167"/>
      <c r="E129" s="167"/>
      <c r="F129" s="167"/>
      <c r="G129" s="167"/>
      <c r="H129" s="167"/>
      <c r="I129" s="167"/>
      <c r="J129" s="167"/>
      <c r="K129" s="2"/>
    </row>
    <row r="130" spans="1:11" ht="13.5" x14ac:dyDescent="0.25">
      <c r="A130" s="165" t="s">
        <v>1105</v>
      </c>
      <c r="B130" s="168"/>
      <c r="C130" s="167"/>
      <c r="D130" s="167"/>
      <c r="E130" s="167">
        <v>999</v>
      </c>
      <c r="F130" s="167">
        <v>1180</v>
      </c>
      <c r="G130" s="167">
        <v>1800</v>
      </c>
      <c r="H130" s="167">
        <v>1800</v>
      </c>
      <c r="I130" s="167">
        <v>1800</v>
      </c>
      <c r="J130" s="167">
        <v>1800</v>
      </c>
      <c r="K130" s="2"/>
    </row>
    <row r="131" spans="1:11" x14ac:dyDescent="0.2">
      <c r="A131" s="168" t="s">
        <v>1106</v>
      </c>
      <c r="B131" s="168"/>
      <c r="C131" s="167"/>
      <c r="D131" s="167">
        <v>400</v>
      </c>
      <c r="E131" s="167"/>
      <c r="F131" s="167"/>
      <c r="G131" s="167"/>
      <c r="H131" s="167"/>
      <c r="I131" s="167"/>
      <c r="J131" s="167"/>
      <c r="K131" s="2"/>
    </row>
    <row r="132" spans="1:11" x14ac:dyDescent="0.2">
      <c r="A132" s="168" t="s">
        <v>1107</v>
      </c>
      <c r="B132" s="168"/>
      <c r="C132" s="167"/>
      <c r="D132" s="167">
        <v>360</v>
      </c>
      <c r="E132" s="167"/>
      <c r="F132" s="167"/>
      <c r="G132" s="167"/>
      <c r="H132" s="167"/>
      <c r="I132" s="167"/>
      <c r="J132" s="167"/>
      <c r="K132" s="2"/>
    </row>
    <row r="133" spans="1:11" x14ac:dyDescent="0.2">
      <c r="A133" s="168" t="s">
        <v>1108</v>
      </c>
      <c r="B133" s="168"/>
      <c r="C133" s="167"/>
      <c r="D133" s="167">
        <f>710+50</f>
        <v>760</v>
      </c>
      <c r="E133" s="167"/>
      <c r="F133" s="167"/>
      <c r="G133" s="167"/>
      <c r="H133" s="167"/>
      <c r="I133" s="167"/>
      <c r="J133" s="167"/>
      <c r="K133" s="2"/>
    </row>
    <row r="134" spans="1:11" x14ac:dyDescent="0.2">
      <c r="A134" s="168" t="s">
        <v>867</v>
      </c>
      <c r="B134" s="168"/>
      <c r="C134" s="167"/>
      <c r="D134" s="167">
        <v>100</v>
      </c>
      <c r="E134" s="167"/>
      <c r="F134" s="167"/>
      <c r="G134" s="167"/>
      <c r="H134" s="167"/>
      <c r="I134" s="167"/>
      <c r="J134" s="167"/>
      <c r="K134" s="2"/>
    </row>
    <row r="135" spans="1:11" ht="15" x14ac:dyDescent="0.35">
      <c r="A135" s="168" t="s">
        <v>1901</v>
      </c>
      <c r="B135" s="168"/>
      <c r="C135" s="167"/>
      <c r="D135" s="171">
        <v>180</v>
      </c>
      <c r="E135" s="167"/>
      <c r="F135" s="167"/>
      <c r="G135" s="167"/>
      <c r="H135" s="167"/>
      <c r="I135" s="167"/>
      <c r="J135" s="167"/>
      <c r="K135" s="2"/>
    </row>
    <row r="136" spans="1:11" x14ac:dyDescent="0.2">
      <c r="A136" s="168" t="s">
        <v>1086</v>
      </c>
      <c r="B136" s="168"/>
      <c r="C136" s="167"/>
      <c r="D136" s="167">
        <f>SUM(D131:D135)</f>
        <v>1800</v>
      </c>
      <c r="E136" s="167"/>
      <c r="F136" s="167"/>
      <c r="G136" s="167"/>
      <c r="H136" s="167"/>
      <c r="I136" s="167"/>
      <c r="J136" s="167"/>
      <c r="K136" s="2"/>
    </row>
    <row r="137" spans="1:11" x14ac:dyDescent="0.2">
      <c r="A137" s="168" t="s">
        <v>349</v>
      </c>
      <c r="B137" s="167" t="s">
        <v>349</v>
      </c>
      <c r="C137" s="167"/>
      <c r="D137" s="167" t="s">
        <v>349</v>
      </c>
      <c r="E137" s="167"/>
      <c r="F137" s="167"/>
      <c r="G137" s="167"/>
      <c r="H137" s="167"/>
      <c r="I137" s="167"/>
      <c r="J137" s="167"/>
      <c r="K137" s="2"/>
    </row>
    <row r="138" spans="1:11" ht="13.5" x14ac:dyDescent="0.25">
      <c r="A138" s="181" t="s">
        <v>442</v>
      </c>
      <c r="B138" s="168"/>
      <c r="C138" s="167"/>
      <c r="D138" s="167"/>
      <c r="E138" s="167">
        <v>7909</v>
      </c>
      <c r="F138" s="167">
        <v>8022</v>
      </c>
      <c r="G138" s="167">
        <v>8584</v>
      </c>
      <c r="H138" s="167">
        <v>8584</v>
      </c>
      <c r="I138" s="167">
        <v>8584</v>
      </c>
      <c r="J138" s="167">
        <v>8584</v>
      </c>
      <c r="K138" s="2"/>
    </row>
    <row r="139" spans="1:11" x14ac:dyDescent="0.2">
      <c r="A139" s="168" t="s">
        <v>1294</v>
      </c>
      <c r="B139" s="168"/>
      <c r="C139" s="167"/>
      <c r="D139" s="167">
        <v>8584</v>
      </c>
      <c r="E139" s="167"/>
      <c r="F139" s="167"/>
      <c r="G139" s="167"/>
      <c r="H139" s="167"/>
      <c r="I139" s="167"/>
      <c r="J139" s="167"/>
      <c r="K139" s="2"/>
    </row>
    <row r="140" spans="1:11" x14ac:dyDescent="0.2">
      <c r="A140" s="168"/>
      <c r="B140" s="168"/>
      <c r="C140" s="167"/>
      <c r="D140" s="167"/>
      <c r="E140" s="167"/>
      <c r="F140" s="167"/>
      <c r="G140" s="167"/>
      <c r="H140" s="167"/>
      <c r="I140" s="167"/>
      <c r="J140" s="167"/>
      <c r="K140" s="2"/>
    </row>
    <row r="141" spans="1:11" ht="13.5" x14ac:dyDescent="0.25">
      <c r="A141" s="165" t="s">
        <v>1044</v>
      </c>
      <c r="B141" s="168"/>
      <c r="C141" s="167"/>
      <c r="D141" s="167"/>
      <c r="E141" s="167">
        <v>2597</v>
      </c>
      <c r="F141" s="167">
        <v>6000</v>
      </c>
      <c r="G141" s="167">
        <v>2400</v>
      </c>
      <c r="H141" s="167">
        <v>2400</v>
      </c>
      <c r="I141" s="167">
        <v>2400</v>
      </c>
      <c r="J141" s="167">
        <v>2400</v>
      </c>
      <c r="K141" s="2"/>
    </row>
    <row r="142" spans="1:11" x14ac:dyDescent="0.2">
      <c r="A142" s="168" t="s">
        <v>1409</v>
      </c>
      <c r="B142" s="168"/>
      <c r="C142" s="167"/>
      <c r="D142" s="167">
        <v>1200</v>
      </c>
      <c r="E142" s="167"/>
      <c r="F142" s="167"/>
      <c r="G142" s="167"/>
      <c r="H142" s="167"/>
      <c r="I142" s="167"/>
      <c r="J142" s="167"/>
      <c r="K142" s="2"/>
    </row>
    <row r="143" spans="1:11" ht="15" x14ac:dyDescent="0.35">
      <c r="A143" s="168" t="s">
        <v>1410</v>
      </c>
      <c r="B143" s="168"/>
      <c r="C143" s="171"/>
      <c r="D143" s="171">
        <v>1200</v>
      </c>
      <c r="E143" s="167"/>
      <c r="F143" s="167"/>
      <c r="G143" s="167"/>
      <c r="H143" s="167"/>
      <c r="I143" s="167"/>
      <c r="J143" s="167"/>
      <c r="K143" s="2"/>
    </row>
    <row r="144" spans="1:11" x14ac:dyDescent="0.2">
      <c r="A144" s="168" t="s">
        <v>224</v>
      </c>
      <c r="B144" s="168"/>
      <c r="C144" s="167"/>
      <c r="D144" s="167">
        <f>SUM(D142:D143)</f>
        <v>2400</v>
      </c>
      <c r="E144" s="167"/>
      <c r="F144" s="167"/>
      <c r="G144" s="167"/>
      <c r="H144" s="167"/>
      <c r="I144" s="167"/>
      <c r="J144" s="167"/>
      <c r="K144" s="2"/>
    </row>
    <row r="145" spans="1:11" x14ac:dyDescent="0.2">
      <c r="A145" s="168"/>
      <c r="B145" s="168"/>
      <c r="C145" s="167"/>
      <c r="D145" s="167"/>
      <c r="E145" s="167"/>
      <c r="F145" s="167"/>
      <c r="G145" s="167"/>
      <c r="H145" s="167"/>
      <c r="I145" s="167"/>
      <c r="J145" s="167"/>
      <c r="K145" s="2"/>
    </row>
    <row r="146" spans="1:11" ht="13.5" x14ac:dyDescent="0.25">
      <c r="A146" s="165" t="s">
        <v>376</v>
      </c>
      <c r="B146" s="168"/>
      <c r="C146" s="167"/>
      <c r="D146" s="167"/>
      <c r="E146" s="167">
        <v>28997</v>
      </c>
      <c r="F146" s="167">
        <v>20729</v>
      </c>
      <c r="G146" s="167">
        <v>22251</v>
      </c>
      <c r="H146" s="167">
        <v>22251</v>
      </c>
      <c r="I146" s="167">
        <v>22251</v>
      </c>
      <c r="J146" s="167">
        <v>22251</v>
      </c>
      <c r="K146" s="2"/>
    </row>
    <row r="147" spans="1:11" x14ac:dyDescent="0.2">
      <c r="A147" s="168" t="s">
        <v>244</v>
      </c>
      <c r="B147" s="168"/>
      <c r="C147" s="167"/>
      <c r="D147" s="167">
        <v>2500</v>
      </c>
      <c r="E147" s="167"/>
      <c r="F147" s="167"/>
      <c r="G147" s="167"/>
      <c r="H147" s="167"/>
      <c r="I147" s="167"/>
      <c r="J147" s="167"/>
      <c r="K147" s="2"/>
    </row>
    <row r="148" spans="1:11" x14ac:dyDescent="0.2">
      <c r="A148" s="168" t="s">
        <v>377</v>
      </c>
      <c r="B148" s="168"/>
      <c r="C148" s="167"/>
      <c r="D148" s="167">
        <v>1724</v>
      </c>
      <c r="E148" s="167"/>
      <c r="F148" s="167"/>
      <c r="G148" s="167"/>
      <c r="H148" s="167"/>
      <c r="I148" s="167"/>
      <c r="J148" s="167"/>
      <c r="K148" s="2"/>
    </row>
    <row r="149" spans="1:11" x14ac:dyDescent="0.2">
      <c r="A149" s="168" t="s">
        <v>378</v>
      </c>
      <c r="B149" s="168"/>
      <c r="C149" s="167"/>
      <c r="D149" s="167">
        <v>2600</v>
      </c>
      <c r="E149" s="167"/>
      <c r="F149" s="167"/>
      <c r="G149" s="167"/>
      <c r="H149" s="167"/>
      <c r="I149" s="167"/>
      <c r="J149" s="167"/>
      <c r="K149" s="2"/>
    </row>
    <row r="150" spans="1:11" x14ac:dyDescent="0.2">
      <c r="A150" s="168" t="s">
        <v>557</v>
      </c>
      <c r="B150" s="168"/>
      <c r="C150" s="167"/>
      <c r="D150" s="167">
        <v>3400</v>
      </c>
      <c r="E150" s="167"/>
      <c r="F150" s="167"/>
      <c r="G150" s="167"/>
      <c r="H150" s="167"/>
      <c r="I150" s="167"/>
      <c r="J150" s="167"/>
      <c r="K150" s="2"/>
    </row>
    <row r="151" spans="1:11" x14ac:dyDescent="0.2">
      <c r="A151" s="168" t="s">
        <v>673</v>
      </c>
      <c r="B151" s="168"/>
      <c r="C151" s="167"/>
      <c r="D151" s="167">
        <v>2000</v>
      </c>
      <c r="E151" s="167"/>
      <c r="F151" s="167"/>
      <c r="G151" s="167"/>
      <c r="H151" s="167"/>
      <c r="I151" s="167"/>
      <c r="J151" s="167"/>
      <c r="K151" s="2"/>
    </row>
    <row r="152" spans="1:11" x14ac:dyDescent="0.2">
      <c r="A152" s="168" t="s">
        <v>190</v>
      </c>
      <c r="B152" s="168"/>
      <c r="C152" s="167"/>
      <c r="D152" s="167">
        <v>750</v>
      </c>
      <c r="E152" s="167"/>
      <c r="F152" s="167"/>
      <c r="G152" s="167"/>
      <c r="H152" s="167"/>
      <c r="I152" s="167"/>
      <c r="J152" s="167"/>
      <c r="K152" s="2"/>
    </row>
    <row r="153" spans="1:11" x14ac:dyDescent="0.2">
      <c r="A153" s="168" t="s">
        <v>1100</v>
      </c>
      <c r="B153" s="168"/>
      <c r="C153" s="167"/>
      <c r="D153" s="167">
        <v>2325</v>
      </c>
      <c r="E153" s="167"/>
      <c r="F153" s="167"/>
      <c r="G153" s="167"/>
      <c r="H153" s="167"/>
      <c r="I153" s="167"/>
      <c r="J153" s="167"/>
      <c r="K153" s="2"/>
    </row>
    <row r="154" spans="1:11" x14ac:dyDescent="0.2">
      <c r="A154" s="168" t="s">
        <v>249</v>
      </c>
      <c r="B154" s="168"/>
      <c r="C154" s="167"/>
      <c r="D154" s="167">
        <v>360</v>
      </c>
      <c r="E154" s="167"/>
      <c r="F154" s="167"/>
      <c r="G154" s="167"/>
      <c r="H154" s="167"/>
      <c r="I154" s="167"/>
      <c r="J154" s="167"/>
      <c r="K154" s="2"/>
    </row>
    <row r="155" spans="1:11" x14ac:dyDescent="0.2">
      <c r="A155" s="168" t="s">
        <v>356</v>
      </c>
      <c r="B155" s="168"/>
      <c r="C155" s="167"/>
      <c r="D155" s="167">
        <v>1600</v>
      </c>
      <c r="E155" s="167"/>
      <c r="F155" s="167"/>
      <c r="G155" s="167"/>
      <c r="H155" s="167"/>
      <c r="I155" s="167"/>
      <c r="J155" s="167"/>
      <c r="K155" s="2"/>
    </row>
    <row r="156" spans="1:11" x14ac:dyDescent="0.2">
      <c r="A156" s="168" t="s">
        <v>250</v>
      </c>
      <c r="B156" s="168"/>
      <c r="C156" s="167"/>
      <c r="D156" s="167">
        <v>1200</v>
      </c>
      <c r="E156" s="167"/>
      <c r="F156" s="167"/>
      <c r="G156" s="167"/>
      <c r="H156" s="167"/>
      <c r="I156" s="167"/>
      <c r="J156" s="167"/>
      <c r="K156" s="2"/>
    </row>
    <row r="157" spans="1:11" x14ac:dyDescent="0.2">
      <c r="A157" s="168" t="s">
        <v>299</v>
      </c>
      <c r="B157" s="168"/>
      <c r="C157" s="167"/>
      <c r="D157" s="167">
        <v>500</v>
      </c>
      <c r="E157" s="167"/>
      <c r="F157" s="167"/>
      <c r="G157" s="167"/>
      <c r="H157" s="167"/>
      <c r="I157" s="167"/>
      <c r="J157" s="167"/>
      <c r="K157" s="2"/>
    </row>
    <row r="158" spans="1:11" ht="15" x14ac:dyDescent="0.35">
      <c r="A158" s="168" t="s">
        <v>251</v>
      </c>
      <c r="B158" s="168"/>
      <c r="C158" s="171"/>
      <c r="D158" s="167">
        <f>237+1255</f>
        <v>1492</v>
      </c>
      <c r="E158" s="167"/>
      <c r="F158" s="167"/>
      <c r="G158" s="167"/>
      <c r="H158" s="167"/>
      <c r="I158" s="167"/>
      <c r="J158" s="167"/>
      <c r="K158" s="2"/>
    </row>
    <row r="159" spans="1:11" ht="15" x14ac:dyDescent="0.35">
      <c r="A159" s="168" t="s">
        <v>1999</v>
      </c>
      <c r="B159" s="168"/>
      <c r="C159" s="171"/>
      <c r="D159" s="171">
        <v>1800</v>
      </c>
      <c r="E159" s="167"/>
      <c r="F159" s="167"/>
      <c r="G159" s="167"/>
      <c r="H159" s="167"/>
      <c r="I159" s="167"/>
      <c r="J159" s="167"/>
      <c r="K159" s="2"/>
    </row>
    <row r="160" spans="1:11" x14ac:dyDescent="0.2">
      <c r="A160" s="168" t="s">
        <v>1086</v>
      </c>
      <c r="B160" s="168"/>
      <c r="C160" s="167"/>
      <c r="D160" s="167">
        <f>SUM(D147:D159)</f>
        <v>22251</v>
      </c>
      <c r="E160" s="167"/>
      <c r="F160" s="167"/>
      <c r="G160" s="167"/>
      <c r="H160" s="167"/>
      <c r="I160" s="167"/>
      <c r="J160" s="167"/>
      <c r="K160" s="2"/>
    </row>
    <row r="161" spans="1:11" x14ac:dyDescent="0.2">
      <c r="A161" s="168"/>
      <c r="B161" s="168"/>
      <c r="C161" s="167"/>
      <c r="D161" s="167"/>
      <c r="E161" s="167"/>
      <c r="F161" s="167"/>
      <c r="G161" s="167"/>
      <c r="H161" s="167"/>
      <c r="I161" s="167"/>
      <c r="J161" s="167"/>
      <c r="K161" s="2"/>
    </row>
    <row r="162" spans="1:11" ht="13.5" x14ac:dyDescent="0.25">
      <c r="A162" s="165" t="s">
        <v>107</v>
      </c>
      <c r="B162" s="168"/>
      <c r="C162" s="167"/>
      <c r="D162" s="167"/>
      <c r="E162" s="167">
        <v>389</v>
      </c>
      <c r="F162" s="167">
        <v>450</v>
      </c>
      <c r="G162" s="167">
        <v>450</v>
      </c>
      <c r="H162" s="167">
        <v>450</v>
      </c>
      <c r="I162" s="167">
        <v>450</v>
      </c>
      <c r="J162" s="167">
        <v>450</v>
      </c>
      <c r="K162" s="2"/>
    </row>
    <row r="163" spans="1:11" x14ac:dyDescent="0.2">
      <c r="A163" s="168" t="s">
        <v>886</v>
      </c>
      <c r="B163" s="168"/>
      <c r="C163" s="167"/>
      <c r="D163" s="167">
        <v>400</v>
      </c>
      <c r="E163" s="167"/>
      <c r="F163" s="167"/>
      <c r="G163" s="167"/>
      <c r="H163" s="167"/>
      <c r="I163" s="167"/>
      <c r="J163" s="167"/>
      <c r="K163" s="2"/>
    </row>
    <row r="164" spans="1:11" ht="15" x14ac:dyDescent="0.35">
      <c r="A164" s="168" t="s">
        <v>911</v>
      </c>
      <c r="B164" s="168"/>
      <c r="C164" s="171"/>
      <c r="D164" s="171">
        <v>50</v>
      </c>
      <c r="E164" s="167"/>
      <c r="F164" s="167"/>
      <c r="G164" s="167"/>
      <c r="H164" s="167"/>
      <c r="I164" s="167"/>
      <c r="J164" s="167"/>
      <c r="K164" s="2"/>
    </row>
    <row r="165" spans="1:11" x14ac:dyDescent="0.2">
      <c r="A165" s="168" t="s">
        <v>1086</v>
      </c>
      <c r="B165" s="168"/>
      <c r="C165" s="167"/>
      <c r="D165" s="167">
        <f>SUM(D163:D164)</f>
        <v>450</v>
      </c>
      <c r="E165" s="167"/>
      <c r="F165" s="167"/>
      <c r="G165" s="167"/>
      <c r="H165" s="167"/>
      <c r="I165" s="167"/>
      <c r="J165" s="167"/>
      <c r="K165" s="2"/>
    </row>
    <row r="166" spans="1:11" x14ac:dyDescent="0.2">
      <c r="A166" s="168"/>
      <c r="B166" s="168"/>
      <c r="C166" s="167"/>
      <c r="D166" s="167"/>
      <c r="E166" s="167"/>
      <c r="F166" s="167"/>
      <c r="G166" s="167"/>
      <c r="H166" s="167"/>
      <c r="I166" s="167"/>
      <c r="J166" s="167"/>
      <c r="K166" s="2"/>
    </row>
    <row r="167" spans="1:11" ht="13.5" x14ac:dyDescent="0.25">
      <c r="A167" s="165" t="s">
        <v>366</v>
      </c>
      <c r="B167" s="168"/>
      <c r="C167" s="167"/>
      <c r="D167" s="167"/>
      <c r="E167" s="167">
        <v>1789</v>
      </c>
      <c r="F167" s="167">
        <v>2000</v>
      </c>
      <c r="G167" s="167">
        <v>2000</v>
      </c>
      <c r="H167" s="167">
        <v>2000</v>
      </c>
      <c r="I167" s="167">
        <v>2000</v>
      </c>
      <c r="J167" s="167">
        <v>2000</v>
      </c>
      <c r="K167" s="2"/>
    </row>
    <row r="168" spans="1:11" x14ac:dyDescent="0.2">
      <c r="A168" s="168" t="s">
        <v>1345</v>
      </c>
      <c r="B168" s="168"/>
      <c r="C168" s="167"/>
      <c r="D168" s="167">
        <v>2000</v>
      </c>
      <c r="E168" s="167"/>
      <c r="F168" s="167"/>
      <c r="G168" s="167"/>
      <c r="H168" s="167"/>
      <c r="I168" s="167"/>
      <c r="J168" s="167"/>
      <c r="K168" s="2"/>
    </row>
    <row r="169" spans="1:11" x14ac:dyDescent="0.2">
      <c r="A169" s="168"/>
      <c r="B169" s="168"/>
      <c r="C169" s="167"/>
      <c r="D169" s="167"/>
      <c r="E169" s="167"/>
      <c r="F169" s="167"/>
      <c r="G169" s="167"/>
      <c r="H169" s="167"/>
      <c r="I169" s="167"/>
      <c r="J169" s="167"/>
      <c r="K169" s="2"/>
    </row>
    <row r="170" spans="1:11" ht="13.5" x14ac:dyDescent="0.25">
      <c r="A170" s="165" t="s">
        <v>658</v>
      </c>
      <c r="B170" s="168"/>
      <c r="C170" s="167"/>
      <c r="D170" s="167"/>
      <c r="E170" s="167">
        <v>57642</v>
      </c>
      <c r="F170" s="167">
        <v>49946</v>
      </c>
      <c r="G170" s="167">
        <v>47290</v>
      </c>
      <c r="H170" s="167">
        <v>47290</v>
      </c>
      <c r="I170" s="167">
        <v>47290</v>
      </c>
      <c r="J170" s="167">
        <v>47290</v>
      </c>
      <c r="K170" s="2"/>
    </row>
    <row r="171" spans="1:11" x14ac:dyDescent="0.2">
      <c r="A171" s="168" t="s">
        <v>1359</v>
      </c>
      <c r="B171" s="168"/>
      <c r="C171" s="167"/>
      <c r="D171" s="167">
        <v>3000</v>
      </c>
      <c r="E171" s="167"/>
      <c r="F171" s="167"/>
      <c r="G171" s="167"/>
      <c r="H171" s="167"/>
      <c r="I171" s="167"/>
      <c r="J171" s="167"/>
      <c r="K171" s="2"/>
    </row>
    <row r="172" spans="1:11" x14ac:dyDescent="0.2">
      <c r="A172" s="168" t="s">
        <v>1702</v>
      </c>
      <c r="B172" s="168"/>
      <c r="C172" s="167"/>
      <c r="D172" s="167">
        <v>720</v>
      </c>
      <c r="E172" s="167"/>
      <c r="F172" s="167"/>
      <c r="G172" s="167"/>
      <c r="H172" s="167"/>
      <c r="I172" s="167"/>
      <c r="J172" s="167"/>
      <c r="K172" s="2"/>
    </row>
    <row r="173" spans="1:11" x14ac:dyDescent="0.2">
      <c r="A173" s="168" t="s">
        <v>1703</v>
      </c>
      <c r="B173" s="168"/>
      <c r="C173" s="167"/>
      <c r="D173" s="167">
        <v>2370</v>
      </c>
      <c r="E173" s="167"/>
      <c r="F173" s="167"/>
      <c r="G173" s="167"/>
      <c r="H173" s="167"/>
      <c r="I173" s="167"/>
      <c r="J173" s="167"/>
      <c r="K173" s="2"/>
    </row>
    <row r="174" spans="1:11" x14ac:dyDescent="0.2">
      <c r="A174" s="168" t="s">
        <v>565</v>
      </c>
      <c r="B174" s="168"/>
      <c r="C174" s="167"/>
      <c r="D174" s="167">
        <v>3000</v>
      </c>
      <c r="E174" s="167"/>
      <c r="F174" s="167"/>
      <c r="G174" s="167"/>
      <c r="H174" s="167"/>
      <c r="I174" s="167"/>
      <c r="J174" s="167"/>
      <c r="K174" s="2"/>
    </row>
    <row r="175" spans="1:11" x14ac:dyDescent="0.2">
      <c r="A175" s="168" t="s">
        <v>1704</v>
      </c>
      <c r="B175" s="168"/>
      <c r="C175" s="167"/>
      <c r="D175" s="167">
        <v>2200</v>
      </c>
      <c r="E175" s="167"/>
      <c r="F175" s="167"/>
      <c r="G175" s="167"/>
      <c r="H175" s="167"/>
      <c r="I175" s="167"/>
      <c r="J175" s="167"/>
      <c r="K175" s="2"/>
    </row>
    <row r="176" spans="1:11" ht="15" x14ac:dyDescent="0.35">
      <c r="A176" s="182" t="s">
        <v>1360</v>
      </c>
      <c r="B176" s="168"/>
      <c r="C176" s="171"/>
      <c r="D176" s="231">
        <v>36000</v>
      </c>
      <c r="E176" s="167"/>
      <c r="F176" s="183"/>
      <c r="G176" s="183"/>
      <c r="H176" s="183"/>
      <c r="I176" s="183"/>
      <c r="J176" s="183"/>
      <c r="K176" s="2"/>
    </row>
    <row r="177" spans="1:11" x14ac:dyDescent="0.2">
      <c r="A177" s="168" t="s">
        <v>1086</v>
      </c>
      <c r="B177" s="168"/>
      <c r="C177" s="167"/>
      <c r="D177" s="167">
        <f>SUM(D171:D176)</f>
        <v>47290</v>
      </c>
      <c r="E177" s="167"/>
      <c r="F177" s="167"/>
      <c r="G177" s="167"/>
      <c r="H177" s="167"/>
      <c r="I177" s="167"/>
      <c r="J177" s="167"/>
      <c r="K177" s="2"/>
    </row>
    <row r="178" spans="1:11" x14ac:dyDescent="0.2">
      <c r="A178" s="168"/>
      <c r="B178" s="168"/>
      <c r="C178" s="167"/>
      <c r="D178" s="167"/>
      <c r="E178" s="167"/>
      <c r="F178" s="167"/>
      <c r="G178" s="167"/>
      <c r="H178" s="167"/>
      <c r="I178" s="167"/>
      <c r="J178" s="167"/>
      <c r="K178" s="2"/>
    </row>
    <row r="179" spans="1:11" ht="13.5" x14ac:dyDescent="0.25">
      <c r="A179" s="165" t="s">
        <v>140</v>
      </c>
      <c r="B179" s="168"/>
      <c r="C179" s="167"/>
      <c r="D179" s="167"/>
      <c r="E179" s="167">
        <v>12266</v>
      </c>
      <c r="F179" s="167">
        <v>7403</v>
      </c>
      <c r="G179" s="167">
        <v>14376</v>
      </c>
      <c r="H179" s="167">
        <v>14376</v>
      </c>
      <c r="I179" s="167">
        <v>14376</v>
      </c>
      <c r="J179" s="167">
        <v>14376</v>
      </c>
      <c r="K179" s="2"/>
    </row>
    <row r="180" spans="1:11" x14ac:dyDescent="0.2">
      <c r="A180" s="177" t="s">
        <v>1784</v>
      </c>
      <c r="B180" s="168"/>
      <c r="C180" s="167"/>
      <c r="D180" s="167">
        <v>120</v>
      </c>
      <c r="E180" s="167"/>
      <c r="F180" s="167"/>
      <c r="G180" s="167"/>
      <c r="H180" s="167"/>
      <c r="I180" s="167"/>
      <c r="J180" s="167"/>
      <c r="K180" s="2"/>
    </row>
    <row r="181" spans="1:11" x14ac:dyDescent="0.2">
      <c r="A181" s="168" t="s">
        <v>141</v>
      </c>
      <c r="B181" s="168"/>
      <c r="C181" s="167"/>
      <c r="D181" s="167">
        <v>150</v>
      </c>
      <c r="E181" s="167"/>
      <c r="F181" s="167"/>
      <c r="G181" s="167"/>
      <c r="H181" s="167"/>
      <c r="I181" s="167"/>
      <c r="J181" s="167"/>
      <c r="K181" s="2"/>
    </row>
    <row r="182" spans="1:11" x14ac:dyDescent="0.2">
      <c r="A182" s="168" t="s">
        <v>1705</v>
      </c>
      <c r="B182" s="168"/>
      <c r="C182" s="167"/>
      <c r="D182" s="167">
        <v>100</v>
      </c>
      <c r="E182" s="167"/>
      <c r="F182" s="167"/>
      <c r="G182" s="167"/>
      <c r="H182" s="167"/>
      <c r="I182" s="167"/>
      <c r="J182" s="167"/>
      <c r="K182" s="2"/>
    </row>
    <row r="183" spans="1:11" x14ac:dyDescent="0.2">
      <c r="A183" s="168" t="s">
        <v>1785</v>
      </c>
      <c r="B183" s="168"/>
      <c r="C183" s="167"/>
      <c r="D183" s="167">
        <v>400</v>
      </c>
      <c r="E183" s="167"/>
      <c r="F183" s="167"/>
      <c r="G183" s="167"/>
      <c r="H183" s="167"/>
      <c r="I183" s="167"/>
      <c r="J183" s="167"/>
      <c r="K183" s="2"/>
    </row>
    <row r="184" spans="1:11" x14ac:dyDescent="0.2">
      <c r="A184" s="168" t="s">
        <v>1361</v>
      </c>
      <c r="B184" s="168"/>
      <c r="C184" s="167"/>
      <c r="D184" s="167">
        <v>490</v>
      </c>
      <c r="E184" s="167"/>
      <c r="F184" s="167"/>
      <c r="G184" s="167"/>
      <c r="H184" s="167"/>
      <c r="I184" s="167"/>
      <c r="J184" s="167"/>
      <c r="K184" s="2"/>
    </row>
    <row r="185" spans="1:11" x14ac:dyDescent="0.2">
      <c r="A185" s="167" t="s">
        <v>1786</v>
      </c>
      <c r="B185" s="168"/>
      <c r="C185" s="167"/>
      <c r="D185" s="224">
        <v>150</v>
      </c>
      <c r="E185" s="167"/>
      <c r="F185" s="224"/>
      <c r="G185" s="224"/>
      <c r="H185" s="224"/>
      <c r="I185" s="253"/>
      <c r="J185" s="258"/>
      <c r="K185" s="2"/>
    </row>
    <row r="186" spans="1:11" x14ac:dyDescent="0.2">
      <c r="A186" s="168" t="s">
        <v>2147</v>
      </c>
      <c r="B186" s="168"/>
      <c r="C186" s="167"/>
      <c r="D186" s="167">
        <v>1020</v>
      </c>
      <c r="E186" s="167"/>
      <c r="F186" s="167"/>
      <c r="G186" s="167"/>
      <c r="H186" s="167"/>
      <c r="I186" s="167"/>
      <c r="J186" s="167"/>
      <c r="K186" s="2"/>
    </row>
    <row r="187" spans="1:11" x14ac:dyDescent="0.2">
      <c r="A187" s="168" t="s">
        <v>2000</v>
      </c>
      <c r="B187" s="168"/>
      <c r="C187" s="167"/>
      <c r="D187" s="167">
        <v>265</v>
      </c>
      <c r="E187" s="167"/>
      <c r="F187" s="167"/>
      <c r="G187" s="167"/>
      <c r="H187" s="167"/>
      <c r="I187" s="167"/>
      <c r="J187" s="167"/>
      <c r="K187" s="2"/>
    </row>
    <row r="188" spans="1:11" x14ac:dyDescent="0.2">
      <c r="A188" s="168" t="s">
        <v>2001</v>
      </c>
      <c r="B188" s="168"/>
      <c r="C188" s="167"/>
      <c r="D188" s="167">
        <v>4130</v>
      </c>
      <c r="E188" s="167"/>
      <c r="F188" s="167"/>
      <c r="G188" s="167"/>
      <c r="H188" s="167"/>
      <c r="I188" s="167"/>
      <c r="J188" s="167"/>
      <c r="K188" s="2"/>
    </row>
    <row r="189" spans="1:11" x14ac:dyDescent="0.2">
      <c r="A189" s="168" t="s">
        <v>613</v>
      </c>
      <c r="B189" s="168"/>
      <c r="C189" s="167"/>
      <c r="D189" s="167">
        <v>750</v>
      </c>
      <c r="E189" s="167"/>
      <c r="F189" s="167"/>
      <c r="G189" s="167"/>
      <c r="H189" s="167"/>
      <c r="I189" s="167"/>
      <c r="J189" s="167"/>
      <c r="K189" s="2"/>
    </row>
    <row r="190" spans="1:11" x14ac:dyDescent="0.2">
      <c r="A190" s="167" t="s">
        <v>1589</v>
      </c>
      <c r="B190" s="168"/>
      <c r="C190" s="167"/>
      <c r="D190" s="224">
        <v>950</v>
      </c>
      <c r="E190" s="167"/>
      <c r="F190" s="224"/>
      <c r="G190" s="224"/>
      <c r="H190" s="224"/>
      <c r="I190" s="253"/>
      <c r="J190" s="258"/>
      <c r="K190" s="2"/>
    </row>
    <row r="191" spans="1:11" x14ac:dyDescent="0.2">
      <c r="A191" s="167" t="s">
        <v>1787</v>
      </c>
      <c r="B191" s="168"/>
      <c r="C191" s="167"/>
      <c r="D191" s="224">
        <v>1400</v>
      </c>
      <c r="E191" s="167"/>
      <c r="F191" s="224"/>
      <c r="G191" s="224"/>
      <c r="H191" s="224"/>
      <c r="I191" s="253"/>
      <c r="J191" s="258"/>
      <c r="K191" s="2"/>
    </row>
    <row r="192" spans="1:11" x14ac:dyDescent="0.2">
      <c r="A192" s="167" t="s">
        <v>1902</v>
      </c>
      <c r="B192" s="168"/>
      <c r="C192" s="167"/>
      <c r="D192" s="224">
        <v>280</v>
      </c>
      <c r="E192" s="167"/>
      <c r="F192" s="224"/>
      <c r="G192" s="224"/>
      <c r="H192" s="224"/>
      <c r="I192" s="253"/>
      <c r="J192" s="258"/>
      <c r="K192" s="2"/>
    </row>
    <row r="193" spans="1:11" x14ac:dyDescent="0.2">
      <c r="A193" s="167" t="s">
        <v>2002</v>
      </c>
      <c r="B193" s="168"/>
      <c r="C193" s="167"/>
      <c r="D193" s="224">
        <v>2520</v>
      </c>
      <c r="E193" s="167"/>
      <c r="F193" s="224"/>
      <c r="G193" s="224"/>
      <c r="H193" s="224"/>
      <c r="I193" s="253"/>
      <c r="J193" s="258"/>
      <c r="K193" s="2"/>
    </row>
    <row r="194" spans="1:11" x14ac:dyDescent="0.2">
      <c r="A194" s="168" t="s">
        <v>390</v>
      </c>
      <c r="B194" s="168"/>
      <c r="C194" s="167"/>
      <c r="D194" s="167">
        <v>1</v>
      </c>
      <c r="E194" s="167"/>
      <c r="F194" s="167"/>
      <c r="G194" s="167"/>
      <c r="H194" s="167"/>
      <c r="I194" s="167"/>
      <c r="J194" s="167"/>
      <c r="K194" s="2"/>
    </row>
    <row r="195" spans="1:11" ht="15" x14ac:dyDescent="0.35">
      <c r="A195" s="168" t="s">
        <v>521</v>
      </c>
      <c r="B195" s="168"/>
      <c r="C195" s="171"/>
      <c r="D195" s="171">
        <v>1650</v>
      </c>
      <c r="E195" s="167"/>
      <c r="F195" s="167"/>
      <c r="G195" s="167"/>
      <c r="H195" s="167"/>
      <c r="I195" s="167"/>
      <c r="J195" s="167"/>
      <c r="K195" s="2"/>
    </row>
    <row r="196" spans="1:11" x14ac:dyDescent="0.2">
      <c r="A196" s="168" t="s">
        <v>1086</v>
      </c>
      <c r="B196" s="168"/>
      <c r="C196" s="167"/>
      <c r="D196" s="167">
        <f>SUM(D180:D195)</f>
        <v>14376</v>
      </c>
      <c r="E196" s="167"/>
      <c r="F196" s="167"/>
      <c r="G196" s="167"/>
      <c r="H196" s="167"/>
      <c r="I196" s="167"/>
      <c r="J196" s="167"/>
      <c r="K196" s="2"/>
    </row>
    <row r="197" spans="1:11" x14ac:dyDescent="0.2">
      <c r="A197" s="168"/>
      <c r="B197" s="168"/>
      <c r="C197" s="167"/>
      <c r="D197" s="167"/>
      <c r="E197" s="167"/>
      <c r="F197" s="167"/>
      <c r="G197" s="167"/>
      <c r="H197" s="167"/>
      <c r="I197" s="167"/>
      <c r="J197" s="167"/>
      <c r="K197" s="2"/>
    </row>
    <row r="198" spans="1:11" ht="13.5" x14ac:dyDescent="0.25">
      <c r="A198" s="165" t="s">
        <v>627</v>
      </c>
      <c r="B198" s="168"/>
      <c r="C198" s="167"/>
      <c r="D198" s="167"/>
      <c r="E198" s="167">
        <v>5959</v>
      </c>
      <c r="F198" s="184">
        <v>6200</v>
      </c>
      <c r="G198" s="184">
        <v>6200</v>
      </c>
      <c r="H198" s="184">
        <v>6200</v>
      </c>
      <c r="I198" s="184">
        <v>6200</v>
      </c>
      <c r="J198" s="184">
        <v>6200</v>
      </c>
      <c r="K198" s="2"/>
    </row>
    <row r="199" spans="1:11" x14ac:dyDescent="0.2">
      <c r="A199" s="168" t="s">
        <v>653</v>
      </c>
      <c r="B199" s="168"/>
      <c r="C199" s="167"/>
      <c r="D199" s="167">
        <v>1400</v>
      </c>
      <c r="E199" s="167"/>
      <c r="F199" s="167"/>
      <c r="G199" s="167"/>
      <c r="H199" s="167"/>
      <c r="I199" s="167"/>
      <c r="J199" s="167"/>
      <c r="K199" s="2"/>
    </row>
    <row r="200" spans="1:11" x14ac:dyDescent="0.2">
      <c r="A200" s="168" t="s">
        <v>352</v>
      </c>
      <c r="B200" s="168"/>
      <c r="C200" s="167"/>
      <c r="D200" s="167">
        <v>1400</v>
      </c>
      <c r="E200" s="167"/>
      <c r="F200" s="167"/>
      <c r="G200" s="167"/>
      <c r="H200" s="167"/>
      <c r="I200" s="167"/>
      <c r="J200" s="167"/>
      <c r="K200" s="2"/>
    </row>
    <row r="201" spans="1:11" ht="15" x14ac:dyDescent="0.35">
      <c r="A201" s="168" t="s">
        <v>1179</v>
      </c>
      <c r="B201" s="168"/>
      <c r="C201" s="171"/>
      <c r="D201" s="167">
        <v>2400</v>
      </c>
      <c r="E201" s="167"/>
      <c r="F201" s="167"/>
      <c r="G201" s="167"/>
      <c r="H201" s="167"/>
      <c r="I201" s="167"/>
      <c r="J201" s="167"/>
      <c r="K201" s="2"/>
    </row>
    <row r="202" spans="1:11" ht="15" x14ac:dyDescent="0.35">
      <c r="A202" s="168" t="s">
        <v>1903</v>
      </c>
      <c r="B202" s="168"/>
      <c r="C202" s="171"/>
      <c r="D202" s="171">
        <v>1000</v>
      </c>
      <c r="E202" s="167" t="s">
        <v>349</v>
      </c>
      <c r="F202" s="167"/>
      <c r="G202" s="167"/>
      <c r="H202" s="167"/>
      <c r="I202" s="167"/>
      <c r="J202" s="167"/>
      <c r="K202" s="2"/>
    </row>
    <row r="203" spans="1:11" x14ac:dyDescent="0.2">
      <c r="A203" s="168" t="s">
        <v>1086</v>
      </c>
      <c r="B203" s="168"/>
      <c r="C203" s="167"/>
      <c r="D203" s="167">
        <f>SUM(D199:D202)</f>
        <v>6200</v>
      </c>
      <c r="E203" s="167"/>
      <c r="F203" s="167"/>
      <c r="G203" s="167"/>
      <c r="H203" s="167"/>
      <c r="I203" s="167"/>
      <c r="J203" s="167"/>
      <c r="K203" s="2"/>
    </row>
    <row r="204" spans="1:11" x14ac:dyDescent="0.2">
      <c r="A204" s="168"/>
      <c r="B204" s="168"/>
      <c r="C204" s="167"/>
      <c r="D204" s="167"/>
      <c r="E204" s="167"/>
      <c r="F204" s="167"/>
      <c r="G204" s="167"/>
      <c r="H204" s="167"/>
      <c r="I204" s="167"/>
      <c r="J204" s="167"/>
      <c r="K204" s="2"/>
    </row>
    <row r="205" spans="1:11" ht="13.5" x14ac:dyDescent="0.25">
      <c r="A205" s="165" t="s">
        <v>1180</v>
      </c>
      <c r="B205" s="168"/>
      <c r="C205" s="167"/>
      <c r="D205" s="167"/>
      <c r="E205" s="167">
        <v>1345</v>
      </c>
      <c r="F205" s="167">
        <v>1500</v>
      </c>
      <c r="G205" s="167">
        <v>1500</v>
      </c>
      <c r="H205" s="167">
        <v>1500</v>
      </c>
      <c r="I205" s="167">
        <v>1500</v>
      </c>
      <c r="J205" s="167">
        <v>1500</v>
      </c>
      <c r="K205" s="2"/>
    </row>
    <row r="206" spans="1:11" x14ac:dyDescent="0.2">
      <c r="A206" s="168" t="s">
        <v>1547</v>
      </c>
      <c r="B206" s="168"/>
      <c r="C206" s="167"/>
      <c r="D206" s="167">
        <v>1500</v>
      </c>
      <c r="E206" s="167"/>
      <c r="F206" s="167"/>
      <c r="G206" s="167"/>
      <c r="H206" s="167"/>
      <c r="I206" s="167"/>
      <c r="J206" s="167"/>
      <c r="K206" s="2"/>
    </row>
    <row r="207" spans="1:11" x14ac:dyDescent="0.2">
      <c r="A207" s="168"/>
      <c r="B207" s="168"/>
      <c r="C207" s="167"/>
      <c r="D207" s="167"/>
      <c r="E207" s="167"/>
      <c r="F207" s="167"/>
      <c r="G207" s="167"/>
      <c r="H207" s="167"/>
      <c r="I207" s="167"/>
      <c r="J207" s="167"/>
      <c r="K207" s="2"/>
    </row>
    <row r="208" spans="1:11" ht="13.5" x14ac:dyDescent="0.25">
      <c r="A208" s="165" t="s">
        <v>507</v>
      </c>
      <c r="B208" s="168"/>
      <c r="C208" s="167"/>
      <c r="D208" s="167"/>
      <c r="E208" s="167">
        <v>106473</v>
      </c>
      <c r="F208" s="167">
        <v>114008</v>
      </c>
      <c r="G208" s="167">
        <v>125558</v>
      </c>
      <c r="H208" s="167">
        <v>125558</v>
      </c>
      <c r="I208" s="167">
        <v>125558</v>
      </c>
      <c r="J208" s="167">
        <v>125558</v>
      </c>
      <c r="K208" s="2"/>
    </row>
    <row r="209" spans="1:11" x14ac:dyDescent="0.2">
      <c r="A209" s="168" t="s">
        <v>1443</v>
      </c>
      <c r="B209" s="168"/>
      <c r="C209" s="167"/>
      <c r="D209" s="167">
        <v>12000</v>
      </c>
      <c r="E209" s="167" t="s">
        <v>349</v>
      </c>
      <c r="F209" s="167" t="s">
        <v>349</v>
      </c>
      <c r="G209" s="167"/>
      <c r="H209" s="167"/>
      <c r="I209" s="167"/>
      <c r="J209" s="167"/>
      <c r="K209" s="2"/>
    </row>
    <row r="210" spans="1:11" x14ac:dyDescent="0.2">
      <c r="A210" s="168" t="s">
        <v>1444</v>
      </c>
      <c r="B210" s="168"/>
      <c r="C210" s="167"/>
      <c r="D210" s="167">
        <v>8000</v>
      </c>
      <c r="E210" s="167"/>
      <c r="F210" s="167"/>
      <c r="G210" s="167"/>
      <c r="H210" s="167"/>
      <c r="I210" s="167"/>
      <c r="J210" s="167"/>
      <c r="K210" s="2"/>
    </row>
    <row r="211" spans="1:11" x14ac:dyDescent="0.2">
      <c r="A211" s="168" t="s">
        <v>2003</v>
      </c>
      <c r="B211" s="168"/>
      <c r="C211" s="167"/>
      <c r="D211" s="167">
        <v>1300</v>
      </c>
      <c r="E211" s="167"/>
      <c r="F211" s="167"/>
      <c r="G211" s="167"/>
      <c r="H211" s="167"/>
      <c r="I211" s="167"/>
      <c r="J211" s="167"/>
      <c r="K211" s="2"/>
    </row>
    <row r="212" spans="1:11" x14ac:dyDescent="0.2">
      <c r="A212" s="168" t="s">
        <v>2004</v>
      </c>
      <c r="B212" s="168"/>
      <c r="C212" s="167"/>
      <c r="D212" s="167">
        <v>3478</v>
      </c>
      <c r="E212" s="167"/>
      <c r="F212" s="167"/>
      <c r="G212" s="167"/>
      <c r="H212" s="167"/>
      <c r="I212" s="167"/>
      <c r="J212" s="167"/>
      <c r="K212" s="2"/>
    </row>
    <row r="213" spans="1:11" x14ac:dyDescent="0.2">
      <c r="A213" s="168" t="s">
        <v>2005</v>
      </c>
      <c r="B213" s="168"/>
      <c r="C213" s="167"/>
      <c r="D213" s="167">
        <v>1000</v>
      </c>
      <c r="E213" s="167"/>
      <c r="F213" s="167"/>
      <c r="G213" s="167"/>
      <c r="H213" s="167"/>
      <c r="I213" s="167"/>
      <c r="J213" s="167"/>
      <c r="K213" s="2"/>
    </row>
    <row r="214" spans="1:11" x14ac:dyDescent="0.2">
      <c r="A214" s="168" t="s">
        <v>226</v>
      </c>
      <c r="B214" s="168"/>
      <c r="C214" s="167"/>
      <c r="D214" s="167">
        <v>2500</v>
      </c>
      <c r="E214" s="167"/>
      <c r="F214" s="167"/>
      <c r="G214" s="167"/>
      <c r="H214" s="167"/>
      <c r="I214" s="167"/>
      <c r="J214" s="167"/>
      <c r="K214" s="2"/>
    </row>
    <row r="215" spans="1:11" x14ac:dyDescent="0.2">
      <c r="A215" s="168" t="s">
        <v>1445</v>
      </c>
      <c r="B215" s="168"/>
      <c r="C215" s="167"/>
      <c r="D215" s="167">
        <v>3000</v>
      </c>
      <c r="E215" s="167"/>
      <c r="F215" s="167"/>
      <c r="G215" s="167"/>
      <c r="H215" s="167"/>
      <c r="I215" s="167"/>
      <c r="J215" s="167"/>
      <c r="K215" s="2"/>
    </row>
    <row r="216" spans="1:11" x14ac:dyDescent="0.2">
      <c r="A216" s="168" t="s">
        <v>1904</v>
      </c>
      <c r="B216" s="168"/>
      <c r="C216" s="167"/>
      <c r="D216" s="167">
        <v>4500</v>
      </c>
      <c r="E216" s="167"/>
      <c r="F216" s="167"/>
      <c r="G216" s="167"/>
      <c r="H216" s="167"/>
      <c r="I216" s="167"/>
      <c r="J216" s="167"/>
      <c r="K216" s="2"/>
    </row>
    <row r="217" spans="1:11" x14ac:dyDescent="0.2">
      <c r="A217" s="168" t="s">
        <v>1446</v>
      </c>
      <c r="B217" s="168"/>
      <c r="C217" s="167"/>
      <c r="D217" s="167">
        <v>2000</v>
      </c>
      <c r="E217" s="167"/>
      <c r="F217" s="167"/>
      <c r="G217" s="167"/>
      <c r="H217" s="167"/>
      <c r="I217" s="167"/>
      <c r="J217" s="167"/>
      <c r="K217" s="2"/>
    </row>
    <row r="218" spans="1:11" x14ac:dyDescent="0.2">
      <c r="A218" s="168" t="s">
        <v>1447</v>
      </c>
      <c r="B218" s="168"/>
      <c r="C218" s="167"/>
      <c r="D218" s="167">
        <v>1000</v>
      </c>
      <c r="E218" s="167"/>
      <c r="F218" s="167"/>
      <c r="G218" s="167"/>
      <c r="H218" s="167"/>
      <c r="I218" s="167"/>
      <c r="J218" s="167"/>
      <c r="K218" s="2"/>
    </row>
    <row r="219" spans="1:11" x14ac:dyDescent="0.2">
      <c r="A219" s="168" t="s">
        <v>2006</v>
      </c>
      <c r="B219" s="168"/>
      <c r="C219" s="167"/>
      <c r="D219" s="167">
        <v>32000</v>
      </c>
      <c r="E219" s="167"/>
      <c r="F219" s="167"/>
      <c r="G219" s="167"/>
      <c r="H219" s="167"/>
      <c r="I219" s="167"/>
      <c r="J219" s="167"/>
      <c r="K219" s="2"/>
    </row>
    <row r="220" spans="1:11" x14ac:dyDescent="0.2">
      <c r="A220" s="168" t="s">
        <v>2007</v>
      </c>
      <c r="B220" s="168"/>
      <c r="C220" s="167"/>
      <c r="D220" s="167">
        <v>1500</v>
      </c>
      <c r="E220" s="167"/>
      <c r="F220" s="167"/>
      <c r="G220" s="167"/>
      <c r="H220" s="167"/>
      <c r="I220" s="167"/>
      <c r="J220" s="167"/>
      <c r="K220" s="2"/>
    </row>
    <row r="221" spans="1:11" x14ac:dyDescent="0.2">
      <c r="A221" s="168" t="s">
        <v>2008</v>
      </c>
      <c r="B221" s="168"/>
      <c r="C221" s="224"/>
      <c r="D221" s="167">
        <v>15000</v>
      </c>
      <c r="E221" s="167"/>
      <c r="F221" s="167"/>
      <c r="G221" s="167"/>
      <c r="H221" s="167"/>
      <c r="I221" s="167"/>
      <c r="J221" s="167"/>
      <c r="K221" s="2"/>
    </row>
    <row r="222" spans="1:11" x14ac:dyDescent="0.2">
      <c r="A222" s="168" t="s">
        <v>1788</v>
      </c>
      <c r="B222" s="167"/>
      <c r="C222" s="167"/>
      <c r="D222" s="167">
        <v>5000</v>
      </c>
      <c r="E222" s="167"/>
      <c r="F222" s="167"/>
      <c r="G222" s="167"/>
      <c r="H222" s="167"/>
      <c r="I222" s="167"/>
      <c r="J222" s="167"/>
      <c r="K222" s="2"/>
    </row>
    <row r="223" spans="1:11" x14ac:dyDescent="0.2">
      <c r="A223" s="168" t="s">
        <v>1536</v>
      </c>
      <c r="B223" s="167"/>
      <c r="C223" s="167"/>
      <c r="D223" s="167">
        <v>7200</v>
      </c>
      <c r="E223" s="167"/>
      <c r="F223" s="167" t="s">
        <v>349</v>
      </c>
      <c r="G223" s="167"/>
      <c r="H223" s="167"/>
      <c r="I223" s="167"/>
      <c r="J223" s="167"/>
      <c r="K223" s="2"/>
    </row>
    <row r="224" spans="1:11" x14ac:dyDescent="0.2">
      <c r="A224" s="168" t="s">
        <v>654</v>
      </c>
      <c r="B224" s="167"/>
      <c r="C224" s="167"/>
      <c r="D224" s="167">
        <v>7080</v>
      </c>
      <c r="E224" s="167"/>
      <c r="F224" s="167"/>
      <c r="G224" s="167"/>
      <c r="H224" s="167"/>
      <c r="I224" s="167"/>
      <c r="J224" s="167"/>
      <c r="K224" s="2"/>
    </row>
    <row r="225" spans="1:11" x14ac:dyDescent="0.2">
      <c r="A225" s="168" t="s">
        <v>2009</v>
      </c>
      <c r="B225" s="167"/>
      <c r="C225" s="167"/>
      <c r="D225" s="167">
        <v>900</v>
      </c>
      <c r="E225" s="167"/>
      <c r="F225" s="167"/>
      <c r="G225" s="167"/>
      <c r="H225" s="167"/>
      <c r="I225" s="167"/>
      <c r="J225" s="167"/>
      <c r="K225" s="2"/>
    </row>
    <row r="226" spans="1:11" x14ac:dyDescent="0.2">
      <c r="A226" s="168" t="s">
        <v>1448</v>
      </c>
      <c r="B226" s="167"/>
      <c r="C226" s="167"/>
      <c r="D226" s="167">
        <v>700</v>
      </c>
      <c r="E226" s="167" t="s">
        <v>349</v>
      </c>
      <c r="F226" s="167"/>
      <c r="G226" s="167"/>
      <c r="H226" s="167"/>
      <c r="I226" s="167"/>
      <c r="J226" s="167"/>
      <c r="K226" s="2"/>
    </row>
    <row r="227" spans="1:11" x14ac:dyDescent="0.2">
      <c r="A227" s="168" t="s">
        <v>1449</v>
      </c>
      <c r="B227" s="167"/>
      <c r="C227" s="167"/>
      <c r="D227" s="167">
        <v>2000</v>
      </c>
      <c r="E227" s="167"/>
      <c r="F227" s="167"/>
      <c r="G227" s="167"/>
      <c r="H227" s="167"/>
      <c r="I227" s="167"/>
      <c r="J227" s="167"/>
      <c r="K227" s="2"/>
    </row>
    <row r="228" spans="1:11" x14ac:dyDescent="0.2">
      <c r="A228" s="168" t="s">
        <v>1706</v>
      </c>
      <c r="B228" s="167"/>
      <c r="C228" s="167"/>
      <c r="D228" s="167">
        <v>3000</v>
      </c>
      <c r="E228" s="167"/>
      <c r="F228" s="167"/>
      <c r="G228" s="167"/>
      <c r="H228" s="167"/>
      <c r="I228" s="167"/>
      <c r="J228" s="167"/>
      <c r="K228" s="2"/>
    </row>
    <row r="229" spans="1:11" ht="15" x14ac:dyDescent="0.35">
      <c r="A229" s="168" t="s">
        <v>1707</v>
      </c>
      <c r="B229" s="171"/>
      <c r="C229" s="171"/>
      <c r="D229" s="167">
        <v>4400</v>
      </c>
      <c r="E229" s="167" t="s">
        <v>349</v>
      </c>
      <c r="F229" s="167"/>
      <c r="G229" s="167"/>
      <c r="H229" s="167"/>
      <c r="I229" s="167"/>
      <c r="J229" s="167"/>
      <c r="K229" s="2"/>
    </row>
    <row r="230" spans="1:11" ht="15" x14ac:dyDescent="0.35">
      <c r="A230" s="168" t="s">
        <v>1957</v>
      </c>
      <c r="B230" s="171"/>
      <c r="C230" s="171"/>
      <c r="D230" s="167">
        <v>6000</v>
      </c>
      <c r="E230" s="167"/>
      <c r="F230" s="167"/>
      <c r="G230" s="167"/>
      <c r="H230" s="167"/>
      <c r="I230" s="167"/>
      <c r="J230" s="167"/>
      <c r="K230" s="2"/>
    </row>
    <row r="231" spans="1:11" ht="15" x14ac:dyDescent="0.35">
      <c r="A231" s="168" t="s">
        <v>1958</v>
      </c>
      <c r="B231" s="168" t="s">
        <v>349</v>
      </c>
      <c r="C231" s="171"/>
      <c r="D231" s="171">
        <v>2000</v>
      </c>
      <c r="E231" s="167"/>
      <c r="F231" s="167"/>
      <c r="G231" s="167"/>
      <c r="H231" s="167"/>
      <c r="I231" s="167"/>
      <c r="J231" s="167"/>
      <c r="K231" s="2"/>
    </row>
    <row r="232" spans="1:11" x14ac:dyDescent="0.2">
      <c r="A232" s="168" t="s">
        <v>1362</v>
      </c>
      <c r="B232" s="168"/>
      <c r="C232" s="167"/>
      <c r="D232" s="167">
        <f>SUM(D209:D231)</f>
        <v>125558</v>
      </c>
      <c r="E232" s="167"/>
      <c r="F232" s="167"/>
      <c r="G232" s="167"/>
      <c r="H232" s="167"/>
      <c r="I232" s="167"/>
      <c r="J232" s="167"/>
      <c r="K232" s="2"/>
    </row>
    <row r="233" spans="1:11" x14ac:dyDescent="0.2">
      <c r="A233" s="168"/>
      <c r="B233" s="168"/>
      <c r="C233" s="167"/>
      <c r="D233" s="167"/>
      <c r="E233" s="167"/>
      <c r="F233" s="167"/>
      <c r="G233" s="167"/>
      <c r="H233" s="167"/>
      <c r="I233" s="167"/>
      <c r="J233" s="167"/>
      <c r="K233" s="2"/>
    </row>
    <row r="234" spans="1:11" ht="13.5" x14ac:dyDescent="0.25">
      <c r="A234" s="165" t="s">
        <v>228</v>
      </c>
      <c r="B234" s="168"/>
      <c r="C234" s="167"/>
      <c r="D234" s="167"/>
      <c r="E234" s="167"/>
      <c r="F234" s="167"/>
      <c r="G234" s="167"/>
      <c r="H234" s="167"/>
      <c r="I234" s="167"/>
      <c r="J234" s="167"/>
      <c r="K234" s="2"/>
    </row>
    <row r="235" spans="1:11" x14ac:dyDescent="0.2">
      <c r="A235" s="168" t="s">
        <v>110</v>
      </c>
      <c r="B235" s="168"/>
      <c r="C235" s="167"/>
      <c r="D235" s="167">
        <v>0</v>
      </c>
      <c r="E235" s="167">
        <v>0</v>
      </c>
      <c r="F235" s="167">
        <v>0</v>
      </c>
      <c r="G235" s="167">
        <v>0</v>
      </c>
      <c r="H235" s="167">
        <v>0</v>
      </c>
      <c r="I235" s="167">
        <v>0</v>
      </c>
      <c r="J235" s="167">
        <v>0</v>
      </c>
      <c r="K235" s="2"/>
    </row>
    <row r="236" spans="1:11" x14ac:dyDescent="0.2">
      <c r="A236" s="168"/>
      <c r="B236" s="168"/>
      <c r="C236" s="167"/>
      <c r="D236" s="167"/>
      <c r="E236" s="167"/>
      <c r="F236" s="167"/>
      <c r="G236" s="167"/>
      <c r="H236" s="167"/>
      <c r="I236" s="167"/>
      <c r="J236" s="167"/>
      <c r="K236" s="2"/>
    </row>
    <row r="237" spans="1:11" ht="13.5" x14ac:dyDescent="0.25">
      <c r="A237" s="165" t="s">
        <v>394</v>
      </c>
      <c r="B237" s="168"/>
      <c r="C237" s="167"/>
      <c r="D237" s="167"/>
      <c r="E237" s="167">
        <v>9813</v>
      </c>
      <c r="F237" s="167">
        <v>2000</v>
      </c>
      <c r="G237" s="167">
        <v>2000</v>
      </c>
      <c r="H237" s="167">
        <v>2000</v>
      </c>
      <c r="I237" s="167">
        <v>2000</v>
      </c>
      <c r="J237" s="167">
        <v>2000</v>
      </c>
      <c r="K237" s="2"/>
    </row>
    <row r="238" spans="1:11" x14ac:dyDescent="0.2">
      <c r="A238" s="168" t="s">
        <v>220</v>
      </c>
      <c r="B238" s="168"/>
      <c r="C238" s="167"/>
      <c r="D238" s="167">
        <v>2000</v>
      </c>
      <c r="E238" s="167"/>
      <c r="F238" s="167"/>
      <c r="G238" s="167"/>
      <c r="H238" s="167"/>
      <c r="I238" s="167"/>
      <c r="J238" s="167"/>
      <c r="K238" s="2"/>
    </row>
    <row r="239" spans="1:11" x14ac:dyDescent="0.2">
      <c r="A239" s="168"/>
      <c r="B239" s="168"/>
      <c r="C239" s="167"/>
      <c r="D239" s="167"/>
      <c r="E239" s="167"/>
      <c r="F239" s="167"/>
      <c r="G239" s="167"/>
      <c r="H239" s="167"/>
      <c r="I239" s="167"/>
      <c r="J239" s="167"/>
      <c r="K239" s="2"/>
    </row>
    <row r="240" spans="1:11" ht="13.5" x14ac:dyDescent="0.25">
      <c r="A240" s="165" t="s">
        <v>1193</v>
      </c>
      <c r="B240" s="168"/>
      <c r="C240" s="167"/>
      <c r="D240" s="167"/>
      <c r="E240" s="167">
        <v>75000</v>
      </c>
      <c r="F240" s="167">
        <v>75000</v>
      </c>
      <c r="G240" s="167">
        <v>75000</v>
      </c>
      <c r="H240" s="167">
        <v>75000</v>
      </c>
      <c r="I240" s="167">
        <v>75000</v>
      </c>
      <c r="J240" s="167">
        <v>75000</v>
      </c>
      <c r="K240" s="2"/>
    </row>
    <row r="241" spans="1:11" x14ac:dyDescent="0.2">
      <c r="A241" s="168" t="s">
        <v>44</v>
      </c>
      <c r="B241" s="168"/>
      <c r="C241" s="167"/>
      <c r="D241" s="167">
        <v>75000</v>
      </c>
      <c r="E241" s="167"/>
      <c r="F241" s="167"/>
      <c r="G241" s="167"/>
      <c r="H241" s="167"/>
      <c r="I241" s="167"/>
      <c r="J241" s="167"/>
      <c r="K241" s="2"/>
    </row>
    <row r="242" spans="1:11" x14ac:dyDescent="0.2">
      <c r="A242" s="168"/>
      <c r="B242" s="168"/>
      <c r="C242" s="167"/>
      <c r="D242" s="167"/>
      <c r="E242" s="167"/>
      <c r="F242" s="167"/>
      <c r="G242" s="167"/>
      <c r="H242" s="167"/>
      <c r="I242" s="167"/>
      <c r="J242" s="167"/>
      <c r="K242" s="2"/>
    </row>
    <row r="243" spans="1:11" ht="13.5" x14ac:dyDescent="0.25">
      <c r="A243" s="176" t="s">
        <v>1397</v>
      </c>
      <c r="B243" s="185" t="s">
        <v>1759</v>
      </c>
      <c r="C243" s="185" t="s">
        <v>1857</v>
      </c>
      <c r="D243" s="185" t="s">
        <v>1966</v>
      </c>
      <c r="E243" s="161">
        <v>59517</v>
      </c>
      <c r="F243" s="161">
        <v>0</v>
      </c>
      <c r="G243" s="161">
        <v>0</v>
      </c>
      <c r="H243" s="161" t="s">
        <v>349</v>
      </c>
      <c r="I243" s="161">
        <v>0</v>
      </c>
      <c r="J243" s="161">
        <v>0</v>
      </c>
      <c r="K243" s="2"/>
    </row>
    <row r="244" spans="1:11" x14ac:dyDescent="0.2">
      <c r="A244" s="168"/>
      <c r="B244" s="167">
        <v>75000</v>
      </c>
      <c r="C244" s="167">
        <v>0</v>
      </c>
      <c r="D244" s="167">
        <v>0</v>
      </c>
      <c r="E244" s="186"/>
      <c r="F244" s="186"/>
      <c r="G244" s="186"/>
      <c r="H244" s="186"/>
      <c r="I244" s="186"/>
      <c r="J244" s="186"/>
      <c r="K244" s="2"/>
    </row>
    <row r="245" spans="1:11" hidden="1" x14ac:dyDescent="0.2">
      <c r="A245" s="168" t="s">
        <v>1086</v>
      </c>
      <c r="B245" s="167">
        <f>SUM(B244:B244)</f>
        <v>75000</v>
      </c>
      <c r="C245" s="167">
        <f>SUM(C244:C244)</f>
        <v>0</v>
      </c>
      <c r="D245" s="167">
        <f>SUM(D244:D244)</f>
        <v>0</v>
      </c>
      <c r="E245" s="167"/>
      <c r="F245" s="167"/>
      <c r="G245" s="167"/>
      <c r="H245" s="167"/>
      <c r="I245" s="167"/>
      <c r="J245" s="167"/>
      <c r="K245" s="2"/>
    </row>
    <row r="246" spans="1:11" x14ac:dyDescent="0.2">
      <c r="A246" s="168" t="s">
        <v>1905</v>
      </c>
      <c r="B246" s="168"/>
      <c r="C246" s="167"/>
      <c r="D246" s="167"/>
      <c r="E246" s="167">
        <f>SUM(E6:E245)</f>
        <v>1176467</v>
      </c>
      <c r="F246" s="167">
        <f>SUM(F6:F245)</f>
        <v>1213912.3658314284</v>
      </c>
      <c r="G246" s="167">
        <f>SUM(G6:G244)</f>
        <v>1212155.5017440002</v>
      </c>
      <c r="H246" s="167">
        <f>SUM(H6:H244)</f>
        <v>1212155.5017440002</v>
      </c>
      <c r="I246" s="167">
        <f>SUM(I6:I244)</f>
        <v>1212155.5017440002</v>
      </c>
      <c r="J246" s="167">
        <f>SUM(J6:J244)</f>
        <v>1212155.5017440002</v>
      </c>
      <c r="K246" s="2"/>
    </row>
    <row r="247" spans="1:11" x14ac:dyDescent="0.2">
      <c r="A247" s="188" t="s">
        <v>1190</v>
      </c>
      <c r="B247" s="168"/>
      <c r="C247" s="167"/>
      <c r="D247" s="167"/>
      <c r="E247" s="167">
        <v>11000</v>
      </c>
      <c r="F247" s="167">
        <v>11000</v>
      </c>
      <c r="G247" s="167">
        <f>8000+900+1300+1800</f>
        <v>12000</v>
      </c>
      <c r="H247" s="167">
        <f>8000+900+1300+1800</f>
        <v>12000</v>
      </c>
      <c r="I247" s="167">
        <v>12000</v>
      </c>
      <c r="J247" s="167">
        <v>12000</v>
      </c>
      <c r="K247" s="2"/>
    </row>
    <row r="248" spans="1:11" ht="15" x14ac:dyDescent="0.35">
      <c r="A248" s="168" t="s">
        <v>1505</v>
      </c>
      <c r="B248" s="168"/>
      <c r="C248" s="167"/>
      <c r="D248" s="167"/>
      <c r="E248" s="171"/>
      <c r="F248" s="171"/>
      <c r="G248" s="171"/>
      <c r="H248" s="171"/>
      <c r="I248" s="171"/>
      <c r="J248" s="171"/>
      <c r="K248" s="2"/>
    </row>
    <row r="249" spans="1:11" x14ac:dyDescent="0.2">
      <c r="A249" s="168"/>
      <c r="B249" s="168"/>
      <c r="C249" s="167"/>
      <c r="D249" s="167"/>
      <c r="E249" s="167"/>
      <c r="F249" s="167"/>
      <c r="G249" s="167"/>
      <c r="H249" s="167"/>
      <c r="I249" s="167"/>
      <c r="J249" s="167"/>
      <c r="K249" s="2"/>
    </row>
    <row r="250" spans="1:11" x14ac:dyDescent="0.2">
      <c r="A250" s="168" t="s">
        <v>1189</v>
      </c>
      <c r="B250" s="168"/>
      <c r="C250" s="167"/>
      <c r="D250" s="167"/>
      <c r="E250" s="167">
        <f t="shared" ref="E250:J250" si="4">+E246-E251+E248</f>
        <v>1165467</v>
      </c>
      <c r="F250" s="167">
        <f t="shared" si="4"/>
        <v>1202912.3658314284</v>
      </c>
      <c r="G250" s="167">
        <f t="shared" si="4"/>
        <v>1200155.5017440002</v>
      </c>
      <c r="H250" s="167">
        <f t="shared" ref="H250" si="5">+H246-H251+H248</f>
        <v>1200155.5017440002</v>
      </c>
      <c r="I250" s="167">
        <f t="shared" si="4"/>
        <v>1200155.5017440002</v>
      </c>
      <c r="J250" s="167">
        <f t="shared" si="4"/>
        <v>1200155.5017440002</v>
      </c>
      <c r="K250" s="2"/>
    </row>
    <row r="251" spans="1:11" x14ac:dyDescent="0.2">
      <c r="A251" s="168" t="s">
        <v>1190</v>
      </c>
      <c r="B251" s="168"/>
      <c r="C251" s="167"/>
      <c r="D251" s="167"/>
      <c r="E251" s="167">
        <f>SUM(E247:E247)</f>
        <v>11000</v>
      </c>
      <c r="F251" s="167">
        <f>SUM(F247:F247)</f>
        <v>11000</v>
      </c>
      <c r="G251" s="167">
        <f>SUM(G247:G247)</f>
        <v>12000</v>
      </c>
      <c r="H251" s="167">
        <f>SUM(H247:H247)</f>
        <v>12000</v>
      </c>
      <c r="I251" s="167">
        <f t="shared" ref="I251:J251" si="6">SUM(I247:I247)</f>
        <v>12000</v>
      </c>
      <c r="J251" s="167">
        <f t="shared" si="6"/>
        <v>12000</v>
      </c>
      <c r="K251" s="2"/>
    </row>
    <row r="252" spans="1:11" x14ac:dyDescent="0.2">
      <c r="A252" s="168"/>
      <c r="B252" s="168"/>
      <c r="C252" s="168"/>
      <c r="D252" s="168"/>
      <c r="E252" s="168"/>
      <c r="F252" s="168"/>
      <c r="G252" s="167"/>
      <c r="H252" s="167"/>
      <c r="I252" s="167"/>
      <c r="J252" s="167"/>
      <c r="K252" s="2"/>
    </row>
    <row r="253" spans="1:11" x14ac:dyDescent="0.2">
      <c r="A253" s="168" t="s">
        <v>523</v>
      </c>
      <c r="B253" s="168"/>
      <c r="C253" s="168"/>
      <c r="D253" s="168"/>
      <c r="E253" s="167">
        <f>SUM(E6:E94)</f>
        <v>768678</v>
      </c>
      <c r="F253" s="167">
        <f>SUM(F6:F94)</f>
        <v>874733.36583142844</v>
      </c>
      <c r="G253" s="167">
        <f>SUM(G6:G95)</f>
        <v>860472.50174400012</v>
      </c>
      <c r="H253" s="167">
        <f>SUM(H6:H95)</f>
        <v>860472.50174400012</v>
      </c>
      <c r="I253" s="167">
        <f>SUM(I6:I95)</f>
        <v>860472.50174400012</v>
      </c>
      <c r="J253" s="167">
        <f>SUM(J6:J95)</f>
        <v>860472.50174400012</v>
      </c>
      <c r="K253" s="2"/>
    </row>
    <row r="254" spans="1:11" x14ac:dyDescent="0.2">
      <c r="A254" s="168" t="s">
        <v>818</v>
      </c>
      <c r="B254" s="168"/>
      <c r="C254" s="168"/>
      <c r="D254" s="168"/>
      <c r="E254" s="167">
        <f>SUM(E96:E227)</f>
        <v>263459</v>
      </c>
      <c r="F254" s="167">
        <f>SUM(F96:F232)</f>
        <v>262179</v>
      </c>
      <c r="G254" s="167">
        <f>SUM(G96:G232)</f>
        <v>274683</v>
      </c>
      <c r="H254" s="167">
        <f>SUM(H96:H232)</f>
        <v>274683</v>
      </c>
      <c r="I254" s="167">
        <f>SUM(I96:I232)</f>
        <v>274683</v>
      </c>
      <c r="J254" s="167">
        <f>SUM(J96:J232)</f>
        <v>274683</v>
      </c>
      <c r="K254" s="2"/>
    </row>
    <row r="255" spans="1:11" ht="15" x14ac:dyDescent="0.35">
      <c r="A255" s="168" t="s">
        <v>819</v>
      </c>
      <c r="B255" s="168"/>
      <c r="C255" s="168"/>
      <c r="D255" s="168"/>
      <c r="E255" s="171">
        <f>SUM(E235:E244)</f>
        <v>144330</v>
      </c>
      <c r="F255" s="171">
        <f>SUM(F234:F244)</f>
        <v>77000</v>
      </c>
      <c r="G255" s="171">
        <f>SUM(G234:G244)</f>
        <v>77000</v>
      </c>
      <c r="H255" s="171">
        <f>SUM(H234:H244)</f>
        <v>77000</v>
      </c>
      <c r="I255" s="171">
        <f>SUM(I234:I244)</f>
        <v>77000</v>
      </c>
      <c r="J255" s="171">
        <f>SUM(J234:J244)</f>
        <v>77000</v>
      </c>
      <c r="K255" s="2"/>
    </row>
    <row r="256" spans="1:11" x14ac:dyDescent="0.2">
      <c r="A256" s="188" t="s">
        <v>1362</v>
      </c>
      <c r="B256" s="188"/>
      <c r="C256" s="188"/>
      <c r="D256" s="188"/>
      <c r="E256" s="187">
        <f t="shared" ref="E256:J256" si="7">SUM(E253:E255)</f>
        <v>1176467</v>
      </c>
      <c r="F256" s="187">
        <f t="shared" si="7"/>
        <v>1213912.3658314284</v>
      </c>
      <c r="G256" s="187">
        <f t="shared" si="7"/>
        <v>1212155.5017440002</v>
      </c>
      <c r="H256" s="187">
        <f t="shared" ref="H256" si="8">SUM(H253:H255)</f>
        <v>1212155.5017440002</v>
      </c>
      <c r="I256" s="187">
        <f t="shared" si="7"/>
        <v>1212155.5017440002</v>
      </c>
      <c r="J256" s="187">
        <f t="shared" si="7"/>
        <v>1212155.5017440002</v>
      </c>
      <c r="K256" s="2"/>
    </row>
    <row r="257" spans="1:11" x14ac:dyDescent="0.2">
      <c r="A257" s="81"/>
      <c r="B257" s="81"/>
      <c r="C257" s="81"/>
      <c r="D257" s="81"/>
      <c r="E257" s="81"/>
      <c r="F257" s="81"/>
      <c r="G257" s="80"/>
      <c r="H257" s="80"/>
      <c r="I257" s="80"/>
      <c r="J257" s="80"/>
      <c r="K257" s="2"/>
    </row>
    <row r="258" spans="1:11" x14ac:dyDescent="0.2">
      <c r="A258" s="55"/>
      <c r="B258" s="55"/>
      <c r="C258" s="55"/>
      <c r="I258" s="2"/>
      <c r="K258" s="2"/>
    </row>
    <row r="259" spans="1:11" x14ac:dyDescent="0.2">
      <c r="A259" s="55"/>
      <c r="B259" s="55"/>
      <c r="C259" s="55"/>
      <c r="I259" s="2"/>
      <c r="K259" s="2"/>
    </row>
    <row r="260" spans="1:11" x14ac:dyDescent="0.2">
      <c r="A260" s="55"/>
      <c r="B260" s="55"/>
      <c r="C260" s="55"/>
      <c r="I260" s="2"/>
    </row>
    <row r="261" spans="1:11" x14ac:dyDescent="0.2">
      <c r="A261" s="55"/>
      <c r="B261" s="55"/>
      <c r="C261" s="55"/>
      <c r="I261" s="2"/>
    </row>
    <row r="262" spans="1:11" x14ac:dyDescent="0.2">
      <c r="A262" s="55"/>
      <c r="B262" s="55"/>
      <c r="C262" s="55"/>
      <c r="I262" s="2"/>
    </row>
    <row r="263" spans="1:11" x14ac:dyDescent="0.2">
      <c r="A263" s="55"/>
      <c r="B263" s="55"/>
      <c r="C263" s="55"/>
      <c r="I263" s="2"/>
    </row>
    <row r="264" spans="1:11" x14ac:dyDescent="0.2">
      <c r="A264" s="55"/>
      <c r="B264" s="55"/>
      <c r="C264" s="55"/>
      <c r="I264" s="2"/>
    </row>
    <row r="265" spans="1:11" x14ac:dyDescent="0.2">
      <c r="A265" s="55"/>
      <c r="B265" s="55"/>
      <c r="C265" s="55"/>
      <c r="I265" s="2"/>
    </row>
    <row r="266" spans="1:11" x14ac:dyDescent="0.2">
      <c r="A266" s="55"/>
      <c r="B266" s="55"/>
      <c r="C266" s="55"/>
      <c r="I266" s="2"/>
    </row>
    <row r="267" spans="1:11" x14ac:dyDescent="0.2">
      <c r="A267" s="55"/>
      <c r="B267" s="55"/>
      <c r="C267" s="55"/>
      <c r="I267" s="2"/>
    </row>
    <row r="268" spans="1:11" x14ac:dyDescent="0.2">
      <c r="A268" s="55"/>
      <c r="B268" s="55"/>
      <c r="C268" s="55"/>
      <c r="I268" s="2"/>
    </row>
    <row r="269" spans="1:11" x14ac:dyDescent="0.2">
      <c r="A269" s="55"/>
      <c r="B269" s="55"/>
      <c r="C269" s="55"/>
      <c r="I269" s="2"/>
    </row>
    <row r="270" spans="1:11" x14ac:dyDescent="0.2">
      <c r="A270" s="55"/>
      <c r="B270" s="55"/>
      <c r="C270" s="55"/>
      <c r="D270" s="55"/>
      <c r="E270" s="55"/>
      <c r="I270" s="2"/>
    </row>
    <row r="271" spans="1:11" x14ac:dyDescent="0.2">
      <c r="A271" s="55"/>
      <c r="B271" s="55"/>
      <c r="C271" s="55"/>
      <c r="D271" s="55"/>
      <c r="E271" s="55"/>
      <c r="I271" s="2"/>
    </row>
    <row r="272" spans="1:11" x14ac:dyDescent="0.2">
      <c r="A272" s="55"/>
      <c r="B272" s="55"/>
      <c r="C272" s="55"/>
      <c r="D272" s="55"/>
      <c r="E272" s="55"/>
      <c r="I272" s="2"/>
    </row>
    <row r="273" spans="1:9" x14ac:dyDescent="0.2">
      <c r="A273" s="55"/>
      <c r="B273" s="55"/>
      <c r="C273" s="55"/>
      <c r="D273" s="55"/>
      <c r="E273" s="55"/>
      <c r="I273" s="2"/>
    </row>
    <row r="274" spans="1:9" ht="12.6" customHeight="1" x14ac:dyDescent="0.2">
      <c r="A274" s="55"/>
      <c r="B274" s="55"/>
      <c r="C274" s="55"/>
      <c r="D274" s="55"/>
      <c r="E274" s="55"/>
      <c r="I274" s="2"/>
    </row>
    <row r="275" spans="1:9" x14ac:dyDescent="0.2">
      <c r="I275" s="2"/>
    </row>
    <row r="276" spans="1:9" x14ac:dyDescent="0.2">
      <c r="I276" s="2"/>
    </row>
  </sheetData>
  <mergeCells count="1">
    <mergeCell ref="A1:I1"/>
  </mergeCells>
  <phoneticPr fontId="0" type="noConversion"/>
  <printOptions gridLines="1"/>
  <pageMargins left="0.75" right="0.16" top="0.51" bottom="0.22" header="0.39" footer="0"/>
  <pageSetup scale="81" fitToHeight="11" orientation="landscape" r:id="rId1"/>
  <headerFooter alignWithMargins="0"/>
  <rowBreaks count="4" manualBreakCount="4">
    <brk id="50" max="9" man="1"/>
    <brk id="120" max="9" man="1"/>
    <brk id="168" max="9" man="1"/>
    <brk id="207" max="9"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135"/>
  <sheetViews>
    <sheetView view="pageBreakPreview" zoomScaleNormal="100" zoomScaleSheetLayoutView="100" workbookViewId="0">
      <pane ySplit="5" topLeftCell="A113" activePane="bottomLeft" state="frozen"/>
      <selection activeCell="I6" sqref="I6:I240"/>
      <selection pane="bottomLeft" sqref="A1:J1"/>
    </sheetView>
  </sheetViews>
  <sheetFormatPr defaultColWidth="8.85546875" defaultRowHeight="12.75" x14ac:dyDescent="0.2"/>
  <cols>
    <col min="1" max="1" width="48.28515625" style="220" bestFit="1" customWidth="1"/>
    <col min="2" max="2" width="9" style="220" bestFit="1" customWidth="1"/>
    <col min="3" max="3" width="10.140625" style="220" customWidth="1"/>
    <col min="4" max="4" width="10.28515625" style="220" customWidth="1"/>
    <col min="5" max="7" width="10.85546875" style="220" customWidth="1"/>
    <col min="8" max="8" width="14" style="220" bestFit="1" customWidth="1"/>
    <col min="9" max="10" width="10.85546875" style="220" customWidth="1"/>
    <col min="11" max="16384" width="8.85546875" style="220"/>
  </cols>
  <sheetData>
    <row r="1" spans="1:10" x14ac:dyDescent="0.2">
      <c r="A1" s="261" t="s">
        <v>1965</v>
      </c>
      <c r="B1" s="262"/>
      <c r="C1" s="262"/>
      <c r="D1" s="262"/>
      <c r="E1" s="262"/>
      <c r="F1" s="262"/>
      <c r="G1" s="262"/>
      <c r="H1" s="262"/>
      <c r="I1" s="262"/>
      <c r="J1" s="262"/>
    </row>
    <row r="2" spans="1:10" ht="18.75" x14ac:dyDescent="0.3">
      <c r="A2" s="107" t="s">
        <v>1642</v>
      </c>
      <c r="B2" s="107"/>
      <c r="C2" s="107"/>
      <c r="D2" s="107"/>
      <c r="E2" s="107"/>
      <c r="F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703</v>
      </c>
      <c r="B6" s="2"/>
      <c r="C6" s="2"/>
      <c r="D6" s="2"/>
      <c r="E6" s="2">
        <v>64626</v>
      </c>
      <c r="F6" s="2">
        <v>66621</v>
      </c>
      <c r="G6" s="2">
        <v>67824</v>
      </c>
      <c r="H6" s="2">
        <v>67824</v>
      </c>
      <c r="I6" s="2">
        <v>67824</v>
      </c>
      <c r="J6" s="2">
        <v>67824</v>
      </c>
    </row>
    <row r="7" spans="1:10" x14ac:dyDescent="0.2">
      <c r="A7" s="220" t="s">
        <v>704</v>
      </c>
      <c r="B7" s="2">
        <v>52</v>
      </c>
      <c r="C7" s="2">
        <v>1256</v>
      </c>
      <c r="D7" s="2">
        <f>ROUND(B7*C7,0)</f>
        <v>65312</v>
      </c>
      <c r="E7" s="2"/>
      <c r="F7" s="2"/>
      <c r="G7" s="2"/>
      <c r="H7" s="2"/>
      <c r="I7" s="2"/>
      <c r="J7" s="2"/>
    </row>
    <row r="8" spans="1:10" x14ac:dyDescent="0.2">
      <c r="A8" s="2" t="s">
        <v>2139</v>
      </c>
      <c r="B8" s="2">
        <v>1</v>
      </c>
      <c r="C8" s="2">
        <v>1256</v>
      </c>
      <c r="D8" s="2">
        <f>ROUND(B8*C8,0)</f>
        <v>1256</v>
      </c>
      <c r="E8" s="2"/>
      <c r="F8" s="2"/>
      <c r="G8" s="2"/>
      <c r="H8" s="2"/>
      <c r="I8" s="2"/>
      <c r="J8" s="2"/>
    </row>
    <row r="9" spans="1:10" ht="15" x14ac:dyDescent="0.35">
      <c r="A9" s="220" t="s">
        <v>833</v>
      </c>
      <c r="B9" s="2"/>
      <c r="C9" s="2"/>
      <c r="D9" s="10">
        <f>+C7</f>
        <v>1256</v>
      </c>
      <c r="E9" s="2"/>
      <c r="F9" s="2"/>
      <c r="G9" s="2"/>
      <c r="H9" s="2"/>
      <c r="I9" s="2"/>
      <c r="J9" s="2"/>
    </row>
    <row r="10" spans="1:10" x14ac:dyDescent="0.2">
      <c r="A10" s="220" t="s">
        <v>1086</v>
      </c>
      <c r="B10" s="2"/>
      <c r="C10" s="2"/>
      <c r="D10" s="2">
        <f>SUM(D7:D9)</f>
        <v>67824</v>
      </c>
      <c r="E10" s="2"/>
      <c r="F10" s="2"/>
      <c r="G10" s="2"/>
      <c r="H10" s="2"/>
      <c r="I10" s="2"/>
      <c r="J10" s="2"/>
    </row>
    <row r="11" spans="1:10" x14ac:dyDescent="0.2">
      <c r="B11" s="2"/>
      <c r="C11" s="2"/>
      <c r="D11" s="2"/>
      <c r="E11" s="2"/>
      <c r="F11" s="2"/>
      <c r="G11" s="2"/>
      <c r="H11" s="2"/>
      <c r="I11" s="2"/>
      <c r="J11" s="2"/>
    </row>
    <row r="12" spans="1:10" ht="13.5" x14ac:dyDescent="0.25">
      <c r="A12" s="225" t="s">
        <v>705</v>
      </c>
      <c r="B12" s="2"/>
      <c r="C12" s="2"/>
      <c r="D12" s="2"/>
      <c r="E12" s="2">
        <v>159988</v>
      </c>
      <c r="F12" s="2">
        <v>209441</v>
      </c>
      <c r="G12" s="2">
        <v>214724</v>
      </c>
      <c r="H12" s="2">
        <v>214724</v>
      </c>
      <c r="I12" s="2">
        <v>214724</v>
      </c>
      <c r="J12" s="2">
        <v>214724</v>
      </c>
    </row>
    <row r="13" spans="1:10" x14ac:dyDescent="0.2">
      <c r="A13" s="220" t="s">
        <v>1608</v>
      </c>
      <c r="B13" s="2">
        <v>52</v>
      </c>
      <c r="C13" s="220">
        <v>1052</v>
      </c>
      <c r="D13" s="2">
        <f>ROUND(B13*C13,0)</f>
        <v>54704</v>
      </c>
      <c r="E13" s="2"/>
      <c r="F13" s="2"/>
      <c r="G13" s="2"/>
      <c r="H13" s="2"/>
      <c r="I13" s="2"/>
      <c r="J13" s="2"/>
    </row>
    <row r="14" spans="1:10" x14ac:dyDescent="0.2">
      <c r="A14" s="220" t="s">
        <v>1608</v>
      </c>
      <c r="B14" s="2">
        <v>52</v>
      </c>
      <c r="C14" s="220">
        <v>1095</v>
      </c>
      <c r="D14" s="2">
        <f>ROUND(B14*C14,0)</f>
        <v>56940</v>
      </c>
      <c r="E14" s="2"/>
      <c r="F14" s="2"/>
      <c r="G14" s="2"/>
      <c r="H14" s="2"/>
      <c r="I14" s="2"/>
      <c r="J14" s="2"/>
    </row>
    <row r="15" spans="1:10" x14ac:dyDescent="0.2">
      <c r="A15" s="220" t="s">
        <v>1608</v>
      </c>
      <c r="B15" s="2">
        <v>52</v>
      </c>
      <c r="C15" s="220">
        <v>987</v>
      </c>
      <c r="D15" s="2">
        <f>ROUND(B15*C15,0)</f>
        <v>51324</v>
      </c>
      <c r="E15" s="2"/>
      <c r="F15" s="2"/>
      <c r="G15" s="2"/>
      <c r="H15" s="2"/>
      <c r="I15" s="2"/>
      <c r="J15" s="2"/>
    </row>
    <row r="16" spans="1:10" x14ac:dyDescent="0.2">
      <c r="A16" s="220" t="s">
        <v>990</v>
      </c>
      <c r="B16" s="2">
        <v>53</v>
      </c>
      <c r="C16" s="220">
        <v>901</v>
      </c>
      <c r="D16" s="2">
        <f>ROUND(B16*C16,0)</f>
        <v>47753</v>
      </c>
      <c r="E16" s="2"/>
      <c r="F16" s="2"/>
      <c r="G16" s="2"/>
      <c r="H16" s="2"/>
      <c r="I16" s="2"/>
      <c r="J16" s="2"/>
    </row>
    <row r="17" spans="1:10" x14ac:dyDescent="0.2">
      <c r="A17" s="2" t="s">
        <v>2139</v>
      </c>
      <c r="B17" s="2">
        <v>1</v>
      </c>
      <c r="C17" s="220">
        <f>SUM(C13:C16)</f>
        <v>4035</v>
      </c>
      <c r="D17" s="2">
        <f>ROUND(B17*C17,0)</f>
        <v>4035</v>
      </c>
      <c r="E17" s="2"/>
      <c r="F17" s="2"/>
      <c r="G17" s="2"/>
      <c r="H17" s="2"/>
      <c r="I17" s="2"/>
      <c r="J17" s="2"/>
    </row>
    <row r="18" spans="1:10" ht="15" x14ac:dyDescent="0.35">
      <c r="A18" s="220" t="s">
        <v>833</v>
      </c>
      <c r="B18" s="2"/>
      <c r="C18" s="2"/>
      <c r="D18" s="10">
        <v>869</v>
      </c>
      <c r="E18" s="2"/>
      <c r="F18" s="2"/>
      <c r="G18" s="2"/>
      <c r="H18" s="2"/>
      <c r="I18" s="2"/>
      <c r="J18" s="2"/>
    </row>
    <row r="19" spans="1:10" x14ac:dyDescent="0.2">
      <c r="A19" s="220" t="s">
        <v>1086</v>
      </c>
      <c r="B19" s="2"/>
      <c r="C19" s="2"/>
      <c r="D19" s="2">
        <f>SUM(D13:D18)</f>
        <v>215625</v>
      </c>
      <c r="E19" s="2"/>
      <c r="F19" s="2"/>
      <c r="G19" s="2"/>
      <c r="H19" s="2"/>
      <c r="I19" s="2"/>
      <c r="J19" s="2"/>
    </row>
    <row r="20" spans="1:10" x14ac:dyDescent="0.2">
      <c r="D20" s="2"/>
      <c r="E20" s="2"/>
      <c r="F20" s="2"/>
      <c r="G20" s="2"/>
      <c r="H20" s="2"/>
      <c r="I20" s="2"/>
      <c r="J20" s="2"/>
    </row>
    <row r="21" spans="1:10" ht="13.5" x14ac:dyDescent="0.25">
      <c r="A21" s="225" t="s">
        <v>1162</v>
      </c>
      <c r="D21" s="2"/>
      <c r="E21" s="2">
        <v>2783</v>
      </c>
      <c r="F21" s="2">
        <v>3535</v>
      </c>
      <c r="G21" s="2">
        <v>3533</v>
      </c>
      <c r="H21" s="2">
        <v>3533</v>
      </c>
      <c r="I21" s="2">
        <v>3533</v>
      </c>
      <c r="J21" s="2">
        <v>3533</v>
      </c>
    </row>
    <row r="22" spans="1:10" x14ac:dyDescent="0.2">
      <c r="A22" s="220" t="s">
        <v>704</v>
      </c>
      <c r="B22" s="2">
        <v>75</v>
      </c>
      <c r="C22" s="11">
        <f>+C7/40*1.5</f>
        <v>47.099999999999994</v>
      </c>
      <c r="D22" s="2">
        <f>ROUND(B22*C22,0)</f>
        <v>3533</v>
      </c>
      <c r="E22" s="2"/>
      <c r="F22" s="2"/>
      <c r="G22" s="2"/>
      <c r="H22" s="2"/>
      <c r="I22" s="2"/>
      <c r="J22" s="2"/>
    </row>
    <row r="23" spans="1:10" x14ac:dyDescent="0.2">
      <c r="B23" s="2"/>
      <c r="C23" s="11"/>
      <c r="D23" s="2"/>
      <c r="E23" s="2"/>
      <c r="F23" s="2"/>
      <c r="G23" s="2"/>
      <c r="H23" s="2"/>
      <c r="I23" s="2"/>
      <c r="J23" s="2"/>
    </row>
    <row r="24" spans="1:10" ht="13.5" x14ac:dyDescent="0.25">
      <c r="A24" s="225" t="s">
        <v>108</v>
      </c>
      <c r="B24" s="2"/>
      <c r="C24" s="11"/>
      <c r="D24" s="2">
        <v>0</v>
      </c>
      <c r="E24" s="2">
        <v>27186</v>
      </c>
      <c r="F24" s="2">
        <v>0</v>
      </c>
      <c r="G24" s="2">
        <v>0</v>
      </c>
      <c r="H24" s="2">
        <v>0</v>
      </c>
      <c r="I24" s="2">
        <v>0</v>
      </c>
      <c r="J24" s="2">
        <v>0</v>
      </c>
    </row>
    <row r="25" spans="1:10" ht="13.5" x14ac:dyDescent="0.25">
      <c r="A25" s="225"/>
      <c r="B25" s="2"/>
      <c r="C25" s="11"/>
      <c r="D25" s="2"/>
      <c r="E25" s="2"/>
      <c r="F25" s="2"/>
      <c r="G25" s="2"/>
      <c r="H25" s="2"/>
      <c r="I25" s="2"/>
      <c r="J25" s="2"/>
    </row>
    <row r="26" spans="1:10" x14ac:dyDescent="0.2">
      <c r="B26" s="2"/>
      <c r="C26" s="11"/>
      <c r="D26" s="2"/>
      <c r="E26" s="2"/>
      <c r="F26" s="2"/>
      <c r="G26" s="2"/>
      <c r="H26" s="2"/>
      <c r="I26" s="2"/>
      <c r="J26" s="2"/>
    </row>
    <row r="27" spans="1:10" ht="13.5" x14ac:dyDescent="0.25">
      <c r="A27" s="225" t="s">
        <v>1163</v>
      </c>
      <c r="D27" s="2"/>
      <c r="E27" s="2">
        <v>5730</v>
      </c>
      <c r="F27" s="2">
        <v>4700</v>
      </c>
      <c r="G27" s="2">
        <v>4729</v>
      </c>
      <c r="H27" s="2">
        <v>4729</v>
      </c>
      <c r="I27" s="2">
        <v>4729</v>
      </c>
      <c r="J27" s="2">
        <v>4729</v>
      </c>
    </row>
    <row r="28" spans="1:10" x14ac:dyDescent="0.2">
      <c r="A28" s="220" t="s">
        <v>1164</v>
      </c>
      <c r="B28" s="2">
        <v>125</v>
      </c>
      <c r="C28" s="11">
        <f>SUM(C13:C16)/40*1.5/4</f>
        <v>37.828125</v>
      </c>
      <c r="D28" s="2">
        <f>ROUND(B28*C28,0)</f>
        <v>4729</v>
      </c>
      <c r="E28" s="2"/>
      <c r="F28" s="2"/>
      <c r="G28" s="2"/>
      <c r="H28" s="2"/>
      <c r="I28" s="2"/>
      <c r="J28" s="2"/>
    </row>
    <row r="29" spans="1:10" x14ac:dyDescent="0.2">
      <c r="B29" s="2"/>
      <c r="C29" s="11"/>
      <c r="D29" s="2"/>
      <c r="E29" s="2"/>
      <c r="F29" s="2"/>
      <c r="G29" s="2"/>
      <c r="H29" s="2"/>
      <c r="I29" s="2"/>
      <c r="J29" s="2"/>
    </row>
    <row r="30" spans="1:10" ht="13.5" x14ac:dyDescent="0.25">
      <c r="A30" s="225" t="s">
        <v>1165</v>
      </c>
      <c r="D30" s="2"/>
      <c r="E30" s="2">
        <v>20127</v>
      </c>
      <c r="F30" s="2">
        <v>21749</v>
      </c>
      <c r="G30" s="2">
        <v>21749</v>
      </c>
      <c r="H30" s="2">
        <v>21749</v>
      </c>
      <c r="I30" s="2">
        <v>21749</v>
      </c>
      <c r="J30" s="2">
        <v>21749</v>
      </c>
    </row>
    <row r="31" spans="1:10" hidden="1" x14ac:dyDescent="0.2">
      <c r="A31" s="12" t="s">
        <v>1290</v>
      </c>
      <c r="B31" s="2">
        <f>+D10</f>
        <v>67824</v>
      </c>
      <c r="C31" s="13">
        <v>7.6499999999999999E-2</v>
      </c>
      <c r="D31" s="2">
        <f>ROUND(B31*C31,0)</f>
        <v>5189</v>
      </c>
      <c r="E31" s="2"/>
      <c r="F31" s="2"/>
      <c r="G31" s="2"/>
      <c r="H31" s="2"/>
      <c r="I31" s="2"/>
      <c r="J31" s="2"/>
    </row>
    <row r="32" spans="1:10" hidden="1" x14ac:dyDescent="0.2">
      <c r="A32" s="12" t="s">
        <v>695</v>
      </c>
      <c r="B32" s="2">
        <f>+D19</f>
        <v>215625</v>
      </c>
      <c r="C32" s="13">
        <v>7.6499999999999999E-2</v>
      </c>
      <c r="D32" s="2">
        <f>ROUND(B32*C32,0)</f>
        <v>16495</v>
      </c>
      <c r="E32" s="2"/>
      <c r="F32" s="2"/>
      <c r="G32" s="2"/>
      <c r="H32" s="2"/>
      <c r="I32" s="2"/>
      <c r="J32" s="2"/>
    </row>
    <row r="33" spans="1:10" hidden="1" x14ac:dyDescent="0.2">
      <c r="A33" s="12" t="s">
        <v>771</v>
      </c>
      <c r="B33" s="2">
        <f>+D22</f>
        <v>3533</v>
      </c>
      <c r="C33" s="13">
        <v>7.6499999999999999E-2</v>
      </c>
      <c r="D33" s="2">
        <f>ROUND(B33*C33,0)</f>
        <v>270</v>
      </c>
      <c r="E33" s="2"/>
      <c r="F33" s="2"/>
      <c r="G33" s="2"/>
      <c r="H33" s="2"/>
      <c r="I33" s="2"/>
      <c r="J33" s="2"/>
    </row>
    <row r="34" spans="1:10" ht="15" hidden="1" x14ac:dyDescent="0.35">
      <c r="A34" s="12" t="s">
        <v>159</v>
      </c>
      <c r="B34" s="2">
        <f>+D28</f>
        <v>4729</v>
      </c>
      <c r="C34" s="13">
        <v>7.6499999999999999E-2</v>
      </c>
      <c r="D34" s="10">
        <f>ROUND(B34*C34,0)</f>
        <v>362</v>
      </c>
      <c r="E34" s="2"/>
      <c r="F34" s="2"/>
      <c r="G34" s="2"/>
      <c r="H34" s="2"/>
      <c r="I34" s="2"/>
      <c r="J34" s="2"/>
    </row>
    <row r="35" spans="1:10" hidden="1" x14ac:dyDescent="0.2">
      <c r="A35" s="220" t="s">
        <v>1086</v>
      </c>
      <c r="D35" s="2">
        <f>SUM(D31:D34)</f>
        <v>22316</v>
      </c>
      <c r="E35" s="2"/>
      <c r="F35" s="2"/>
      <c r="G35" s="2"/>
      <c r="H35" s="2"/>
      <c r="I35" s="2"/>
      <c r="J35" s="2"/>
    </row>
    <row r="36" spans="1:10" x14ac:dyDescent="0.2">
      <c r="D36" s="2"/>
      <c r="E36" s="2"/>
      <c r="F36" s="2"/>
      <c r="G36" s="2"/>
      <c r="H36" s="2"/>
      <c r="I36" s="2"/>
      <c r="J36" s="2"/>
    </row>
    <row r="37" spans="1:10" ht="16.899999999999999" customHeight="1" x14ac:dyDescent="0.25">
      <c r="A37" s="225" t="s">
        <v>1166</v>
      </c>
      <c r="D37" s="2"/>
      <c r="E37" s="2">
        <v>25970</v>
      </c>
      <c r="F37" s="2">
        <v>31757</v>
      </c>
      <c r="G37" s="2">
        <v>40888</v>
      </c>
      <c r="H37" s="2">
        <v>40888</v>
      </c>
      <c r="I37" s="2">
        <v>40888</v>
      </c>
      <c r="J37" s="2">
        <v>40888</v>
      </c>
    </row>
    <row r="38" spans="1:10" hidden="1" x14ac:dyDescent="0.2">
      <c r="A38" s="12" t="s">
        <v>1290</v>
      </c>
      <c r="B38" s="2">
        <f>+D10</f>
        <v>67824</v>
      </c>
      <c r="C38" s="228">
        <v>0.1406</v>
      </c>
      <c r="D38" s="2">
        <f>ROUND(B38*C38,0)</f>
        <v>9536</v>
      </c>
      <c r="E38" s="2"/>
      <c r="F38" s="2"/>
      <c r="G38" s="2"/>
      <c r="H38" s="2"/>
      <c r="I38" s="2"/>
      <c r="J38" s="2"/>
    </row>
    <row r="39" spans="1:10" hidden="1" x14ac:dyDescent="0.2">
      <c r="A39" s="12" t="s">
        <v>695</v>
      </c>
      <c r="B39" s="2">
        <f>+D19</f>
        <v>215625</v>
      </c>
      <c r="C39" s="228">
        <v>0.1406</v>
      </c>
      <c r="D39" s="2">
        <f>ROUND(B39*C39,0)</f>
        <v>30317</v>
      </c>
      <c r="E39" s="2"/>
      <c r="F39" s="2"/>
      <c r="G39" s="2"/>
      <c r="H39" s="2"/>
      <c r="I39" s="2"/>
      <c r="J39" s="2"/>
    </row>
    <row r="40" spans="1:10" hidden="1" x14ac:dyDescent="0.2">
      <c r="A40" s="12" t="s">
        <v>771</v>
      </c>
      <c r="B40" s="2">
        <f>+D22</f>
        <v>3533</v>
      </c>
      <c r="C40" s="228">
        <v>0.1406</v>
      </c>
      <c r="D40" s="2">
        <f>ROUND(B40*C40,0)</f>
        <v>497</v>
      </c>
      <c r="E40" s="2"/>
      <c r="F40" s="2"/>
      <c r="G40" s="2"/>
      <c r="H40" s="2"/>
      <c r="I40" s="2"/>
      <c r="J40" s="2"/>
    </row>
    <row r="41" spans="1:10" ht="15" hidden="1" x14ac:dyDescent="0.35">
      <c r="A41" s="12" t="s">
        <v>159</v>
      </c>
      <c r="B41" s="2">
        <f>+B34</f>
        <v>4729</v>
      </c>
      <c r="C41" s="228">
        <v>0.1406</v>
      </c>
      <c r="D41" s="10">
        <f>ROUND(B41*C41,0)</f>
        <v>665</v>
      </c>
      <c r="E41" s="2"/>
      <c r="F41" s="2"/>
      <c r="G41" s="2"/>
      <c r="H41" s="2"/>
      <c r="I41" s="2"/>
      <c r="J41" s="2"/>
    </row>
    <row r="42" spans="1:10" hidden="1" x14ac:dyDescent="0.2">
      <c r="A42" s="220" t="s">
        <v>1086</v>
      </c>
      <c r="B42" s="2"/>
      <c r="C42" s="13"/>
      <c r="D42" s="2">
        <f>SUM(D38:D41)</f>
        <v>41015</v>
      </c>
      <c r="E42" s="2"/>
      <c r="F42" s="2"/>
      <c r="G42" s="2"/>
      <c r="H42" s="2"/>
      <c r="I42" s="2"/>
      <c r="J42" s="2"/>
    </row>
    <row r="43" spans="1:10" x14ac:dyDescent="0.2">
      <c r="D43" s="2"/>
      <c r="E43" s="2"/>
      <c r="F43" s="2"/>
      <c r="G43" s="2"/>
      <c r="H43" s="2"/>
      <c r="I43" s="2"/>
      <c r="J43" s="2"/>
    </row>
    <row r="44" spans="1:10" ht="13.5" x14ac:dyDescent="0.25">
      <c r="A44" s="225" t="s">
        <v>776</v>
      </c>
      <c r="D44" s="2"/>
      <c r="E44" s="2">
        <v>80167</v>
      </c>
      <c r="F44" s="2">
        <v>97875</v>
      </c>
      <c r="G44" s="2">
        <v>99750</v>
      </c>
      <c r="H44" s="2">
        <v>98750</v>
      </c>
      <c r="I44" s="2">
        <v>98750</v>
      </c>
      <c r="J44" s="2">
        <v>98750</v>
      </c>
    </row>
    <row r="45" spans="1:10" x14ac:dyDescent="0.2">
      <c r="A45" s="220" t="s">
        <v>369</v>
      </c>
      <c r="B45" s="2">
        <v>4</v>
      </c>
      <c r="C45" s="2">
        <v>19750</v>
      </c>
      <c r="D45" s="2">
        <f>ROUND(B45*C45,0)</f>
        <v>79000</v>
      </c>
      <c r="E45" s="2"/>
      <c r="F45" s="2"/>
      <c r="G45" s="2"/>
      <c r="H45" s="2"/>
      <c r="I45" s="2"/>
      <c r="J45" s="2"/>
    </row>
    <row r="46" spans="1:10" ht="15" x14ac:dyDescent="0.35">
      <c r="A46" s="220" t="s">
        <v>307</v>
      </c>
      <c r="B46" s="2">
        <v>1</v>
      </c>
      <c r="C46" s="2">
        <v>19750</v>
      </c>
      <c r="D46" s="10">
        <f>ROUND(B46*C46,0)</f>
        <v>19750</v>
      </c>
      <c r="E46" s="2"/>
      <c r="F46" s="2"/>
      <c r="G46" s="2"/>
      <c r="H46" s="2"/>
      <c r="I46" s="2"/>
      <c r="J46" s="2"/>
    </row>
    <row r="47" spans="1:10" x14ac:dyDescent="0.2">
      <c r="A47" s="220" t="s">
        <v>690</v>
      </c>
      <c r="B47" s="2"/>
      <c r="C47" s="2"/>
      <c r="D47" s="2">
        <f>SUM(D45:D46)</f>
        <v>98750</v>
      </c>
      <c r="E47" s="2"/>
      <c r="F47" s="2"/>
      <c r="G47" s="2"/>
      <c r="H47" s="2"/>
      <c r="I47" s="2"/>
      <c r="J47" s="2"/>
    </row>
    <row r="48" spans="1:10" x14ac:dyDescent="0.2">
      <c r="D48" s="2"/>
      <c r="E48" s="2"/>
      <c r="F48" s="2"/>
      <c r="G48" s="2"/>
      <c r="H48" s="2"/>
      <c r="I48" s="2"/>
      <c r="J48" s="2"/>
    </row>
    <row r="49" spans="1:10" ht="13.5" x14ac:dyDescent="0.25">
      <c r="A49" s="225" t="s">
        <v>777</v>
      </c>
      <c r="D49" s="2"/>
      <c r="E49" s="2">
        <v>4977</v>
      </c>
      <c r="F49" s="2">
        <v>6300</v>
      </c>
      <c r="G49" s="2">
        <v>6300</v>
      </c>
      <c r="H49" s="2">
        <v>6300</v>
      </c>
      <c r="I49" s="2">
        <v>6300</v>
      </c>
      <c r="J49" s="2">
        <v>6300</v>
      </c>
    </row>
    <row r="50" spans="1:10" x14ac:dyDescent="0.2">
      <c r="A50" s="220" t="s">
        <v>369</v>
      </c>
      <c r="B50" s="2">
        <v>5</v>
      </c>
      <c r="C50" s="2">
        <v>1400</v>
      </c>
      <c r="D50" s="2">
        <f>ROUND(B50*C50,0)</f>
        <v>7000</v>
      </c>
      <c r="E50" s="2"/>
      <c r="F50" s="2"/>
      <c r="G50" s="2"/>
      <c r="H50" s="2"/>
      <c r="I50" s="2"/>
      <c r="J50" s="2"/>
    </row>
    <row r="51" spans="1:10" ht="15" x14ac:dyDescent="0.35">
      <c r="A51" s="220" t="s">
        <v>1509</v>
      </c>
      <c r="B51" s="2"/>
      <c r="C51" s="2"/>
      <c r="D51" s="10">
        <f>+D50*-0.1</f>
        <v>-700</v>
      </c>
      <c r="E51" s="2"/>
      <c r="F51" s="2"/>
      <c r="G51" s="2"/>
      <c r="H51" s="2"/>
      <c r="I51" s="2"/>
      <c r="J51" s="2"/>
    </row>
    <row r="52" spans="1:10" x14ac:dyDescent="0.2">
      <c r="A52" s="24"/>
      <c r="B52" s="25"/>
      <c r="C52" s="25"/>
      <c r="D52" s="25">
        <f>SUM(D50:D51)</f>
        <v>6300</v>
      </c>
      <c r="E52" s="2"/>
      <c r="F52" s="2"/>
      <c r="G52" s="2"/>
      <c r="H52" s="2"/>
      <c r="I52" s="2"/>
      <c r="J52" s="2"/>
    </row>
    <row r="53" spans="1:10" x14ac:dyDescent="0.2">
      <c r="D53" s="2"/>
      <c r="E53" s="2"/>
      <c r="F53" s="2"/>
      <c r="G53" s="2"/>
      <c r="H53" s="2"/>
      <c r="I53" s="2"/>
      <c r="J53" s="2"/>
    </row>
    <row r="54" spans="1:10" ht="13.5" x14ac:dyDescent="0.25">
      <c r="A54" s="225" t="s">
        <v>778</v>
      </c>
      <c r="D54" s="2"/>
      <c r="E54" s="2">
        <v>214</v>
      </c>
      <c r="F54" s="2">
        <v>275</v>
      </c>
      <c r="G54" s="2">
        <v>275</v>
      </c>
      <c r="H54" s="2">
        <v>275</v>
      </c>
      <c r="I54" s="2">
        <v>275</v>
      </c>
      <c r="J54" s="2">
        <v>275</v>
      </c>
    </row>
    <row r="55" spans="1:10" hidden="1" x14ac:dyDescent="0.2">
      <c r="A55" s="220" t="s">
        <v>308</v>
      </c>
      <c r="B55" s="2">
        <v>1</v>
      </c>
      <c r="C55" s="2">
        <v>135</v>
      </c>
      <c r="D55" s="2">
        <f>ROUND(B55*C55,0)</f>
        <v>135</v>
      </c>
      <c r="E55" s="2"/>
      <c r="F55" s="2"/>
      <c r="G55" s="2"/>
      <c r="H55" s="2"/>
      <c r="I55" s="2"/>
      <c r="J55" s="2"/>
    </row>
    <row r="56" spans="1:10" ht="15" hidden="1" x14ac:dyDescent="0.35">
      <c r="A56" s="220" t="s">
        <v>913</v>
      </c>
      <c r="B56" s="2">
        <v>4</v>
      </c>
      <c r="C56" s="2">
        <v>35</v>
      </c>
      <c r="D56" s="10">
        <f>ROUND(B56*C56,0)</f>
        <v>140</v>
      </c>
      <c r="E56" s="2"/>
      <c r="F56" s="2"/>
      <c r="G56" s="2"/>
      <c r="H56" s="2"/>
      <c r="I56" s="2"/>
      <c r="J56" s="2"/>
    </row>
    <row r="57" spans="1:10" hidden="1" x14ac:dyDescent="0.2">
      <c r="A57" s="220" t="s">
        <v>1086</v>
      </c>
      <c r="D57" s="2">
        <f>SUM(D55:D56)</f>
        <v>275</v>
      </c>
      <c r="E57" s="2"/>
      <c r="F57" s="2"/>
      <c r="G57" s="2"/>
      <c r="H57" s="2"/>
      <c r="I57" s="2"/>
      <c r="J57" s="2"/>
    </row>
    <row r="58" spans="1:10" x14ac:dyDescent="0.2">
      <c r="D58" s="2"/>
      <c r="E58" s="2"/>
      <c r="F58" s="2"/>
      <c r="G58" s="2"/>
      <c r="H58" s="2"/>
      <c r="I58" s="2"/>
      <c r="J58" s="2"/>
    </row>
    <row r="59" spans="1:10" ht="13.5" x14ac:dyDescent="0.25">
      <c r="A59" s="225" t="s">
        <v>1287</v>
      </c>
      <c r="D59" s="2"/>
      <c r="E59" s="2">
        <v>2053</v>
      </c>
      <c r="F59" s="2">
        <v>3125</v>
      </c>
      <c r="G59" s="2">
        <v>2750</v>
      </c>
      <c r="H59" s="2">
        <v>2750</v>
      </c>
      <c r="I59" s="2">
        <v>2750</v>
      </c>
      <c r="J59" s="2">
        <v>2750</v>
      </c>
    </row>
    <row r="60" spans="1:10" hidden="1" x14ac:dyDescent="0.2">
      <c r="A60" s="220" t="s">
        <v>712</v>
      </c>
      <c r="B60" s="2">
        <v>5</v>
      </c>
      <c r="C60" s="2">
        <v>550</v>
      </c>
      <c r="D60" s="2">
        <f>ROUND(B60*C60,0)</f>
        <v>2750</v>
      </c>
      <c r="E60" s="2"/>
      <c r="F60" s="2"/>
      <c r="G60" s="2"/>
      <c r="H60" s="2"/>
      <c r="I60" s="2"/>
      <c r="J60" s="2"/>
    </row>
    <row r="61" spans="1:10" x14ac:dyDescent="0.2">
      <c r="D61" s="2"/>
      <c r="E61" s="2"/>
      <c r="F61" s="2"/>
      <c r="G61" s="2"/>
      <c r="H61" s="2"/>
      <c r="I61" s="2"/>
      <c r="J61" s="2"/>
    </row>
    <row r="62" spans="1:10" ht="13.5" x14ac:dyDescent="0.25">
      <c r="A62" s="225" t="s">
        <v>1288</v>
      </c>
      <c r="D62" s="2"/>
      <c r="E62" s="2">
        <v>5158</v>
      </c>
      <c r="F62" s="2">
        <v>7875</v>
      </c>
      <c r="G62" s="2">
        <v>9131</v>
      </c>
      <c r="H62" s="2">
        <v>9131</v>
      </c>
      <c r="I62" s="2">
        <v>9131</v>
      </c>
      <c r="J62" s="2">
        <v>9131</v>
      </c>
    </row>
    <row r="63" spans="1:10" hidden="1" x14ac:dyDescent="0.2">
      <c r="A63" s="12" t="s">
        <v>1290</v>
      </c>
      <c r="B63" s="2">
        <f>+D10</f>
        <v>67824</v>
      </c>
      <c r="C63" s="13">
        <v>3.1399999999999997E-2</v>
      </c>
      <c r="D63" s="2">
        <f>ROUND(B63*C63,0)</f>
        <v>2130</v>
      </c>
      <c r="E63" s="2"/>
      <c r="F63" s="2"/>
      <c r="G63" s="2"/>
      <c r="H63" s="2"/>
      <c r="I63" s="2"/>
      <c r="J63" s="2"/>
    </row>
    <row r="64" spans="1:10" hidden="1" x14ac:dyDescent="0.2">
      <c r="A64" s="12" t="s">
        <v>695</v>
      </c>
      <c r="B64" s="2">
        <f>+D19</f>
        <v>215625</v>
      </c>
      <c r="C64" s="13">
        <v>3.1399999999999997E-2</v>
      </c>
      <c r="D64" s="2">
        <f>ROUND(B64*C64,0)</f>
        <v>6771</v>
      </c>
      <c r="E64" s="2"/>
      <c r="F64" s="2"/>
      <c r="G64" s="2"/>
      <c r="H64" s="2"/>
      <c r="I64" s="2"/>
      <c r="J64" s="2"/>
    </row>
    <row r="65" spans="1:10" hidden="1" x14ac:dyDescent="0.2">
      <c r="A65" s="12" t="s">
        <v>1669</v>
      </c>
      <c r="B65" s="2">
        <f>ROUND(D22,0)</f>
        <v>3533</v>
      </c>
      <c r="C65" s="13">
        <v>3.1399999999999997E-2</v>
      </c>
      <c r="D65" s="2">
        <f>ROUND(B65*C65,0)</f>
        <v>111</v>
      </c>
      <c r="E65" s="2"/>
      <c r="F65" s="2"/>
      <c r="G65" s="2"/>
      <c r="H65" s="2"/>
      <c r="I65" s="2"/>
      <c r="J65" s="2"/>
    </row>
    <row r="66" spans="1:10" ht="15" hidden="1" x14ac:dyDescent="0.35">
      <c r="A66" s="12" t="s">
        <v>1670</v>
      </c>
      <c r="B66" s="2">
        <f>ROUND(D28,0)</f>
        <v>4729</v>
      </c>
      <c r="C66" s="13">
        <v>3.1399999999999997E-2</v>
      </c>
      <c r="D66" s="10">
        <f>ROUND(B66*C66,0)</f>
        <v>148</v>
      </c>
      <c r="E66" s="2"/>
      <c r="F66" s="2"/>
      <c r="G66" s="2"/>
      <c r="H66" s="2"/>
      <c r="I66" s="2"/>
      <c r="J66" s="2"/>
    </row>
    <row r="67" spans="1:10" hidden="1" x14ac:dyDescent="0.2">
      <c r="A67" s="220" t="s">
        <v>1086</v>
      </c>
      <c r="D67" s="2">
        <f>SUM(D63:D66)</f>
        <v>9160</v>
      </c>
      <c r="E67" s="2"/>
      <c r="F67" s="2"/>
      <c r="G67" s="2"/>
      <c r="H67" s="2"/>
      <c r="I67" s="2"/>
      <c r="J67" s="2"/>
    </row>
    <row r="68" spans="1:10" x14ac:dyDescent="0.2">
      <c r="D68" s="2"/>
      <c r="E68" s="2"/>
      <c r="F68" s="2"/>
      <c r="G68" s="2"/>
      <c r="H68" s="2"/>
      <c r="I68" s="2"/>
      <c r="J68" s="2"/>
    </row>
    <row r="69" spans="1:10" ht="13.5" x14ac:dyDescent="0.25">
      <c r="A69" s="225" t="s">
        <v>424</v>
      </c>
      <c r="D69" s="2"/>
      <c r="E69" s="2">
        <v>99</v>
      </c>
      <c r="F69" s="2">
        <v>100</v>
      </c>
      <c r="G69" s="2">
        <v>100</v>
      </c>
      <c r="H69" s="2">
        <v>100</v>
      </c>
      <c r="I69" s="2">
        <v>100</v>
      </c>
      <c r="J69" s="2">
        <v>100</v>
      </c>
    </row>
    <row r="70" spans="1:10" hidden="1" x14ac:dyDescent="0.2">
      <c r="A70" s="12" t="s">
        <v>1290</v>
      </c>
      <c r="B70" s="2">
        <v>1</v>
      </c>
      <c r="C70" s="2">
        <v>20</v>
      </c>
      <c r="D70" s="2">
        <f>ROUND(B70*C70,0)</f>
        <v>20</v>
      </c>
      <c r="E70" s="2"/>
      <c r="F70" s="2"/>
      <c r="G70" s="2"/>
      <c r="H70" s="2"/>
      <c r="I70" s="2"/>
      <c r="J70" s="2"/>
    </row>
    <row r="71" spans="1:10" ht="15" hidden="1" x14ac:dyDescent="0.35">
      <c r="A71" s="12" t="s">
        <v>695</v>
      </c>
      <c r="B71" s="2">
        <v>4</v>
      </c>
      <c r="C71" s="2">
        <v>20</v>
      </c>
      <c r="D71" s="10">
        <f>ROUND(B71*C71,0)</f>
        <v>80</v>
      </c>
      <c r="E71" s="2"/>
      <c r="F71" s="2"/>
      <c r="G71" s="2"/>
      <c r="H71" s="2"/>
      <c r="I71" s="2"/>
      <c r="J71" s="2"/>
    </row>
    <row r="72" spans="1:10" hidden="1" x14ac:dyDescent="0.2">
      <c r="A72" s="220" t="s">
        <v>1086</v>
      </c>
      <c r="D72" s="2">
        <f>SUM(D70:D71)</f>
        <v>100</v>
      </c>
      <c r="E72" s="2"/>
      <c r="F72" s="2"/>
      <c r="G72" s="2"/>
      <c r="H72" s="2"/>
      <c r="I72" s="2"/>
      <c r="J72" s="2"/>
    </row>
    <row r="73" spans="1:10" x14ac:dyDescent="0.2">
      <c r="D73" s="2"/>
      <c r="E73" s="2"/>
      <c r="F73" s="2"/>
      <c r="G73" s="2"/>
      <c r="H73" s="2"/>
      <c r="I73" s="2"/>
      <c r="J73" s="2"/>
    </row>
    <row r="74" spans="1:10" ht="13.5" x14ac:dyDescent="0.25">
      <c r="A74" s="225" t="s">
        <v>211</v>
      </c>
      <c r="C74" s="2"/>
      <c r="D74" s="2"/>
      <c r="E74" s="2">
        <v>0</v>
      </c>
      <c r="F74" s="2">
        <v>0</v>
      </c>
      <c r="G74" s="2">
        <v>0</v>
      </c>
      <c r="H74" s="2">
        <v>0</v>
      </c>
      <c r="I74" s="2">
        <v>0</v>
      </c>
      <c r="J74" s="2">
        <v>0</v>
      </c>
    </row>
    <row r="75" spans="1:10" x14ac:dyDescent="0.2">
      <c r="A75" s="220" t="s">
        <v>1454</v>
      </c>
      <c r="C75" s="2"/>
      <c r="D75" s="2">
        <v>0</v>
      </c>
      <c r="E75" s="2"/>
      <c r="F75" s="2"/>
      <c r="G75" s="2"/>
      <c r="H75" s="2"/>
      <c r="I75" s="2"/>
      <c r="J75" s="2"/>
    </row>
    <row r="76" spans="1:10" x14ac:dyDescent="0.2">
      <c r="C76" s="2"/>
      <c r="D76" s="2"/>
      <c r="E76" s="2"/>
      <c r="F76" s="2"/>
      <c r="G76" s="2"/>
      <c r="H76" s="2"/>
      <c r="I76" s="2"/>
      <c r="J76" s="2"/>
    </row>
    <row r="77" spans="1:10" ht="13.5" x14ac:dyDescent="0.25">
      <c r="A77" s="225" t="s">
        <v>212</v>
      </c>
      <c r="C77" s="2"/>
      <c r="D77" s="2"/>
      <c r="E77" s="2">
        <v>2004</v>
      </c>
      <c r="F77" s="2">
        <v>2900</v>
      </c>
      <c r="G77" s="2">
        <v>2900</v>
      </c>
      <c r="H77" s="2">
        <v>2900</v>
      </c>
      <c r="I77" s="2">
        <v>2900</v>
      </c>
      <c r="J77" s="2">
        <v>2900</v>
      </c>
    </row>
    <row r="78" spans="1:10" ht="25.5" x14ac:dyDescent="0.2">
      <c r="A78" s="31" t="s">
        <v>1258</v>
      </c>
      <c r="B78" s="5"/>
      <c r="C78" s="2"/>
      <c r="D78" s="2">
        <v>2900</v>
      </c>
      <c r="E78" s="2"/>
      <c r="F78" s="2"/>
      <c r="G78" s="2"/>
      <c r="H78" s="2"/>
      <c r="I78" s="2"/>
      <c r="J78" s="2"/>
    </row>
    <row r="79" spans="1:10" x14ac:dyDescent="0.2">
      <c r="A79" s="5"/>
      <c r="B79" s="5"/>
      <c r="C79" s="2"/>
      <c r="D79" s="2"/>
      <c r="E79" s="2"/>
      <c r="F79" s="2"/>
      <c r="G79" s="2"/>
      <c r="H79" s="2"/>
      <c r="I79" s="2"/>
      <c r="J79" s="2"/>
    </row>
    <row r="80" spans="1:10" ht="13.5" x14ac:dyDescent="0.25">
      <c r="A80" s="225" t="s">
        <v>193</v>
      </c>
      <c r="D80" s="2" t="s">
        <v>349</v>
      </c>
      <c r="E80" s="2">
        <v>2628</v>
      </c>
      <c r="F80" s="2">
        <v>3100</v>
      </c>
      <c r="G80" s="2">
        <v>3100</v>
      </c>
      <c r="H80" s="2">
        <v>3100</v>
      </c>
      <c r="I80" s="2">
        <v>3100</v>
      </c>
      <c r="J80" s="2">
        <v>3100</v>
      </c>
    </row>
    <row r="81" spans="1:10" x14ac:dyDescent="0.2">
      <c r="A81" s="220" t="s">
        <v>923</v>
      </c>
      <c r="B81" s="2">
        <v>1</v>
      </c>
      <c r="C81" s="2">
        <v>300</v>
      </c>
      <c r="D81" s="2">
        <f>ROUND(B81*C81,0)</f>
        <v>300</v>
      </c>
      <c r="E81" s="2"/>
      <c r="F81" s="2"/>
      <c r="G81" s="2"/>
      <c r="H81" s="2"/>
      <c r="I81" s="2"/>
      <c r="J81" s="2"/>
    </row>
    <row r="82" spans="1:10" x14ac:dyDescent="0.2">
      <c r="A82" s="220" t="s">
        <v>801</v>
      </c>
      <c r="B82" s="2">
        <v>4</v>
      </c>
      <c r="C82" s="2">
        <v>300</v>
      </c>
      <c r="D82" s="2">
        <f>ROUND(B82*C82,0)</f>
        <v>1200</v>
      </c>
      <c r="E82" s="2"/>
      <c r="F82" s="2"/>
      <c r="G82" s="2"/>
      <c r="H82" s="2"/>
      <c r="I82" s="2"/>
      <c r="J82" s="2"/>
    </row>
    <row r="83" spans="1:10" x14ac:dyDescent="0.2">
      <c r="A83" s="220" t="s">
        <v>1024</v>
      </c>
      <c r="B83" s="2">
        <v>1</v>
      </c>
      <c r="C83" s="2">
        <v>200</v>
      </c>
      <c r="D83" s="2">
        <f>ROUND(B83*C83,0)</f>
        <v>200</v>
      </c>
      <c r="E83" s="2"/>
      <c r="F83" s="2"/>
      <c r="G83" s="2"/>
      <c r="H83" s="2"/>
      <c r="I83" s="2"/>
      <c r="J83" s="2"/>
    </row>
    <row r="84" spans="1:10" x14ac:dyDescent="0.2">
      <c r="A84" s="220" t="s">
        <v>1025</v>
      </c>
      <c r="B84" s="2">
        <v>4</v>
      </c>
      <c r="C84" s="2">
        <v>275</v>
      </c>
      <c r="D84" s="2">
        <f>ROUND(B84*C84,0)</f>
        <v>1100</v>
      </c>
      <c r="E84" s="2"/>
      <c r="F84" s="2"/>
      <c r="G84" s="2"/>
      <c r="H84" s="2"/>
      <c r="I84" s="2"/>
      <c r="J84" s="2"/>
    </row>
    <row r="85" spans="1:10" ht="15" x14ac:dyDescent="0.35">
      <c r="A85" s="5" t="s">
        <v>766</v>
      </c>
      <c r="B85" s="2">
        <v>5</v>
      </c>
      <c r="C85" s="2">
        <v>60</v>
      </c>
      <c r="D85" s="10">
        <v>300</v>
      </c>
      <c r="E85" s="2"/>
      <c r="F85" s="2"/>
      <c r="G85" s="2"/>
      <c r="H85" s="2"/>
      <c r="I85" s="2"/>
      <c r="J85" s="2"/>
    </row>
    <row r="86" spans="1:10" x14ac:dyDescent="0.2">
      <c r="A86" s="220" t="s">
        <v>1086</v>
      </c>
      <c r="D86" s="2">
        <f>SUM(D81:D85)</f>
        <v>3100</v>
      </c>
      <c r="E86" s="2"/>
      <c r="F86" s="2"/>
      <c r="G86" s="2"/>
      <c r="H86" s="2"/>
      <c r="I86" s="2"/>
      <c r="J86" s="2"/>
    </row>
    <row r="87" spans="1:10" x14ac:dyDescent="0.2">
      <c r="D87" s="2"/>
      <c r="F87" s="2"/>
      <c r="G87" s="2"/>
      <c r="H87" s="2"/>
      <c r="I87" s="2"/>
      <c r="J87" s="2"/>
    </row>
    <row r="88" spans="1:10" ht="13.5" x14ac:dyDescent="0.25">
      <c r="A88" s="225" t="s">
        <v>123</v>
      </c>
      <c r="D88" s="2">
        <v>50</v>
      </c>
      <c r="E88" s="220">
        <v>12</v>
      </c>
      <c r="F88" s="2">
        <v>50</v>
      </c>
      <c r="G88" s="2">
        <v>50</v>
      </c>
      <c r="H88" s="2">
        <v>50</v>
      </c>
      <c r="I88" s="2">
        <v>50</v>
      </c>
      <c r="J88" s="2">
        <v>50</v>
      </c>
    </row>
    <row r="89" spans="1:10" x14ac:dyDescent="0.2">
      <c r="D89" s="2"/>
      <c r="F89" s="2"/>
      <c r="G89" s="2"/>
      <c r="H89" s="2"/>
      <c r="I89" s="2"/>
      <c r="J89" s="2"/>
    </row>
    <row r="90" spans="1:10" ht="13.5" x14ac:dyDescent="0.25">
      <c r="A90" s="225" t="s">
        <v>767</v>
      </c>
      <c r="D90" s="2"/>
      <c r="E90" s="2">
        <v>2000</v>
      </c>
      <c r="F90" s="2">
        <v>2201</v>
      </c>
      <c r="G90" s="2">
        <v>2116</v>
      </c>
      <c r="H90" s="2">
        <v>2116</v>
      </c>
      <c r="I90" s="2">
        <v>2116</v>
      </c>
      <c r="J90" s="2">
        <v>2116</v>
      </c>
    </row>
    <row r="91" spans="1:10" x14ac:dyDescent="0.2">
      <c r="A91" s="220" t="s">
        <v>1082</v>
      </c>
      <c r="B91" s="2">
        <v>900</v>
      </c>
      <c r="C91" s="11">
        <v>2.25</v>
      </c>
      <c r="D91" s="2">
        <f>ROUND(B91*C91,0)</f>
        <v>2025</v>
      </c>
      <c r="E91" s="2"/>
      <c r="F91" s="2"/>
      <c r="G91" s="2"/>
      <c r="H91" s="2"/>
      <c r="I91" s="2"/>
      <c r="J91" s="2"/>
    </row>
    <row r="92" spans="1:10" ht="15" x14ac:dyDescent="0.35">
      <c r="A92" s="220" t="s">
        <v>400</v>
      </c>
      <c r="B92" s="2">
        <v>35</v>
      </c>
      <c r="C92" s="11">
        <v>2.59</v>
      </c>
      <c r="D92" s="10">
        <f>ROUND(B92*C92,0)</f>
        <v>91</v>
      </c>
      <c r="E92" s="2"/>
      <c r="F92" s="2"/>
      <c r="G92" s="2"/>
      <c r="H92" s="2"/>
      <c r="I92" s="2"/>
      <c r="J92" s="2"/>
    </row>
    <row r="93" spans="1:10" x14ac:dyDescent="0.2">
      <c r="A93" s="220" t="s">
        <v>1086</v>
      </c>
      <c r="B93" s="2"/>
      <c r="C93" s="13"/>
      <c r="D93" s="2">
        <f>SUM(D91:D92)</f>
        <v>2116</v>
      </c>
      <c r="E93" s="2"/>
      <c r="F93" s="2"/>
      <c r="G93" s="2"/>
      <c r="H93" s="2"/>
      <c r="I93" s="2"/>
      <c r="J93" s="2"/>
    </row>
    <row r="94" spans="1:10" x14ac:dyDescent="0.2">
      <c r="B94" s="2"/>
      <c r="C94" s="13"/>
      <c r="D94" s="2"/>
      <c r="E94" s="2"/>
      <c r="F94" s="2"/>
      <c r="G94" s="2"/>
      <c r="H94" s="2"/>
      <c r="I94" s="2"/>
      <c r="J94" s="2"/>
    </row>
    <row r="95" spans="1:10" ht="13.5" x14ac:dyDescent="0.25">
      <c r="A95" s="225" t="s">
        <v>1083</v>
      </c>
      <c r="B95" s="2"/>
      <c r="C95" s="13"/>
      <c r="D95" s="2"/>
      <c r="E95" s="2">
        <v>480</v>
      </c>
      <c r="F95" s="2">
        <v>480</v>
      </c>
      <c r="G95" s="2">
        <v>480</v>
      </c>
      <c r="H95" s="2">
        <v>480</v>
      </c>
      <c r="I95" s="2">
        <v>480</v>
      </c>
      <c r="J95" s="2">
        <v>480</v>
      </c>
    </row>
    <row r="96" spans="1:10" x14ac:dyDescent="0.2">
      <c r="A96" s="220" t="s">
        <v>266</v>
      </c>
      <c r="B96" s="2"/>
      <c r="C96" s="2"/>
      <c r="D96" s="2">
        <v>480</v>
      </c>
      <c r="E96" s="2"/>
      <c r="F96" s="2"/>
      <c r="G96" s="2"/>
      <c r="H96" s="2"/>
      <c r="I96" s="2"/>
      <c r="J96" s="2"/>
    </row>
    <row r="97" spans="1:10" x14ac:dyDescent="0.2">
      <c r="B97" s="2"/>
      <c r="C97" s="2"/>
      <c r="D97" s="2"/>
      <c r="E97" s="2"/>
      <c r="F97" s="2"/>
      <c r="G97" s="2"/>
      <c r="H97" s="2"/>
      <c r="I97" s="2"/>
      <c r="J97" s="2"/>
    </row>
    <row r="98" spans="1:10" x14ac:dyDescent="0.2">
      <c r="C98" s="2"/>
      <c r="D98" s="2"/>
      <c r="E98" s="2"/>
      <c r="I98" s="251"/>
      <c r="J98" s="256"/>
    </row>
    <row r="99" spans="1:10" ht="13.5" x14ac:dyDescent="0.25">
      <c r="A99" s="16" t="s">
        <v>735</v>
      </c>
      <c r="C99" s="2"/>
      <c r="D99" s="2"/>
      <c r="E99" s="2">
        <v>2301</v>
      </c>
      <c r="F99" s="2">
        <v>2300</v>
      </c>
      <c r="G99" s="2">
        <v>2461</v>
      </c>
      <c r="H99" s="2">
        <v>2461</v>
      </c>
      <c r="I99" s="2">
        <v>2461</v>
      </c>
      <c r="J99" s="2">
        <v>2461</v>
      </c>
    </row>
    <row r="100" spans="1:10" x14ac:dyDescent="0.2">
      <c r="A100" s="220" t="s">
        <v>1450</v>
      </c>
      <c r="C100" s="2"/>
      <c r="D100" s="2">
        <v>2461</v>
      </c>
      <c r="E100" s="2"/>
      <c r="F100" s="2"/>
      <c r="G100" s="2"/>
      <c r="H100" s="2"/>
      <c r="I100" s="2"/>
      <c r="J100" s="2"/>
    </row>
    <row r="101" spans="1:10" x14ac:dyDescent="0.2">
      <c r="C101" s="2"/>
      <c r="D101" s="2"/>
      <c r="E101" s="2"/>
      <c r="F101" s="2"/>
      <c r="G101" s="2"/>
      <c r="H101" s="2"/>
      <c r="I101" s="2"/>
      <c r="J101" s="2"/>
    </row>
    <row r="102" spans="1:10" ht="13.5" x14ac:dyDescent="0.25">
      <c r="A102" s="225" t="s">
        <v>736</v>
      </c>
      <c r="C102" s="2"/>
      <c r="D102" s="2"/>
      <c r="E102" s="2">
        <v>23</v>
      </c>
      <c r="F102" s="2">
        <v>500</v>
      </c>
      <c r="G102" s="2">
        <v>500</v>
      </c>
      <c r="H102" s="2">
        <v>500</v>
      </c>
      <c r="I102" s="2">
        <v>500</v>
      </c>
      <c r="J102" s="2">
        <v>500</v>
      </c>
    </row>
    <row r="103" spans="1:10" x14ac:dyDescent="0.2">
      <c r="A103" s="220" t="s">
        <v>537</v>
      </c>
      <c r="C103" s="2"/>
      <c r="D103" s="2">
        <v>500</v>
      </c>
      <c r="E103" s="2"/>
      <c r="F103" s="2"/>
      <c r="G103" s="2"/>
      <c r="H103" s="2"/>
      <c r="I103" s="2"/>
      <c r="J103" s="2"/>
    </row>
    <row r="104" spans="1:10" x14ac:dyDescent="0.2">
      <c r="C104" s="2"/>
      <c r="D104" s="2"/>
      <c r="E104" s="2"/>
      <c r="F104" s="2"/>
      <c r="G104" s="2"/>
      <c r="H104" s="2"/>
      <c r="I104" s="2"/>
      <c r="J104" s="2"/>
    </row>
    <row r="105" spans="1:10" ht="13.5" x14ac:dyDescent="0.25">
      <c r="A105" s="225" t="s">
        <v>949</v>
      </c>
      <c r="C105" s="2"/>
      <c r="D105" s="2"/>
      <c r="E105" s="2">
        <v>2703</v>
      </c>
      <c r="F105" s="2">
        <v>4500</v>
      </c>
      <c r="G105" s="2">
        <v>4500</v>
      </c>
      <c r="H105" s="2">
        <v>4500</v>
      </c>
      <c r="I105" s="2">
        <v>4500</v>
      </c>
      <c r="J105" s="2">
        <v>4500</v>
      </c>
    </row>
    <row r="106" spans="1:10" x14ac:dyDescent="0.2">
      <c r="A106" s="220" t="s">
        <v>1455</v>
      </c>
      <c r="C106" s="2"/>
      <c r="D106" s="2">
        <v>4500</v>
      </c>
      <c r="E106" s="2"/>
      <c r="F106" s="2"/>
      <c r="G106" s="2"/>
      <c r="H106" s="2"/>
      <c r="I106" s="2"/>
      <c r="J106" s="2"/>
    </row>
    <row r="107" spans="1:10" x14ac:dyDescent="0.2">
      <c r="A107" s="220" t="s">
        <v>1259</v>
      </c>
      <c r="B107" s="2"/>
      <c r="C107" s="17"/>
      <c r="D107" s="17"/>
      <c r="E107" s="2"/>
      <c r="F107" s="2"/>
      <c r="G107" s="2"/>
      <c r="H107" s="2"/>
      <c r="I107" s="2"/>
      <c r="J107" s="2"/>
    </row>
    <row r="108" spans="1:10" x14ac:dyDescent="0.2">
      <c r="C108" s="2"/>
      <c r="D108" s="2"/>
      <c r="E108" s="2"/>
      <c r="F108" s="2"/>
      <c r="G108" s="2"/>
      <c r="H108" s="2"/>
      <c r="I108" s="2"/>
      <c r="J108" s="2"/>
    </row>
    <row r="109" spans="1:10" ht="13.5" x14ac:dyDescent="0.25">
      <c r="A109" s="225" t="s">
        <v>950</v>
      </c>
      <c r="C109" s="2"/>
      <c r="E109" s="2">
        <v>122</v>
      </c>
      <c r="F109" s="2">
        <v>900</v>
      </c>
      <c r="G109" s="2">
        <v>900</v>
      </c>
      <c r="H109" s="2">
        <v>900</v>
      </c>
      <c r="I109" s="2">
        <v>900</v>
      </c>
      <c r="J109" s="2">
        <v>900</v>
      </c>
    </row>
    <row r="110" spans="1:10" x14ac:dyDescent="0.2">
      <c r="A110" s="220" t="s">
        <v>1528</v>
      </c>
      <c r="C110" s="2"/>
      <c r="D110" s="2">
        <v>900</v>
      </c>
      <c r="E110" s="2"/>
      <c r="F110" s="2"/>
      <c r="G110" s="2"/>
      <c r="H110" s="2"/>
      <c r="I110" s="2"/>
      <c r="J110" s="2"/>
    </row>
    <row r="111" spans="1:10" x14ac:dyDescent="0.2">
      <c r="C111" s="2"/>
      <c r="D111" s="2"/>
      <c r="E111" s="2"/>
      <c r="F111" s="2"/>
      <c r="G111" s="2"/>
      <c r="H111" s="2"/>
      <c r="I111" s="2"/>
      <c r="J111" s="2"/>
    </row>
    <row r="112" spans="1:10" ht="13.5" x14ac:dyDescent="0.25">
      <c r="A112" s="225" t="s">
        <v>1376</v>
      </c>
      <c r="C112" s="2"/>
      <c r="E112" s="2">
        <v>2043</v>
      </c>
      <c r="F112" s="2">
        <v>4628</v>
      </c>
      <c r="G112" s="2">
        <v>4628</v>
      </c>
      <c r="H112" s="2">
        <v>4628</v>
      </c>
      <c r="I112" s="2">
        <v>4628</v>
      </c>
      <c r="J112" s="2">
        <v>4628</v>
      </c>
    </row>
    <row r="113" spans="1:10" x14ac:dyDescent="0.2">
      <c r="A113" s="220" t="s">
        <v>1597</v>
      </c>
      <c r="C113" s="2"/>
      <c r="D113" s="2">
        <v>2628</v>
      </c>
      <c r="E113" s="2"/>
      <c r="F113" s="2"/>
      <c r="G113" s="2"/>
      <c r="H113" s="2"/>
      <c r="I113" s="2"/>
      <c r="J113" s="2"/>
    </row>
    <row r="114" spans="1:10" x14ac:dyDescent="0.2">
      <c r="A114" s="220" t="s">
        <v>1711</v>
      </c>
      <c r="C114" s="2"/>
      <c r="D114" s="2">
        <v>2000</v>
      </c>
      <c r="E114" s="2"/>
      <c r="F114" s="2"/>
      <c r="G114" s="2"/>
      <c r="H114" s="2"/>
      <c r="I114" s="2"/>
      <c r="J114" s="2"/>
    </row>
    <row r="115" spans="1:10" ht="15" x14ac:dyDescent="0.35">
      <c r="A115" s="220" t="s">
        <v>1598</v>
      </c>
      <c r="C115" s="2"/>
      <c r="D115" s="10">
        <v>0</v>
      </c>
      <c r="E115" s="2"/>
      <c r="F115" s="2"/>
      <c r="G115" s="2"/>
      <c r="H115" s="2"/>
      <c r="I115" s="2"/>
      <c r="J115" s="2"/>
    </row>
    <row r="116" spans="1:10" x14ac:dyDescent="0.2">
      <c r="C116" s="2"/>
      <c r="D116" s="2">
        <f>SUM(D113:D115)</f>
        <v>4628</v>
      </c>
      <c r="E116" s="2"/>
      <c r="F116" s="2"/>
      <c r="G116" s="2"/>
      <c r="H116" s="2"/>
      <c r="I116" s="2"/>
      <c r="J116" s="2"/>
    </row>
    <row r="117" spans="1:10" x14ac:dyDescent="0.2">
      <c r="C117" s="2"/>
      <c r="D117" s="2"/>
      <c r="E117" s="2"/>
      <c r="F117" s="2"/>
      <c r="G117" s="2"/>
      <c r="H117" s="2"/>
      <c r="I117" s="2"/>
      <c r="J117" s="2"/>
    </row>
    <row r="118" spans="1:10" ht="13.5" x14ac:dyDescent="0.25">
      <c r="A118" s="225" t="s">
        <v>1394</v>
      </c>
      <c r="C118" s="2"/>
      <c r="D118" s="2"/>
      <c r="E118" s="2">
        <v>0</v>
      </c>
      <c r="F118" s="2">
        <v>1500</v>
      </c>
      <c r="G118" s="2">
        <v>1500</v>
      </c>
      <c r="H118" s="2">
        <v>1500</v>
      </c>
      <c r="I118" s="2">
        <v>1500</v>
      </c>
      <c r="J118" s="2">
        <v>1500</v>
      </c>
    </row>
    <row r="119" spans="1:10" x14ac:dyDescent="0.2">
      <c r="A119" s="220" t="s">
        <v>1529</v>
      </c>
      <c r="C119" s="2"/>
      <c r="D119" s="2">
        <v>500</v>
      </c>
      <c r="E119" s="2"/>
      <c r="F119" s="2"/>
      <c r="G119" s="2"/>
      <c r="H119" s="2"/>
      <c r="I119" s="2"/>
      <c r="J119" s="2"/>
    </row>
    <row r="120" spans="1:10" x14ac:dyDescent="0.2">
      <c r="A120" s="220" t="s">
        <v>2127</v>
      </c>
      <c r="C120" s="2"/>
      <c r="D120" s="33">
        <v>1000</v>
      </c>
      <c r="E120" s="2"/>
      <c r="F120" s="2"/>
      <c r="G120" s="2"/>
      <c r="H120" s="2"/>
      <c r="I120" s="2"/>
      <c r="J120" s="2"/>
    </row>
    <row r="121" spans="1:10" x14ac:dyDescent="0.2">
      <c r="C121" s="2"/>
      <c r="D121" s="2">
        <f>SUM(D119:D120)</f>
        <v>1500</v>
      </c>
      <c r="E121" s="2"/>
      <c r="F121" s="2"/>
      <c r="G121" s="2"/>
      <c r="H121" s="2"/>
      <c r="I121" s="2"/>
      <c r="J121" s="2"/>
    </row>
    <row r="122" spans="1:10" x14ac:dyDescent="0.2">
      <c r="C122" s="2"/>
      <c r="D122" s="2"/>
      <c r="E122" s="2"/>
      <c r="F122" s="2"/>
      <c r="G122" s="2"/>
      <c r="H122" s="2"/>
      <c r="I122" s="2"/>
      <c r="J122" s="2"/>
    </row>
    <row r="123" spans="1:10" ht="13.5" x14ac:dyDescent="0.25">
      <c r="A123" s="225" t="s">
        <v>590</v>
      </c>
      <c r="C123" s="2"/>
      <c r="D123" s="2"/>
      <c r="E123" s="2">
        <v>331</v>
      </c>
      <c r="F123" s="2">
        <v>200</v>
      </c>
      <c r="G123" s="2">
        <v>200</v>
      </c>
      <c r="H123" s="2">
        <v>200</v>
      </c>
      <c r="I123" s="2">
        <v>200</v>
      </c>
      <c r="J123" s="2">
        <v>200</v>
      </c>
    </row>
    <row r="124" spans="1:10" x14ac:dyDescent="0.2">
      <c r="A124" s="220" t="s">
        <v>1292</v>
      </c>
      <c r="C124" s="2"/>
      <c r="D124" s="2">
        <v>200</v>
      </c>
      <c r="E124" s="2"/>
      <c r="F124" s="2"/>
      <c r="G124" s="2"/>
      <c r="H124" s="2"/>
      <c r="I124" s="2"/>
      <c r="J124" s="2"/>
    </row>
    <row r="125" spans="1:10" x14ac:dyDescent="0.2">
      <c r="C125" s="2"/>
      <c r="D125" s="2"/>
      <c r="E125" s="2"/>
      <c r="F125" s="2"/>
      <c r="G125" s="2"/>
      <c r="H125" s="2"/>
      <c r="I125" s="2"/>
      <c r="J125" s="2"/>
    </row>
    <row r="126" spans="1:10" ht="15" x14ac:dyDescent="0.35">
      <c r="A126" s="225" t="s">
        <v>383</v>
      </c>
      <c r="C126" s="2"/>
      <c r="D126" s="2"/>
      <c r="E126" s="10">
        <v>0</v>
      </c>
      <c r="F126" s="10">
        <v>0</v>
      </c>
      <c r="G126" s="10">
        <v>0</v>
      </c>
      <c r="H126" s="10">
        <v>0</v>
      </c>
      <c r="I126" s="10">
        <v>0</v>
      </c>
      <c r="J126" s="10">
        <v>0</v>
      </c>
    </row>
    <row r="127" spans="1:10" x14ac:dyDescent="0.2">
      <c r="A127" s="22"/>
      <c r="C127" s="2"/>
      <c r="D127" s="2">
        <v>0</v>
      </c>
      <c r="E127" s="2"/>
      <c r="F127" s="2"/>
      <c r="G127" s="2"/>
      <c r="H127" s="2"/>
      <c r="I127" s="2"/>
      <c r="J127" s="2"/>
    </row>
    <row r="128" spans="1:10" x14ac:dyDescent="0.2">
      <c r="C128" s="2"/>
      <c r="D128" s="2"/>
      <c r="E128" s="2"/>
      <c r="F128" s="2"/>
      <c r="G128" s="2"/>
      <c r="H128" s="2"/>
      <c r="I128" s="2"/>
      <c r="J128" s="2"/>
    </row>
    <row r="129" spans="1:10" x14ac:dyDescent="0.2">
      <c r="A129" s="220" t="s">
        <v>1167</v>
      </c>
      <c r="C129" s="2"/>
      <c r="D129" s="63"/>
      <c r="E129" s="2">
        <f t="shared" ref="E129:J129" si="0">SUM(E6:E128)</f>
        <v>413725</v>
      </c>
      <c r="F129" s="2">
        <f>SUM(F6:F128)</f>
        <v>476612</v>
      </c>
      <c r="G129" s="2">
        <f>SUM(G6:G128)</f>
        <v>495088</v>
      </c>
      <c r="H129" s="2">
        <f>SUM(H6:H128)</f>
        <v>494088</v>
      </c>
      <c r="I129" s="2">
        <f t="shared" si="0"/>
        <v>494088</v>
      </c>
      <c r="J129" s="2">
        <f t="shared" si="0"/>
        <v>494088</v>
      </c>
    </row>
    <row r="132" spans="1:10" x14ac:dyDescent="0.2">
      <c r="A132" s="220" t="s">
        <v>523</v>
      </c>
      <c r="C132" s="63"/>
      <c r="D132" s="63"/>
      <c r="E132" s="2">
        <f t="shared" ref="E132:J132" si="1">SUM(E6:E73)</f>
        <v>399078</v>
      </c>
      <c r="F132" s="2">
        <f t="shared" si="1"/>
        <v>453353</v>
      </c>
      <c r="G132" s="2">
        <f t="shared" si="1"/>
        <v>471753</v>
      </c>
      <c r="H132" s="2">
        <f t="shared" ref="H132" si="2">SUM(H6:H73)</f>
        <v>470753</v>
      </c>
      <c r="I132" s="2">
        <f t="shared" si="1"/>
        <v>470753</v>
      </c>
      <c r="J132" s="2">
        <f t="shared" si="1"/>
        <v>470753</v>
      </c>
    </row>
    <row r="133" spans="1:10" x14ac:dyDescent="0.2">
      <c r="A133" s="220" t="s">
        <v>818</v>
      </c>
      <c r="C133" s="51"/>
      <c r="D133" s="63"/>
      <c r="E133" s="2">
        <f>SUM(E74:E124)</f>
        <v>14647</v>
      </c>
      <c r="F133" s="2">
        <f>SUM(F74:F124)</f>
        <v>23259</v>
      </c>
      <c r="G133" s="2">
        <f>SUM(G74:G123)</f>
        <v>23335</v>
      </c>
      <c r="H133" s="2">
        <f>SUM(H74:H123)</f>
        <v>23335</v>
      </c>
      <c r="I133" s="2">
        <f>SUM(I74:I121)</f>
        <v>23135</v>
      </c>
      <c r="J133" s="2">
        <f>SUM(J74:J121)</f>
        <v>23135</v>
      </c>
    </row>
    <row r="134" spans="1:10" ht="15" x14ac:dyDescent="0.35">
      <c r="A134" s="220" t="s">
        <v>819</v>
      </c>
      <c r="E134" s="10">
        <f t="shared" ref="E134:J134" si="3">SUM(E126)</f>
        <v>0</v>
      </c>
      <c r="F134" s="10">
        <f t="shared" si="3"/>
        <v>0</v>
      </c>
      <c r="G134" s="10">
        <f>SUM(G126)</f>
        <v>0</v>
      </c>
      <c r="H134" s="10">
        <f>SUM(H126)</f>
        <v>0</v>
      </c>
      <c r="I134" s="10">
        <f t="shared" si="3"/>
        <v>0</v>
      </c>
      <c r="J134" s="10">
        <f t="shared" si="3"/>
        <v>0</v>
      </c>
    </row>
    <row r="135" spans="1:10" x14ac:dyDescent="0.2">
      <c r="A135" s="220" t="s">
        <v>1086</v>
      </c>
      <c r="E135" s="2">
        <f t="shared" ref="E135:J135" si="4">SUM(E132:E134)</f>
        <v>413725</v>
      </c>
      <c r="F135" s="2">
        <f t="shared" si="4"/>
        <v>476612</v>
      </c>
      <c r="G135" s="2">
        <f t="shared" si="4"/>
        <v>495088</v>
      </c>
      <c r="H135" s="2">
        <f t="shared" ref="H135" si="5">SUM(H132:H134)</f>
        <v>494088</v>
      </c>
      <c r="I135" s="2">
        <f t="shared" si="4"/>
        <v>493888</v>
      </c>
      <c r="J135" s="2">
        <f t="shared" si="4"/>
        <v>493888</v>
      </c>
    </row>
  </sheetData>
  <mergeCells count="1">
    <mergeCell ref="A1:J1"/>
  </mergeCells>
  <phoneticPr fontId="0" type="noConversion"/>
  <printOptions gridLines="1"/>
  <pageMargins left="0.75" right="0.16" top="0.51" bottom="0.22" header="0.5" footer="0.5"/>
  <pageSetup scale="89" fitToHeight="5" orientation="landscape" r:id="rId1"/>
  <headerFooter alignWithMargins="0"/>
  <rowBreaks count="1" manualBreakCount="1">
    <brk id="111" max="9"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153"/>
  <sheetViews>
    <sheetView view="pageBreakPreview" zoomScaleNormal="100" zoomScaleSheetLayoutView="100" workbookViewId="0">
      <pane ySplit="5" topLeftCell="A127" activePane="bottomLeft" state="frozen"/>
      <selection activeCell="I6" sqref="I6:I240"/>
      <selection pane="bottomLeft" sqref="A1:J1"/>
    </sheetView>
  </sheetViews>
  <sheetFormatPr defaultColWidth="8.85546875" defaultRowHeight="12.75" x14ac:dyDescent="0.2"/>
  <cols>
    <col min="1" max="1" width="52.85546875" style="220" customWidth="1"/>
    <col min="2" max="2" width="9.5703125" style="220" customWidth="1"/>
    <col min="3" max="3" width="8.5703125" style="220" bestFit="1" customWidth="1"/>
    <col min="4" max="4" width="9.42578125" style="220" bestFit="1" customWidth="1"/>
    <col min="5" max="7" width="10.85546875" style="220" customWidth="1"/>
    <col min="8" max="8" width="14" style="220" bestFit="1" customWidth="1"/>
    <col min="9" max="10" width="10.85546875" style="220" customWidth="1"/>
    <col min="11" max="16384" width="8.85546875" style="220"/>
  </cols>
  <sheetData>
    <row r="1" spans="1:10" x14ac:dyDescent="0.2">
      <c r="A1" s="261" t="s">
        <v>1965</v>
      </c>
      <c r="B1" s="262"/>
      <c r="C1" s="262"/>
      <c r="D1" s="262"/>
      <c r="E1" s="262"/>
      <c r="F1" s="262"/>
      <c r="G1" s="262"/>
      <c r="H1" s="262"/>
      <c r="I1" s="262"/>
      <c r="J1" s="262"/>
    </row>
    <row r="2" spans="1:10" ht="18.75" x14ac:dyDescent="0.3">
      <c r="A2" s="107" t="s">
        <v>1643</v>
      </c>
      <c r="B2" s="107"/>
      <c r="C2" s="107"/>
      <c r="D2" s="107"/>
      <c r="E2" s="107"/>
      <c r="F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960</v>
      </c>
      <c r="B6" s="2"/>
      <c r="C6" s="2"/>
      <c r="D6" s="2"/>
      <c r="E6" s="2">
        <f>243+82538</f>
        <v>82781</v>
      </c>
      <c r="F6" s="2">
        <v>84651</v>
      </c>
      <c r="G6" s="2">
        <v>86315</v>
      </c>
      <c r="H6" s="2">
        <v>86315</v>
      </c>
      <c r="I6" s="2">
        <v>88011</v>
      </c>
      <c r="J6" s="2">
        <v>88011</v>
      </c>
    </row>
    <row r="7" spans="1:10" x14ac:dyDescent="0.2">
      <c r="A7" s="22" t="s">
        <v>1195</v>
      </c>
      <c r="B7" s="2">
        <v>52</v>
      </c>
      <c r="C7" s="2">
        <v>915</v>
      </c>
      <c r="D7" s="2">
        <f>ROUND(B7*C7,0)</f>
        <v>47580</v>
      </c>
      <c r="E7" s="2"/>
      <c r="F7" s="2"/>
      <c r="G7" s="2"/>
      <c r="H7" s="2"/>
      <c r="I7" s="2"/>
      <c r="J7" s="2"/>
    </row>
    <row r="8" spans="1:10" x14ac:dyDescent="0.2">
      <c r="A8" s="22" t="s">
        <v>1195</v>
      </c>
      <c r="B8" s="2">
        <v>52</v>
      </c>
      <c r="C8" s="2">
        <v>729</v>
      </c>
      <c r="D8" s="2">
        <f>ROUND(B8*C8,0)</f>
        <v>37908</v>
      </c>
      <c r="E8" s="2"/>
      <c r="F8" s="2"/>
      <c r="G8" s="2"/>
      <c r="H8" s="2"/>
      <c r="I8" s="2"/>
      <c r="J8" s="2"/>
    </row>
    <row r="9" spans="1:10" x14ac:dyDescent="0.2">
      <c r="A9" s="2" t="s">
        <v>2139</v>
      </c>
      <c r="B9" s="2">
        <v>1</v>
      </c>
      <c r="C9" s="2">
        <f>SUM(C7:C8)</f>
        <v>1644</v>
      </c>
      <c r="D9" s="2">
        <f>ROUND(B9*C9,0)</f>
        <v>1644</v>
      </c>
      <c r="E9" s="2"/>
      <c r="F9" s="2"/>
      <c r="G9" s="2"/>
      <c r="H9" s="2"/>
      <c r="I9" s="2"/>
      <c r="J9" s="2"/>
    </row>
    <row r="10" spans="1:10" ht="15" x14ac:dyDescent="0.35">
      <c r="A10" s="220" t="s">
        <v>833</v>
      </c>
      <c r="B10" s="2" t="s">
        <v>349</v>
      </c>
      <c r="C10" s="2" t="s">
        <v>349</v>
      </c>
      <c r="D10" s="10">
        <v>879</v>
      </c>
      <c r="E10" s="2"/>
      <c r="F10" s="2"/>
      <c r="G10" s="2"/>
      <c r="H10" s="2"/>
      <c r="I10" s="2"/>
      <c r="J10" s="2"/>
    </row>
    <row r="11" spans="1:10" x14ac:dyDescent="0.2">
      <c r="A11" s="220" t="s">
        <v>1086</v>
      </c>
      <c r="B11" s="2"/>
      <c r="C11" s="2"/>
      <c r="D11" s="2">
        <f>SUM(D7:D10)</f>
        <v>88011</v>
      </c>
      <c r="E11" s="2"/>
      <c r="F11" s="2"/>
      <c r="G11" s="2"/>
      <c r="H11" s="2"/>
      <c r="I11" s="2"/>
      <c r="J11" s="2"/>
    </row>
    <row r="12" spans="1:10" x14ac:dyDescent="0.2">
      <c r="B12" s="11"/>
      <c r="D12" s="2"/>
      <c r="E12" s="2"/>
      <c r="F12" s="2"/>
      <c r="G12" s="2"/>
      <c r="H12" s="2"/>
      <c r="I12" s="2"/>
      <c r="J12" s="2"/>
    </row>
    <row r="13" spans="1:10" ht="13.5" x14ac:dyDescent="0.25">
      <c r="A13" s="225" t="s">
        <v>793</v>
      </c>
      <c r="E13" s="2">
        <v>40234</v>
      </c>
      <c r="F13" s="2">
        <v>41184</v>
      </c>
      <c r="G13" s="2">
        <v>41210</v>
      </c>
      <c r="H13" s="2">
        <v>41210</v>
      </c>
      <c r="I13" s="2">
        <v>42042</v>
      </c>
      <c r="J13" s="2">
        <v>42042</v>
      </c>
    </row>
    <row r="14" spans="1:10" x14ac:dyDescent="0.2">
      <c r="A14" s="22" t="s">
        <v>1594</v>
      </c>
      <c r="B14" s="88">
        <v>1300</v>
      </c>
      <c r="C14" s="11">
        <v>16.170000000000002</v>
      </c>
      <c r="D14" s="2">
        <f>ROUND(B14*C14,0)</f>
        <v>21021</v>
      </c>
      <c r="E14" s="2"/>
      <c r="F14" s="2"/>
      <c r="G14" s="2"/>
      <c r="H14" s="2"/>
      <c r="I14" s="2"/>
      <c r="J14" s="2"/>
    </row>
    <row r="15" spans="1:10" ht="15" x14ac:dyDescent="0.35">
      <c r="A15" s="22" t="s">
        <v>1377</v>
      </c>
      <c r="B15" s="88">
        <v>1300</v>
      </c>
      <c r="C15" s="11">
        <v>16.170000000000002</v>
      </c>
      <c r="D15" s="10">
        <f>ROUND(B15*C15,0)</f>
        <v>21021</v>
      </c>
      <c r="E15" s="2"/>
      <c r="F15" s="2"/>
      <c r="G15" s="2"/>
      <c r="H15" s="2"/>
      <c r="I15" s="2"/>
      <c r="J15" s="2"/>
    </row>
    <row r="16" spans="1:10" ht="13.5" x14ac:dyDescent="0.25">
      <c r="A16" s="225"/>
      <c r="D16" s="2">
        <f>SUM(D14:D15)</f>
        <v>42042</v>
      </c>
      <c r="E16" s="2"/>
      <c r="F16" s="2"/>
      <c r="G16" s="2"/>
      <c r="H16" s="2"/>
      <c r="I16" s="2"/>
      <c r="J16" s="2"/>
    </row>
    <row r="17" spans="1:10" ht="13.9" customHeight="1" x14ac:dyDescent="0.25">
      <c r="A17" s="225" t="s">
        <v>794</v>
      </c>
      <c r="D17" s="2"/>
      <c r="E17" s="2">
        <v>5997</v>
      </c>
      <c r="F17" s="2">
        <v>4833</v>
      </c>
      <c r="G17" s="2">
        <v>4836</v>
      </c>
      <c r="H17" s="2">
        <v>4836</v>
      </c>
      <c r="I17" s="2">
        <v>4840</v>
      </c>
      <c r="J17" s="2">
        <v>4840</v>
      </c>
    </row>
    <row r="18" spans="1:10" x14ac:dyDescent="0.2">
      <c r="A18" s="220" t="s">
        <v>1195</v>
      </c>
      <c r="B18" s="2">
        <v>157</v>
      </c>
      <c r="C18" s="11">
        <f>+(C7+C8)/40*1.5/2</f>
        <v>30.825000000000003</v>
      </c>
      <c r="D18" s="2">
        <f>ROUND(B18*C18,0)</f>
        <v>4840</v>
      </c>
      <c r="E18" s="2"/>
      <c r="F18" s="2"/>
      <c r="G18" s="2"/>
      <c r="H18" s="2"/>
      <c r="I18" s="2"/>
      <c r="J18" s="2"/>
    </row>
    <row r="19" spans="1:10" x14ac:dyDescent="0.2">
      <c r="B19" s="2"/>
      <c r="C19" s="11"/>
      <c r="D19" s="2"/>
      <c r="E19" s="2"/>
      <c r="F19" s="2"/>
      <c r="G19" s="2"/>
      <c r="H19" s="2"/>
      <c r="I19" s="2"/>
      <c r="J19" s="2"/>
    </row>
    <row r="20" spans="1:10" ht="13.5" x14ac:dyDescent="0.25">
      <c r="A20" s="225" t="s">
        <v>797</v>
      </c>
      <c r="D20" s="2"/>
      <c r="E20" s="2">
        <v>10311</v>
      </c>
      <c r="F20" s="2">
        <v>9997</v>
      </c>
      <c r="G20" s="2">
        <v>10126</v>
      </c>
      <c r="H20" s="2">
        <v>10126</v>
      </c>
      <c r="I20" s="2">
        <v>10319</v>
      </c>
      <c r="J20" s="2">
        <v>10319</v>
      </c>
    </row>
    <row r="21" spans="1:10" hidden="1" x14ac:dyDescent="0.2">
      <c r="A21" s="12" t="s">
        <v>695</v>
      </c>
      <c r="B21" s="2">
        <f>+D11</f>
        <v>88011</v>
      </c>
      <c r="C21" s="13">
        <v>7.6499999999999999E-2</v>
      </c>
      <c r="D21" s="2">
        <f>ROUND(B21*C21,0)</f>
        <v>6733</v>
      </c>
      <c r="E21" s="2"/>
      <c r="F21" s="2"/>
      <c r="G21" s="2"/>
      <c r="H21" s="2"/>
      <c r="I21" s="2"/>
      <c r="J21" s="2"/>
    </row>
    <row r="22" spans="1:10" hidden="1" x14ac:dyDescent="0.2">
      <c r="A22" s="12" t="s">
        <v>158</v>
      </c>
      <c r="B22" s="2">
        <f>+D16</f>
        <v>42042</v>
      </c>
      <c r="C22" s="13">
        <v>7.6499999999999999E-2</v>
      </c>
      <c r="D22" s="2">
        <f>ROUND(B22*C22,0)</f>
        <v>3216</v>
      </c>
      <c r="E22" s="2"/>
      <c r="F22" s="2"/>
      <c r="G22" s="2"/>
      <c r="H22" s="2"/>
      <c r="I22" s="2"/>
      <c r="J22" s="2"/>
    </row>
    <row r="23" spans="1:10" ht="15" hidden="1" x14ac:dyDescent="0.35">
      <c r="A23" s="12" t="s">
        <v>159</v>
      </c>
      <c r="B23" s="2">
        <f>+D18</f>
        <v>4840</v>
      </c>
      <c r="C23" s="13">
        <v>7.6499999999999999E-2</v>
      </c>
      <c r="D23" s="10">
        <f>ROUND(B23*C23,0)</f>
        <v>370</v>
      </c>
      <c r="E23" s="2"/>
      <c r="F23" s="2"/>
      <c r="G23" s="2"/>
      <c r="H23" s="2"/>
      <c r="I23" s="2"/>
      <c r="J23" s="2"/>
    </row>
    <row r="24" spans="1:10" hidden="1" x14ac:dyDescent="0.2">
      <c r="A24" s="220" t="s">
        <v>1086</v>
      </c>
      <c r="D24" s="2">
        <f>SUM(D21:D23)</f>
        <v>10319</v>
      </c>
      <c r="E24" s="2"/>
      <c r="F24" s="2"/>
      <c r="G24" s="2"/>
      <c r="H24" s="2"/>
      <c r="I24" s="2"/>
      <c r="J24" s="2"/>
    </row>
    <row r="25" spans="1:10" x14ac:dyDescent="0.2">
      <c r="D25" s="2"/>
      <c r="E25" s="2"/>
      <c r="F25" s="2"/>
      <c r="G25" s="2"/>
      <c r="H25" s="2"/>
      <c r="I25" s="2"/>
      <c r="J25" s="2"/>
    </row>
    <row r="26" spans="1:10" ht="13.5" x14ac:dyDescent="0.25">
      <c r="A26" s="225" t="s">
        <v>798</v>
      </c>
      <c r="D26" s="2"/>
      <c r="E26" s="2">
        <v>4275</v>
      </c>
      <c r="F26" s="2">
        <v>9996</v>
      </c>
      <c r="G26" s="2">
        <v>12816</v>
      </c>
      <c r="H26" s="2">
        <v>12816</v>
      </c>
      <c r="I26" s="2">
        <v>13055</v>
      </c>
      <c r="J26" s="2">
        <v>13055</v>
      </c>
    </row>
    <row r="27" spans="1:10" hidden="1" x14ac:dyDescent="0.2">
      <c r="A27" s="12" t="s">
        <v>695</v>
      </c>
      <c r="B27" s="2">
        <f>+D11</f>
        <v>88011</v>
      </c>
      <c r="C27" s="228">
        <v>0.1406</v>
      </c>
      <c r="D27" s="2">
        <f>ROUND(B27*C27,0)</f>
        <v>12374</v>
      </c>
      <c r="E27" s="2"/>
      <c r="F27" s="2"/>
      <c r="G27" s="2"/>
      <c r="H27" s="2"/>
      <c r="I27" s="2"/>
      <c r="J27" s="2"/>
    </row>
    <row r="28" spans="1:10" ht="15" hidden="1" x14ac:dyDescent="0.35">
      <c r="A28" s="12" t="s">
        <v>159</v>
      </c>
      <c r="B28" s="2">
        <f>+D18</f>
        <v>4840</v>
      </c>
      <c r="C28" s="228">
        <v>0.1406</v>
      </c>
      <c r="D28" s="10">
        <f>ROUND(B28*C28,0)</f>
        <v>681</v>
      </c>
      <c r="E28" s="2"/>
      <c r="F28" s="2"/>
      <c r="G28" s="2"/>
      <c r="H28" s="2"/>
      <c r="I28" s="2"/>
      <c r="J28" s="2"/>
    </row>
    <row r="29" spans="1:10" hidden="1" x14ac:dyDescent="0.2">
      <c r="A29" s="220" t="s">
        <v>1086</v>
      </c>
      <c r="D29" s="2">
        <f>SUM(D27:D28)</f>
        <v>13055</v>
      </c>
      <c r="E29" s="2"/>
      <c r="F29" s="2"/>
      <c r="G29" s="2"/>
      <c r="H29" s="2"/>
      <c r="I29" s="2"/>
      <c r="J29" s="2"/>
    </row>
    <row r="30" spans="1:10" x14ac:dyDescent="0.2">
      <c r="D30" s="2"/>
      <c r="E30" s="2"/>
      <c r="F30" s="2"/>
      <c r="G30" s="2"/>
      <c r="H30" s="2"/>
      <c r="I30" s="2"/>
      <c r="J30" s="2"/>
    </row>
    <row r="31" spans="1:10" ht="13.5" x14ac:dyDescent="0.25">
      <c r="A31" s="225" t="s">
        <v>799</v>
      </c>
      <c r="D31" s="2"/>
      <c r="E31" s="2">
        <v>38474</v>
      </c>
      <c r="F31" s="2">
        <v>39150</v>
      </c>
      <c r="G31" s="2">
        <v>39900</v>
      </c>
      <c r="H31" s="2">
        <v>39500</v>
      </c>
      <c r="I31" s="2">
        <v>39500</v>
      </c>
      <c r="J31" s="2">
        <v>39500</v>
      </c>
    </row>
    <row r="32" spans="1:10" x14ac:dyDescent="0.2">
      <c r="A32" s="220" t="s">
        <v>369</v>
      </c>
      <c r="B32" s="2">
        <v>2</v>
      </c>
      <c r="C32" s="2">
        <v>19750</v>
      </c>
      <c r="D32" s="2">
        <f>ROUND(B32*C32,0)</f>
        <v>39500</v>
      </c>
      <c r="E32" s="2"/>
      <c r="F32" s="2"/>
      <c r="G32" s="2"/>
      <c r="H32" s="2"/>
      <c r="I32" s="2"/>
      <c r="J32" s="2"/>
    </row>
    <row r="33" spans="1:10" x14ac:dyDescent="0.2">
      <c r="D33" s="2"/>
      <c r="E33" s="2"/>
      <c r="F33" s="2"/>
      <c r="G33" s="2"/>
      <c r="H33" s="2"/>
      <c r="I33" s="2"/>
      <c r="J33" s="2"/>
    </row>
    <row r="34" spans="1:10" ht="13.5" x14ac:dyDescent="0.25">
      <c r="A34" s="225" t="s">
        <v>1098</v>
      </c>
      <c r="D34" s="2"/>
      <c r="E34" s="2">
        <v>2087</v>
      </c>
      <c r="F34" s="2">
        <v>2520</v>
      </c>
      <c r="G34" s="2">
        <v>2520</v>
      </c>
      <c r="H34" s="2">
        <v>2520</v>
      </c>
      <c r="I34" s="2">
        <v>2520</v>
      </c>
      <c r="J34" s="2">
        <v>2520</v>
      </c>
    </row>
    <row r="35" spans="1:10" x14ac:dyDescent="0.2">
      <c r="A35" s="220" t="s">
        <v>369</v>
      </c>
      <c r="B35" s="2">
        <v>2</v>
      </c>
      <c r="C35" s="2">
        <v>1400</v>
      </c>
      <c r="D35" s="2">
        <f>ROUND(B35*C35,0)</f>
        <v>2800</v>
      </c>
      <c r="E35" s="2"/>
      <c r="F35" s="2"/>
      <c r="G35" s="2"/>
      <c r="H35" s="2"/>
      <c r="I35" s="2"/>
      <c r="J35" s="2"/>
    </row>
    <row r="36" spans="1:10" ht="15" x14ac:dyDescent="0.35">
      <c r="A36" s="220" t="s">
        <v>201</v>
      </c>
      <c r="D36" s="10">
        <f>+C35*-0.1*B35</f>
        <v>-280</v>
      </c>
      <c r="E36" s="2"/>
      <c r="F36" s="2"/>
      <c r="G36" s="2"/>
      <c r="H36" s="2"/>
      <c r="I36" s="2"/>
      <c r="J36" s="2"/>
    </row>
    <row r="37" spans="1:10" x14ac:dyDescent="0.2">
      <c r="A37" s="220" t="s">
        <v>1086</v>
      </c>
      <c r="D37" s="2">
        <f>SUM(D35:D36)</f>
        <v>2520</v>
      </c>
      <c r="E37" s="2"/>
      <c r="F37" s="2"/>
      <c r="G37" s="2"/>
      <c r="H37" s="2"/>
      <c r="I37" s="2"/>
      <c r="J37" s="2"/>
    </row>
    <row r="38" spans="1:10" ht="15" x14ac:dyDescent="0.35">
      <c r="D38" s="10"/>
      <c r="E38" s="2"/>
      <c r="F38" s="2"/>
      <c r="G38" s="2"/>
      <c r="H38" s="2"/>
      <c r="I38" s="2"/>
      <c r="J38" s="2"/>
    </row>
    <row r="39" spans="1:10" ht="13.5" x14ac:dyDescent="0.25">
      <c r="A39" s="225" t="s">
        <v>907</v>
      </c>
      <c r="D39" s="2"/>
      <c r="E39" s="2">
        <v>163</v>
      </c>
      <c r="F39" s="2">
        <v>270</v>
      </c>
      <c r="G39" s="2">
        <v>270</v>
      </c>
      <c r="H39" s="2">
        <v>270</v>
      </c>
      <c r="I39" s="2">
        <v>270</v>
      </c>
      <c r="J39" s="2">
        <v>270</v>
      </c>
    </row>
    <row r="40" spans="1:10" hidden="1" x14ac:dyDescent="0.2">
      <c r="A40" s="220" t="s">
        <v>369</v>
      </c>
      <c r="B40" s="2">
        <v>2</v>
      </c>
      <c r="C40" s="2">
        <v>135</v>
      </c>
      <c r="D40" s="2">
        <f>ROUND(B40*C40,0)</f>
        <v>270</v>
      </c>
      <c r="E40" s="2"/>
      <c r="F40" s="2"/>
      <c r="G40" s="2"/>
      <c r="H40" s="2"/>
      <c r="I40" s="2"/>
      <c r="J40" s="2"/>
    </row>
    <row r="41" spans="1:10" x14ac:dyDescent="0.2">
      <c r="D41" s="2"/>
      <c r="E41" s="2"/>
      <c r="F41" s="2"/>
      <c r="G41" s="2"/>
      <c r="H41" s="2"/>
      <c r="I41" s="2"/>
      <c r="J41" s="2"/>
    </row>
    <row r="42" spans="1:10" ht="13.5" x14ac:dyDescent="0.25">
      <c r="A42" s="225" t="s">
        <v>1113</v>
      </c>
      <c r="D42" s="2"/>
      <c r="E42" s="2">
        <v>942</v>
      </c>
      <c r="F42" s="2">
        <v>1250</v>
      </c>
      <c r="G42" s="2">
        <v>1100</v>
      </c>
      <c r="H42" s="2">
        <v>1100</v>
      </c>
      <c r="I42" s="2">
        <v>1100</v>
      </c>
      <c r="J42" s="2">
        <v>1100</v>
      </c>
    </row>
    <row r="43" spans="1:10" hidden="1" x14ac:dyDescent="0.2">
      <c r="A43" s="220" t="s">
        <v>369</v>
      </c>
      <c r="B43" s="2">
        <v>2</v>
      </c>
      <c r="C43" s="2">
        <v>550</v>
      </c>
      <c r="D43" s="2">
        <f>ROUND(B43*C43,0)</f>
        <v>1100</v>
      </c>
      <c r="E43" s="2"/>
      <c r="F43" s="2"/>
      <c r="G43" s="2"/>
      <c r="H43" s="2"/>
      <c r="I43" s="2"/>
      <c r="J43" s="2"/>
    </row>
    <row r="44" spans="1:10" x14ac:dyDescent="0.2">
      <c r="D44" s="2"/>
      <c r="E44" s="2"/>
      <c r="F44" s="2"/>
      <c r="G44" s="2"/>
      <c r="H44" s="2"/>
      <c r="I44" s="2"/>
      <c r="J44" s="2"/>
    </row>
    <row r="45" spans="1:10" ht="13.5" x14ac:dyDescent="0.25">
      <c r="A45" s="225" t="s">
        <v>1114</v>
      </c>
      <c r="D45" s="2"/>
      <c r="E45" s="2">
        <v>2980</v>
      </c>
      <c r="F45" s="2">
        <v>3763</v>
      </c>
      <c r="G45" s="2">
        <v>4249</v>
      </c>
      <c r="H45" s="2">
        <v>4249</v>
      </c>
      <c r="I45" s="2">
        <v>4330</v>
      </c>
      <c r="J45" s="2">
        <v>4330</v>
      </c>
    </row>
    <row r="46" spans="1:10" hidden="1" x14ac:dyDescent="0.2">
      <c r="A46" s="12" t="s">
        <v>695</v>
      </c>
      <c r="B46" s="2">
        <f>+D11</f>
        <v>88011</v>
      </c>
      <c r="C46" s="13">
        <v>3.2099999999999997E-2</v>
      </c>
      <c r="D46" s="2">
        <f>ROUND(B46*C46,0)</f>
        <v>2825</v>
      </c>
      <c r="E46" s="2"/>
      <c r="F46" s="2"/>
      <c r="G46" s="2"/>
      <c r="H46" s="2"/>
      <c r="I46" s="2"/>
      <c r="J46" s="2"/>
    </row>
    <row r="47" spans="1:10" hidden="1" x14ac:dyDescent="0.2">
      <c r="A47" s="12" t="s">
        <v>158</v>
      </c>
      <c r="B47" s="2">
        <f>+B22</f>
        <v>42042</v>
      </c>
      <c r="C47" s="13">
        <v>3.2099999999999997E-2</v>
      </c>
      <c r="D47" s="2">
        <f>ROUND(B47*C47,0)</f>
        <v>1350</v>
      </c>
      <c r="E47" s="2"/>
      <c r="F47" s="2"/>
      <c r="G47" s="2"/>
      <c r="H47" s="2"/>
      <c r="I47" s="2"/>
      <c r="J47" s="2"/>
    </row>
    <row r="48" spans="1:10" ht="15" hidden="1" x14ac:dyDescent="0.35">
      <c r="A48" s="12" t="s">
        <v>1670</v>
      </c>
      <c r="B48" s="2">
        <f>ROUND(D18,0)</f>
        <v>4840</v>
      </c>
      <c r="C48" s="13">
        <v>3.2099999999999997E-2</v>
      </c>
      <c r="D48" s="10">
        <f>ROUND(B48*C48,0)</f>
        <v>155</v>
      </c>
      <c r="E48" s="2"/>
      <c r="F48" s="2"/>
      <c r="G48" s="2"/>
      <c r="H48" s="2"/>
      <c r="I48" s="2"/>
      <c r="J48" s="2"/>
    </row>
    <row r="49" spans="1:10" hidden="1" x14ac:dyDescent="0.2">
      <c r="A49" s="220" t="s">
        <v>1086</v>
      </c>
      <c r="D49" s="2">
        <f>SUM(D46:D48)</f>
        <v>4330</v>
      </c>
      <c r="E49" s="2"/>
      <c r="F49" s="2"/>
      <c r="G49" s="2"/>
      <c r="H49" s="2"/>
      <c r="I49" s="2"/>
      <c r="J49" s="2"/>
    </row>
    <row r="50" spans="1:10" x14ac:dyDescent="0.2">
      <c r="D50" s="2"/>
      <c r="E50" s="2"/>
      <c r="F50" s="2"/>
      <c r="G50" s="2"/>
      <c r="H50" s="2"/>
      <c r="I50" s="2"/>
      <c r="J50" s="2"/>
    </row>
    <row r="51" spans="1:10" ht="13.5" x14ac:dyDescent="0.25">
      <c r="A51" s="225" t="s">
        <v>1343</v>
      </c>
      <c r="D51" s="2"/>
      <c r="E51" s="2">
        <v>68</v>
      </c>
      <c r="F51" s="2">
        <v>80</v>
      </c>
      <c r="G51" s="2">
        <v>80</v>
      </c>
      <c r="H51" s="2">
        <v>80</v>
      </c>
      <c r="I51" s="2">
        <v>80</v>
      </c>
      <c r="J51" s="2">
        <v>80</v>
      </c>
    </row>
    <row r="52" spans="1:10" hidden="1" x14ac:dyDescent="0.2">
      <c r="A52" s="12" t="s">
        <v>695</v>
      </c>
      <c r="B52" s="2">
        <v>2</v>
      </c>
      <c r="C52" s="2">
        <v>20</v>
      </c>
      <c r="D52" s="2">
        <f>ROUND(B52*C52,0)</f>
        <v>40</v>
      </c>
      <c r="E52" s="2"/>
      <c r="F52" s="2"/>
      <c r="G52" s="2"/>
      <c r="H52" s="2"/>
      <c r="I52" s="2"/>
      <c r="J52" s="2"/>
    </row>
    <row r="53" spans="1:10" ht="15" hidden="1" x14ac:dyDescent="0.35">
      <c r="A53" s="32" t="s">
        <v>1743</v>
      </c>
      <c r="B53" s="2">
        <v>2</v>
      </c>
      <c r="C53" s="2">
        <v>20</v>
      </c>
      <c r="D53" s="10">
        <f>ROUND(B53*C53,0)</f>
        <v>40</v>
      </c>
      <c r="E53" s="2"/>
      <c r="F53" s="2"/>
      <c r="G53" s="2"/>
      <c r="H53" s="2"/>
      <c r="I53" s="2"/>
      <c r="J53" s="2"/>
    </row>
    <row r="54" spans="1:10" hidden="1" x14ac:dyDescent="0.2">
      <c r="A54" s="12"/>
      <c r="B54" s="2"/>
      <c r="C54" s="2"/>
      <c r="D54" s="2">
        <f>SUM(D52:D53)</f>
        <v>80</v>
      </c>
      <c r="E54" s="2"/>
      <c r="F54" s="2"/>
      <c r="G54" s="2"/>
      <c r="H54" s="2"/>
      <c r="I54" s="2"/>
      <c r="J54" s="2"/>
    </row>
    <row r="55" spans="1:10" x14ac:dyDescent="0.2">
      <c r="D55" s="2"/>
      <c r="E55" s="2"/>
      <c r="F55" s="2"/>
      <c r="I55" s="251"/>
      <c r="J55" s="256"/>
    </row>
    <row r="56" spans="1:10" ht="13.5" x14ac:dyDescent="0.25">
      <c r="A56" s="225" t="s">
        <v>1762</v>
      </c>
      <c r="D56" s="2"/>
      <c r="E56" s="2">
        <v>170</v>
      </c>
      <c r="F56" s="2">
        <v>0</v>
      </c>
      <c r="G56" s="2">
        <v>0</v>
      </c>
      <c r="H56" s="2">
        <v>0</v>
      </c>
      <c r="I56" s="2">
        <v>0</v>
      </c>
      <c r="J56" s="2">
        <v>0</v>
      </c>
    </row>
    <row r="57" spans="1:10" x14ac:dyDescent="0.2">
      <c r="D57" s="2"/>
      <c r="E57" s="2"/>
      <c r="F57" s="2"/>
      <c r="I57" s="251"/>
      <c r="J57" s="256"/>
    </row>
    <row r="58" spans="1:10" ht="13.5" x14ac:dyDescent="0.25">
      <c r="A58" s="225" t="s">
        <v>23</v>
      </c>
      <c r="D58" s="2" t="s">
        <v>349</v>
      </c>
      <c r="E58" s="2">
        <v>600</v>
      </c>
      <c r="F58" s="2">
        <v>900</v>
      </c>
      <c r="G58" s="2">
        <v>900</v>
      </c>
      <c r="H58" s="2">
        <v>900</v>
      </c>
      <c r="I58" s="2">
        <v>900</v>
      </c>
      <c r="J58" s="2">
        <v>900</v>
      </c>
    </row>
    <row r="59" spans="1:10" x14ac:dyDescent="0.2">
      <c r="A59" s="220" t="s">
        <v>582</v>
      </c>
      <c r="B59" s="2">
        <v>2</v>
      </c>
      <c r="C59" s="2">
        <v>300</v>
      </c>
      <c r="D59" s="2">
        <f>ROUND(B59*C59,0)</f>
        <v>600</v>
      </c>
      <c r="E59" s="2"/>
      <c r="F59" s="2"/>
      <c r="G59" s="2"/>
      <c r="H59" s="2"/>
      <c r="I59" s="2"/>
      <c r="J59" s="2"/>
    </row>
    <row r="60" spans="1:10" ht="15" x14ac:dyDescent="0.35">
      <c r="A60" s="220" t="s">
        <v>925</v>
      </c>
      <c r="B60" s="2">
        <v>4</v>
      </c>
      <c r="C60" s="2">
        <v>100</v>
      </c>
      <c r="D60" s="10">
        <v>300</v>
      </c>
      <c r="E60" s="2"/>
      <c r="F60" s="2"/>
      <c r="G60" s="2"/>
      <c r="H60" s="2"/>
      <c r="I60" s="2"/>
      <c r="J60" s="2"/>
    </row>
    <row r="61" spans="1:10" x14ac:dyDescent="0.2">
      <c r="B61" s="2"/>
      <c r="C61" s="2"/>
      <c r="D61" s="2">
        <f>SUM(D59:D60)</f>
        <v>900</v>
      </c>
      <c r="E61" s="2"/>
      <c r="F61" s="2"/>
      <c r="G61" s="2"/>
      <c r="H61" s="2"/>
      <c r="I61" s="2"/>
      <c r="J61" s="2"/>
    </row>
    <row r="62" spans="1:10" ht="13.5" x14ac:dyDescent="0.25">
      <c r="A62" s="225" t="s">
        <v>1763</v>
      </c>
      <c r="D62" s="2"/>
      <c r="E62" s="2">
        <v>0</v>
      </c>
      <c r="F62" s="2">
        <v>0</v>
      </c>
      <c r="G62" s="2">
        <v>0</v>
      </c>
      <c r="H62" s="2">
        <v>0</v>
      </c>
      <c r="I62" s="2">
        <v>0</v>
      </c>
      <c r="J62" s="2">
        <v>0</v>
      </c>
    </row>
    <row r="63" spans="1:10" x14ac:dyDescent="0.2">
      <c r="C63" s="2"/>
      <c r="D63" s="2"/>
      <c r="E63" s="2"/>
      <c r="F63" s="2"/>
      <c r="G63" s="2"/>
      <c r="H63" s="2"/>
      <c r="I63" s="2"/>
      <c r="J63" s="2"/>
    </row>
    <row r="64" spans="1:10" ht="13.5" x14ac:dyDescent="0.25">
      <c r="A64" s="225" t="s">
        <v>885</v>
      </c>
      <c r="C64" s="2"/>
      <c r="D64" s="2"/>
      <c r="E64" s="2">
        <v>30421</v>
      </c>
      <c r="F64" s="2">
        <v>30500</v>
      </c>
      <c r="G64" s="2">
        <v>33350</v>
      </c>
      <c r="H64" s="2">
        <v>22816</v>
      </c>
      <c r="I64" s="2">
        <v>22816</v>
      </c>
      <c r="J64" s="2">
        <v>22816</v>
      </c>
    </row>
    <row r="65" spans="1:10" x14ac:dyDescent="0.2">
      <c r="A65" s="220" t="s">
        <v>1869</v>
      </c>
      <c r="C65" s="2"/>
      <c r="D65" s="2">
        <v>22253</v>
      </c>
      <c r="E65" s="2"/>
      <c r="F65" s="2"/>
      <c r="G65" s="2"/>
      <c r="H65" s="2"/>
      <c r="I65" s="2"/>
      <c r="J65" s="2"/>
    </row>
    <row r="66" spans="1:10" ht="15" x14ac:dyDescent="0.35">
      <c r="A66" s="220" t="s">
        <v>1870</v>
      </c>
      <c r="C66" s="10"/>
      <c r="D66" s="10">
        <v>563</v>
      </c>
      <c r="E66" s="2"/>
      <c r="F66" s="2"/>
      <c r="G66" s="2"/>
      <c r="H66" s="2"/>
      <c r="I66" s="2"/>
      <c r="J66" s="2"/>
    </row>
    <row r="67" spans="1:10" x14ac:dyDescent="0.2">
      <c r="A67" s="220" t="s">
        <v>1086</v>
      </c>
      <c r="C67" s="2"/>
      <c r="D67" s="2">
        <f>SUM(D65:D66)</f>
        <v>22816</v>
      </c>
      <c r="E67" s="2"/>
      <c r="F67" s="2"/>
      <c r="G67" s="2"/>
      <c r="H67" s="2"/>
      <c r="I67" s="2"/>
      <c r="J67" s="2"/>
    </row>
    <row r="68" spans="1:10" x14ac:dyDescent="0.2">
      <c r="C68" s="2"/>
      <c r="D68" s="2"/>
      <c r="E68" s="2"/>
      <c r="F68" s="2"/>
      <c r="G68" s="2"/>
      <c r="H68" s="2"/>
      <c r="I68" s="2"/>
      <c r="J68" s="2"/>
    </row>
    <row r="69" spans="1:10" ht="13.5" x14ac:dyDescent="0.25">
      <c r="A69" s="225" t="s">
        <v>338</v>
      </c>
      <c r="C69" s="2"/>
      <c r="D69" s="2"/>
      <c r="E69" s="2">
        <v>10073</v>
      </c>
      <c r="F69" s="2">
        <v>10500</v>
      </c>
      <c r="G69" s="2">
        <v>10500</v>
      </c>
      <c r="H69" s="2">
        <v>10500</v>
      </c>
      <c r="I69" s="2">
        <v>10500</v>
      </c>
      <c r="J69" s="2">
        <v>10500</v>
      </c>
    </row>
    <row r="70" spans="1:10" x14ac:dyDescent="0.2">
      <c r="A70" s="220" t="s">
        <v>1128</v>
      </c>
      <c r="C70" s="2"/>
      <c r="D70" s="2">
        <v>9000</v>
      </c>
      <c r="E70" s="2"/>
      <c r="F70" s="2"/>
      <c r="G70" s="2"/>
      <c r="H70" s="2"/>
      <c r="I70" s="2"/>
      <c r="J70" s="2"/>
    </row>
    <row r="71" spans="1:10" ht="15" x14ac:dyDescent="0.35">
      <c r="A71" s="82" t="s">
        <v>803</v>
      </c>
      <c r="C71" s="2"/>
      <c r="D71" s="10">
        <v>1500</v>
      </c>
      <c r="E71" s="2"/>
      <c r="F71" s="2"/>
      <c r="G71" s="2"/>
      <c r="H71" s="2"/>
      <c r="I71" s="2"/>
      <c r="J71" s="2"/>
    </row>
    <row r="72" spans="1:10" x14ac:dyDescent="0.2">
      <c r="A72" s="220" t="s">
        <v>1086</v>
      </c>
      <c r="C72" s="2"/>
      <c r="D72" s="2">
        <f>SUM(D70:D71)</f>
        <v>10500</v>
      </c>
      <c r="E72" s="2"/>
      <c r="F72" s="2"/>
      <c r="G72" s="2"/>
      <c r="H72" s="2"/>
      <c r="I72" s="2"/>
      <c r="J72" s="2"/>
    </row>
    <row r="73" spans="1:10" x14ac:dyDescent="0.2">
      <c r="D73" s="2"/>
      <c r="E73" s="2"/>
      <c r="F73" s="2"/>
      <c r="G73" s="2"/>
      <c r="H73" s="2"/>
      <c r="I73" s="2"/>
      <c r="J73" s="2"/>
    </row>
    <row r="74" spans="1:10" ht="13.5" x14ac:dyDescent="0.25">
      <c r="A74" s="225" t="s">
        <v>752</v>
      </c>
      <c r="D74" s="2"/>
      <c r="E74" s="2">
        <v>4284</v>
      </c>
      <c r="F74" s="2">
        <v>4300</v>
      </c>
      <c r="G74" s="2">
        <v>4200</v>
      </c>
      <c r="H74" s="2">
        <v>4200</v>
      </c>
      <c r="I74" s="2">
        <v>4200</v>
      </c>
      <c r="J74" s="2">
        <v>4200</v>
      </c>
    </row>
    <row r="75" spans="1:10" x14ac:dyDescent="0.2">
      <c r="A75" s="220" t="s">
        <v>1847</v>
      </c>
      <c r="C75" s="2"/>
      <c r="D75" s="2">
        <v>4200</v>
      </c>
      <c r="E75" s="2"/>
      <c r="F75" s="2"/>
      <c r="G75" s="2"/>
      <c r="H75" s="2"/>
      <c r="I75" s="2"/>
      <c r="J75" s="2"/>
    </row>
    <row r="76" spans="1:10" x14ac:dyDescent="0.2">
      <c r="C76" s="2"/>
      <c r="D76" s="2"/>
      <c r="E76" s="2"/>
      <c r="F76" s="2"/>
      <c r="G76" s="2"/>
      <c r="H76" s="2"/>
      <c r="I76" s="2"/>
      <c r="J76" s="2"/>
    </row>
    <row r="77" spans="1:10" ht="13.5" x14ac:dyDescent="0.25">
      <c r="A77" s="225" t="s">
        <v>753</v>
      </c>
      <c r="C77" s="2"/>
      <c r="D77" s="2"/>
      <c r="E77" s="2">
        <v>527</v>
      </c>
      <c r="F77" s="2">
        <v>542</v>
      </c>
      <c r="G77" s="2">
        <v>608</v>
      </c>
      <c r="H77" s="2">
        <v>608</v>
      </c>
      <c r="I77" s="2">
        <v>608</v>
      </c>
      <c r="J77" s="2">
        <v>608</v>
      </c>
    </row>
    <row r="78" spans="1:10" x14ac:dyDescent="0.2">
      <c r="A78" s="220" t="s">
        <v>1847</v>
      </c>
      <c r="C78" s="2"/>
      <c r="D78" s="2">
        <f>304+304</f>
        <v>608</v>
      </c>
      <c r="E78" s="2"/>
      <c r="F78" s="2"/>
      <c r="G78" s="2"/>
      <c r="H78" s="2"/>
      <c r="I78" s="2"/>
      <c r="J78" s="2"/>
    </row>
    <row r="79" spans="1:10" x14ac:dyDescent="0.2">
      <c r="D79" s="2"/>
      <c r="E79" s="2"/>
      <c r="F79" s="2"/>
      <c r="G79" s="2"/>
      <c r="H79" s="2"/>
      <c r="I79" s="2"/>
      <c r="J79" s="2"/>
    </row>
    <row r="80" spans="1:10" ht="13.5" x14ac:dyDescent="0.25">
      <c r="A80" s="225" t="s">
        <v>754</v>
      </c>
      <c r="D80" s="2"/>
      <c r="E80" s="2">
        <v>2016</v>
      </c>
      <c r="F80" s="2">
        <v>1606</v>
      </c>
      <c r="G80" s="2">
        <v>1800</v>
      </c>
      <c r="H80" s="2">
        <v>1800</v>
      </c>
      <c r="I80" s="2">
        <v>1800</v>
      </c>
      <c r="J80" s="2">
        <v>1800</v>
      </c>
    </row>
    <row r="81" spans="1:10" x14ac:dyDescent="0.2">
      <c r="A81" s="220" t="s">
        <v>1120</v>
      </c>
      <c r="B81" s="2">
        <v>800</v>
      </c>
      <c r="C81" s="11">
        <v>2.25</v>
      </c>
      <c r="D81" s="2">
        <f>ROUND(B81*C81,0)</f>
        <v>1800</v>
      </c>
      <c r="E81" s="2"/>
      <c r="F81" s="2"/>
      <c r="G81" s="2"/>
      <c r="H81" s="2"/>
      <c r="I81" s="2"/>
      <c r="J81" s="2"/>
    </row>
    <row r="82" spans="1:10" x14ac:dyDescent="0.2">
      <c r="D82" s="2"/>
      <c r="E82" s="2"/>
      <c r="F82" s="2"/>
      <c r="G82" s="2"/>
      <c r="H82" s="2"/>
      <c r="I82" s="2"/>
      <c r="J82" s="2"/>
    </row>
    <row r="83" spans="1:10" ht="13.5" x14ac:dyDescent="0.25">
      <c r="A83" s="225" t="s">
        <v>755</v>
      </c>
      <c r="D83" s="2"/>
      <c r="E83" s="2">
        <v>924</v>
      </c>
      <c r="F83" s="2">
        <v>875</v>
      </c>
      <c r="G83" s="2">
        <v>930</v>
      </c>
      <c r="H83" s="2">
        <v>930</v>
      </c>
      <c r="I83" s="2">
        <v>930</v>
      </c>
      <c r="J83" s="2">
        <v>930</v>
      </c>
    </row>
    <row r="84" spans="1:10" x14ac:dyDescent="0.2">
      <c r="A84" s="220" t="s">
        <v>77</v>
      </c>
      <c r="B84" s="2" t="s">
        <v>349</v>
      </c>
      <c r="C84" s="2"/>
      <c r="D84" s="2">
        <v>300</v>
      </c>
      <c r="E84" s="2"/>
      <c r="F84" s="2"/>
      <c r="G84" s="2"/>
      <c r="H84" s="2"/>
      <c r="I84" s="2"/>
      <c r="J84" s="2"/>
    </row>
    <row r="85" spans="1:10" ht="15" x14ac:dyDescent="0.35">
      <c r="A85" s="220" t="s">
        <v>89</v>
      </c>
      <c r="B85" s="2"/>
      <c r="C85" s="2"/>
      <c r="D85" s="10">
        <v>630</v>
      </c>
      <c r="E85" s="2"/>
      <c r="F85" s="2"/>
      <c r="G85" s="2"/>
      <c r="H85" s="2"/>
      <c r="I85" s="2"/>
      <c r="J85" s="2"/>
    </row>
    <row r="86" spans="1:10" x14ac:dyDescent="0.2">
      <c r="A86" s="220" t="s">
        <v>1086</v>
      </c>
      <c r="B86" s="2"/>
      <c r="C86" s="2"/>
      <c r="D86" s="2">
        <f>SUM(D84:D85)</f>
        <v>930</v>
      </c>
      <c r="E86" s="2"/>
      <c r="F86" s="2"/>
      <c r="G86" s="2"/>
      <c r="H86" s="2"/>
      <c r="I86" s="2"/>
      <c r="J86" s="2"/>
    </row>
    <row r="87" spans="1:10" x14ac:dyDescent="0.2">
      <c r="C87" s="2"/>
      <c r="D87" s="2"/>
      <c r="E87" s="2"/>
      <c r="F87" s="2"/>
      <c r="G87" s="2"/>
      <c r="H87" s="2"/>
      <c r="I87" s="2"/>
      <c r="J87" s="2"/>
    </row>
    <row r="88" spans="1:10" ht="13.5" x14ac:dyDescent="0.25">
      <c r="A88" s="16" t="s">
        <v>756</v>
      </c>
      <c r="C88" s="2"/>
      <c r="D88" s="2"/>
      <c r="E88" s="2">
        <v>4726</v>
      </c>
      <c r="F88" s="2">
        <v>4562</v>
      </c>
      <c r="G88" s="2">
        <v>4881</v>
      </c>
      <c r="H88" s="2">
        <v>4881</v>
      </c>
      <c r="I88" s="2">
        <v>4881</v>
      </c>
      <c r="J88" s="2">
        <v>4881</v>
      </c>
    </row>
    <row r="89" spans="1:10" x14ac:dyDescent="0.2">
      <c r="A89" s="220" t="s">
        <v>1450</v>
      </c>
      <c r="C89" s="2"/>
      <c r="D89" s="2">
        <v>4881</v>
      </c>
      <c r="E89" s="2"/>
      <c r="F89" s="2"/>
      <c r="G89" s="2"/>
      <c r="H89" s="2"/>
      <c r="I89" s="2"/>
      <c r="J89" s="2"/>
    </row>
    <row r="90" spans="1:10" x14ac:dyDescent="0.2">
      <c r="C90" s="2"/>
      <c r="D90" s="2"/>
      <c r="E90" s="2"/>
      <c r="F90" s="2"/>
      <c r="G90" s="2"/>
      <c r="H90" s="2"/>
      <c r="I90" s="2"/>
      <c r="J90" s="2"/>
    </row>
    <row r="91" spans="1:10" x14ac:dyDescent="0.2">
      <c r="C91" s="2"/>
      <c r="D91" s="2"/>
      <c r="E91" s="2"/>
      <c r="F91" s="2"/>
      <c r="G91" s="2"/>
      <c r="H91" s="2"/>
      <c r="I91" s="2"/>
      <c r="J91" s="2"/>
    </row>
    <row r="92" spans="1:10" ht="13.5" x14ac:dyDescent="0.25">
      <c r="A92" s="225" t="s">
        <v>757</v>
      </c>
      <c r="C92" s="2"/>
      <c r="D92" s="2"/>
      <c r="E92" s="2">
        <v>32913</v>
      </c>
      <c r="F92" s="2">
        <v>45973</v>
      </c>
      <c r="G92" s="2">
        <v>45973</v>
      </c>
      <c r="H92" s="2">
        <v>45973</v>
      </c>
      <c r="I92" s="2">
        <v>45973</v>
      </c>
      <c r="J92" s="2">
        <v>45973</v>
      </c>
    </row>
    <row r="93" spans="1:10" x14ac:dyDescent="0.2">
      <c r="A93" s="220" t="s">
        <v>1451</v>
      </c>
      <c r="C93" s="2"/>
      <c r="D93" s="2">
        <v>5000</v>
      </c>
      <c r="E93" s="2"/>
      <c r="F93" s="2"/>
      <c r="G93" s="2"/>
      <c r="H93" s="2"/>
      <c r="I93" s="2"/>
      <c r="J93" s="2"/>
    </row>
    <row r="94" spans="1:10" x14ac:dyDescent="0.2">
      <c r="A94" s="220" t="s">
        <v>95</v>
      </c>
      <c r="C94" s="2"/>
      <c r="D94" s="2">
        <v>2448</v>
      </c>
      <c r="E94" s="2"/>
      <c r="F94" s="2"/>
      <c r="G94" s="2"/>
      <c r="H94" s="2"/>
      <c r="I94" s="2"/>
      <c r="J94" s="2"/>
    </row>
    <row r="95" spans="1:10" x14ac:dyDescent="0.2">
      <c r="A95" s="220" t="s">
        <v>1149</v>
      </c>
      <c r="C95" s="2"/>
      <c r="D95" s="2">
        <v>3000</v>
      </c>
      <c r="E95" s="2"/>
      <c r="F95" s="2"/>
      <c r="G95" s="2"/>
      <c r="H95" s="2"/>
      <c r="I95" s="2"/>
      <c r="J95" s="2"/>
    </row>
    <row r="96" spans="1:10" x14ac:dyDescent="0.2">
      <c r="A96" s="220" t="s">
        <v>1150</v>
      </c>
      <c r="C96" s="2"/>
      <c r="D96" s="2">
        <v>500</v>
      </c>
      <c r="E96" s="2"/>
      <c r="F96" s="2"/>
      <c r="G96" s="2"/>
      <c r="H96" s="2"/>
      <c r="I96" s="2"/>
      <c r="J96" s="2"/>
    </row>
    <row r="97" spans="1:10" x14ac:dyDescent="0.2">
      <c r="A97" s="220" t="s">
        <v>1712</v>
      </c>
      <c r="C97" s="2"/>
      <c r="D97" s="2">
        <v>3000</v>
      </c>
      <c r="E97" s="2"/>
      <c r="F97" s="2"/>
      <c r="G97" s="2"/>
      <c r="H97" s="2"/>
      <c r="I97" s="2"/>
      <c r="J97" s="2"/>
    </row>
    <row r="98" spans="1:10" x14ac:dyDescent="0.2">
      <c r="A98" s="220" t="s">
        <v>1595</v>
      </c>
      <c r="C98" s="2"/>
      <c r="D98" s="2">
        <v>1500</v>
      </c>
      <c r="E98" s="2"/>
      <c r="F98" s="2"/>
      <c r="G98" s="2"/>
      <c r="H98" s="2"/>
      <c r="I98" s="2"/>
      <c r="J98" s="2"/>
    </row>
    <row r="99" spans="1:10" x14ac:dyDescent="0.2">
      <c r="A99" s="220" t="s">
        <v>1151</v>
      </c>
      <c r="C99" s="2"/>
      <c r="D99" s="2">
        <v>1100</v>
      </c>
      <c r="E99" s="2"/>
      <c r="F99" s="2"/>
      <c r="G99" s="2"/>
      <c r="H99" s="2"/>
      <c r="I99" s="2"/>
      <c r="J99" s="2"/>
    </row>
    <row r="100" spans="1:10" x14ac:dyDescent="0.2">
      <c r="A100" s="220" t="s">
        <v>846</v>
      </c>
      <c r="C100" s="2"/>
      <c r="D100" s="2">
        <v>500</v>
      </c>
      <c r="E100" s="2"/>
      <c r="F100" s="2"/>
      <c r="G100" s="2"/>
      <c r="H100" s="2"/>
      <c r="I100" s="2"/>
      <c r="J100" s="2"/>
    </row>
    <row r="101" spans="1:10" x14ac:dyDescent="0.2">
      <c r="A101" s="5" t="s">
        <v>880</v>
      </c>
      <c r="B101" s="5"/>
      <c r="C101" s="2"/>
      <c r="D101" s="2">
        <v>10000</v>
      </c>
      <c r="E101" s="2"/>
      <c r="F101" s="2"/>
      <c r="G101" s="2"/>
      <c r="H101" s="2"/>
      <c r="I101" s="2"/>
      <c r="J101" s="2"/>
    </row>
    <row r="102" spans="1:10" x14ac:dyDescent="0.2">
      <c r="A102" s="5" t="s">
        <v>1621</v>
      </c>
      <c r="B102" s="5"/>
      <c r="C102" s="2"/>
      <c r="D102" s="2">
        <v>795</v>
      </c>
      <c r="E102" s="2"/>
      <c r="F102" s="2"/>
      <c r="G102" s="2"/>
      <c r="H102" s="2"/>
      <c r="I102" s="2"/>
      <c r="J102" s="2"/>
    </row>
    <row r="103" spans="1:10" x14ac:dyDescent="0.2">
      <c r="A103" s="5" t="s">
        <v>1792</v>
      </c>
      <c r="B103" s="5"/>
      <c r="C103" s="2"/>
      <c r="D103" s="2">
        <v>1000</v>
      </c>
      <c r="E103" s="2"/>
      <c r="F103" s="2"/>
      <c r="G103" s="2"/>
      <c r="H103" s="2"/>
      <c r="I103" s="2"/>
      <c r="J103" s="2"/>
    </row>
    <row r="104" spans="1:10" x14ac:dyDescent="0.2">
      <c r="A104" s="5" t="s">
        <v>1793</v>
      </c>
      <c r="B104" s="5"/>
      <c r="C104" s="2"/>
      <c r="D104" s="2">
        <v>1600</v>
      </c>
      <c r="E104" s="2"/>
      <c r="F104" s="2"/>
      <c r="G104" s="2"/>
      <c r="H104" s="2"/>
      <c r="I104" s="2"/>
      <c r="J104" s="2"/>
    </row>
    <row r="105" spans="1:10" x14ac:dyDescent="0.2">
      <c r="A105" s="5" t="s">
        <v>1794</v>
      </c>
      <c r="B105" s="5"/>
      <c r="C105" s="2"/>
      <c r="D105" s="2">
        <v>1100</v>
      </c>
      <c r="E105" s="2"/>
      <c r="F105" s="2"/>
      <c r="G105" s="2"/>
      <c r="H105" s="2"/>
      <c r="I105" s="2"/>
      <c r="J105" s="2"/>
    </row>
    <row r="106" spans="1:10" x14ac:dyDescent="0.2">
      <c r="A106" s="5" t="s">
        <v>1795</v>
      </c>
      <c r="B106" s="5"/>
      <c r="C106" s="2"/>
      <c r="D106" s="2">
        <v>800</v>
      </c>
      <c r="E106" s="2"/>
      <c r="F106" s="2"/>
      <c r="G106" s="2"/>
      <c r="H106" s="2"/>
      <c r="I106" s="2"/>
      <c r="J106" s="2"/>
    </row>
    <row r="107" spans="1:10" x14ac:dyDescent="0.2">
      <c r="A107" s="5" t="s">
        <v>904</v>
      </c>
      <c r="B107" s="5"/>
      <c r="C107" s="2"/>
      <c r="D107" s="2">
        <v>1200</v>
      </c>
      <c r="E107" s="2"/>
      <c r="F107" s="2"/>
      <c r="G107" s="2"/>
      <c r="H107" s="2"/>
      <c r="I107" s="2"/>
      <c r="J107" s="2"/>
    </row>
    <row r="108" spans="1:10" x14ac:dyDescent="0.2">
      <c r="A108" s="5" t="s">
        <v>1029</v>
      </c>
      <c r="B108" s="5"/>
      <c r="C108" s="2"/>
      <c r="D108" s="2">
        <v>300</v>
      </c>
      <c r="E108" s="2"/>
      <c r="F108" s="2"/>
      <c r="G108" s="2"/>
      <c r="H108" s="2"/>
      <c r="I108" s="2"/>
      <c r="J108" s="2"/>
    </row>
    <row r="109" spans="1:10" x14ac:dyDescent="0.2">
      <c r="A109" s="5" t="s">
        <v>1796</v>
      </c>
      <c r="B109" s="5"/>
      <c r="C109" s="2"/>
      <c r="D109" s="2">
        <v>2000</v>
      </c>
      <c r="E109" s="2"/>
      <c r="F109" s="2"/>
      <c r="G109" s="2"/>
      <c r="H109" s="2"/>
      <c r="I109" s="2"/>
      <c r="J109" s="2"/>
    </row>
    <row r="110" spans="1:10" x14ac:dyDescent="0.2">
      <c r="A110" s="5" t="s">
        <v>1797</v>
      </c>
      <c r="B110" s="5"/>
      <c r="C110" s="2"/>
      <c r="D110" s="2">
        <v>2000</v>
      </c>
      <c r="E110" s="2"/>
      <c r="F110" s="2"/>
      <c r="G110" s="2"/>
      <c r="H110" s="2"/>
      <c r="I110" s="2"/>
      <c r="J110" s="2"/>
    </row>
    <row r="111" spans="1:10" x14ac:dyDescent="0.2">
      <c r="A111" s="5" t="s">
        <v>1452</v>
      </c>
      <c r="B111" s="5"/>
      <c r="C111" s="2"/>
      <c r="D111" s="2">
        <v>250</v>
      </c>
      <c r="E111" s="2"/>
      <c r="F111" s="2"/>
      <c r="G111" s="2"/>
      <c r="H111" s="2"/>
      <c r="I111" s="2"/>
      <c r="J111" s="2"/>
    </row>
    <row r="112" spans="1:10" x14ac:dyDescent="0.2">
      <c r="A112" s="5" t="s">
        <v>1539</v>
      </c>
      <c r="B112" s="5"/>
      <c r="C112" s="2"/>
      <c r="D112" s="2">
        <v>880</v>
      </c>
      <c r="E112" s="2"/>
      <c r="F112" s="2"/>
      <c r="G112" s="2"/>
      <c r="H112" s="2"/>
      <c r="I112" s="2"/>
      <c r="J112" s="2"/>
    </row>
    <row r="113" spans="1:10" ht="15" x14ac:dyDescent="0.35">
      <c r="A113" s="220" t="s">
        <v>1798</v>
      </c>
      <c r="C113" s="10"/>
      <c r="D113" s="10">
        <v>7000</v>
      </c>
      <c r="E113" s="2"/>
      <c r="F113" s="2"/>
      <c r="G113" s="2"/>
      <c r="H113" s="2"/>
      <c r="I113" s="2"/>
      <c r="J113" s="2"/>
    </row>
    <row r="114" spans="1:10" x14ac:dyDescent="0.2">
      <c r="A114" s="220" t="s">
        <v>1086</v>
      </c>
      <c r="C114" s="2"/>
      <c r="D114" s="2">
        <f>SUM(D93:D113)</f>
        <v>45973</v>
      </c>
      <c r="E114" s="2"/>
      <c r="F114" s="2"/>
      <c r="I114" s="251"/>
      <c r="J114" s="256"/>
    </row>
    <row r="115" spans="1:10" x14ac:dyDescent="0.2">
      <c r="C115" s="2"/>
      <c r="D115" s="2"/>
      <c r="E115" s="2"/>
      <c r="F115" s="2"/>
      <c r="G115" s="2"/>
      <c r="H115" s="2"/>
      <c r="I115" s="2"/>
      <c r="J115" s="2"/>
    </row>
    <row r="116" spans="1:10" ht="13.5" x14ac:dyDescent="0.25">
      <c r="A116" s="225" t="s">
        <v>853</v>
      </c>
      <c r="C116" s="2"/>
      <c r="D116" s="2"/>
      <c r="E116" s="2">
        <v>7248</v>
      </c>
      <c r="F116" s="2">
        <v>5250</v>
      </c>
      <c r="G116" s="2">
        <v>5250</v>
      </c>
      <c r="H116" s="2">
        <v>5250</v>
      </c>
      <c r="I116" s="2">
        <v>5250</v>
      </c>
      <c r="J116" s="2">
        <v>5250</v>
      </c>
    </row>
    <row r="117" spans="1:10" x14ac:dyDescent="0.2">
      <c r="A117" s="220" t="s">
        <v>854</v>
      </c>
      <c r="C117" s="2"/>
      <c r="D117" s="2">
        <v>750</v>
      </c>
      <c r="E117" s="2"/>
      <c r="F117" s="2"/>
      <c r="G117" s="2"/>
      <c r="H117" s="2"/>
      <c r="I117" s="2"/>
      <c r="J117" s="2"/>
    </row>
    <row r="118" spans="1:10" x14ac:dyDescent="0.2">
      <c r="A118" s="220" t="s">
        <v>865</v>
      </c>
      <c r="C118" s="2"/>
      <c r="D118" s="2">
        <v>750</v>
      </c>
      <c r="E118" s="2"/>
      <c r="F118" s="2"/>
      <c r="G118" s="2"/>
      <c r="H118" s="2"/>
      <c r="I118" s="2"/>
      <c r="J118" s="2"/>
    </row>
    <row r="119" spans="1:10" ht="15" x14ac:dyDescent="0.35">
      <c r="A119" s="220" t="s">
        <v>1530</v>
      </c>
      <c r="C119" s="10"/>
      <c r="D119" s="2">
        <v>3000</v>
      </c>
      <c r="E119" s="2"/>
      <c r="F119" s="2"/>
      <c r="G119" s="2"/>
      <c r="H119" s="2"/>
      <c r="I119" s="2"/>
      <c r="J119" s="2"/>
    </row>
    <row r="120" spans="1:10" ht="15" x14ac:dyDescent="0.35">
      <c r="A120" s="220" t="s">
        <v>1378</v>
      </c>
      <c r="C120" s="10"/>
      <c r="D120" s="10">
        <v>750</v>
      </c>
      <c r="E120" s="2"/>
      <c r="F120" s="2"/>
      <c r="G120" s="2"/>
      <c r="H120" s="2"/>
      <c r="I120" s="2"/>
      <c r="J120" s="2"/>
    </row>
    <row r="121" spans="1:10" x14ac:dyDescent="0.2">
      <c r="A121" s="220" t="s">
        <v>1086</v>
      </c>
      <c r="C121" s="2"/>
      <c r="D121" s="2">
        <f>SUM(D117:D120)</f>
        <v>5250</v>
      </c>
      <c r="E121" s="2"/>
      <c r="F121" s="2"/>
      <c r="G121" s="2"/>
      <c r="H121" s="2"/>
      <c r="I121" s="2"/>
      <c r="J121" s="2"/>
    </row>
    <row r="122" spans="1:10" x14ac:dyDescent="0.2">
      <c r="C122" s="2"/>
      <c r="D122" s="2"/>
      <c r="E122" s="2"/>
      <c r="F122" s="2"/>
      <c r="G122" s="2"/>
      <c r="H122" s="2"/>
      <c r="I122" s="2"/>
      <c r="J122" s="2"/>
    </row>
    <row r="123" spans="1:10" ht="13.5" x14ac:dyDescent="0.25">
      <c r="A123" s="225" t="s">
        <v>1304</v>
      </c>
      <c r="C123" s="2"/>
      <c r="D123" s="2"/>
      <c r="E123" s="2">
        <v>944</v>
      </c>
      <c r="F123" s="2">
        <v>750</v>
      </c>
      <c r="G123" s="2">
        <v>750</v>
      </c>
      <c r="H123" s="2">
        <v>750</v>
      </c>
      <c r="I123" s="2">
        <v>750</v>
      </c>
      <c r="J123" s="2">
        <v>750</v>
      </c>
    </row>
    <row r="124" spans="1:10" x14ac:dyDescent="0.2">
      <c r="A124" s="22" t="s">
        <v>1453</v>
      </c>
      <c r="C124" s="2"/>
      <c r="D124" s="2">
        <v>750</v>
      </c>
      <c r="E124" s="2"/>
      <c r="F124" s="2"/>
      <c r="G124" s="2"/>
      <c r="H124" s="2"/>
      <c r="I124" s="2"/>
      <c r="J124" s="2"/>
    </row>
    <row r="125" spans="1:10" x14ac:dyDescent="0.2">
      <c r="C125" s="2"/>
      <c r="D125" s="2"/>
      <c r="E125" s="2"/>
      <c r="F125" s="2"/>
      <c r="G125" s="2"/>
      <c r="H125" s="2"/>
      <c r="I125" s="2"/>
      <c r="J125" s="2"/>
    </row>
    <row r="126" spans="1:10" ht="13.5" x14ac:dyDescent="0.25">
      <c r="A126" s="225" t="s">
        <v>942</v>
      </c>
      <c r="C126" s="2"/>
      <c r="D126" s="2"/>
      <c r="E126" s="2">
        <v>3282</v>
      </c>
      <c r="F126" s="2">
        <v>500</v>
      </c>
      <c r="G126" s="2">
        <v>500</v>
      </c>
      <c r="H126" s="2">
        <v>500</v>
      </c>
      <c r="I126" s="2">
        <v>500</v>
      </c>
      <c r="J126" s="2">
        <v>500</v>
      </c>
    </row>
    <row r="127" spans="1:10" x14ac:dyDescent="0.2">
      <c r="A127" s="220" t="s">
        <v>1596</v>
      </c>
      <c r="C127" s="2"/>
      <c r="D127" s="2">
        <v>500</v>
      </c>
      <c r="E127" s="2"/>
      <c r="F127" s="2"/>
      <c r="G127" s="2"/>
      <c r="H127" s="2"/>
      <c r="I127" s="2"/>
      <c r="J127" s="2"/>
    </row>
    <row r="128" spans="1:10" x14ac:dyDescent="0.2">
      <c r="C128" s="2"/>
      <c r="D128" s="2"/>
      <c r="E128" s="2"/>
      <c r="F128" s="2"/>
      <c r="G128" s="2"/>
      <c r="H128" s="2"/>
      <c r="I128" s="2"/>
      <c r="J128" s="2"/>
    </row>
    <row r="129" spans="1:10" x14ac:dyDescent="0.2">
      <c r="C129" s="2"/>
      <c r="D129" s="2"/>
      <c r="E129" s="2"/>
      <c r="F129" s="2"/>
      <c r="G129" s="2"/>
      <c r="H129" s="2"/>
      <c r="I129" s="2"/>
      <c r="J129" s="2"/>
    </row>
    <row r="130" spans="1:10" ht="13.5" x14ac:dyDescent="0.25">
      <c r="A130" s="225" t="s">
        <v>1562</v>
      </c>
      <c r="C130" s="2"/>
      <c r="D130" s="2"/>
      <c r="E130" s="2">
        <v>18000</v>
      </c>
      <c r="F130" s="2">
        <v>18000</v>
      </c>
      <c r="G130" s="2">
        <v>25000</v>
      </c>
      <c r="H130" s="2">
        <v>25000</v>
      </c>
      <c r="I130" s="2">
        <v>25000</v>
      </c>
      <c r="J130" s="2">
        <v>25000</v>
      </c>
    </row>
    <row r="131" spans="1:10" x14ac:dyDescent="0.2">
      <c r="A131" s="220" t="s">
        <v>1713</v>
      </c>
      <c r="C131" s="2"/>
      <c r="D131" s="2">
        <v>25000</v>
      </c>
      <c r="E131" s="2"/>
      <c r="F131" s="2"/>
      <c r="G131" s="2"/>
      <c r="H131" s="2"/>
      <c r="I131" s="2"/>
      <c r="J131" s="2"/>
    </row>
    <row r="132" spans="1:10" ht="13.5" x14ac:dyDescent="0.25">
      <c r="A132" s="225"/>
      <c r="C132" s="2"/>
      <c r="D132" s="2"/>
      <c r="E132" s="2"/>
      <c r="F132" s="2"/>
      <c r="G132" s="2"/>
      <c r="H132" s="2"/>
      <c r="I132" s="2"/>
      <c r="J132" s="2"/>
    </row>
    <row r="133" spans="1:10" x14ac:dyDescent="0.2">
      <c r="C133" s="2"/>
      <c r="D133" s="2"/>
      <c r="E133" s="2"/>
      <c r="F133" s="2"/>
      <c r="G133" s="2"/>
      <c r="H133" s="2"/>
      <c r="I133" s="2"/>
      <c r="J133" s="2"/>
    </row>
    <row r="134" spans="1:10" ht="13.5" x14ac:dyDescent="0.25">
      <c r="A134" s="225" t="s">
        <v>473</v>
      </c>
      <c r="C134" s="7"/>
      <c r="D134" s="7"/>
      <c r="E134" s="2">
        <v>6713</v>
      </c>
      <c r="F134" s="2">
        <v>82646</v>
      </c>
      <c r="G134" s="2">
        <v>4000</v>
      </c>
      <c r="H134" s="2">
        <v>14000</v>
      </c>
      <c r="I134" s="2">
        <v>0</v>
      </c>
      <c r="J134" s="2">
        <v>0</v>
      </c>
    </row>
    <row r="135" spans="1:10" x14ac:dyDescent="0.2">
      <c r="A135" s="220" t="s">
        <v>2128</v>
      </c>
      <c r="C135" s="7"/>
      <c r="D135" s="2">
        <v>0</v>
      </c>
      <c r="E135" s="2"/>
      <c r="F135" s="2"/>
      <c r="J135" s="256"/>
    </row>
    <row r="136" spans="1:10" x14ac:dyDescent="0.2">
      <c r="A136" s="220" t="s">
        <v>1911</v>
      </c>
      <c r="C136" s="7"/>
      <c r="D136" s="2">
        <v>0</v>
      </c>
      <c r="E136" s="2"/>
      <c r="F136" s="2"/>
      <c r="J136" s="256"/>
    </row>
    <row r="137" spans="1:10" x14ac:dyDescent="0.2">
      <c r="A137" s="220" t="s">
        <v>1799</v>
      </c>
      <c r="C137" s="7"/>
      <c r="D137" s="2"/>
      <c r="E137" s="2"/>
      <c r="F137" s="2"/>
      <c r="J137" s="256"/>
    </row>
    <row r="138" spans="1:10" ht="15" x14ac:dyDescent="0.35">
      <c r="A138" s="220" t="s">
        <v>1800</v>
      </c>
      <c r="C138" s="8"/>
      <c r="D138" s="17">
        <v>0</v>
      </c>
      <c r="E138" s="2"/>
      <c r="F138" s="2"/>
      <c r="J138" s="256"/>
    </row>
    <row r="139" spans="1:10" x14ac:dyDescent="0.2">
      <c r="A139" s="220" t="s">
        <v>1086</v>
      </c>
      <c r="C139" s="2"/>
      <c r="D139" s="2">
        <f>SUM(D135:D138)</f>
        <v>0</v>
      </c>
      <c r="E139" s="2"/>
      <c r="F139" s="2"/>
      <c r="J139" s="256"/>
    </row>
    <row r="140" spans="1:10" x14ac:dyDescent="0.2">
      <c r="C140" s="2"/>
      <c r="D140" s="2"/>
      <c r="E140" s="2"/>
      <c r="F140" s="2"/>
      <c r="J140" s="256"/>
    </row>
    <row r="141" spans="1:10" x14ac:dyDescent="0.2">
      <c r="C141" s="2"/>
      <c r="D141" s="2"/>
      <c r="E141" s="33"/>
      <c r="F141" s="33"/>
      <c r="G141" s="33"/>
      <c r="H141" s="33"/>
      <c r="I141" s="33"/>
      <c r="J141" s="33"/>
    </row>
    <row r="142" spans="1:10" x14ac:dyDescent="0.2">
      <c r="A142" s="220" t="s">
        <v>1167</v>
      </c>
      <c r="C142" s="2"/>
      <c r="D142" s="2"/>
      <c r="E142" s="2">
        <f t="shared" ref="E142:J142" si="0">SUM(E6:E140)</f>
        <v>311153</v>
      </c>
      <c r="F142" s="2">
        <f t="shared" si="0"/>
        <v>404598</v>
      </c>
      <c r="G142" s="2">
        <f t="shared" si="0"/>
        <v>342064</v>
      </c>
      <c r="H142" s="2">
        <f t="shared" si="0"/>
        <v>341130</v>
      </c>
      <c r="I142" s="2">
        <f t="shared" si="0"/>
        <v>330175</v>
      </c>
      <c r="J142" s="2">
        <f t="shared" si="0"/>
        <v>330175</v>
      </c>
    </row>
    <row r="144" spans="1:10" x14ac:dyDescent="0.2">
      <c r="A144" s="220" t="s">
        <v>523</v>
      </c>
      <c r="E144" s="2">
        <f t="shared" ref="E144:J144" si="1">SUM(E6:E55)</f>
        <v>188312</v>
      </c>
      <c r="F144" s="2">
        <f t="shared" si="1"/>
        <v>197694</v>
      </c>
      <c r="G144" s="2">
        <f t="shared" si="1"/>
        <v>203422</v>
      </c>
      <c r="H144" s="2">
        <f t="shared" si="1"/>
        <v>203022</v>
      </c>
      <c r="I144" s="2">
        <f t="shared" si="1"/>
        <v>206067</v>
      </c>
      <c r="J144" s="2">
        <f t="shared" si="1"/>
        <v>206067</v>
      </c>
    </row>
    <row r="145" spans="1:10" x14ac:dyDescent="0.2">
      <c r="A145" s="220" t="s">
        <v>818</v>
      </c>
      <c r="E145" s="2">
        <f t="shared" ref="E145:J145" si="2">SUM(E56:E130)</f>
        <v>116128</v>
      </c>
      <c r="F145" s="2">
        <f t="shared" si="2"/>
        <v>124258</v>
      </c>
      <c r="G145" s="2">
        <f t="shared" si="2"/>
        <v>134642</v>
      </c>
      <c r="H145" s="2">
        <f t="shared" si="2"/>
        <v>124108</v>
      </c>
      <c r="I145" s="2">
        <f t="shared" si="2"/>
        <v>124108</v>
      </c>
      <c r="J145" s="2">
        <f t="shared" si="2"/>
        <v>124108</v>
      </c>
    </row>
    <row r="146" spans="1:10" ht="15" x14ac:dyDescent="0.35">
      <c r="A146" s="220" t="s">
        <v>819</v>
      </c>
      <c r="E146" s="10">
        <f t="shared" ref="E146:J146" si="3">SUM(E134:E140)</f>
        <v>6713</v>
      </c>
      <c r="F146" s="10">
        <f t="shared" si="3"/>
        <v>82646</v>
      </c>
      <c r="G146" s="10">
        <f t="shared" si="3"/>
        <v>4000</v>
      </c>
      <c r="H146" s="10">
        <f t="shared" si="3"/>
        <v>14000</v>
      </c>
      <c r="I146" s="10">
        <f t="shared" si="3"/>
        <v>0</v>
      </c>
      <c r="J146" s="10">
        <f t="shared" si="3"/>
        <v>0</v>
      </c>
    </row>
    <row r="147" spans="1:10" x14ac:dyDescent="0.2">
      <c r="A147" s="220" t="s">
        <v>1086</v>
      </c>
      <c r="E147" s="2">
        <f t="shared" ref="E147:J147" si="4">SUM(E144:E146)</f>
        <v>311153</v>
      </c>
      <c r="F147" s="2">
        <f t="shared" si="4"/>
        <v>404598</v>
      </c>
      <c r="G147" s="2">
        <f t="shared" si="4"/>
        <v>342064</v>
      </c>
      <c r="H147" s="2">
        <f t="shared" si="4"/>
        <v>341130</v>
      </c>
      <c r="I147" s="2">
        <f t="shared" si="4"/>
        <v>330175</v>
      </c>
      <c r="J147" s="2">
        <f t="shared" si="4"/>
        <v>330175</v>
      </c>
    </row>
    <row r="150" spans="1:10" x14ac:dyDescent="0.2">
      <c r="I150" s="2">
        <f>+I146-H146</f>
        <v>-14000</v>
      </c>
      <c r="J150" s="2">
        <f>+J146-I146</f>
        <v>0</v>
      </c>
    </row>
    <row r="152" spans="1:10" x14ac:dyDescent="0.2">
      <c r="A152" s="220" t="s">
        <v>1931</v>
      </c>
      <c r="C152" s="7"/>
      <c r="D152" s="2"/>
    </row>
    <row r="153" spans="1:10" x14ac:dyDescent="0.2">
      <c r="A153" s="220" t="s">
        <v>1932</v>
      </c>
      <c r="C153" s="7"/>
      <c r="D153" s="2">
        <v>52146</v>
      </c>
    </row>
  </sheetData>
  <mergeCells count="1">
    <mergeCell ref="A1:J1"/>
  </mergeCells>
  <phoneticPr fontId="0" type="noConversion"/>
  <printOptions gridLines="1"/>
  <pageMargins left="0.75" right="0.16" top="0.51" bottom="0.22" header="0.5" footer="0"/>
  <pageSetup scale="80" fitToHeight="5" orientation="landscape" r:id="rId1"/>
  <headerFooter alignWithMargins="0"/>
  <rowBreaks count="2" manualBreakCount="2">
    <brk id="68" max="9" man="1"/>
    <brk id="115" max="9"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I205"/>
  <sheetViews>
    <sheetView view="pageBreakPreview" zoomScaleNormal="100" zoomScaleSheetLayoutView="100" workbookViewId="0">
      <pane ySplit="5" topLeftCell="A160" activePane="bottomLeft" state="frozen"/>
      <selection activeCell="I6" sqref="I6:I240"/>
      <selection pane="bottomLeft" sqref="A1:J1"/>
    </sheetView>
  </sheetViews>
  <sheetFormatPr defaultColWidth="8.85546875" defaultRowHeight="12.75" x14ac:dyDescent="0.2"/>
  <cols>
    <col min="1" max="1" width="55.140625" style="220" customWidth="1"/>
    <col min="2" max="2" width="8.7109375" style="220" bestFit="1" customWidth="1"/>
    <col min="3" max="3" width="7.7109375" style="220" bestFit="1" customWidth="1"/>
    <col min="4" max="4" width="8.7109375" style="220" bestFit="1" customWidth="1"/>
    <col min="5" max="6" width="9" style="220" bestFit="1" customWidth="1"/>
    <col min="7" max="7" width="11.7109375" style="2" bestFit="1" customWidth="1"/>
    <col min="8" max="8" width="13.5703125" style="2" bestFit="1" customWidth="1"/>
    <col min="9" max="10" width="10.85546875" style="220" customWidth="1"/>
    <col min="11" max="16384" width="8.85546875" style="220"/>
  </cols>
  <sheetData>
    <row r="1" spans="1:243" x14ac:dyDescent="0.2">
      <c r="A1" s="261" t="s">
        <v>1965</v>
      </c>
      <c r="B1" s="262"/>
      <c r="C1" s="262"/>
      <c r="D1" s="262"/>
      <c r="E1" s="262"/>
      <c r="F1" s="262"/>
      <c r="G1" s="262"/>
      <c r="H1" s="262"/>
      <c r="I1" s="262"/>
      <c r="J1" s="262"/>
    </row>
    <row r="2" spans="1:243" ht="18.75" x14ac:dyDescent="0.3">
      <c r="A2" s="107" t="s">
        <v>1644</v>
      </c>
      <c r="B2" s="107"/>
      <c r="C2" s="107"/>
      <c r="D2" s="107"/>
      <c r="E2" s="107"/>
      <c r="F2" s="107"/>
      <c r="I2" s="20"/>
      <c r="J2" s="20"/>
    </row>
    <row r="3" spans="1:243" x14ac:dyDescent="0.2">
      <c r="B3" s="2"/>
      <c r="C3" s="2"/>
      <c r="D3" s="2"/>
      <c r="E3" s="2"/>
      <c r="F3" s="2"/>
      <c r="I3" s="20"/>
      <c r="J3" s="20"/>
    </row>
    <row r="4" spans="1:243" x14ac:dyDescent="0.2">
      <c r="B4" s="2"/>
      <c r="C4" s="2"/>
      <c r="D4" s="2"/>
      <c r="E4" s="15" t="s">
        <v>207</v>
      </c>
      <c r="F4" s="15" t="s">
        <v>208</v>
      </c>
      <c r="G4" s="15" t="s">
        <v>63</v>
      </c>
      <c r="H4" s="15" t="s">
        <v>362</v>
      </c>
      <c r="I4" s="15" t="s">
        <v>274</v>
      </c>
      <c r="J4" s="15" t="s">
        <v>305</v>
      </c>
    </row>
    <row r="5" spans="1:243" ht="15" x14ac:dyDescent="0.35">
      <c r="B5" s="2"/>
      <c r="C5" s="2"/>
      <c r="D5" s="2"/>
      <c r="E5" s="221" t="s">
        <v>1759</v>
      </c>
      <c r="F5" s="221" t="s">
        <v>1857</v>
      </c>
      <c r="G5" s="221" t="s">
        <v>1966</v>
      </c>
      <c r="H5" s="221" t="s">
        <v>1966</v>
      </c>
      <c r="I5" s="221" t="s">
        <v>1966</v>
      </c>
      <c r="J5" s="221" t="s">
        <v>1966</v>
      </c>
    </row>
    <row r="6" spans="1:243" ht="13.5" x14ac:dyDescent="0.25">
      <c r="A6" s="225" t="s">
        <v>1204</v>
      </c>
      <c r="B6" s="2"/>
      <c r="C6" s="2"/>
      <c r="D6" s="2"/>
      <c r="E6" s="2">
        <v>39703</v>
      </c>
      <c r="F6" s="42">
        <v>40924</v>
      </c>
      <c r="G6" s="42">
        <v>41711</v>
      </c>
      <c r="H6" s="42">
        <v>41711</v>
      </c>
      <c r="I6" s="42">
        <v>42506</v>
      </c>
      <c r="J6" s="42">
        <v>42506</v>
      </c>
      <c r="II6" s="42"/>
    </row>
    <row r="7" spans="1:243" x14ac:dyDescent="0.2">
      <c r="A7" s="220" t="s">
        <v>119</v>
      </c>
      <c r="B7" s="2">
        <v>52</v>
      </c>
      <c r="C7" s="2">
        <v>802</v>
      </c>
      <c r="D7" s="2">
        <f>ROUND(B7*C7,0)</f>
        <v>41704</v>
      </c>
      <c r="E7" s="2"/>
      <c r="F7" s="42"/>
      <c r="G7" s="42"/>
      <c r="H7" s="42"/>
      <c r="I7" s="42"/>
      <c r="J7" s="42"/>
      <c r="II7" s="42"/>
    </row>
    <row r="8" spans="1:243" x14ac:dyDescent="0.2">
      <c r="A8" s="2" t="s">
        <v>2139</v>
      </c>
      <c r="B8" s="2">
        <v>1</v>
      </c>
      <c r="C8" s="2">
        <v>802</v>
      </c>
      <c r="D8" s="2">
        <f>ROUND(B8*C8,0)</f>
        <v>802</v>
      </c>
      <c r="E8" s="2"/>
      <c r="F8" s="42"/>
      <c r="G8" s="42"/>
      <c r="H8" s="42"/>
      <c r="I8" s="42"/>
      <c r="J8" s="42"/>
      <c r="II8" s="42"/>
    </row>
    <row r="9" spans="1:243" ht="15" x14ac:dyDescent="0.35">
      <c r="A9" s="220" t="s">
        <v>833</v>
      </c>
      <c r="B9" s="2" t="s">
        <v>349</v>
      </c>
      <c r="C9" s="2" t="s">
        <v>349</v>
      </c>
      <c r="D9" s="10">
        <v>0</v>
      </c>
      <c r="E9" s="2"/>
      <c r="F9" s="61"/>
      <c r="G9" s="61"/>
      <c r="H9" s="61"/>
      <c r="I9" s="61"/>
      <c r="J9" s="61"/>
      <c r="II9" s="61"/>
    </row>
    <row r="10" spans="1:243" x14ac:dyDescent="0.2">
      <c r="A10" s="220" t="s">
        <v>1086</v>
      </c>
      <c r="B10" s="2"/>
      <c r="C10" s="2"/>
      <c r="D10" s="2">
        <f>SUM(D7:D9)</f>
        <v>42506</v>
      </c>
      <c r="E10" s="2"/>
      <c r="F10" s="42"/>
      <c r="G10" s="42"/>
      <c r="H10" s="42"/>
      <c r="I10" s="42"/>
      <c r="J10" s="42"/>
      <c r="II10" s="42"/>
    </row>
    <row r="11" spans="1:243" x14ac:dyDescent="0.2">
      <c r="B11" s="2"/>
      <c r="C11" s="2"/>
      <c r="D11" s="2"/>
      <c r="E11" s="2"/>
      <c r="F11" s="42"/>
      <c r="G11" s="42"/>
      <c r="H11" s="42"/>
      <c r="I11" s="42"/>
      <c r="J11" s="42"/>
      <c r="II11" s="42"/>
    </row>
    <row r="12" spans="1:243" ht="13.5" x14ac:dyDescent="0.25">
      <c r="A12" s="225" t="s">
        <v>340</v>
      </c>
      <c r="B12" s="2"/>
      <c r="C12" s="2"/>
      <c r="D12" s="2"/>
      <c r="E12" s="2">
        <v>172353</v>
      </c>
      <c r="F12" s="42">
        <v>176367</v>
      </c>
      <c r="G12" s="42">
        <v>179721</v>
      </c>
      <c r="H12" s="42">
        <v>179721</v>
      </c>
      <c r="I12" s="42">
        <v>183272</v>
      </c>
      <c r="J12" s="42">
        <v>183272</v>
      </c>
      <c r="II12" s="42"/>
    </row>
    <row r="13" spans="1:243" x14ac:dyDescent="0.2">
      <c r="A13" s="220" t="s">
        <v>341</v>
      </c>
      <c r="B13" s="2">
        <v>52</v>
      </c>
      <c r="C13" s="2">
        <v>2038</v>
      </c>
      <c r="D13" s="2">
        <f>ROUND(B13*C13,0)</f>
        <v>105976</v>
      </c>
      <c r="E13" s="2"/>
      <c r="F13" s="42"/>
      <c r="G13" s="42"/>
      <c r="H13" s="42"/>
      <c r="I13" s="42"/>
      <c r="J13" s="42"/>
      <c r="II13" s="42"/>
    </row>
    <row r="14" spans="1:243" x14ac:dyDescent="0.2">
      <c r="A14" s="220" t="s">
        <v>342</v>
      </c>
      <c r="B14" s="2">
        <v>52</v>
      </c>
      <c r="C14" s="2">
        <v>1383</v>
      </c>
      <c r="D14" s="2">
        <f>ROUND(B14*C14,0)</f>
        <v>71916</v>
      </c>
      <c r="E14" s="2"/>
      <c r="F14" s="42"/>
      <c r="G14" s="42"/>
      <c r="H14" s="42"/>
      <c r="I14" s="42"/>
      <c r="J14" s="42"/>
      <c r="II14" s="42"/>
    </row>
    <row r="15" spans="1:243" x14ac:dyDescent="0.2">
      <c r="A15" s="2" t="s">
        <v>2139</v>
      </c>
      <c r="B15" s="2">
        <v>1</v>
      </c>
      <c r="C15" s="2">
        <f>SUM(C13:C14)</f>
        <v>3421</v>
      </c>
      <c r="D15" s="2">
        <f>ROUND(B15*C15,0)</f>
        <v>3421</v>
      </c>
      <c r="E15" s="2"/>
      <c r="F15" s="42"/>
      <c r="G15" s="42"/>
      <c r="H15" s="42"/>
      <c r="I15" s="42"/>
      <c r="J15" s="42"/>
      <c r="II15" s="42"/>
    </row>
    <row r="16" spans="1:243" ht="15" x14ac:dyDescent="0.35">
      <c r="A16" s="220" t="s">
        <v>833</v>
      </c>
      <c r="B16" s="2"/>
      <c r="C16" s="2"/>
      <c r="D16" s="10">
        <v>1959</v>
      </c>
      <c r="E16" s="2"/>
      <c r="F16" s="42"/>
      <c r="G16" s="42"/>
      <c r="H16" s="42"/>
      <c r="I16" s="42"/>
      <c r="J16" s="42"/>
      <c r="II16" s="42"/>
    </row>
    <row r="17" spans="1:243" x14ac:dyDescent="0.2">
      <c r="A17" s="220" t="s">
        <v>1086</v>
      </c>
      <c r="B17" s="2"/>
      <c r="C17" s="2"/>
      <c r="D17" s="2">
        <f>SUM(D13:D16)</f>
        <v>183272</v>
      </c>
      <c r="E17" s="2"/>
      <c r="F17" s="42"/>
      <c r="G17" s="42"/>
      <c r="H17" s="42"/>
      <c r="I17" s="42"/>
      <c r="J17" s="42"/>
      <c r="II17" s="42"/>
    </row>
    <row r="18" spans="1:243" x14ac:dyDescent="0.2">
      <c r="B18" s="2"/>
      <c r="C18" s="2"/>
      <c r="D18" s="2"/>
      <c r="E18" s="2"/>
      <c r="F18" s="42"/>
      <c r="G18" s="42"/>
      <c r="H18" s="42"/>
      <c r="I18" s="42"/>
      <c r="J18" s="42"/>
      <c r="II18" s="42"/>
    </row>
    <row r="19" spans="1:243" ht="13.5" x14ac:dyDescent="0.25">
      <c r="A19" s="225" t="s">
        <v>446</v>
      </c>
      <c r="B19" s="2"/>
      <c r="C19" s="2"/>
      <c r="D19" s="2"/>
      <c r="E19" s="2">
        <v>43000</v>
      </c>
      <c r="F19" s="42">
        <v>59020</v>
      </c>
      <c r="G19" s="42">
        <v>59625</v>
      </c>
      <c r="H19" s="42">
        <v>59625</v>
      </c>
      <c r="I19" s="42">
        <v>60769</v>
      </c>
      <c r="J19" s="42">
        <v>60769</v>
      </c>
      <c r="II19" s="42"/>
    </row>
    <row r="20" spans="1:243" x14ac:dyDescent="0.2">
      <c r="A20" s="220" t="s">
        <v>272</v>
      </c>
      <c r="B20" s="2">
        <v>52</v>
      </c>
      <c r="C20" s="2">
        <v>1147</v>
      </c>
      <c r="D20" s="2">
        <f>ROUND(B20*C20,0)</f>
        <v>59644</v>
      </c>
      <c r="E20" s="2"/>
      <c r="F20" s="42"/>
      <c r="G20" s="42"/>
      <c r="H20" s="42"/>
      <c r="I20" s="42"/>
      <c r="J20" s="42"/>
      <c r="II20" s="42"/>
    </row>
    <row r="21" spans="1:243" ht="15" x14ac:dyDescent="0.35">
      <c r="A21" s="2" t="s">
        <v>2139</v>
      </c>
      <c r="B21" s="2">
        <v>1</v>
      </c>
      <c r="C21" s="2">
        <v>1125</v>
      </c>
      <c r="D21" s="10">
        <f>ROUND(B21*C21,0)</f>
        <v>1125</v>
      </c>
      <c r="E21" s="2"/>
      <c r="F21" s="42"/>
      <c r="G21" s="42"/>
      <c r="H21" s="42"/>
      <c r="I21" s="42"/>
      <c r="J21" s="42"/>
      <c r="II21" s="42"/>
    </row>
    <row r="22" spans="1:243" x14ac:dyDescent="0.2">
      <c r="A22" s="220" t="s">
        <v>1086</v>
      </c>
      <c r="B22" s="2"/>
      <c r="C22" s="2"/>
      <c r="D22" s="2">
        <f>SUM(D20:D21)</f>
        <v>60769</v>
      </c>
      <c r="E22" s="2"/>
      <c r="F22" s="42"/>
      <c r="G22" s="42"/>
      <c r="H22" s="42"/>
      <c r="I22" s="42"/>
      <c r="J22" s="42"/>
      <c r="II22" s="42"/>
    </row>
    <row r="23" spans="1:243" x14ac:dyDescent="0.2">
      <c r="D23" s="2"/>
      <c r="E23" s="2"/>
      <c r="F23" s="42"/>
      <c r="G23" s="42"/>
      <c r="H23" s="42"/>
      <c r="I23" s="42"/>
      <c r="J23" s="42"/>
      <c r="II23" s="42"/>
    </row>
    <row r="24" spans="1:243" ht="13.5" x14ac:dyDescent="0.25">
      <c r="A24" s="225" t="s">
        <v>550</v>
      </c>
      <c r="D24" s="2"/>
      <c r="E24" s="2">
        <v>22918</v>
      </c>
      <c r="F24" s="42">
        <v>23712</v>
      </c>
      <c r="G24" s="42">
        <v>23724</v>
      </c>
      <c r="H24" s="42">
        <v>24180</v>
      </c>
      <c r="I24" s="42">
        <v>24664</v>
      </c>
      <c r="J24" s="42">
        <v>24664</v>
      </c>
      <c r="II24" s="42"/>
    </row>
    <row r="25" spans="1:243" x14ac:dyDescent="0.2">
      <c r="A25" s="220" t="s">
        <v>101</v>
      </c>
      <c r="B25" s="2">
        <v>1248</v>
      </c>
      <c r="C25" s="11">
        <v>19.39</v>
      </c>
      <c r="D25" s="2">
        <f>ROUND(B25*C25,0)</f>
        <v>24199</v>
      </c>
      <c r="E25" s="2"/>
      <c r="F25" s="42"/>
      <c r="G25" s="42"/>
      <c r="H25" s="42"/>
      <c r="I25" s="42"/>
      <c r="J25" s="42"/>
      <c r="II25" s="42"/>
    </row>
    <row r="26" spans="1:243" ht="15" x14ac:dyDescent="0.35">
      <c r="A26" s="2" t="s">
        <v>2139</v>
      </c>
      <c r="B26" s="2">
        <v>24</v>
      </c>
      <c r="C26" s="11">
        <v>19.39</v>
      </c>
      <c r="D26" s="10">
        <f>ROUND(B26*C26,0)</f>
        <v>465</v>
      </c>
      <c r="E26" s="2"/>
      <c r="F26" s="42"/>
      <c r="G26" s="42"/>
      <c r="H26" s="42"/>
      <c r="I26" s="42"/>
      <c r="J26" s="42"/>
      <c r="II26" s="42"/>
    </row>
    <row r="27" spans="1:243" x14ac:dyDescent="0.2">
      <c r="A27" s="220" t="s">
        <v>1086</v>
      </c>
      <c r="B27" s="2"/>
      <c r="C27" s="11"/>
      <c r="D27" s="2">
        <f>SUM(D25:D26)</f>
        <v>24664</v>
      </c>
      <c r="E27" s="2"/>
      <c r="F27" s="42"/>
      <c r="G27" s="42"/>
      <c r="H27" s="42"/>
      <c r="I27" s="42"/>
      <c r="J27" s="42"/>
      <c r="II27" s="42"/>
    </row>
    <row r="28" spans="1:243" x14ac:dyDescent="0.2">
      <c r="G28" s="42"/>
      <c r="H28" s="42"/>
      <c r="I28" s="42"/>
      <c r="J28" s="42"/>
      <c r="II28" s="42"/>
    </row>
    <row r="29" spans="1:243" ht="13.5" x14ac:dyDescent="0.25">
      <c r="A29" s="225" t="s">
        <v>1663</v>
      </c>
      <c r="B29" s="2"/>
      <c r="C29" s="11"/>
      <c r="D29" s="2"/>
      <c r="E29" s="2">
        <v>136</v>
      </c>
      <c r="F29" s="2">
        <v>750</v>
      </c>
      <c r="G29" s="2">
        <v>750</v>
      </c>
      <c r="H29" s="2">
        <v>750</v>
      </c>
      <c r="I29" s="2">
        <v>750</v>
      </c>
      <c r="J29" s="2">
        <v>750</v>
      </c>
      <c r="II29" s="42"/>
    </row>
    <row r="30" spans="1:243" x14ac:dyDescent="0.2">
      <c r="D30" s="2"/>
      <c r="E30" s="2"/>
      <c r="F30" s="42"/>
      <c r="G30" s="42"/>
      <c r="H30" s="42"/>
      <c r="I30" s="42"/>
      <c r="J30" s="42"/>
      <c r="II30" s="42"/>
    </row>
    <row r="31" spans="1:243" ht="13.5" x14ac:dyDescent="0.25">
      <c r="A31" s="225" t="s">
        <v>177</v>
      </c>
      <c r="B31" s="68"/>
      <c r="D31" s="2"/>
      <c r="E31" s="2">
        <v>20896</v>
      </c>
      <c r="F31" s="42">
        <v>22952</v>
      </c>
      <c r="G31" s="42">
        <v>23316</v>
      </c>
      <c r="H31" s="42">
        <v>23265</v>
      </c>
      <c r="I31" s="42">
        <v>23722</v>
      </c>
      <c r="J31" s="42">
        <v>23722</v>
      </c>
      <c r="II31" s="42"/>
    </row>
    <row r="32" spans="1:243" hidden="1" x14ac:dyDescent="0.2">
      <c r="A32" s="12" t="s">
        <v>1087</v>
      </c>
      <c r="B32" s="2">
        <f>+D10</f>
        <v>42506</v>
      </c>
      <c r="C32" s="13">
        <v>7.6499999999999999E-2</v>
      </c>
      <c r="D32" s="2">
        <f>ROUND(B32*C32,0)</f>
        <v>3252</v>
      </c>
      <c r="E32" s="2"/>
      <c r="F32" s="42"/>
      <c r="G32" s="42"/>
      <c r="H32" s="42"/>
      <c r="I32" s="42"/>
      <c r="J32" s="42"/>
      <c r="II32" s="42"/>
    </row>
    <row r="33" spans="1:243" hidden="1" x14ac:dyDescent="0.2">
      <c r="A33" s="12" t="s">
        <v>1088</v>
      </c>
      <c r="B33" s="2">
        <f>+D17</f>
        <v>183272</v>
      </c>
      <c r="C33" s="13">
        <v>7.6499999999999999E-2</v>
      </c>
      <c r="D33" s="2">
        <f>ROUND(B33*C33,0)</f>
        <v>14020</v>
      </c>
      <c r="E33" s="2"/>
      <c r="F33" s="42"/>
      <c r="G33" s="42"/>
      <c r="H33" s="42"/>
      <c r="I33" s="42"/>
      <c r="J33" s="42"/>
      <c r="II33" s="42"/>
    </row>
    <row r="34" spans="1:243" hidden="1" x14ac:dyDescent="0.2">
      <c r="A34" s="12" t="s">
        <v>1089</v>
      </c>
      <c r="B34" s="2">
        <f>+D20</f>
        <v>59644</v>
      </c>
      <c r="C34" s="13">
        <v>7.6499999999999999E-2</v>
      </c>
      <c r="D34" s="2">
        <f>ROUND(B34*C34,0)</f>
        <v>4563</v>
      </c>
      <c r="E34" s="2"/>
      <c r="F34" s="42"/>
      <c r="G34" s="42"/>
      <c r="H34" s="42"/>
      <c r="I34" s="42"/>
      <c r="J34" s="42"/>
      <c r="II34" s="42"/>
    </row>
    <row r="35" spans="1:243" ht="15" hidden="1" x14ac:dyDescent="0.35">
      <c r="A35" s="12" t="s">
        <v>1090</v>
      </c>
      <c r="B35" s="2">
        <f>+D27</f>
        <v>24664</v>
      </c>
      <c r="C35" s="13">
        <v>7.6499999999999999E-2</v>
      </c>
      <c r="D35" s="10">
        <f>ROUND(B35*C35,0)</f>
        <v>1887</v>
      </c>
      <c r="E35" s="2"/>
      <c r="F35" s="42"/>
      <c r="G35" s="42"/>
      <c r="H35" s="42"/>
      <c r="I35" s="42"/>
      <c r="J35" s="42"/>
      <c r="II35" s="42"/>
    </row>
    <row r="36" spans="1:243" hidden="1" x14ac:dyDescent="0.2">
      <c r="A36" s="220" t="s">
        <v>1086</v>
      </c>
      <c r="B36" s="2" t="s">
        <v>349</v>
      </c>
      <c r="D36" s="2">
        <f>SUM(D32:D35)</f>
        <v>23722</v>
      </c>
      <c r="E36" s="2"/>
      <c r="F36" s="42"/>
      <c r="G36" s="42"/>
      <c r="H36" s="42"/>
      <c r="I36" s="42"/>
      <c r="J36" s="42"/>
      <c r="II36" s="42"/>
    </row>
    <row r="37" spans="1:243" x14ac:dyDescent="0.2">
      <c r="D37" s="2"/>
      <c r="E37" s="2"/>
      <c r="F37" s="42"/>
      <c r="G37" s="42"/>
      <c r="H37" s="42"/>
      <c r="I37" s="42"/>
      <c r="J37" s="42"/>
      <c r="II37" s="42"/>
    </row>
    <row r="38" spans="1:243" ht="13.5" x14ac:dyDescent="0.25">
      <c r="A38" s="14" t="s">
        <v>178</v>
      </c>
      <c r="D38" s="2"/>
      <c r="E38" s="2">
        <v>28494</v>
      </c>
      <c r="F38" s="42">
        <v>30864</v>
      </c>
      <c r="G38" s="42">
        <v>39517</v>
      </c>
      <c r="H38" s="42">
        <v>39359</v>
      </c>
      <c r="I38" s="42">
        <v>40130</v>
      </c>
      <c r="J38" s="42">
        <v>40130</v>
      </c>
      <c r="II38" s="42"/>
    </row>
    <row r="39" spans="1:243" hidden="1" x14ac:dyDescent="0.2">
      <c r="A39" s="12" t="s">
        <v>1087</v>
      </c>
      <c r="B39" s="2">
        <f>+D10</f>
        <v>42506</v>
      </c>
      <c r="C39" s="228">
        <v>0.1406</v>
      </c>
      <c r="D39" s="2">
        <f>ROUND(B39*C39,0)</f>
        <v>5976</v>
      </c>
      <c r="E39" s="2"/>
      <c r="F39" s="42"/>
      <c r="G39" s="42"/>
      <c r="H39" s="42"/>
      <c r="I39" s="42"/>
      <c r="J39" s="42"/>
      <c r="II39" s="42"/>
    </row>
    <row r="40" spans="1:243" hidden="1" x14ac:dyDescent="0.2">
      <c r="A40" s="12" t="s">
        <v>1088</v>
      </c>
      <c r="B40" s="2">
        <f>+D17</f>
        <v>183272</v>
      </c>
      <c r="C40" s="228">
        <v>0.1406</v>
      </c>
      <c r="D40" s="2">
        <f>ROUND(B40*C40,0)</f>
        <v>25768</v>
      </c>
      <c r="E40" s="2"/>
      <c r="F40" s="42"/>
      <c r="G40" s="42"/>
      <c r="H40" s="42"/>
      <c r="I40" s="42"/>
      <c r="J40" s="42"/>
      <c r="II40" s="42"/>
    </row>
    <row r="41" spans="1:243" ht="15" hidden="1" x14ac:dyDescent="0.35">
      <c r="A41" s="12" t="s">
        <v>1089</v>
      </c>
      <c r="B41" s="2">
        <f>+D20</f>
        <v>59644</v>
      </c>
      <c r="C41" s="228">
        <v>0.1406</v>
      </c>
      <c r="D41" s="10">
        <f>ROUND(B41*C41,0)</f>
        <v>8386</v>
      </c>
      <c r="E41" s="2"/>
      <c r="F41" s="42"/>
      <c r="G41" s="42"/>
      <c r="H41" s="42"/>
      <c r="I41" s="42"/>
      <c r="J41" s="42"/>
      <c r="II41" s="42"/>
    </row>
    <row r="42" spans="1:243" hidden="1" x14ac:dyDescent="0.2">
      <c r="A42" s="220" t="s">
        <v>1086</v>
      </c>
      <c r="D42" s="2">
        <f>SUM(D39:D41)</f>
        <v>40130</v>
      </c>
      <c r="E42" s="2"/>
      <c r="F42" s="42"/>
      <c r="G42" s="42"/>
      <c r="H42" s="42"/>
      <c r="I42" s="42"/>
      <c r="J42" s="42"/>
      <c r="II42" s="42"/>
    </row>
    <row r="43" spans="1:243" x14ac:dyDescent="0.2">
      <c r="D43" s="2"/>
      <c r="E43" s="2"/>
      <c r="F43" s="42"/>
      <c r="G43" s="42"/>
      <c r="H43" s="42"/>
      <c r="I43" s="42"/>
      <c r="J43" s="42"/>
      <c r="II43" s="42"/>
    </row>
    <row r="44" spans="1:243" ht="13.5" x14ac:dyDescent="0.25">
      <c r="A44" s="225" t="s">
        <v>458</v>
      </c>
      <c r="D44" s="2"/>
      <c r="E44" s="2">
        <v>72162</v>
      </c>
      <c r="F44" s="42">
        <v>78300</v>
      </c>
      <c r="G44" s="42">
        <v>79800</v>
      </c>
      <c r="H44" s="42">
        <v>79000</v>
      </c>
      <c r="I44" s="42">
        <v>79000</v>
      </c>
      <c r="J44" s="42">
        <v>79000</v>
      </c>
      <c r="II44" s="42"/>
    </row>
    <row r="45" spans="1:243" x14ac:dyDescent="0.2">
      <c r="A45" s="220" t="s">
        <v>199</v>
      </c>
      <c r="B45" s="2">
        <v>4</v>
      </c>
      <c r="C45" s="2">
        <v>19750</v>
      </c>
      <c r="D45" s="2">
        <f>ROUND(B45*C45,0)</f>
        <v>79000</v>
      </c>
      <c r="E45" s="2"/>
      <c r="F45" s="42"/>
      <c r="G45" s="42"/>
      <c r="H45" s="42"/>
      <c r="I45" s="42"/>
      <c r="J45" s="42"/>
      <c r="II45" s="42"/>
    </row>
    <row r="46" spans="1:243" x14ac:dyDescent="0.2">
      <c r="D46" s="2"/>
      <c r="E46" s="2"/>
      <c r="F46" s="42"/>
      <c r="G46" s="42"/>
      <c r="H46" s="42"/>
      <c r="I46" s="42"/>
      <c r="J46" s="42"/>
      <c r="II46" s="42"/>
    </row>
    <row r="47" spans="1:243" ht="13.5" x14ac:dyDescent="0.25">
      <c r="A47" s="225" t="s">
        <v>459</v>
      </c>
      <c r="D47" s="2"/>
      <c r="E47" s="2">
        <v>4475</v>
      </c>
      <c r="F47" s="42">
        <v>5040</v>
      </c>
      <c r="G47" s="42">
        <v>5040</v>
      </c>
      <c r="H47" s="42">
        <v>5040</v>
      </c>
      <c r="I47" s="42">
        <v>5040</v>
      </c>
      <c r="J47" s="42">
        <v>5040</v>
      </c>
      <c r="II47" s="42"/>
    </row>
    <row r="48" spans="1:243" x14ac:dyDescent="0.2">
      <c r="A48" s="220" t="s">
        <v>369</v>
      </c>
      <c r="B48" s="2">
        <v>4</v>
      </c>
      <c r="C48" s="2">
        <v>1400</v>
      </c>
      <c r="D48" s="2">
        <f>ROUND(B48*C48,0)</f>
        <v>5600</v>
      </c>
      <c r="E48" s="2"/>
      <c r="F48" s="42"/>
      <c r="G48" s="42"/>
      <c r="H48" s="42"/>
      <c r="I48" s="42"/>
      <c r="J48" s="42"/>
      <c r="II48" s="42"/>
    </row>
    <row r="49" spans="1:243" ht="15" x14ac:dyDescent="0.35">
      <c r="A49" s="220" t="s">
        <v>201</v>
      </c>
      <c r="B49" s="2"/>
      <c r="C49" s="2"/>
      <c r="D49" s="10">
        <f>-C48*B48*0.1</f>
        <v>-560</v>
      </c>
      <c r="E49" s="2"/>
      <c r="F49" s="42"/>
      <c r="G49" s="42"/>
      <c r="H49" s="42"/>
      <c r="I49" s="42"/>
      <c r="J49" s="42"/>
      <c r="II49" s="42"/>
    </row>
    <row r="50" spans="1:243" x14ac:dyDescent="0.2">
      <c r="A50" s="220" t="s">
        <v>690</v>
      </c>
      <c r="B50" s="2"/>
      <c r="C50" s="2"/>
      <c r="D50" s="2">
        <f>SUM(D48:D49)</f>
        <v>5040</v>
      </c>
      <c r="E50" s="2"/>
      <c r="F50" s="42"/>
      <c r="G50" s="42"/>
      <c r="H50" s="42"/>
      <c r="I50" s="42"/>
      <c r="J50" s="42"/>
      <c r="II50" s="42"/>
    </row>
    <row r="51" spans="1:243" x14ac:dyDescent="0.2">
      <c r="D51" s="2"/>
      <c r="E51" s="2"/>
      <c r="F51" s="42"/>
      <c r="G51" s="42"/>
      <c r="H51" s="42"/>
      <c r="I51" s="42"/>
      <c r="J51" s="42"/>
      <c r="II51" s="42"/>
    </row>
    <row r="52" spans="1:243" ht="13.5" x14ac:dyDescent="0.25">
      <c r="A52" s="225" t="s">
        <v>418</v>
      </c>
      <c r="D52" s="2"/>
      <c r="E52" s="2">
        <v>574</v>
      </c>
      <c r="F52" s="42">
        <v>540</v>
      </c>
      <c r="G52" s="42">
        <v>540</v>
      </c>
      <c r="H52" s="42">
        <v>540</v>
      </c>
      <c r="I52" s="42">
        <v>540</v>
      </c>
      <c r="J52" s="42">
        <v>540</v>
      </c>
      <c r="II52" s="42"/>
    </row>
    <row r="53" spans="1:243" hidden="1" x14ac:dyDescent="0.2">
      <c r="A53" s="220" t="s">
        <v>369</v>
      </c>
      <c r="B53" s="2">
        <v>4</v>
      </c>
      <c r="C53" s="2">
        <v>135</v>
      </c>
      <c r="D53" s="2">
        <f>ROUND(B53*C53,0)</f>
        <v>540</v>
      </c>
      <c r="E53" s="2"/>
      <c r="F53" s="42"/>
      <c r="G53" s="42"/>
      <c r="H53" s="42"/>
      <c r="I53" s="42"/>
      <c r="J53" s="42"/>
      <c r="II53" s="42"/>
    </row>
    <row r="54" spans="1:243" x14ac:dyDescent="0.2">
      <c r="D54" s="2"/>
      <c r="E54" s="2"/>
      <c r="F54" s="42"/>
      <c r="G54" s="42"/>
      <c r="H54" s="42"/>
      <c r="I54" s="42"/>
      <c r="J54" s="42"/>
      <c r="II54" s="42"/>
    </row>
    <row r="55" spans="1:243" ht="13.5" x14ac:dyDescent="0.25">
      <c r="A55" s="225" t="s">
        <v>419</v>
      </c>
      <c r="D55" s="2"/>
      <c r="E55" s="2">
        <v>2949</v>
      </c>
      <c r="F55" s="42">
        <v>2500</v>
      </c>
      <c r="G55" s="42">
        <v>2200</v>
      </c>
      <c r="H55" s="42">
        <v>2200</v>
      </c>
      <c r="I55" s="42">
        <v>2200</v>
      </c>
      <c r="J55" s="42">
        <v>2200</v>
      </c>
      <c r="II55" s="42"/>
    </row>
    <row r="56" spans="1:243" hidden="1" x14ac:dyDescent="0.2">
      <c r="A56" s="220" t="s">
        <v>369</v>
      </c>
      <c r="B56" s="2">
        <v>4</v>
      </c>
      <c r="C56" s="2">
        <v>550</v>
      </c>
      <c r="D56" s="2">
        <f>ROUND(B56*C56,0)</f>
        <v>2200</v>
      </c>
      <c r="E56" s="2"/>
      <c r="F56" s="42"/>
      <c r="G56" s="42"/>
      <c r="H56" s="42"/>
      <c r="I56" s="42"/>
      <c r="J56" s="42"/>
      <c r="II56" s="42"/>
    </row>
    <row r="57" spans="1:243" x14ac:dyDescent="0.2">
      <c r="D57" s="2"/>
      <c r="E57" s="2"/>
      <c r="F57" s="42"/>
      <c r="G57" s="42"/>
      <c r="H57" s="42"/>
      <c r="I57" s="42"/>
      <c r="J57" s="42"/>
      <c r="II57" s="42"/>
    </row>
    <row r="58" spans="1:243" ht="13.5" x14ac:dyDescent="0.25">
      <c r="A58" s="225" t="s">
        <v>420</v>
      </c>
      <c r="D58" s="2"/>
      <c r="E58" s="2">
        <v>6565</v>
      </c>
      <c r="F58" s="42">
        <v>6915</v>
      </c>
      <c r="G58" s="42">
        <v>7566</v>
      </c>
      <c r="H58" s="42">
        <v>7566</v>
      </c>
      <c r="I58" s="42">
        <v>7714</v>
      </c>
      <c r="J58" s="42">
        <v>7714</v>
      </c>
      <c r="II58" s="42"/>
    </row>
    <row r="59" spans="1:243" hidden="1" x14ac:dyDescent="0.2">
      <c r="A59" s="12" t="s">
        <v>1087</v>
      </c>
      <c r="B59" s="2">
        <f>+D10</f>
        <v>42506</v>
      </c>
      <c r="C59" s="13">
        <v>1.6999999999999999E-3</v>
      </c>
      <c r="D59" s="2">
        <f>ROUND(B59*C59,0)</f>
        <v>72</v>
      </c>
      <c r="E59" s="2"/>
      <c r="F59" s="42"/>
      <c r="G59" s="42"/>
      <c r="H59" s="42"/>
      <c r="I59" s="42"/>
      <c r="J59" s="42"/>
      <c r="II59" s="42"/>
    </row>
    <row r="60" spans="1:243" hidden="1" x14ac:dyDescent="0.2">
      <c r="A60" s="22" t="s">
        <v>1091</v>
      </c>
      <c r="B60" s="2">
        <f>+D17-D14</f>
        <v>111356</v>
      </c>
      <c r="C60" s="13">
        <v>4.0899999999999999E-2</v>
      </c>
      <c r="D60" s="2">
        <f>ROUND(B60*C60,0)</f>
        <v>4554</v>
      </c>
      <c r="E60" s="2"/>
      <c r="F60" s="42"/>
      <c r="G60" s="42"/>
      <c r="H60" s="42"/>
      <c r="I60" s="42"/>
      <c r="J60" s="42"/>
      <c r="II60" s="42"/>
    </row>
    <row r="61" spans="1:243" hidden="1" x14ac:dyDescent="0.2">
      <c r="A61" s="220" t="s">
        <v>802</v>
      </c>
      <c r="B61" s="2">
        <f>+D14</f>
        <v>71916</v>
      </c>
      <c r="C61" s="13">
        <v>4.0899999999999999E-2</v>
      </c>
      <c r="D61" s="2">
        <f>ROUND(B61*C61,0)</f>
        <v>2941</v>
      </c>
      <c r="E61" s="2"/>
      <c r="F61" s="42"/>
      <c r="G61" s="42"/>
      <c r="H61" s="42"/>
      <c r="I61" s="42"/>
      <c r="J61" s="42"/>
      <c r="II61" s="42"/>
    </row>
    <row r="62" spans="1:243" hidden="1" x14ac:dyDescent="0.2">
      <c r="A62" s="12" t="s">
        <v>260</v>
      </c>
      <c r="B62" s="2">
        <f>+D20</f>
        <v>59644</v>
      </c>
      <c r="C62" s="13">
        <v>1.6999999999999999E-3</v>
      </c>
      <c r="D62" s="2">
        <f>ROUND(B62*C62,0)</f>
        <v>101</v>
      </c>
      <c r="E62" s="2"/>
      <c r="F62" s="42"/>
      <c r="G62" s="42"/>
      <c r="H62" s="42"/>
      <c r="I62" s="42"/>
      <c r="J62" s="42"/>
      <c r="II62" s="42"/>
    </row>
    <row r="63" spans="1:243" ht="15" hidden="1" x14ac:dyDescent="0.35">
      <c r="A63" s="12" t="s">
        <v>1093</v>
      </c>
      <c r="B63" s="2">
        <f>+D27</f>
        <v>24664</v>
      </c>
      <c r="C63" s="13">
        <v>1.6999999999999999E-3</v>
      </c>
      <c r="D63" s="10">
        <f>ROUND(B63*C63,0)</f>
        <v>42</v>
      </c>
      <c r="E63" s="2"/>
      <c r="F63" s="42"/>
      <c r="G63" s="42"/>
      <c r="H63" s="42"/>
      <c r="I63" s="42"/>
      <c r="J63" s="42"/>
      <c r="II63" s="42"/>
    </row>
    <row r="64" spans="1:243" hidden="1" x14ac:dyDescent="0.2">
      <c r="A64" s="220" t="s">
        <v>1086</v>
      </c>
      <c r="D64" s="2">
        <f>SUM(D59:D63)+4</f>
        <v>7714</v>
      </c>
      <c r="E64" s="2"/>
      <c r="F64" s="42"/>
      <c r="G64" s="42"/>
      <c r="H64" s="42"/>
      <c r="I64" s="42"/>
      <c r="J64" s="42"/>
      <c r="II64" s="42"/>
    </row>
    <row r="65" spans="1:243" x14ac:dyDescent="0.2">
      <c r="D65" s="2"/>
      <c r="E65" s="2"/>
      <c r="F65" s="42"/>
      <c r="G65" s="42"/>
      <c r="H65" s="42"/>
      <c r="I65" s="42"/>
      <c r="J65" s="42"/>
      <c r="II65" s="42"/>
    </row>
    <row r="66" spans="1:243" ht="13.5" x14ac:dyDescent="0.25">
      <c r="A66" s="225" t="s">
        <v>422</v>
      </c>
      <c r="D66" s="2"/>
      <c r="E66" s="2">
        <v>94</v>
      </c>
      <c r="F66" s="42">
        <v>100</v>
      </c>
      <c r="G66" s="42">
        <v>100</v>
      </c>
      <c r="H66" s="42">
        <v>100</v>
      </c>
      <c r="I66" s="42">
        <v>100</v>
      </c>
      <c r="J66" s="42">
        <v>100</v>
      </c>
      <c r="II66" s="42"/>
    </row>
    <row r="67" spans="1:243" hidden="1" x14ac:dyDescent="0.2">
      <c r="A67" s="12" t="s">
        <v>1087</v>
      </c>
      <c r="B67" s="2">
        <v>1</v>
      </c>
      <c r="C67" s="2">
        <v>20</v>
      </c>
      <c r="D67" s="2">
        <f>ROUND(B67*C67,0)</f>
        <v>20</v>
      </c>
      <c r="E67" s="2"/>
      <c r="F67" s="42"/>
      <c r="G67" s="42"/>
      <c r="H67" s="42"/>
      <c r="I67" s="42"/>
      <c r="J67" s="42"/>
      <c r="II67" s="42"/>
    </row>
    <row r="68" spans="1:243" hidden="1" x14ac:dyDescent="0.2">
      <c r="A68" s="12" t="s">
        <v>1088</v>
      </c>
      <c r="B68" s="2">
        <v>2</v>
      </c>
      <c r="C68" s="2">
        <v>20</v>
      </c>
      <c r="D68" s="2">
        <f>ROUND(B68*C68,0)</f>
        <v>40</v>
      </c>
      <c r="E68" s="2"/>
      <c r="F68" s="42"/>
      <c r="G68" s="42"/>
      <c r="H68" s="42"/>
      <c r="I68" s="42"/>
      <c r="J68" s="42"/>
      <c r="II68" s="42"/>
    </row>
    <row r="69" spans="1:243" hidden="1" x14ac:dyDescent="0.2">
      <c r="A69" s="12" t="s">
        <v>1089</v>
      </c>
      <c r="B69" s="2">
        <v>1</v>
      </c>
      <c r="C69" s="2">
        <v>20</v>
      </c>
      <c r="D69" s="2">
        <f>ROUND(B69*C69,0)</f>
        <v>20</v>
      </c>
      <c r="E69" s="2"/>
      <c r="F69" s="42"/>
      <c r="G69" s="42"/>
      <c r="H69" s="42"/>
      <c r="I69" s="42"/>
      <c r="J69" s="42"/>
      <c r="II69" s="42"/>
    </row>
    <row r="70" spans="1:243" hidden="1" x14ac:dyDescent="0.2">
      <c r="A70" s="12" t="s">
        <v>1744</v>
      </c>
      <c r="B70" s="2">
        <v>1</v>
      </c>
      <c r="C70" s="2">
        <v>20</v>
      </c>
      <c r="D70" s="17">
        <f>ROUND(B70*C70,0)</f>
        <v>20</v>
      </c>
      <c r="E70" s="2"/>
      <c r="F70" s="42"/>
      <c r="G70" s="42"/>
      <c r="H70" s="42"/>
      <c r="I70" s="42"/>
      <c r="J70" s="42"/>
      <c r="II70" s="42"/>
    </row>
    <row r="71" spans="1:243" hidden="1" x14ac:dyDescent="0.2">
      <c r="A71" s="220" t="s">
        <v>1086</v>
      </c>
      <c r="B71" s="2" t="s">
        <v>349</v>
      </c>
      <c r="C71" s="13" t="s">
        <v>349</v>
      </c>
      <c r="D71" s="2">
        <f>SUM(D67:D70)</f>
        <v>100</v>
      </c>
      <c r="E71" s="2"/>
      <c r="F71" s="42"/>
      <c r="G71" s="42"/>
      <c r="H71" s="42"/>
      <c r="I71" s="42"/>
      <c r="J71" s="42"/>
      <c r="II71" s="42"/>
    </row>
    <row r="72" spans="1:243" x14ac:dyDescent="0.2">
      <c r="D72" s="2"/>
      <c r="E72" s="2"/>
      <c r="F72" s="42"/>
      <c r="G72" s="42"/>
      <c r="H72" s="42"/>
      <c r="I72" s="42"/>
      <c r="J72" s="42"/>
      <c r="II72" s="42"/>
    </row>
    <row r="73" spans="1:243" ht="13.5" x14ac:dyDescent="0.25">
      <c r="A73" s="225" t="s">
        <v>423</v>
      </c>
      <c r="D73" s="2"/>
      <c r="E73" s="2">
        <v>724</v>
      </c>
      <c r="F73" s="42">
        <v>3500</v>
      </c>
      <c r="G73" s="42">
        <v>3500</v>
      </c>
      <c r="H73" s="42">
        <v>3500</v>
      </c>
      <c r="I73" s="42">
        <v>3500</v>
      </c>
      <c r="J73" s="42">
        <v>3500</v>
      </c>
      <c r="II73" s="42"/>
    </row>
    <row r="74" spans="1:243" x14ac:dyDescent="0.2">
      <c r="A74" s="220" t="s">
        <v>1411</v>
      </c>
      <c r="D74" s="2">
        <v>3500</v>
      </c>
      <c r="E74" s="2"/>
      <c r="F74" s="42"/>
      <c r="G74" s="42"/>
      <c r="H74" s="42"/>
      <c r="I74" s="42"/>
      <c r="J74" s="42"/>
      <c r="II74" s="42"/>
    </row>
    <row r="75" spans="1:243" x14ac:dyDescent="0.2">
      <c r="A75" s="220" t="s">
        <v>349</v>
      </c>
      <c r="D75" s="2" t="s">
        <v>349</v>
      </c>
      <c r="E75" s="2"/>
      <c r="F75" s="42"/>
      <c r="G75" s="42"/>
      <c r="H75" s="42"/>
      <c r="I75" s="42"/>
      <c r="J75" s="42"/>
      <c r="II75" s="42"/>
    </row>
    <row r="76" spans="1:243" ht="13.5" x14ac:dyDescent="0.25">
      <c r="A76" s="225" t="s">
        <v>413</v>
      </c>
      <c r="D76" s="2"/>
      <c r="E76" s="2">
        <v>0</v>
      </c>
      <c r="F76" s="42">
        <v>100</v>
      </c>
      <c r="G76" s="42">
        <v>100</v>
      </c>
      <c r="H76" s="42">
        <v>100</v>
      </c>
      <c r="I76" s="42">
        <v>100</v>
      </c>
      <c r="J76" s="42">
        <v>100</v>
      </c>
      <c r="II76" s="42"/>
    </row>
    <row r="77" spans="1:243" x14ac:dyDescent="0.2">
      <c r="A77" s="220" t="s">
        <v>414</v>
      </c>
      <c r="B77" s="2"/>
      <c r="D77" s="2">
        <v>100</v>
      </c>
      <c r="E77" s="2"/>
      <c r="F77" s="42"/>
      <c r="G77" s="42"/>
      <c r="H77" s="42"/>
      <c r="I77" s="42"/>
      <c r="J77" s="42"/>
      <c r="II77" s="42"/>
    </row>
    <row r="78" spans="1:243" x14ac:dyDescent="0.2">
      <c r="D78" s="2"/>
      <c r="E78" s="2"/>
      <c r="F78" s="42"/>
      <c r="G78" s="42"/>
      <c r="H78" s="42"/>
      <c r="I78" s="42"/>
      <c r="J78" s="42"/>
      <c r="II78" s="42"/>
    </row>
    <row r="79" spans="1:243" ht="13.5" x14ac:dyDescent="0.25">
      <c r="A79" s="225" t="s">
        <v>764</v>
      </c>
      <c r="D79" s="2"/>
      <c r="E79" s="2">
        <v>374</v>
      </c>
      <c r="F79" s="42">
        <v>200</v>
      </c>
      <c r="G79" s="42">
        <v>200</v>
      </c>
      <c r="H79" s="42">
        <v>200</v>
      </c>
      <c r="I79" s="42">
        <v>200</v>
      </c>
      <c r="J79" s="42">
        <v>200</v>
      </c>
      <c r="II79" s="42"/>
    </row>
    <row r="80" spans="1:243" x14ac:dyDescent="0.2">
      <c r="A80" s="220" t="s">
        <v>715</v>
      </c>
      <c r="D80" s="2">
        <v>200</v>
      </c>
      <c r="E80" s="2"/>
      <c r="F80" s="42"/>
      <c r="G80" s="42"/>
      <c r="H80" s="42"/>
      <c r="I80" s="42"/>
      <c r="J80" s="42"/>
      <c r="II80" s="42"/>
    </row>
    <row r="81" spans="1:243" x14ac:dyDescent="0.2">
      <c r="D81" s="2"/>
      <c r="E81" s="2"/>
      <c r="F81" s="42"/>
      <c r="G81" s="42"/>
      <c r="H81" s="42"/>
      <c r="I81" s="42"/>
      <c r="J81" s="42"/>
      <c r="II81" s="42"/>
    </row>
    <row r="82" spans="1:243" ht="13.5" x14ac:dyDescent="0.25">
      <c r="A82" s="225" t="s">
        <v>765</v>
      </c>
      <c r="D82" s="2"/>
      <c r="E82" s="2">
        <v>8913</v>
      </c>
      <c r="F82" s="42">
        <v>7500</v>
      </c>
      <c r="G82" s="42">
        <v>8500</v>
      </c>
      <c r="H82" s="42">
        <v>8500</v>
      </c>
      <c r="I82" s="42">
        <v>8500</v>
      </c>
      <c r="J82" s="42">
        <v>8500</v>
      </c>
      <c r="II82" s="42"/>
    </row>
    <row r="83" spans="1:243" x14ac:dyDescent="0.2">
      <c r="A83" s="220" t="s">
        <v>281</v>
      </c>
      <c r="B83" s="2" t="s">
        <v>349</v>
      </c>
      <c r="D83" s="2">
        <v>0</v>
      </c>
      <c r="E83" s="2"/>
      <c r="F83" s="42"/>
      <c r="G83" s="42"/>
      <c r="H83" s="42"/>
      <c r="I83" s="42"/>
      <c r="J83" s="42"/>
      <c r="II83" s="42"/>
    </row>
    <row r="84" spans="1:243" ht="15" x14ac:dyDescent="0.35">
      <c r="A84" s="220" t="s">
        <v>284</v>
      </c>
      <c r="B84" s="2"/>
      <c r="D84" s="10">
        <v>8500</v>
      </c>
      <c r="E84" s="2"/>
      <c r="F84" s="2"/>
      <c r="I84" s="2"/>
      <c r="J84" s="2"/>
      <c r="II84" s="2"/>
    </row>
    <row r="85" spans="1:243" x14ac:dyDescent="0.2">
      <c r="A85" s="220" t="s">
        <v>1086</v>
      </c>
      <c r="B85" s="2"/>
      <c r="D85" s="2">
        <f>SUM(D83:D84)</f>
        <v>8500</v>
      </c>
      <c r="E85" s="2"/>
      <c r="F85" s="42"/>
      <c r="G85" s="42"/>
      <c r="H85" s="42"/>
      <c r="I85" s="42"/>
      <c r="J85" s="42"/>
      <c r="II85" s="42"/>
    </row>
    <row r="86" spans="1:243" x14ac:dyDescent="0.2">
      <c r="E86" s="2"/>
      <c r="F86" s="42"/>
      <c r="G86" s="42"/>
      <c r="H86" s="42"/>
      <c r="I86" s="42"/>
      <c r="J86" s="42"/>
      <c r="II86" s="42"/>
    </row>
    <row r="87" spans="1:243" ht="13.5" x14ac:dyDescent="0.25">
      <c r="A87" s="225" t="s">
        <v>39</v>
      </c>
      <c r="E87" s="2">
        <v>35</v>
      </c>
      <c r="F87" s="42">
        <v>62</v>
      </c>
      <c r="G87" s="42">
        <v>56</v>
      </c>
      <c r="H87" s="42">
        <v>56</v>
      </c>
      <c r="I87" s="42">
        <v>56</v>
      </c>
      <c r="J87" s="42">
        <v>56</v>
      </c>
      <c r="II87" s="42"/>
    </row>
    <row r="88" spans="1:243" x14ac:dyDescent="0.2">
      <c r="A88" s="220" t="s">
        <v>1120</v>
      </c>
      <c r="B88" s="2">
        <v>25</v>
      </c>
      <c r="C88" s="11">
        <v>2.25</v>
      </c>
      <c r="D88" s="2">
        <f>+C88*B88</f>
        <v>56.25</v>
      </c>
      <c r="E88" s="2"/>
      <c r="F88" s="42"/>
      <c r="G88" s="42"/>
      <c r="H88" s="42"/>
      <c r="I88" s="42"/>
      <c r="J88" s="42"/>
      <c r="II88" s="42"/>
    </row>
    <row r="89" spans="1:243" x14ac:dyDescent="0.2">
      <c r="B89" s="2"/>
      <c r="D89" s="13"/>
      <c r="E89" s="2"/>
      <c r="F89" s="42"/>
      <c r="G89" s="42"/>
      <c r="H89" s="42"/>
      <c r="I89" s="42"/>
      <c r="J89" s="42"/>
      <c r="II89" s="42"/>
    </row>
    <row r="90" spans="1:243" ht="13.5" x14ac:dyDescent="0.25">
      <c r="A90" s="225" t="s">
        <v>187</v>
      </c>
      <c r="B90" s="2"/>
      <c r="D90" s="13"/>
      <c r="E90" s="2">
        <v>3385</v>
      </c>
      <c r="F90" s="42">
        <v>3362</v>
      </c>
      <c r="G90" s="42">
        <v>3120</v>
      </c>
      <c r="H90" s="42">
        <v>3120</v>
      </c>
      <c r="I90" s="42">
        <v>3120</v>
      </c>
      <c r="J90" s="42">
        <v>3120</v>
      </c>
      <c r="II90" s="42"/>
    </row>
    <row r="91" spans="1:243" x14ac:dyDescent="0.2">
      <c r="A91" s="220" t="s">
        <v>820</v>
      </c>
      <c r="B91" s="2"/>
      <c r="D91" s="2">
        <v>2100</v>
      </c>
      <c r="E91" s="2"/>
      <c r="F91" s="42"/>
      <c r="G91" s="42"/>
      <c r="H91" s="42"/>
      <c r="I91" s="42"/>
      <c r="J91" s="42"/>
      <c r="II91" s="42"/>
    </row>
    <row r="92" spans="1:243" x14ac:dyDescent="0.2">
      <c r="A92" s="220" t="s">
        <v>2040</v>
      </c>
      <c r="B92" s="2"/>
      <c r="D92" s="2">
        <v>0</v>
      </c>
      <c r="E92" s="2"/>
      <c r="F92" s="42"/>
      <c r="G92" s="42"/>
      <c r="H92" s="42"/>
      <c r="I92" s="42"/>
      <c r="J92" s="42"/>
      <c r="II92" s="42"/>
    </row>
    <row r="93" spans="1:243" ht="15" x14ac:dyDescent="0.35">
      <c r="A93" s="220" t="s">
        <v>188</v>
      </c>
      <c r="B93" s="2"/>
      <c r="D93" s="10">
        <v>1020</v>
      </c>
      <c r="E93" s="2"/>
      <c r="F93" s="42"/>
      <c r="G93" s="42"/>
      <c r="H93" s="42"/>
      <c r="I93" s="42"/>
      <c r="J93" s="42"/>
      <c r="II93" s="42"/>
    </row>
    <row r="94" spans="1:243" x14ac:dyDescent="0.2">
      <c r="A94" s="220" t="s">
        <v>1086</v>
      </c>
      <c r="B94" s="2"/>
      <c r="D94" s="2">
        <f>SUM(D91:D93)</f>
        <v>3120</v>
      </c>
      <c r="E94" s="2"/>
      <c r="F94" s="42"/>
      <c r="G94" s="42"/>
      <c r="H94" s="42"/>
      <c r="I94" s="42"/>
      <c r="J94" s="42"/>
      <c r="II94" s="42"/>
    </row>
    <row r="95" spans="1:243" x14ac:dyDescent="0.2">
      <c r="D95" s="2"/>
      <c r="E95" s="2"/>
      <c r="F95" s="42"/>
      <c r="G95" s="42"/>
      <c r="H95" s="42"/>
      <c r="I95" s="42"/>
      <c r="J95" s="42"/>
      <c r="II95" s="42"/>
    </row>
    <row r="96" spans="1:243" ht="13.5" x14ac:dyDescent="0.25">
      <c r="A96" s="225" t="s">
        <v>572</v>
      </c>
      <c r="D96" s="2"/>
      <c r="E96" s="2">
        <v>22703</v>
      </c>
      <c r="F96" s="42">
        <v>23654</v>
      </c>
      <c r="G96" s="42">
        <v>23393</v>
      </c>
      <c r="H96" s="42">
        <v>23393</v>
      </c>
      <c r="I96" s="42">
        <v>23393</v>
      </c>
      <c r="J96" s="42">
        <v>23393</v>
      </c>
      <c r="II96" s="42"/>
    </row>
    <row r="97" spans="1:243" x14ac:dyDescent="0.2">
      <c r="A97" s="220" t="s">
        <v>125</v>
      </c>
      <c r="B97" s="2" t="s">
        <v>349</v>
      </c>
      <c r="D97" s="2">
        <v>20893</v>
      </c>
      <c r="E97" s="2"/>
      <c r="F97" s="2"/>
      <c r="I97" s="2"/>
      <c r="J97" s="2"/>
      <c r="II97" s="2"/>
    </row>
    <row r="98" spans="1:243" x14ac:dyDescent="0.2">
      <c r="A98" s="220" t="s">
        <v>1689</v>
      </c>
      <c r="D98" s="2">
        <v>2000</v>
      </c>
      <c r="E98" s="2"/>
      <c r="F98" s="2"/>
      <c r="I98" s="2"/>
      <c r="J98" s="2"/>
      <c r="II98" s="2"/>
    </row>
    <row r="99" spans="1:243" ht="15" x14ac:dyDescent="0.35">
      <c r="A99" s="220" t="s">
        <v>747</v>
      </c>
      <c r="D99" s="10">
        <v>500</v>
      </c>
      <c r="E99" s="2"/>
      <c r="F99" s="42"/>
      <c r="G99" s="42"/>
      <c r="H99" s="42"/>
      <c r="I99" s="42"/>
      <c r="J99" s="42"/>
      <c r="II99" s="42"/>
    </row>
    <row r="100" spans="1:243" x14ac:dyDescent="0.2">
      <c r="A100" s="220" t="s">
        <v>1086</v>
      </c>
      <c r="D100" s="2">
        <f>SUM(D97:D99)</f>
        <v>23393</v>
      </c>
      <c r="E100" s="2"/>
      <c r="F100" s="42"/>
      <c r="G100" s="42"/>
      <c r="H100" s="42"/>
      <c r="I100" s="42"/>
      <c r="J100" s="42"/>
      <c r="II100" s="42"/>
    </row>
    <row r="101" spans="1:243" x14ac:dyDescent="0.2">
      <c r="D101" s="2"/>
      <c r="E101" s="2"/>
      <c r="F101" s="42"/>
      <c r="G101" s="42"/>
      <c r="H101" s="42"/>
      <c r="I101" s="42"/>
      <c r="J101" s="42"/>
      <c r="II101" s="42"/>
    </row>
    <row r="102" spans="1:243" ht="13.5" x14ac:dyDescent="0.25">
      <c r="A102" s="16" t="s">
        <v>748</v>
      </c>
      <c r="D102" s="2"/>
      <c r="E102" s="2">
        <v>3025</v>
      </c>
      <c r="F102" s="42">
        <v>3083</v>
      </c>
      <c r="G102" s="42">
        <v>3299</v>
      </c>
      <c r="H102" s="42">
        <v>3299</v>
      </c>
      <c r="I102" s="42">
        <v>3299</v>
      </c>
      <c r="J102" s="42">
        <v>3299</v>
      </c>
      <c r="II102" s="42"/>
    </row>
    <row r="103" spans="1:243" x14ac:dyDescent="0.2">
      <c r="A103" s="220" t="s">
        <v>749</v>
      </c>
      <c r="D103" s="2">
        <v>3299</v>
      </c>
      <c r="E103" s="2"/>
      <c r="F103" s="42"/>
      <c r="G103" s="42"/>
      <c r="H103" s="42"/>
      <c r="I103" s="42"/>
      <c r="J103" s="42"/>
      <c r="II103" s="42"/>
    </row>
    <row r="104" spans="1:243" x14ac:dyDescent="0.2">
      <c r="D104" s="2"/>
      <c r="E104" s="2"/>
      <c r="F104" s="42"/>
      <c r="G104" s="42"/>
      <c r="H104" s="42"/>
      <c r="I104" s="42"/>
      <c r="J104" s="42"/>
      <c r="II104" s="42"/>
    </row>
    <row r="105" spans="1:243" ht="13.5" x14ac:dyDescent="0.25">
      <c r="A105" s="225" t="s">
        <v>750</v>
      </c>
      <c r="D105" s="2"/>
      <c r="E105" s="2">
        <v>225</v>
      </c>
      <c r="F105" s="42">
        <v>1500</v>
      </c>
      <c r="G105" s="42">
        <v>1500</v>
      </c>
      <c r="H105" s="42">
        <v>1500</v>
      </c>
      <c r="I105" s="42">
        <v>1500</v>
      </c>
      <c r="J105" s="42">
        <v>1500</v>
      </c>
      <c r="II105" s="42"/>
    </row>
    <row r="106" spans="1:243" x14ac:dyDescent="0.2">
      <c r="A106" s="220" t="s">
        <v>460</v>
      </c>
      <c r="D106" s="2">
        <v>1500</v>
      </c>
      <c r="E106" s="2"/>
      <c r="F106" s="42"/>
      <c r="G106" s="42"/>
      <c r="H106" s="42"/>
      <c r="I106" s="42"/>
      <c r="J106" s="42"/>
      <c r="II106" s="42"/>
    </row>
    <row r="107" spans="1:243" x14ac:dyDescent="0.2">
      <c r="A107" s="220" t="s">
        <v>349</v>
      </c>
      <c r="D107" s="2" t="s">
        <v>349</v>
      </c>
      <c r="E107" s="2"/>
      <c r="F107" s="42"/>
      <c r="G107" s="42"/>
      <c r="H107" s="42"/>
      <c r="I107" s="42"/>
      <c r="J107" s="42"/>
      <c r="II107" s="42"/>
    </row>
    <row r="108" spans="1:243" ht="13.5" x14ac:dyDescent="0.25">
      <c r="A108" s="225" t="s">
        <v>149</v>
      </c>
      <c r="D108" s="2"/>
      <c r="E108" s="2">
        <v>29</v>
      </c>
      <c r="F108" s="42">
        <v>100</v>
      </c>
      <c r="G108" s="42">
        <v>100</v>
      </c>
      <c r="H108" s="42">
        <v>100</v>
      </c>
      <c r="I108" s="42">
        <v>100</v>
      </c>
      <c r="J108" s="42">
        <v>100</v>
      </c>
      <c r="II108" s="42"/>
    </row>
    <row r="109" spans="1:243" x14ac:dyDescent="0.2">
      <c r="A109" s="220" t="s">
        <v>150</v>
      </c>
      <c r="D109" s="2">
        <v>100</v>
      </c>
      <c r="E109" s="2"/>
      <c r="F109" s="42"/>
      <c r="G109" s="42"/>
      <c r="H109" s="42"/>
      <c r="I109" s="42"/>
      <c r="J109" s="42"/>
      <c r="II109" s="42"/>
    </row>
    <row r="110" spans="1:243" x14ac:dyDescent="0.2">
      <c r="D110" s="2"/>
      <c r="E110" s="2"/>
      <c r="F110" s="42"/>
      <c r="G110" s="42"/>
      <c r="H110" s="42"/>
      <c r="I110" s="42"/>
      <c r="J110" s="42"/>
      <c r="II110" s="42"/>
    </row>
    <row r="111" spans="1:243" ht="13.5" x14ac:dyDescent="0.25">
      <c r="A111" s="225" t="s">
        <v>1121</v>
      </c>
      <c r="D111" s="2"/>
      <c r="E111" s="2">
        <v>5065</v>
      </c>
      <c r="F111" s="42">
        <v>900</v>
      </c>
      <c r="G111" s="42">
        <v>900</v>
      </c>
      <c r="H111" s="42">
        <v>900</v>
      </c>
      <c r="I111" s="42">
        <v>900</v>
      </c>
      <c r="J111" s="42">
        <v>900</v>
      </c>
      <c r="II111" s="42"/>
    </row>
    <row r="112" spans="1:243" x14ac:dyDescent="0.2">
      <c r="A112" s="220" t="s">
        <v>697</v>
      </c>
      <c r="D112" s="2">
        <v>900</v>
      </c>
      <c r="E112" s="2"/>
      <c r="F112" s="42"/>
      <c r="G112" s="42"/>
      <c r="H112" s="42"/>
      <c r="I112" s="42"/>
      <c r="J112" s="42"/>
      <c r="II112" s="42"/>
    </row>
    <row r="113" spans="1:243" x14ac:dyDescent="0.2">
      <c r="E113" s="2"/>
      <c r="F113" s="42"/>
      <c r="G113" s="42"/>
      <c r="H113" s="42"/>
      <c r="I113" s="42"/>
      <c r="J113" s="42"/>
      <c r="II113" s="42"/>
    </row>
    <row r="114" spans="1:243" ht="13.5" x14ac:dyDescent="0.25">
      <c r="A114" s="225" t="s">
        <v>200</v>
      </c>
      <c r="B114" s="29" t="s">
        <v>349</v>
      </c>
      <c r="D114" s="35"/>
      <c r="E114" s="2">
        <v>4213</v>
      </c>
      <c r="F114" s="42">
        <v>1000</v>
      </c>
      <c r="G114" s="42">
        <v>1000</v>
      </c>
      <c r="H114" s="42">
        <v>1000</v>
      </c>
      <c r="I114" s="42">
        <v>1000</v>
      </c>
      <c r="J114" s="42">
        <v>1000</v>
      </c>
      <c r="II114" s="42"/>
    </row>
    <row r="115" spans="1:243" x14ac:dyDescent="0.2">
      <c r="A115" s="220" t="s">
        <v>1782</v>
      </c>
      <c r="B115" s="2" t="s">
        <v>349</v>
      </c>
      <c r="D115" s="2">
        <v>1000</v>
      </c>
      <c r="E115" s="2"/>
      <c r="F115" s="2"/>
      <c r="I115" s="2"/>
      <c r="J115" s="2"/>
      <c r="II115" s="2"/>
    </row>
    <row r="116" spans="1:243" x14ac:dyDescent="0.2">
      <c r="B116" s="2"/>
      <c r="D116" s="2"/>
      <c r="E116" s="2"/>
      <c r="F116" s="2"/>
      <c r="I116" s="2"/>
      <c r="J116" s="2"/>
      <c r="II116" s="2"/>
    </row>
    <row r="117" spans="1:243" ht="13.5" x14ac:dyDescent="0.25">
      <c r="A117" s="225" t="s">
        <v>652</v>
      </c>
      <c r="E117" s="2">
        <v>500</v>
      </c>
      <c r="F117" s="42">
        <v>2500</v>
      </c>
      <c r="G117" s="42">
        <v>2500</v>
      </c>
      <c r="H117" s="42">
        <v>2500</v>
      </c>
      <c r="I117" s="42">
        <v>2500</v>
      </c>
      <c r="J117" s="42">
        <v>2500</v>
      </c>
      <c r="II117" s="42"/>
    </row>
    <row r="118" spans="1:243" x14ac:dyDescent="0.2">
      <c r="A118" s="220" t="s">
        <v>38</v>
      </c>
      <c r="D118" s="2">
        <v>500</v>
      </c>
      <c r="E118" s="2"/>
      <c r="F118" s="42"/>
      <c r="G118" s="42"/>
      <c r="H118" s="42"/>
      <c r="I118" s="42"/>
      <c r="J118" s="42"/>
      <c r="II118" s="42"/>
    </row>
    <row r="119" spans="1:243" x14ac:dyDescent="0.2">
      <c r="A119" s="220" t="s">
        <v>1690</v>
      </c>
      <c r="D119" s="2">
        <v>600</v>
      </c>
      <c r="E119" s="2"/>
      <c r="F119" s="42"/>
      <c r="G119" s="42"/>
      <c r="H119" s="42"/>
      <c r="I119" s="42"/>
      <c r="J119" s="42"/>
      <c r="II119" s="42"/>
    </row>
    <row r="120" spans="1:243" x14ac:dyDescent="0.2">
      <c r="A120" s="220" t="s">
        <v>1691</v>
      </c>
      <c r="D120" s="2">
        <v>1200</v>
      </c>
      <c r="E120" s="2"/>
      <c r="F120" s="42"/>
      <c r="G120" s="42"/>
      <c r="H120" s="42"/>
      <c r="I120" s="42"/>
      <c r="J120" s="42"/>
      <c r="II120" s="42"/>
    </row>
    <row r="121" spans="1:243" ht="15" x14ac:dyDescent="0.35">
      <c r="A121" s="220" t="s">
        <v>1143</v>
      </c>
      <c r="D121" s="10">
        <v>200</v>
      </c>
      <c r="E121" s="2"/>
      <c r="F121" s="42"/>
      <c r="G121" s="42"/>
      <c r="H121" s="42"/>
      <c r="I121" s="42"/>
      <c r="J121" s="42"/>
      <c r="II121" s="42"/>
    </row>
    <row r="122" spans="1:243" x14ac:dyDescent="0.2">
      <c r="A122" s="220" t="s">
        <v>1086</v>
      </c>
      <c r="D122" s="2">
        <f>SUM(D118:D121)</f>
        <v>2500</v>
      </c>
      <c r="E122" s="2"/>
      <c r="F122" s="42"/>
      <c r="G122" s="42"/>
      <c r="H122" s="42"/>
      <c r="I122" s="42"/>
      <c r="J122" s="42"/>
      <c r="II122" s="42"/>
    </row>
    <row r="123" spans="1:243" x14ac:dyDescent="0.2">
      <c r="D123" s="2"/>
      <c r="E123" s="2"/>
      <c r="F123" s="42"/>
      <c r="G123" s="42"/>
      <c r="H123" s="42"/>
      <c r="I123" s="42"/>
      <c r="J123" s="42"/>
      <c r="II123" s="42"/>
    </row>
    <row r="124" spans="1:243" ht="13.5" x14ac:dyDescent="0.25">
      <c r="A124" s="225" t="s">
        <v>15</v>
      </c>
      <c r="D124" s="35"/>
      <c r="E124" s="2">
        <v>362</v>
      </c>
      <c r="F124" s="42">
        <v>1500</v>
      </c>
      <c r="G124" s="42">
        <v>750</v>
      </c>
      <c r="H124" s="42">
        <v>750</v>
      </c>
      <c r="I124" s="42">
        <v>750</v>
      </c>
      <c r="J124" s="42">
        <v>750</v>
      </c>
      <c r="II124" s="42"/>
    </row>
    <row r="125" spans="1:243" x14ac:dyDescent="0.2">
      <c r="A125" s="220" t="s">
        <v>16</v>
      </c>
      <c r="D125" s="2">
        <v>500</v>
      </c>
      <c r="E125" s="2"/>
      <c r="F125" s="42"/>
      <c r="G125" s="42"/>
      <c r="H125" s="42"/>
      <c r="I125" s="42"/>
      <c r="J125" s="42"/>
      <c r="II125" s="42"/>
    </row>
    <row r="126" spans="1:243" ht="15" x14ac:dyDescent="0.35">
      <c r="A126" s="220" t="s">
        <v>670</v>
      </c>
      <c r="D126" s="10">
        <v>250</v>
      </c>
      <c r="E126" s="2"/>
      <c r="F126" s="42"/>
      <c r="G126" s="42"/>
      <c r="H126" s="42"/>
      <c r="I126" s="42"/>
      <c r="J126" s="42"/>
      <c r="II126" s="42"/>
    </row>
    <row r="127" spans="1:243" x14ac:dyDescent="0.2">
      <c r="A127" s="220" t="s">
        <v>1086</v>
      </c>
      <c r="D127" s="2">
        <f>SUM(D125:D126)</f>
        <v>750</v>
      </c>
      <c r="E127" s="2"/>
      <c r="F127" s="42"/>
      <c r="G127" s="42"/>
      <c r="H127" s="42"/>
      <c r="I127" s="42"/>
      <c r="J127" s="42"/>
      <c r="II127" s="42"/>
    </row>
    <row r="128" spans="1:243" x14ac:dyDescent="0.2">
      <c r="D128" s="2"/>
      <c r="E128" s="2"/>
      <c r="F128" s="42"/>
      <c r="G128" s="42"/>
      <c r="H128" s="42"/>
      <c r="I128" s="42"/>
      <c r="J128" s="42"/>
      <c r="II128" s="42"/>
    </row>
    <row r="129" spans="1:243" ht="13.5" x14ac:dyDescent="0.25">
      <c r="A129" s="225" t="s">
        <v>1177</v>
      </c>
      <c r="D129" s="2"/>
      <c r="E129" s="7">
        <v>0</v>
      </c>
      <c r="F129" s="42">
        <v>2500</v>
      </c>
      <c r="G129" s="42">
        <v>2500</v>
      </c>
      <c r="H129" s="42">
        <v>2500</v>
      </c>
      <c r="I129" s="42">
        <v>2500</v>
      </c>
      <c r="J129" s="42">
        <v>2500</v>
      </c>
      <c r="II129" s="42"/>
    </row>
    <row r="130" spans="1:243" x14ac:dyDescent="0.2">
      <c r="A130" s="220" t="s">
        <v>1783</v>
      </c>
      <c r="D130" s="7">
        <v>2500</v>
      </c>
      <c r="E130" s="2"/>
      <c r="F130" s="42"/>
      <c r="G130" s="42"/>
      <c r="H130" s="42"/>
      <c r="I130" s="42"/>
      <c r="J130" s="42"/>
      <c r="II130" s="42"/>
    </row>
    <row r="131" spans="1:243" x14ac:dyDescent="0.2">
      <c r="E131" s="2"/>
      <c r="F131" s="42"/>
      <c r="G131" s="42"/>
      <c r="H131" s="42"/>
      <c r="I131" s="42"/>
      <c r="J131" s="42"/>
      <c r="II131" s="42"/>
    </row>
    <row r="132" spans="1:243" ht="13.5" x14ac:dyDescent="0.25">
      <c r="A132" s="225" t="s">
        <v>573</v>
      </c>
      <c r="D132" s="35"/>
      <c r="E132" s="2">
        <v>9737</v>
      </c>
      <c r="F132" s="42">
        <v>5168</v>
      </c>
      <c r="G132" s="42">
        <v>5168</v>
      </c>
      <c r="H132" s="42">
        <v>5168</v>
      </c>
      <c r="I132" s="42">
        <v>5168</v>
      </c>
      <c r="J132" s="42">
        <v>5168</v>
      </c>
      <c r="II132" s="42"/>
    </row>
    <row r="133" spans="1:243" x14ac:dyDescent="0.2">
      <c r="A133" s="220" t="s">
        <v>574</v>
      </c>
      <c r="E133" s="2"/>
      <c r="F133" s="42"/>
      <c r="G133" s="42"/>
      <c r="H133" s="42"/>
      <c r="I133" s="42"/>
      <c r="J133" s="42"/>
      <c r="II133" s="42"/>
    </row>
    <row r="134" spans="1:243" x14ac:dyDescent="0.2">
      <c r="A134" s="220" t="s">
        <v>1692</v>
      </c>
      <c r="D134" s="2">
        <v>900</v>
      </c>
      <c r="E134" s="2"/>
      <c r="F134" s="2"/>
      <c r="I134" s="2"/>
      <c r="J134" s="2"/>
      <c r="II134" s="2"/>
    </row>
    <row r="135" spans="1:243" x14ac:dyDescent="0.2">
      <c r="A135" s="220" t="s">
        <v>1693</v>
      </c>
      <c r="D135" s="2">
        <v>1000</v>
      </c>
      <c r="E135" s="2"/>
      <c r="F135" s="2"/>
      <c r="I135" s="2"/>
      <c r="J135" s="2"/>
      <c r="II135" s="2"/>
    </row>
    <row r="136" spans="1:243" x14ac:dyDescent="0.2">
      <c r="A136" s="220" t="s">
        <v>32</v>
      </c>
      <c r="D136" s="2">
        <v>250</v>
      </c>
      <c r="E136" s="2"/>
      <c r="F136" s="2"/>
      <c r="I136" s="2"/>
      <c r="J136" s="2"/>
      <c r="II136" s="2"/>
    </row>
    <row r="137" spans="1:243" x14ac:dyDescent="0.2">
      <c r="A137" s="220" t="s">
        <v>475</v>
      </c>
      <c r="D137" s="2">
        <v>200</v>
      </c>
      <c r="E137" s="2"/>
      <c r="F137" s="42"/>
      <c r="G137" s="42"/>
      <c r="H137" s="42"/>
      <c r="I137" s="42"/>
      <c r="J137" s="42"/>
      <c r="II137" s="42"/>
    </row>
    <row r="138" spans="1:243" x14ac:dyDescent="0.2">
      <c r="A138" s="220" t="s">
        <v>1389</v>
      </c>
      <c r="D138" s="2">
        <v>400</v>
      </c>
      <c r="E138" s="2"/>
      <c r="F138" s="42"/>
      <c r="G138" s="42"/>
      <c r="H138" s="42"/>
      <c r="I138" s="42"/>
      <c r="J138" s="42"/>
      <c r="II138" s="42"/>
    </row>
    <row r="139" spans="1:243" x14ac:dyDescent="0.2">
      <c r="A139" s="220" t="s">
        <v>967</v>
      </c>
      <c r="D139" s="2">
        <v>380</v>
      </c>
      <c r="E139" s="2"/>
      <c r="F139" s="42"/>
      <c r="G139" s="42"/>
      <c r="H139" s="42"/>
      <c r="I139" s="42"/>
      <c r="J139" s="42"/>
      <c r="II139" s="42"/>
    </row>
    <row r="140" spans="1:243" x14ac:dyDescent="0.2">
      <c r="A140" s="220" t="s">
        <v>1390</v>
      </c>
      <c r="D140" s="2">
        <v>150</v>
      </c>
      <c r="E140" s="2"/>
      <c r="F140" s="42"/>
      <c r="G140" s="42"/>
      <c r="H140" s="42"/>
      <c r="I140" s="42"/>
      <c r="J140" s="42"/>
      <c r="II140" s="42"/>
    </row>
    <row r="141" spans="1:243" x14ac:dyDescent="0.2">
      <c r="A141" s="220" t="s">
        <v>353</v>
      </c>
      <c r="D141" s="2">
        <v>200</v>
      </c>
      <c r="E141" s="2"/>
      <c r="F141" s="42"/>
      <c r="G141" s="42"/>
      <c r="H141" s="42"/>
      <c r="I141" s="42"/>
      <c r="J141" s="42"/>
      <c r="II141" s="42"/>
    </row>
    <row r="142" spans="1:243" ht="15" x14ac:dyDescent="0.35">
      <c r="A142" s="220" t="s">
        <v>354</v>
      </c>
      <c r="D142" s="10">
        <v>1688</v>
      </c>
      <c r="E142" s="2"/>
      <c r="F142" s="42"/>
      <c r="G142" s="42"/>
      <c r="H142" s="42"/>
      <c r="I142" s="42"/>
      <c r="J142" s="42"/>
      <c r="II142" s="42"/>
    </row>
    <row r="143" spans="1:243" x14ac:dyDescent="0.2">
      <c r="A143" s="220" t="s">
        <v>355</v>
      </c>
      <c r="D143" s="2">
        <f>SUM(D134:D142)</f>
        <v>5168</v>
      </c>
      <c r="E143" s="2"/>
      <c r="F143" s="42"/>
      <c r="G143" s="42"/>
      <c r="H143" s="42"/>
      <c r="I143" s="42"/>
      <c r="J143" s="42"/>
      <c r="II143" s="42"/>
    </row>
    <row r="144" spans="1:243" x14ac:dyDescent="0.2">
      <c r="D144" s="2"/>
      <c r="E144" s="2"/>
      <c r="F144" s="42"/>
      <c r="G144" s="42"/>
      <c r="H144" s="42"/>
      <c r="I144" s="42"/>
      <c r="J144" s="42"/>
      <c r="II144" s="42"/>
    </row>
    <row r="145" spans="1:243" ht="13.5" x14ac:dyDescent="0.25">
      <c r="A145" s="225" t="s">
        <v>430</v>
      </c>
      <c r="E145" s="2">
        <v>5340</v>
      </c>
      <c r="F145" s="42">
        <v>2000</v>
      </c>
      <c r="G145" s="42">
        <v>3000</v>
      </c>
      <c r="H145" s="42">
        <v>3000</v>
      </c>
      <c r="I145" s="42">
        <v>3000</v>
      </c>
      <c r="J145" s="42">
        <v>3000</v>
      </c>
      <c r="II145" s="42"/>
    </row>
    <row r="146" spans="1:243" x14ac:dyDescent="0.2">
      <c r="A146" s="220" t="s">
        <v>192</v>
      </c>
      <c r="D146" s="2">
        <v>3000</v>
      </c>
      <c r="E146" s="2"/>
      <c r="F146" s="42"/>
      <c r="G146" s="42"/>
      <c r="H146" s="42"/>
      <c r="I146" s="2"/>
      <c r="J146" s="2"/>
      <c r="II146" s="42"/>
    </row>
    <row r="147" spans="1:243" x14ac:dyDescent="0.2">
      <c r="D147" s="2"/>
      <c r="E147" s="2"/>
      <c r="F147" s="42"/>
      <c r="G147" s="42"/>
      <c r="H147" s="42"/>
      <c r="I147" s="2"/>
      <c r="J147" s="2"/>
      <c r="II147" s="42"/>
    </row>
    <row r="148" spans="1:243" ht="13.5" x14ac:dyDescent="0.25">
      <c r="A148" s="225" t="s">
        <v>109</v>
      </c>
      <c r="D148" s="2"/>
      <c r="E148" s="2"/>
      <c r="F148" s="42"/>
      <c r="G148" s="42"/>
      <c r="H148" s="42"/>
      <c r="I148" s="2"/>
      <c r="J148" s="2"/>
      <c r="II148" s="42"/>
    </row>
    <row r="149" spans="1:243" ht="15" x14ac:dyDescent="0.35">
      <c r="E149" s="2"/>
      <c r="F149" s="10"/>
      <c r="G149" s="10"/>
      <c r="H149" s="10"/>
      <c r="I149" s="10"/>
      <c r="J149" s="10"/>
      <c r="II149" s="10"/>
    </row>
    <row r="150" spans="1:243" ht="15" x14ac:dyDescent="0.35">
      <c r="A150" s="225" t="s">
        <v>359</v>
      </c>
      <c r="E150" s="2">
        <v>0</v>
      </c>
      <c r="F150" s="10"/>
      <c r="G150" s="10"/>
      <c r="H150" s="10"/>
      <c r="I150" s="10"/>
      <c r="J150" s="10"/>
      <c r="II150" s="10"/>
    </row>
    <row r="151" spans="1:243" x14ac:dyDescent="0.2">
      <c r="E151" s="2"/>
      <c r="F151" s="2"/>
      <c r="I151" s="2"/>
      <c r="J151" s="2"/>
      <c r="II151" s="2"/>
    </row>
    <row r="152" spans="1:243" ht="13.5" x14ac:dyDescent="0.25">
      <c r="A152" s="225" t="s">
        <v>1734</v>
      </c>
      <c r="E152" s="2">
        <v>0</v>
      </c>
      <c r="F152" s="2">
        <v>0</v>
      </c>
      <c r="I152" s="2"/>
      <c r="J152" s="2"/>
      <c r="II152" s="2"/>
    </row>
    <row r="153" spans="1:243" x14ac:dyDescent="0.2">
      <c r="A153" s="22" t="s">
        <v>1735</v>
      </c>
      <c r="D153" s="220">
        <v>0</v>
      </c>
      <c r="E153" s="2"/>
      <c r="F153" s="2"/>
      <c r="I153" s="2"/>
      <c r="J153" s="2"/>
      <c r="II153" s="2"/>
    </row>
    <row r="154" spans="1:243" x14ac:dyDescent="0.2">
      <c r="E154" s="2"/>
      <c r="F154" s="2"/>
      <c r="I154" s="2"/>
      <c r="J154" s="2"/>
      <c r="II154" s="2"/>
    </row>
    <row r="155" spans="1:243" ht="13.5" x14ac:dyDescent="0.25">
      <c r="A155" s="225" t="s">
        <v>236</v>
      </c>
      <c r="D155" s="35"/>
      <c r="E155" s="2">
        <v>0</v>
      </c>
      <c r="F155" s="2">
        <v>0</v>
      </c>
      <c r="I155" s="2"/>
      <c r="J155" s="2"/>
      <c r="II155" s="2"/>
    </row>
    <row r="156" spans="1:243" ht="15" x14ac:dyDescent="0.35">
      <c r="D156" s="2">
        <v>0</v>
      </c>
      <c r="E156" s="10"/>
      <c r="F156" s="2"/>
      <c r="I156" s="2"/>
      <c r="J156" s="2"/>
      <c r="II156" s="2"/>
    </row>
    <row r="157" spans="1:243" ht="15" x14ac:dyDescent="0.35">
      <c r="D157" s="2"/>
      <c r="E157" s="10"/>
      <c r="F157" s="2"/>
      <c r="I157" s="2"/>
      <c r="J157" s="2"/>
      <c r="II157" s="2"/>
    </row>
    <row r="158" spans="1:243" ht="13.5" x14ac:dyDescent="0.25">
      <c r="A158" s="225" t="s">
        <v>1842</v>
      </c>
      <c r="D158" s="17"/>
      <c r="E158" s="2">
        <v>20000</v>
      </c>
      <c r="F158" s="2">
        <v>15000</v>
      </c>
      <c r="G158" s="2">
        <v>15000</v>
      </c>
      <c r="H158" s="2">
        <v>15000</v>
      </c>
      <c r="I158" s="2">
        <v>5000</v>
      </c>
      <c r="J158" s="2">
        <v>5000</v>
      </c>
      <c r="II158" s="2"/>
    </row>
    <row r="159" spans="1:243" ht="15" x14ac:dyDescent="0.35">
      <c r="D159" s="2"/>
      <c r="E159" s="10"/>
      <c r="F159" s="2"/>
      <c r="I159" s="2"/>
      <c r="J159" s="2"/>
      <c r="II159" s="2"/>
    </row>
    <row r="160" spans="1:243" ht="15" x14ac:dyDescent="0.35">
      <c r="A160" s="225" t="s">
        <v>1515</v>
      </c>
      <c r="D160" s="17"/>
      <c r="E160" s="10">
        <v>66200</v>
      </c>
      <c r="F160" s="10">
        <v>0</v>
      </c>
      <c r="G160" s="10">
        <v>0</v>
      </c>
      <c r="H160" s="10">
        <v>0</v>
      </c>
      <c r="I160" s="10">
        <v>0</v>
      </c>
      <c r="J160" s="10">
        <v>0</v>
      </c>
      <c r="II160" s="10"/>
    </row>
    <row r="161" spans="1:243" ht="15" x14ac:dyDescent="0.35">
      <c r="A161" s="220" t="s">
        <v>1948</v>
      </c>
      <c r="D161" s="2">
        <v>0</v>
      </c>
      <c r="E161" s="10"/>
      <c r="F161" s="2"/>
      <c r="I161" s="2"/>
      <c r="J161" s="2"/>
      <c r="II161" s="2"/>
    </row>
    <row r="162" spans="1:243" ht="15" x14ac:dyDescent="0.35">
      <c r="D162" s="2"/>
      <c r="E162" s="10"/>
      <c r="F162" s="2"/>
      <c r="I162" s="2"/>
      <c r="J162" s="2"/>
      <c r="II162" s="2"/>
    </row>
    <row r="163" spans="1:243" ht="13.5" x14ac:dyDescent="0.25">
      <c r="A163" s="53" t="s">
        <v>349</v>
      </c>
      <c r="D163" s="2"/>
      <c r="E163" s="2"/>
      <c r="F163" s="2"/>
      <c r="I163" s="2"/>
      <c r="J163" s="2"/>
      <c r="II163" s="2"/>
    </row>
    <row r="164" spans="1:243" x14ac:dyDescent="0.2">
      <c r="A164" s="19" t="s">
        <v>1167</v>
      </c>
      <c r="D164" s="2"/>
      <c r="E164" s="2">
        <f t="shared" ref="E164:J164" si="0">SUM(E6:E160)</f>
        <v>565149</v>
      </c>
      <c r="F164" s="2">
        <f t="shared" si="0"/>
        <v>521613</v>
      </c>
      <c r="G164" s="2">
        <f t="shared" si="0"/>
        <v>538196</v>
      </c>
      <c r="H164" s="2">
        <f t="shared" si="0"/>
        <v>537643</v>
      </c>
      <c r="I164" s="2">
        <f t="shared" si="0"/>
        <v>534993</v>
      </c>
      <c r="J164" s="2">
        <f t="shared" si="0"/>
        <v>534993</v>
      </c>
      <c r="II164" s="2"/>
    </row>
    <row r="165" spans="1:243" x14ac:dyDescent="0.2">
      <c r="A165" s="19"/>
      <c r="D165" s="2"/>
      <c r="E165" s="2"/>
      <c r="F165" s="2"/>
      <c r="I165" s="2"/>
      <c r="J165" s="2"/>
      <c r="II165" s="2"/>
    </row>
    <row r="166" spans="1:243" x14ac:dyDescent="0.2">
      <c r="A166" s="19"/>
      <c r="D166" s="2"/>
      <c r="E166" s="2"/>
      <c r="F166" s="2"/>
      <c r="I166" s="2"/>
      <c r="J166" s="2"/>
      <c r="II166" s="2"/>
    </row>
    <row r="167" spans="1:243" x14ac:dyDescent="0.2">
      <c r="A167" s="19"/>
      <c r="D167" s="2"/>
      <c r="E167" s="2"/>
      <c r="F167" s="2"/>
      <c r="I167" s="2"/>
      <c r="J167" s="2"/>
      <c r="II167" s="2"/>
    </row>
    <row r="168" spans="1:243" x14ac:dyDescent="0.2">
      <c r="A168" s="220" t="s">
        <v>523</v>
      </c>
      <c r="E168" s="2">
        <f t="shared" ref="E168:J168" si="1">SUM(E6:E71)</f>
        <v>414319</v>
      </c>
      <c r="F168" s="2">
        <f t="shared" si="1"/>
        <v>447984</v>
      </c>
      <c r="G168" s="2">
        <f t="shared" si="1"/>
        <v>463610</v>
      </c>
      <c r="H168" s="2">
        <f t="shared" si="1"/>
        <v>463057</v>
      </c>
      <c r="I168" s="2">
        <f t="shared" si="1"/>
        <v>470407</v>
      </c>
      <c r="J168" s="2">
        <f t="shared" si="1"/>
        <v>470407</v>
      </c>
      <c r="II168" s="2"/>
    </row>
    <row r="169" spans="1:243" x14ac:dyDescent="0.2">
      <c r="A169" s="220" t="s">
        <v>818</v>
      </c>
      <c r="E169" s="2">
        <f t="shared" ref="E169:J169" si="2">SUM(E73:E149)</f>
        <v>64630</v>
      </c>
      <c r="F169" s="2">
        <f t="shared" si="2"/>
        <v>58629</v>
      </c>
      <c r="G169" s="2">
        <f t="shared" si="2"/>
        <v>59586</v>
      </c>
      <c r="H169" s="2">
        <f t="shared" ref="H169" si="3">SUM(H73:H149)</f>
        <v>59586</v>
      </c>
      <c r="I169" s="2">
        <f t="shared" si="2"/>
        <v>59586</v>
      </c>
      <c r="J169" s="2">
        <f t="shared" si="2"/>
        <v>59586</v>
      </c>
      <c r="II169" s="2"/>
    </row>
    <row r="170" spans="1:243" ht="15" x14ac:dyDescent="0.35">
      <c r="A170" s="220" t="s">
        <v>819</v>
      </c>
      <c r="E170" s="10">
        <f t="shared" ref="E170:J170" si="4">SUM(E152:E160)</f>
        <v>86200</v>
      </c>
      <c r="F170" s="10">
        <f t="shared" si="4"/>
        <v>15000</v>
      </c>
      <c r="G170" s="10">
        <f t="shared" si="4"/>
        <v>15000</v>
      </c>
      <c r="H170" s="10">
        <f t="shared" ref="H170" si="5">SUM(H152:H160)</f>
        <v>15000</v>
      </c>
      <c r="I170" s="10">
        <f t="shared" si="4"/>
        <v>5000</v>
      </c>
      <c r="J170" s="10">
        <f t="shared" si="4"/>
        <v>5000</v>
      </c>
      <c r="II170" s="10"/>
    </row>
    <row r="171" spans="1:243" x14ac:dyDescent="0.2">
      <c r="E171" s="2">
        <f t="shared" ref="E171:J171" si="6">SUM(E168:E170)</f>
        <v>565149</v>
      </c>
      <c r="F171" s="2">
        <f t="shared" si="6"/>
        <v>521613</v>
      </c>
      <c r="G171" s="2">
        <f t="shared" si="6"/>
        <v>538196</v>
      </c>
      <c r="H171" s="2">
        <f t="shared" ref="H171" si="7">SUM(H168:H170)</f>
        <v>537643</v>
      </c>
      <c r="I171" s="2">
        <f t="shared" si="6"/>
        <v>534993</v>
      </c>
      <c r="J171" s="2">
        <f t="shared" si="6"/>
        <v>534993</v>
      </c>
      <c r="II171" s="2"/>
    </row>
    <row r="172" spans="1:243" x14ac:dyDescent="0.2">
      <c r="E172" s="2"/>
      <c r="F172" s="2"/>
      <c r="I172" s="2"/>
      <c r="J172" s="2"/>
      <c r="II172" s="2"/>
    </row>
    <row r="173" spans="1:243" x14ac:dyDescent="0.2">
      <c r="E173" s="2"/>
      <c r="F173" s="2"/>
      <c r="I173" s="2"/>
      <c r="J173" s="2"/>
      <c r="II173" s="2"/>
    </row>
    <row r="174" spans="1:243" x14ac:dyDescent="0.2">
      <c r="E174" s="2"/>
      <c r="F174" s="2"/>
      <c r="I174" s="2"/>
      <c r="J174" s="2"/>
      <c r="II174" s="2"/>
    </row>
    <row r="175" spans="1:243" x14ac:dyDescent="0.2">
      <c r="E175" s="2"/>
      <c r="F175" s="2"/>
      <c r="I175" s="2"/>
      <c r="J175" s="2"/>
      <c r="II175" s="2"/>
    </row>
    <row r="176" spans="1:243" x14ac:dyDescent="0.2">
      <c r="G176" s="220"/>
      <c r="H176" s="220"/>
      <c r="II176" s="2"/>
    </row>
    <row r="177" spans="7:243" x14ac:dyDescent="0.2">
      <c r="G177" s="220"/>
      <c r="H177" s="220"/>
      <c r="II177" s="2"/>
    </row>
    <row r="178" spans="7:243" x14ac:dyDescent="0.2">
      <c r="G178" s="220"/>
      <c r="H178" s="220"/>
      <c r="II178" s="2"/>
    </row>
    <row r="179" spans="7:243" x14ac:dyDescent="0.2">
      <c r="G179" s="220"/>
      <c r="H179" s="220"/>
      <c r="II179" s="2"/>
    </row>
    <row r="180" spans="7:243" x14ac:dyDescent="0.2">
      <c r="G180" s="220"/>
      <c r="H180" s="220"/>
      <c r="II180" s="2"/>
    </row>
    <row r="181" spans="7:243" x14ac:dyDescent="0.2">
      <c r="G181" s="220"/>
      <c r="H181" s="220"/>
      <c r="II181" s="2"/>
    </row>
    <row r="182" spans="7:243" x14ac:dyDescent="0.2">
      <c r="G182" s="220"/>
      <c r="H182" s="220"/>
      <c r="II182" s="2"/>
    </row>
    <row r="183" spans="7:243" x14ac:dyDescent="0.2">
      <c r="G183" s="220"/>
      <c r="H183" s="220"/>
      <c r="II183" s="2"/>
    </row>
    <row r="184" spans="7:243" x14ac:dyDescent="0.2">
      <c r="G184" s="220"/>
      <c r="H184" s="220"/>
      <c r="II184" s="2"/>
    </row>
    <row r="185" spans="7:243" x14ac:dyDescent="0.2">
      <c r="G185" s="220"/>
      <c r="H185" s="220"/>
      <c r="II185" s="2"/>
    </row>
    <row r="186" spans="7:243" x14ac:dyDescent="0.2">
      <c r="G186" s="220"/>
      <c r="H186" s="220"/>
    </row>
    <row r="187" spans="7:243" x14ac:dyDescent="0.2">
      <c r="G187" s="220"/>
      <c r="H187" s="220"/>
    </row>
    <row r="188" spans="7:243" x14ac:dyDescent="0.2">
      <c r="G188" s="220"/>
      <c r="H188" s="220"/>
    </row>
    <row r="189" spans="7:243" x14ac:dyDescent="0.2">
      <c r="G189" s="220"/>
      <c r="H189" s="220"/>
    </row>
    <row r="190" spans="7:243" x14ac:dyDescent="0.2">
      <c r="G190" s="220"/>
    </row>
    <row r="191" spans="7:243" x14ac:dyDescent="0.2">
      <c r="G191" s="220"/>
    </row>
    <row r="192" spans="7:243" x14ac:dyDescent="0.2">
      <c r="G192" s="220"/>
    </row>
    <row r="193" spans="7:7" x14ac:dyDescent="0.2">
      <c r="G193" s="220"/>
    </row>
    <row r="194" spans="7:7" x14ac:dyDescent="0.2">
      <c r="G194" s="220"/>
    </row>
    <row r="195" spans="7:7" x14ac:dyDescent="0.2">
      <c r="G195" s="220"/>
    </row>
    <row r="196" spans="7:7" x14ac:dyDescent="0.2">
      <c r="G196" s="220"/>
    </row>
    <row r="197" spans="7:7" x14ac:dyDescent="0.2">
      <c r="G197" s="220"/>
    </row>
    <row r="198" spans="7:7" x14ac:dyDescent="0.2">
      <c r="G198" s="220"/>
    </row>
    <row r="199" spans="7:7" x14ac:dyDescent="0.2">
      <c r="G199" s="220"/>
    </row>
    <row r="200" spans="7:7" x14ac:dyDescent="0.2">
      <c r="G200" s="220"/>
    </row>
    <row r="201" spans="7:7" x14ac:dyDescent="0.2">
      <c r="G201" s="220"/>
    </row>
    <row r="202" spans="7:7" x14ac:dyDescent="0.2">
      <c r="G202" s="220"/>
    </row>
    <row r="203" spans="7:7" x14ac:dyDescent="0.2">
      <c r="G203" s="220"/>
    </row>
    <row r="204" spans="7:7" x14ac:dyDescent="0.2">
      <c r="G204" s="220"/>
    </row>
    <row r="205" spans="7:7" x14ac:dyDescent="0.2">
      <c r="G205" s="220"/>
    </row>
  </sheetData>
  <mergeCells count="1">
    <mergeCell ref="A1:J1"/>
  </mergeCells>
  <phoneticPr fontId="0" type="noConversion"/>
  <printOptions gridLines="1"/>
  <pageMargins left="0.75" right="0.16" top="0.51" bottom="0.22" header="0.5" footer="0"/>
  <pageSetup scale="89" fitToHeight="4" orientation="landscape" r:id="rId1"/>
  <headerFooter alignWithMargins="0"/>
  <rowBreaks count="2" manualBreakCount="2">
    <brk id="113" max="16383" man="1"/>
    <brk id="154"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M157"/>
  <sheetViews>
    <sheetView view="pageBreakPreview" zoomScaleNormal="100" zoomScaleSheetLayoutView="100" workbookViewId="0">
      <pane ySplit="5" topLeftCell="A133" activePane="bottomLeft" state="frozen"/>
      <selection activeCell="I6" sqref="I6:I240"/>
      <selection pane="bottomLeft" sqref="A1:J1"/>
    </sheetView>
  </sheetViews>
  <sheetFormatPr defaultColWidth="8.85546875" defaultRowHeight="12.75" x14ac:dyDescent="0.2"/>
  <cols>
    <col min="1" max="1" width="56.5703125" style="220" bestFit="1" customWidth="1"/>
    <col min="2" max="2" width="8.7109375" style="220" bestFit="1" customWidth="1"/>
    <col min="3" max="3" width="7.7109375" style="220" bestFit="1" customWidth="1"/>
    <col min="4" max="4" width="8.7109375" style="220" bestFit="1" customWidth="1"/>
    <col min="5" max="6" width="9" style="220" bestFit="1" customWidth="1"/>
    <col min="7" max="7" width="11.7109375" style="220" bestFit="1" customWidth="1"/>
    <col min="8" max="8" width="13.5703125" style="220" bestFit="1" customWidth="1"/>
    <col min="9" max="9" width="9.42578125" style="220" bestFit="1" customWidth="1"/>
    <col min="10" max="10" width="10.85546875" style="220" customWidth="1"/>
    <col min="11" max="16384" width="8.85546875" style="220"/>
  </cols>
  <sheetData>
    <row r="1" spans="1:13" x14ac:dyDescent="0.2">
      <c r="A1" s="261" t="s">
        <v>1965</v>
      </c>
      <c r="B1" s="262"/>
      <c r="C1" s="262"/>
      <c r="D1" s="262"/>
      <c r="E1" s="262"/>
      <c r="F1" s="262"/>
      <c r="G1" s="262"/>
      <c r="H1" s="262"/>
      <c r="I1" s="262"/>
      <c r="J1" s="262"/>
    </row>
    <row r="2" spans="1:13" ht="18.75" x14ac:dyDescent="0.3">
      <c r="A2" s="107" t="s">
        <v>1645</v>
      </c>
      <c r="B2" s="107"/>
      <c r="C2" s="107"/>
      <c r="D2" s="107"/>
      <c r="E2" s="107"/>
      <c r="F2" s="107"/>
    </row>
    <row r="3" spans="1:13" x14ac:dyDescent="0.2">
      <c r="B3" s="2"/>
      <c r="C3" s="2"/>
      <c r="D3" s="2"/>
      <c r="E3" s="2"/>
      <c r="F3" s="2"/>
    </row>
    <row r="4" spans="1:13" x14ac:dyDescent="0.2">
      <c r="B4" s="2"/>
      <c r="C4" s="2"/>
      <c r="D4" s="2"/>
      <c r="E4" s="15" t="s">
        <v>207</v>
      </c>
      <c r="F4" s="15" t="s">
        <v>208</v>
      </c>
      <c r="G4" s="15" t="s">
        <v>63</v>
      </c>
      <c r="H4" s="15" t="s">
        <v>362</v>
      </c>
      <c r="I4" s="15" t="s">
        <v>274</v>
      </c>
      <c r="J4" s="15" t="s">
        <v>305</v>
      </c>
    </row>
    <row r="5" spans="1:13" ht="15" x14ac:dyDescent="0.35">
      <c r="B5" s="2"/>
      <c r="C5" s="2"/>
      <c r="D5" s="2"/>
      <c r="E5" s="221" t="s">
        <v>1759</v>
      </c>
      <c r="F5" s="221" t="s">
        <v>1857</v>
      </c>
      <c r="G5" s="221" t="s">
        <v>1966</v>
      </c>
      <c r="H5" s="221" t="s">
        <v>1966</v>
      </c>
      <c r="I5" s="221" t="s">
        <v>1966</v>
      </c>
      <c r="J5" s="221" t="s">
        <v>1966</v>
      </c>
    </row>
    <row r="6" spans="1:13" ht="13.5" x14ac:dyDescent="0.25">
      <c r="A6" s="225" t="s">
        <v>899</v>
      </c>
      <c r="B6" s="2"/>
      <c r="C6" s="2"/>
      <c r="D6" s="2"/>
      <c r="E6" s="2">
        <v>80316</v>
      </c>
      <c r="F6" s="2">
        <v>81885</v>
      </c>
      <c r="G6" s="2">
        <v>83430</v>
      </c>
      <c r="H6" s="2">
        <v>83430</v>
      </c>
      <c r="I6" s="2">
        <v>85104</v>
      </c>
      <c r="J6" s="2">
        <v>85104</v>
      </c>
    </row>
    <row r="7" spans="1:13" x14ac:dyDescent="0.2">
      <c r="A7" s="220" t="s">
        <v>900</v>
      </c>
      <c r="B7" s="2">
        <v>52</v>
      </c>
      <c r="C7" s="2">
        <v>1576</v>
      </c>
      <c r="D7" s="2">
        <f>ROUND(B7*C7,0)</f>
        <v>81952</v>
      </c>
      <c r="E7" s="2"/>
      <c r="F7" s="2"/>
      <c r="G7" s="2"/>
      <c r="H7" s="2"/>
      <c r="I7" s="2"/>
      <c r="J7" s="2"/>
    </row>
    <row r="8" spans="1:13" x14ac:dyDescent="0.2">
      <c r="A8" s="220" t="s">
        <v>2138</v>
      </c>
      <c r="B8" s="2">
        <v>1</v>
      </c>
      <c r="C8" s="2">
        <v>1576</v>
      </c>
      <c r="D8" s="2">
        <f>ROUND(B8*C8,0)</f>
        <v>1576</v>
      </c>
      <c r="E8" s="2"/>
      <c r="F8" s="2"/>
      <c r="G8" s="2"/>
      <c r="H8" s="2"/>
      <c r="I8" s="2"/>
      <c r="J8" s="2"/>
    </row>
    <row r="9" spans="1:13" ht="15" x14ac:dyDescent="0.35">
      <c r="A9" s="220" t="s">
        <v>833</v>
      </c>
      <c r="B9" s="2" t="s">
        <v>349</v>
      </c>
      <c r="C9" s="2" t="s">
        <v>349</v>
      </c>
      <c r="D9" s="10">
        <f>+C7</f>
        <v>1576</v>
      </c>
      <c r="E9" s="2"/>
      <c r="F9" s="2"/>
      <c r="G9" s="2"/>
      <c r="H9" s="2"/>
      <c r="I9" s="2"/>
      <c r="J9" s="2"/>
    </row>
    <row r="10" spans="1:13" x14ac:dyDescent="0.2">
      <c r="A10" s="220" t="s">
        <v>1086</v>
      </c>
      <c r="B10" s="2"/>
      <c r="C10" s="2"/>
      <c r="D10" s="2">
        <f>SUM(D7:D9)</f>
        <v>85104</v>
      </c>
      <c r="E10" s="2"/>
      <c r="F10" s="2"/>
      <c r="G10" s="2"/>
      <c r="H10" s="2"/>
      <c r="I10" s="2"/>
      <c r="J10" s="2"/>
    </row>
    <row r="11" spans="1:13" x14ac:dyDescent="0.2">
      <c r="B11" s="2"/>
      <c r="C11" s="2"/>
      <c r="D11" s="2"/>
      <c r="E11" s="2"/>
      <c r="F11" s="2"/>
      <c r="G11" s="2"/>
      <c r="H11" s="2"/>
      <c r="I11" s="2"/>
      <c r="J11" s="2"/>
    </row>
    <row r="12" spans="1:13" ht="13.5" x14ac:dyDescent="0.25">
      <c r="A12" s="225" t="s">
        <v>674</v>
      </c>
      <c r="B12" s="2"/>
      <c r="C12" s="2"/>
      <c r="D12" s="2"/>
      <c r="E12" s="2">
        <v>131598</v>
      </c>
      <c r="F12" s="2">
        <v>145671</v>
      </c>
      <c r="G12" s="2">
        <v>150006</v>
      </c>
      <c r="H12" s="2">
        <v>150006</v>
      </c>
      <c r="I12" s="2">
        <v>150801</v>
      </c>
      <c r="J12" s="2">
        <v>150801</v>
      </c>
    </row>
    <row r="13" spans="1:13" ht="15" x14ac:dyDescent="0.25">
      <c r="A13" s="220" t="s">
        <v>1930</v>
      </c>
      <c r="B13" s="2">
        <v>52</v>
      </c>
      <c r="C13" s="2">
        <v>714</v>
      </c>
      <c r="D13" s="2">
        <f>ROUND(B13*C13,0)</f>
        <v>37128</v>
      </c>
      <c r="E13" s="2"/>
      <c r="F13" s="2"/>
      <c r="G13" s="2"/>
      <c r="H13" s="2"/>
      <c r="I13" s="2"/>
      <c r="J13" s="2"/>
      <c r="K13" s="97"/>
      <c r="L13" s="97"/>
      <c r="M13" s="97"/>
    </row>
    <row r="14" spans="1:13" ht="15" x14ac:dyDescent="0.25">
      <c r="A14" s="220" t="s">
        <v>946</v>
      </c>
      <c r="B14" s="2">
        <v>52</v>
      </c>
      <c r="C14" s="2">
        <v>714</v>
      </c>
      <c r="D14" s="2">
        <f>ROUND(B14*C14,0)</f>
        <v>37128</v>
      </c>
      <c r="E14" s="2"/>
      <c r="F14" s="2"/>
      <c r="G14" s="2"/>
      <c r="H14" s="2"/>
      <c r="I14" s="2"/>
      <c r="J14" s="2"/>
      <c r="K14" s="97"/>
      <c r="L14" s="97"/>
      <c r="M14" s="97"/>
    </row>
    <row r="15" spans="1:13" ht="15" x14ac:dyDescent="0.25">
      <c r="A15" s="220" t="s">
        <v>946</v>
      </c>
      <c r="B15" s="2">
        <v>52</v>
      </c>
      <c r="C15" s="2">
        <v>714</v>
      </c>
      <c r="D15" s="2">
        <f>ROUND(B15*C15,0)</f>
        <v>37128</v>
      </c>
      <c r="E15" s="2"/>
      <c r="F15" s="2"/>
      <c r="G15" s="2"/>
      <c r="H15" s="2"/>
      <c r="I15" s="2"/>
      <c r="J15" s="2"/>
      <c r="K15" s="97"/>
      <c r="L15" s="97"/>
      <c r="M15" s="97"/>
    </row>
    <row r="16" spans="1:13" x14ac:dyDescent="0.2">
      <c r="A16" s="220" t="s">
        <v>946</v>
      </c>
      <c r="B16" s="2">
        <v>52</v>
      </c>
      <c r="C16" s="2">
        <v>700</v>
      </c>
      <c r="D16" s="2">
        <f t="shared" ref="D16:D17" si="0">ROUND(B16*C16,0)</f>
        <v>36400</v>
      </c>
      <c r="E16" s="2"/>
      <c r="F16" s="2"/>
      <c r="G16" s="2"/>
      <c r="H16" s="2"/>
      <c r="I16" s="2"/>
      <c r="J16" s="2"/>
    </row>
    <row r="17" spans="1:10" x14ac:dyDescent="0.2">
      <c r="A17" s="220" t="s">
        <v>2138</v>
      </c>
      <c r="B17" s="2">
        <v>1</v>
      </c>
      <c r="C17" s="2">
        <f>SUM(C13:C16)</f>
        <v>2842</v>
      </c>
      <c r="D17" s="2">
        <f t="shared" si="0"/>
        <v>2842</v>
      </c>
      <c r="E17" s="2"/>
      <c r="F17" s="2"/>
      <c r="G17" s="2"/>
      <c r="H17" s="2"/>
      <c r="I17" s="2"/>
      <c r="J17" s="2"/>
    </row>
    <row r="18" spans="1:10" ht="15" x14ac:dyDescent="0.35">
      <c r="A18" s="220" t="s">
        <v>833</v>
      </c>
      <c r="B18" s="2" t="s">
        <v>349</v>
      </c>
      <c r="C18" s="2" t="s">
        <v>349</v>
      </c>
      <c r="D18" s="10">
        <v>175</v>
      </c>
      <c r="E18" s="2"/>
      <c r="F18" s="2"/>
      <c r="G18" s="2"/>
      <c r="H18" s="2"/>
      <c r="I18" s="2"/>
      <c r="J18" s="2"/>
    </row>
    <row r="19" spans="1:10" x14ac:dyDescent="0.2">
      <c r="A19" s="220" t="s">
        <v>1086</v>
      </c>
      <c r="B19" s="2"/>
      <c r="C19" s="2"/>
      <c r="D19" s="2">
        <f>SUM(D13:D18)</f>
        <v>150801</v>
      </c>
      <c r="E19" s="2"/>
      <c r="F19" s="2"/>
      <c r="G19" s="2"/>
      <c r="H19" s="2"/>
      <c r="I19" s="2"/>
      <c r="J19" s="2"/>
    </row>
    <row r="20" spans="1:10" x14ac:dyDescent="0.2">
      <c r="B20" s="2"/>
      <c r="C20" s="2"/>
      <c r="D20" s="2"/>
      <c r="E20" s="2"/>
      <c r="F20" s="2"/>
      <c r="G20" s="2"/>
      <c r="H20" s="2"/>
      <c r="I20" s="2"/>
      <c r="J20" s="2"/>
    </row>
    <row r="21" spans="1:10" ht="13.5" x14ac:dyDescent="0.25">
      <c r="A21" s="225" t="s">
        <v>486</v>
      </c>
      <c r="B21" s="2"/>
      <c r="C21" s="2"/>
      <c r="D21" s="2"/>
      <c r="E21" s="2">
        <v>62019</v>
      </c>
      <c r="F21" s="2">
        <v>63417</v>
      </c>
      <c r="G21" s="2">
        <v>64614</v>
      </c>
      <c r="H21" s="2">
        <v>64614</v>
      </c>
      <c r="I21" s="2">
        <v>65866</v>
      </c>
      <c r="J21" s="2">
        <v>65866</v>
      </c>
    </row>
    <row r="22" spans="1:10" x14ac:dyDescent="0.2">
      <c r="A22" s="220" t="s">
        <v>202</v>
      </c>
      <c r="B22" s="2">
        <v>52</v>
      </c>
      <c r="C22" s="2">
        <v>1221</v>
      </c>
      <c r="D22" s="2">
        <f>ROUND(B22*C22,0)</f>
        <v>63492</v>
      </c>
      <c r="E22" s="2"/>
      <c r="F22" s="2"/>
      <c r="G22" s="2"/>
      <c r="H22" s="2"/>
      <c r="I22" s="2"/>
      <c r="J22" s="2"/>
    </row>
    <row r="23" spans="1:10" x14ac:dyDescent="0.2">
      <c r="A23" s="220" t="s">
        <v>2138</v>
      </c>
      <c r="B23" s="2">
        <v>1</v>
      </c>
      <c r="C23" s="2">
        <v>1221</v>
      </c>
      <c r="D23" s="2">
        <f>ROUND(B23*C23,0)</f>
        <v>1221</v>
      </c>
      <c r="E23" s="2"/>
      <c r="F23" s="2"/>
      <c r="G23" s="2"/>
      <c r="H23" s="2"/>
      <c r="I23" s="2"/>
      <c r="J23" s="2"/>
    </row>
    <row r="24" spans="1:10" ht="15" x14ac:dyDescent="0.35">
      <c r="A24" s="220" t="s">
        <v>833</v>
      </c>
      <c r="B24" s="2"/>
      <c r="C24" s="2"/>
      <c r="D24" s="10">
        <v>1173</v>
      </c>
      <c r="E24" s="2"/>
      <c r="F24" s="2"/>
      <c r="G24" s="2"/>
      <c r="H24" s="2"/>
      <c r="I24" s="2"/>
      <c r="J24" s="2"/>
    </row>
    <row r="25" spans="1:10" x14ac:dyDescent="0.2">
      <c r="A25" s="220" t="s">
        <v>1086</v>
      </c>
      <c r="B25" s="2"/>
      <c r="C25" s="2"/>
      <c r="D25" s="2">
        <f>SUM(D22:D24)</f>
        <v>65886</v>
      </c>
      <c r="E25" s="2"/>
      <c r="F25" s="2"/>
      <c r="G25" s="2"/>
      <c r="H25" s="2"/>
      <c r="I25" s="2"/>
      <c r="J25" s="2"/>
    </row>
    <row r="26" spans="1:10" x14ac:dyDescent="0.2">
      <c r="D26" s="2"/>
      <c r="E26" s="2"/>
      <c r="F26" s="2"/>
      <c r="G26" s="2"/>
      <c r="H26" s="2"/>
      <c r="I26" s="2"/>
      <c r="J26" s="2"/>
    </row>
    <row r="27" spans="1:10" ht="13.5" x14ac:dyDescent="0.25">
      <c r="A27" s="225" t="s">
        <v>868</v>
      </c>
      <c r="D27" s="2"/>
      <c r="E27" s="2">
        <v>15237</v>
      </c>
      <c r="F27" s="2">
        <v>27949</v>
      </c>
      <c r="G27" s="2">
        <v>23546</v>
      </c>
      <c r="H27" s="2">
        <v>23546</v>
      </c>
      <c r="I27" s="2">
        <v>23588</v>
      </c>
      <c r="J27" s="2">
        <v>23588</v>
      </c>
    </row>
    <row r="28" spans="1:10" x14ac:dyDescent="0.2">
      <c r="A28" s="220" t="s">
        <v>946</v>
      </c>
      <c r="B28" s="2">
        <v>1248</v>
      </c>
      <c r="C28" s="11">
        <v>17.16</v>
      </c>
      <c r="D28" s="2">
        <f>ROUND(B28*C28,0)</f>
        <v>21416</v>
      </c>
      <c r="E28" s="2"/>
      <c r="F28" s="2"/>
      <c r="G28" s="2"/>
      <c r="H28" s="2"/>
      <c r="I28" s="2"/>
      <c r="J28" s="2"/>
    </row>
    <row r="29" spans="1:10" x14ac:dyDescent="0.2">
      <c r="A29" s="220" t="s">
        <v>946</v>
      </c>
      <c r="B29" s="2">
        <v>0</v>
      </c>
      <c r="C29" s="11">
        <v>14.75</v>
      </c>
      <c r="D29" s="2">
        <f>+B29*C29</f>
        <v>0</v>
      </c>
      <c r="E29" s="2"/>
      <c r="F29" s="2"/>
      <c r="G29" s="2"/>
      <c r="H29" s="2"/>
      <c r="I29" s="2"/>
      <c r="J29" s="2"/>
    </row>
    <row r="30" spans="1:10" x14ac:dyDescent="0.2">
      <c r="A30" s="220" t="s">
        <v>1257</v>
      </c>
      <c r="B30" s="2">
        <v>0</v>
      </c>
      <c r="C30" s="11">
        <v>15.75</v>
      </c>
      <c r="D30" s="2">
        <f>ROUND(B30*C30,0)</f>
        <v>0</v>
      </c>
      <c r="E30" s="2"/>
      <c r="F30" s="2"/>
      <c r="G30" s="2"/>
      <c r="H30" s="2"/>
      <c r="I30" s="2"/>
      <c r="J30" s="2"/>
    </row>
    <row r="31" spans="1:10" x14ac:dyDescent="0.2">
      <c r="A31" s="220" t="s">
        <v>1346</v>
      </c>
      <c r="B31" s="2">
        <v>200</v>
      </c>
      <c r="C31" s="11">
        <v>10.86</v>
      </c>
      <c r="D31" s="17">
        <f>ROUND(B31*C31,0)</f>
        <v>2172</v>
      </c>
      <c r="E31" s="2"/>
      <c r="F31" s="2"/>
      <c r="G31" s="2"/>
      <c r="H31" s="2"/>
      <c r="I31" s="2"/>
      <c r="J31" s="2"/>
    </row>
    <row r="32" spans="1:10" x14ac:dyDescent="0.2">
      <c r="D32" s="2">
        <f>SUM(D28:D31)</f>
        <v>23588</v>
      </c>
      <c r="E32" s="2"/>
      <c r="F32" s="2"/>
      <c r="G32" s="2"/>
      <c r="H32" s="2"/>
      <c r="I32" s="2"/>
      <c r="J32" s="2"/>
    </row>
    <row r="33" spans="1:10" x14ac:dyDescent="0.2">
      <c r="D33" s="2"/>
      <c r="E33" s="2"/>
      <c r="F33" s="2"/>
      <c r="G33" s="2"/>
      <c r="H33" s="2"/>
      <c r="I33" s="2"/>
      <c r="J33" s="2"/>
    </row>
    <row r="34" spans="1:10" ht="13.5" x14ac:dyDescent="0.25">
      <c r="A34" s="225" t="s">
        <v>869</v>
      </c>
      <c r="D34" s="2"/>
      <c r="E34" s="2">
        <v>3201</v>
      </c>
      <c r="F34" s="2">
        <v>1056</v>
      </c>
      <c r="G34" s="2">
        <v>1064</v>
      </c>
      <c r="H34" s="2">
        <v>1064</v>
      </c>
      <c r="I34" s="2">
        <v>1064</v>
      </c>
      <c r="J34" s="2">
        <v>1064</v>
      </c>
    </row>
    <row r="35" spans="1:10" x14ac:dyDescent="0.2">
      <c r="A35" s="220" t="s">
        <v>941</v>
      </c>
      <c r="B35" s="2">
        <v>40</v>
      </c>
      <c r="C35" s="11">
        <f>SUM(C13:C15)/40/3*1.5</f>
        <v>26.774999999999999</v>
      </c>
      <c r="D35" s="2">
        <f>ROUND(C35*B35,0)</f>
        <v>1071</v>
      </c>
      <c r="E35" s="2"/>
      <c r="F35" s="2"/>
      <c r="G35" s="2"/>
      <c r="H35" s="2"/>
      <c r="I35" s="2"/>
      <c r="J35" s="2"/>
    </row>
    <row r="36" spans="1:10" x14ac:dyDescent="0.2">
      <c r="B36" s="2"/>
      <c r="C36" s="11"/>
      <c r="D36" s="2"/>
      <c r="E36" s="2"/>
      <c r="F36" s="2"/>
      <c r="G36" s="2"/>
      <c r="H36" s="2"/>
      <c r="I36" s="2"/>
      <c r="J36" s="2"/>
    </row>
    <row r="37" spans="1:10" ht="13.5" x14ac:dyDescent="0.25">
      <c r="A37" s="225" t="s">
        <v>370</v>
      </c>
      <c r="D37" s="2"/>
      <c r="E37" s="2">
        <v>16842</v>
      </c>
      <c r="F37" s="2">
        <v>19401</v>
      </c>
      <c r="G37" s="2">
        <v>19510</v>
      </c>
      <c r="H37" s="2">
        <v>19510</v>
      </c>
      <c r="I37" s="2">
        <v>19696</v>
      </c>
      <c r="J37" s="2">
        <v>19696</v>
      </c>
    </row>
    <row r="38" spans="1:10" hidden="1" x14ac:dyDescent="0.2">
      <c r="A38" s="12" t="s">
        <v>1756</v>
      </c>
      <c r="B38" s="2">
        <f>+D10</f>
        <v>85104</v>
      </c>
      <c r="C38" s="13">
        <v>1.4500000000000001E-2</v>
      </c>
      <c r="D38" s="2">
        <f>ROUND(B38*C38,0)</f>
        <v>1234</v>
      </c>
      <c r="E38" s="2"/>
      <c r="F38" s="2"/>
      <c r="G38" s="2"/>
      <c r="H38" s="2"/>
      <c r="I38" s="2"/>
      <c r="J38" s="2"/>
    </row>
    <row r="39" spans="1:10" hidden="1" x14ac:dyDescent="0.2">
      <c r="A39" s="12" t="s">
        <v>770</v>
      </c>
      <c r="B39" s="2">
        <f>+D19</f>
        <v>150801</v>
      </c>
      <c r="C39" s="13">
        <v>7.6499999999999999E-2</v>
      </c>
      <c r="D39" s="2">
        <f>ROUND(B39*C39,0)</f>
        <v>11536</v>
      </c>
      <c r="E39" s="2"/>
      <c r="F39" s="2"/>
      <c r="G39" s="2"/>
      <c r="H39" s="2"/>
      <c r="I39" s="2"/>
      <c r="J39" s="2"/>
    </row>
    <row r="40" spans="1:10" hidden="1" x14ac:dyDescent="0.2">
      <c r="A40" s="12" t="s">
        <v>1290</v>
      </c>
      <c r="B40" s="2">
        <f>+D25</f>
        <v>65886</v>
      </c>
      <c r="C40" s="13">
        <v>7.6499999999999999E-2</v>
      </c>
      <c r="D40" s="2">
        <f>ROUND(B40*C40,0)</f>
        <v>5040</v>
      </c>
      <c r="E40" s="2"/>
      <c r="F40" s="2"/>
      <c r="G40" s="2"/>
      <c r="H40" s="2"/>
      <c r="I40" s="2"/>
      <c r="J40" s="2"/>
    </row>
    <row r="41" spans="1:10" hidden="1" x14ac:dyDescent="0.2">
      <c r="A41" s="12" t="s">
        <v>158</v>
      </c>
      <c r="B41" s="2">
        <f>+D32</f>
        <v>23588</v>
      </c>
      <c r="C41" s="13">
        <v>7.6499999999999999E-2</v>
      </c>
      <c r="D41" s="2">
        <f>ROUND(B41*C41,0)</f>
        <v>1804</v>
      </c>
      <c r="E41" s="2"/>
      <c r="F41" s="2"/>
      <c r="G41" s="2"/>
      <c r="H41" s="2"/>
      <c r="I41" s="2"/>
      <c r="J41" s="2"/>
    </row>
    <row r="42" spans="1:10" ht="15" hidden="1" x14ac:dyDescent="0.35">
      <c r="A42" s="12" t="s">
        <v>159</v>
      </c>
      <c r="B42" s="2">
        <f>+D35</f>
        <v>1071</v>
      </c>
      <c r="C42" s="13">
        <v>7.6499999999999999E-2</v>
      </c>
      <c r="D42" s="10">
        <f>ROUND(B42*C42,0)</f>
        <v>82</v>
      </c>
      <c r="E42" s="2"/>
      <c r="F42" s="2"/>
      <c r="G42" s="2"/>
      <c r="H42" s="2"/>
      <c r="I42" s="2"/>
      <c r="J42" s="2"/>
    </row>
    <row r="43" spans="1:10" hidden="1" x14ac:dyDescent="0.2">
      <c r="A43" s="220" t="s">
        <v>1086</v>
      </c>
      <c r="B43" s="2" t="s">
        <v>349</v>
      </c>
      <c r="D43" s="2">
        <f>SUM(D38:D42)</f>
        <v>19696</v>
      </c>
      <c r="E43" s="2"/>
      <c r="F43" s="2"/>
      <c r="G43" s="2"/>
      <c r="H43" s="2"/>
      <c r="I43" s="2"/>
      <c r="J43" s="2"/>
    </row>
    <row r="44" spans="1:10" x14ac:dyDescent="0.2">
      <c r="D44" s="2"/>
      <c r="E44" s="2"/>
      <c r="F44" s="2"/>
      <c r="G44" s="2"/>
      <c r="H44" s="2"/>
      <c r="I44" s="2"/>
      <c r="J44" s="2"/>
    </row>
    <row r="45" spans="1:10" ht="13.5" x14ac:dyDescent="0.25">
      <c r="A45" s="14" t="s">
        <v>1268</v>
      </c>
      <c r="D45" s="2"/>
      <c r="E45" s="2">
        <v>30917</v>
      </c>
      <c r="F45" s="2">
        <v>32620</v>
      </c>
      <c r="G45" s="2">
        <v>42056</v>
      </c>
      <c r="H45" s="2">
        <v>42056</v>
      </c>
      <c r="I45" s="2">
        <v>42584</v>
      </c>
      <c r="J45" s="2">
        <v>42584</v>
      </c>
    </row>
    <row r="46" spans="1:10" hidden="1" x14ac:dyDescent="0.2">
      <c r="A46" s="12" t="s">
        <v>156</v>
      </c>
      <c r="B46" s="2">
        <f>+D10</f>
        <v>85104</v>
      </c>
      <c r="C46" s="228">
        <v>0.1406</v>
      </c>
      <c r="D46" s="2">
        <f>ROUND(B46*C46,0)</f>
        <v>11966</v>
      </c>
      <c r="E46" s="2"/>
      <c r="F46" s="2"/>
      <c r="G46" s="2"/>
      <c r="H46" s="2"/>
      <c r="I46" s="2"/>
      <c r="J46" s="2"/>
    </row>
    <row r="47" spans="1:10" hidden="1" x14ac:dyDescent="0.2">
      <c r="A47" s="12" t="s">
        <v>770</v>
      </c>
      <c r="B47" s="2">
        <f>+B39</f>
        <v>150801</v>
      </c>
      <c r="C47" s="228">
        <v>0.1406</v>
      </c>
      <c r="D47" s="2">
        <f>ROUND(B47*C47,0)</f>
        <v>21203</v>
      </c>
      <c r="E47" s="2"/>
      <c r="F47" s="2"/>
      <c r="G47" s="2"/>
      <c r="H47" s="2"/>
      <c r="I47" s="2"/>
      <c r="J47" s="2"/>
    </row>
    <row r="48" spans="1:10" hidden="1" x14ac:dyDescent="0.2">
      <c r="A48" s="22">
        <v>8103</v>
      </c>
      <c r="B48" s="2">
        <f>+B40</f>
        <v>65886</v>
      </c>
      <c r="C48" s="228">
        <v>0.1406</v>
      </c>
      <c r="D48" s="2">
        <f>ROUND(B48*C48,0)</f>
        <v>9264</v>
      </c>
      <c r="E48" s="2"/>
      <c r="F48" s="2"/>
      <c r="G48" s="2"/>
      <c r="H48" s="2"/>
      <c r="I48" s="2"/>
      <c r="J48" s="2"/>
    </row>
    <row r="49" spans="1:10" ht="15" hidden="1" x14ac:dyDescent="0.35">
      <c r="A49" s="12" t="s">
        <v>159</v>
      </c>
      <c r="B49" s="2">
        <f>+B42</f>
        <v>1071</v>
      </c>
      <c r="C49" s="228">
        <v>0.1406</v>
      </c>
      <c r="D49" s="10">
        <f>ROUND(B49*C49,0)</f>
        <v>151</v>
      </c>
      <c r="E49" s="2"/>
      <c r="F49" s="2"/>
      <c r="G49" s="2"/>
      <c r="H49" s="2"/>
      <c r="I49" s="2"/>
      <c r="J49" s="2"/>
    </row>
    <row r="50" spans="1:10" hidden="1" x14ac:dyDescent="0.2">
      <c r="A50" s="220" t="s">
        <v>1086</v>
      </c>
      <c r="B50" s="2"/>
      <c r="D50" s="2">
        <f>SUM(D46:D49)</f>
        <v>42584</v>
      </c>
      <c r="E50" s="2"/>
      <c r="F50" s="2"/>
      <c r="G50" s="2"/>
      <c r="H50" s="2"/>
      <c r="I50" s="2"/>
      <c r="J50" s="2"/>
    </row>
    <row r="51" spans="1:10" x14ac:dyDescent="0.2">
      <c r="D51" s="2"/>
      <c r="E51" s="2"/>
      <c r="F51" s="2"/>
      <c r="G51" s="2"/>
      <c r="H51" s="2"/>
      <c r="I51" s="2"/>
      <c r="J51" s="2"/>
    </row>
    <row r="52" spans="1:10" ht="13.5" x14ac:dyDescent="0.25">
      <c r="A52" s="225" t="s">
        <v>1269</v>
      </c>
      <c r="D52" s="2"/>
      <c r="E52" s="2">
        <v>107443</v>
      </c>
      <c r="F52" s="2">
        <v>117450</v>
      </c>
      <c r="G52" s="2">
        <v>125250</v>
      </c>
      <c r="H52" s="2">
        <v>118500</v>
      </c>
      <c r="I52" s="2">
        <v>118500</v>
      </c>
      <c r="J52" s="2">
        <v>118500</v>
      </c>
    </row>
    <row r="53" spans="1:10" x14ac:dyDescent="0.2">
      <c r="A53" s="220" t="s">
        <v>369</v>
      </c>
      <c r="B53" s="2">
        <v>6</v>
      </c>
      <c r="C53" s="2">
        <v>19750</v>
      </c>
      <c r="D53" s="2">
        <f>ROUND(B53*C53,0)</f>
        <v>118500</v>
      </c>
      <c r="E53" s="2"/>
      <c r="F53" s="2"/>
      <c r="G53" s="2"/>
      <c r="H53" s="2"/>
      <c r="I53" s="2"/>
      <c r="J53" s="2"/>
    </row>
    <row r="54" spans="1:10" x14ac:dyDescent="0.2">
      <c r="D54" s="2"/>
      <c r="E54" s="2"/>
      <c r="F54" s="2"/>
      <c r="G54" s="2"/>
      <c r="H54" s="2"/>
      <c r="I54" s="2"/>
      <c r="J54" s="2"/>
    </row>
    <row r="55" spans="1:10" ht="13.5" x14ac:dyDescent="0.25">
      <c r="A55" s="225" t="s">
        <v>1270</v>
      </c>
      <c r="D55" s="2"/>
      <c r="E55" s="2">
        <v>6464</v>
      </c>
      <c r="F55" s="2">
        <v>7560</v>
      </c>
      <c r="G55" s="2">
        <v>7560</v>
      </c>
      <c r="H55" s="2">
        <v>7560</v>
      </c>
      <c r="I55" s="2">
        <v>7560</v>
      </c>
      <c r="J55" s="2">
        <v>7560</v>
      </c>
    </row>
    <row r="56" spans="1:10" x14ac:dyDescent="0.2">
      <c r="A56" s="220" t="s">
        <v>369</v>
      </c>
      <c r="B56" s="2">
        <v>6</v>
      </c>
      <c r="C56" s="2">
        <v>1400</v>
      </c>
      <c r="D56" s="2">
        <f>ROUND(B56*C56,0)</f>
        <v>8400</v>
      </c>
      <c r="E56" s="2"/>
      <c r="F56" s="2"/>
      <c r="G56" s="2"/>
      <c r="H56" s="2"/>
      <c r="I56" s="2"/>
      <c r="J56" s="2"/>
    </row>
    <row r="57" spans="1:10" ht="15" x14ac:dyDescent="0.35">
      <c r="A57" s="220" t="s">
        <v>201</v>
      </c>
      <c r="B57" s="2"/>
      <c r="C57" s="2"/>
      <c r="D57" s="10">
        <f>+C56*-0.1*B56</f>
        <v>-840</v>
      </c>
      <c r="E57" s="2"/>
      <c r="F57" s="2"/>
      <c r="G57" s="2"/>
      <c r="H57" s="2"/>
      <c r="I57" s="2"/>
      <c r="J57" s="2"/>
    </row>
    <row r="58" spans="1:10" x14ac:dyDescent="0.2">
      <c r="A58" s="220" t="s">
        <v>690</v>
      </c>
      <c r="B58" s="2"/>
      <c r="C58" s="2"/>
      <c r="D58" s="2">
        <f>SUM(D56:D57)</f>
        <v>7560</v>
      </c>
      <c r="E58" s="2"/>
      <c r="F58" s="2"/>
      <c r="G58" s="2"/>
      <c r="H58" s="2"/>
      <c r="I58" s="2"/>
      <c r="J58" s="2"/>
    </row>
    <row r="59" spans="1:10" x14ac:dyDescent="0.2">
      <c r="B59" s="2"/>
      <c r="C59" s="2"/>
      <c r="D59" s="2"/>
      <c r="E59" s="2"/>
      <c r="F59" s="2"/>
      <c r="G59" s="2"/>
      <c r="H59" s="2"/>
      <c r="I59" s="2"/>
      <c r="J59" s="2"/>
    </row>
    <row r="60" spans="1:10" ht="13.5" x14ac:dyDescent="0.25">
      <c r="A60" s="225" t="s">
        <v>933</v>
      </c>
      <c r="D60" s="2"/>
      <c r="E60" s="2">
        <v>618</v>
      </c>
      <c r="F60" s="2">
        <v>810</v>
      </c>
      <c r="G60" s="2">
        <v>810</v>
      </c>
      <c r="H60" s="2">
        <v>810</v>
      </c>
      <c r="I60" s="2">
        <v>810</v>
      </c>
      <c r="J60" s="2">
        <v>810</v>
      </c>
    </row>
    <row r="61" spans="1:10" hidden="1" x14ac:dyDescent="0.2">
      <c r="A61" s="220" t="s">
        <v>369</v>
      </c>
      <c r="B61" s="2">
        <v>6</v>
      </c>
      <c r="C61" s="2">
        <v>135</v>
      </c>
      <c r="D61" s="2">
        <f>ROUND(B61*C61,0)</f>
        <v>810</v>
      </c>
      <c r="E61" s="2"/>
      <c r="F61" s="2"/>
      <c r="G61" s="2"/>
      <c r="H61" s="2"/>
      <c r="I61" s="2"/>
      <c r="J61" s="2"/>
    </row>
    <row r="62" spans="1:10" x14ac:dyDescent="0.2">
      <c r="D62" s="2"/>
      <c r="E62" s="2"/>
      <c r="F62" s="2"/>
      <c r="G62" s="2"/>
      <c r="H62" s="2"/>
      <c r="I62" s="2"/>
      <c r="J62" s="2"/>
    </row>
    <row r="63" spans="1:10" ht="13.5" x14ac:dyDescent="0.25">
      <c r="A63" s="225" t="s">
        <v>934</v>
      </c>
      <c r="D63" s="2"/>
      <c r="E63" s="2">
        <v>3123</v>
      </c>
      <c r="F63" s="2">
        <v>3750</v>
      </c>
      <c r="G63" s="2">
        <v>3300</v>
      </c>
      <c r="H63" s="2">
        <v>3300</v>
      </c>
      <c r="I63" s="2">
        <v>3300</v>
      </c>
      <c r="J63" s="2">
        <v>3300</v>
      </c>
    </row>
    <row r="64" spans="1:10" hidden="1" x14ac:dyDescent="0.2">
      <c r="A64" s="220" t="s">
        <v>369</v>
      </c>
      <c r="B64" s="2">
        <v>6</v>
      </c>
      <c r="C64" s="2">
        <v>550</v>
      </c>
      <c r="D64" s="2">
        <f>ROUND(B64*C64,0)</f>
        <v>3300</v>
      </c>
      <c r="E64" s="2"/>
      <c r="F64" s="2"/>
      <c r="G64" s="2"/>
      <c r="H64" s="2"/>
      <c r="I64" s="2"/>
      <c r="J64" s="2"/>
    </row>
    <row r="65" spans="1:10" x14ac:dyDescent="0.2">
      <c r="D65" s="2"/>
      <c r="E65" s="2"/>
      <c r="F65" s="2"/>
      <c r="G65" s="2"/>
      <c r="H65" s="2"/>
      <c r="I65" s="2"/>
      <c r="J65" s="2"/>
    </row>
    <row r="66" spans="1:10" ht="13.5" x14ac:dyDescent="0.25">
      <c r="A66" s="225" t="s">
        <v>490</v>
      </c>
      <c r="D66" s="2"/>
      <c r="E66" s="2">
        <v>362</v>
      </c>
      <c r="F66" s="2">
        <v>542</v>
      </c>
      <c r="G66" s="2">
        <v>546</v>
      </c>
      <c r="H66" s="2">
        <v>546</v>
      </c>
      <c r="I66" s="2">
        <v>552</v>
      </c>
      <c r="J66" s="2">
        <v>552</v>
      </c>
    </row>
    <row r="67" spans="1:10" hidden="1" x14ac:dyDescent="0.2">
      <c r="A67" s="12" t="s">
        <v>156</v>
      </c>
      <c r="B67" s="2">
        <f>+D10</f>
        <v>85104</v>
      </c>
      <c r="C67" s="13">
        <v>1.6999999999999999E-3</v>
      </c>
      <c r="D67" s="2">
        <f>ROUND(B67*C67,0)</f>
        <v>145</v>
      </c>
      <c r="E67" s="2"/>
      <c r="F67" s="2"/>
      <c r="G67" s="2"/>
      <c r="H67" s="2"/>
      <c r="I67" s="2"/>
      <c r="J67" s="2"/>
    </row>
    <row r="68" spans="1:10" hidden="1" x14ac:dyDescent="0.2">
      <c r="A68" s="12" t="s">
        <v>770</v>
      </c>
      <c r="B68" s="2">
        <f>+B47</f>
        <v>150801</v>
      </c>
      <c r="C68" s="13">
        <v>1.6999999999999999E-3</v>
      </c>
      <c r="D68" s="2">
        <f>ROUND(B68*C68,0)-3</f>
        <v>253</v>
      </c>
      <c r="E68" s="2"/>
      <c r="F68" s="2"/>
      <c r="G68" s="2"/>
      <c r="H68" s="2"/>
      <c r="I68" s="2"/>
      <c r="J68" s="2"/>
    </row>
    <row r="69" spans="1:10" hidden="1" x14ac:dyDescent="0.2">
      <c r="A69" s="12" t="s">
        <v>1290</v>
      </c>
      <c r="B69" s="2">
        <f>+B48</f>
        <v>65886</v>
      </c>
      <c r="C69" s="13">
        <v>1.6999999999999999E-3</v>
      </c>
      <c r="D69" s="2">
        <f>ROUND(B69*C69,0)</f>
        <v>112</v>
      </c>
      <c r="E69" s="2"/>
      <c r="F69" s="2"/>
      <c r="G69" s="2"/>
      <c r="H69" s="2"/>
      <c r="I69" s="2"/>
      <c r="J69" s="2"/>
    </row>
    <row r="70" spans="1:10" hidden="1" x14ac:dyDescent="0.2">
      <c r="A70" s="12" t="s">
        <v>158</v>
      </c>
      <c r="B70" s="2">
        <f>+B41</f>
        <v>23588</v>
      </c>
      <c r="C70" s="13">
        <v>1.6999999999999999E-3</v>
      </c>
      <c r="D70" s="2">
        <f>ROUND(B70*C70,0)</f>
        <v>40</v>
      </c>
      <c r="E70" s="2"/>
      <c r="F70" s="2"/>
      <c r="G70" s="2"/>
      <c r="H70" s="2"/>
      <c r="I70" s="2"/>
      <c r="J70" s="2"/>
    </row>
    <row r="71" spans="1:10" ht="15" hidden="1" x14ac:dyDescent="0.35">
      <c r="A71" s="12" t="s">
        <v>1670</v>
      </c>
      <c r="B71" s="2">
        <f>+B42</f>
        <v>1071</v>
      </c>
      <c r="C71" s="13">
        <v>1.6999999999999999E-3</v>
      </c>
      <c r="D71" s="10">
        <f>ROUND(B71*C71,0)</f>
        <v>2</v>
      </c>
      <c r="E71" s="2"/>
      <c r="F71" s="2"/>
      <c r="G71" s="2"/>
      <c r="H71" s="2"/>
      <c r="I71" s="2"/>
      <c r="J71" s="2"/>
    </row>
    <row r="72" spans="1:10" hidden="1" x14ac:dyDescent="0.2">
      <c r="A72" s="220" t="s">
        <v>1086</v>
      </c>
      <c r="D72" s="2">
        <f>SUM(D67:D71)</f>
        <v>552</v>
      </c>
      <c r="E72" s="2"/>
      <c r="F72" s="2"/>
      <c r="G72" s="2"/>
      <c r="H72" s="2"/>
      <c r="I72" s="2"/>
      <c r="J72" s="2"/>
    </row>
    <row r="73" spans="1:10" x14ac:dyDescent="0.2">
      <c r="D73" s="2"/>
      <c r="E73" s="2"/>
      <c r="F73" s="2"/>
      <c r="G73" s="2"/>
      <c r="H73" s="2"/>
      <c r="I73" s="2"/>
      <c r="J73" s="2"/>
    </row>
    <row r="74" spans="1:10" ht="13.5" x14ac:dyDescent="0.25">
      <c r="A74" s="225" t="s">
        <v>1321</v>
      </c>
      <c r="D74" s="2"/>
      <c r="E74" s="2">
        <v>104</v>
      </c>
      <c r="F74" s="2">
        <v>150</v>
      </c>
      <c r="G74" s="2">
        <v>143</v>
      </c>
      <c r="H74" s="2">
        <v>143</v>
      </c>
      <c r="I74" s="2">
        <v>143</v>
      </c>
      <c r="J74" s="2">
        <v>143</v>
      </c>
    </row>
    <row r="75" spans="1:10" hidden="1" x14ac:dyDescent="0.2">
      <c r="A75" s="12" t="s">
        <v>1757</v>
      </c>
      <c r="B75" s="2">
        <v>0</v>
      </c>
      <c r="C75" s="2">
        <v>20</v>
      </c>
      <c r="D75" s="2">
        <f>ROUND(B75*C75,0)</f>
        <v>0</v>
      </c>
      <c r="E75" s="2"/>
      <c r="F75" s="2"/>
      <c r="G75" s="2"/>
      <c r="H75" s="2"/>
      <c r="I75" s="2"/>
      <c r="J75" s="2"/>
    </row>
    <row r="76" spans="1:10" hidden="1" x14ac:dyDescent="0.2">
      <c r="A76" s="12" t="s">
        <v>770</v>
      </c>
      <c r="B76" s="2">
        <v>5</v>
      </c>
      <c r="C76" s="2">
        <v>20</v>
      </c>
      <c r="D76" s="2">
        <f>ROUND(B76*C76,0)</f>
        <v>100</v>
      </c>
      <c r="E76" s="2"/>
      <c r="F76" s="2"/>
      <c r="G76" s="2"/>
      <c r="H76" s="2"/>
      <c r="I76" s="2"/>
      <c r="J76" s="2"/>
    </row>
    <row r="77" spans="1:10" hidden="1" x14ac:dyDescent="0.2">
      <c r="A77" s="12" t="s">
        <v>1290</v>
      </c>
      <c r="B77" s="2">
        <v>1</v>
      </c>
      <c r="C77" s="2">
        <v>20</v>
      </c>
      <c r="D77" s="2">
        <f>ROUND(B77*C77,0)</f>
        <v>20</v>
      </c>
      <c r="E77" s="2"/>
      <c r="F77" s="2"/>
      <c r="G77" s="2"/>
      <c r="H77" s="2"/>
      <c r="I77" s="2"/>
      <c r="J77" s="2"/>
    </row>
    <row r="78" spans="1:10" hidden="1" x14ac:dyDescent="0.2">
      <c r="A78" s="12" t="s">
        <v>1758</v>
      </c>
      <c r="B78" s="2">
        <f>+D30+D31</f>
        <v>2172</v>
      </c>
      <c r="C78" s="13">
        <v>1.4E-3</v>
      </c>
      <c r="D78" s="2">
        <f>ROUND(B78*C78,0)</f>
        <v>3</v>
      </c>
      <c r="E78" s="2"/>
      <c r="F78" s="2"/>
      <c r="G78" s="2"/>
      <c r="H78" s="2"/>
      <c r="I78" s="2"/>
      <c r="J78" s="2"/>
    </row>
    <row r="79" spans="1:10" hidden="1" x14ac:dyDescent="0.2">
      <c r="A79" s="12" t="s">
        <v>158</v>
      </c>
      <c r="B79" s="2">
        <v>1</v>
      </c>
      <c r="C79" s="2">
        <v>20</v>
      </c>
      <c r="D79" s="17">
        <f>ROUND(B79*C79,0)</f>
        <v>20</v>
      </c>
      <c r="E79" s="2"/>
      <c r="F79" s="2"/>
      <c r="G79" s="2"/>
      <c r="H79" s="2"/>
      <c r="I79" s="2"/>
      <c r="J79" s="2"/>
    </row>
    <row r="80" spans="1:10" hidden="1" x14ac:dyDescent="0.2">
      <c r="A80" s="220" t="s">
        <v>1086</v>
      </c>
      <c r="D80" s="2">
        <f>SUM(D75:D79)</f>
        <v>143</v>
      </c>
      <c r="E80" s="2"/>
      <c r="F80" s="2"/>
      <c r="G80" s="2"/>
      <c r="H80" s="2"/>
      <c r="I80" s="2"/>
      <c r="J80" s="2"/>
    </row>
    <row r="81" spans="1:10" x14ac:dyDescent="0.2">
      <c r="D81" s="2"/>
      <c r="E81" s="2"/>
      <c r="F81" s="2"/>
      <c r="G81" s="2"/>
      <c r="H81" s="2"/>
      <c r="I81" s="2"/>
      <c r="J81" s="2"/>
    </row>
    <row r="82" spans="1:10" x14ac:dyDescent="0.2">
      <c r="D82" s="2"/>
      <c r="E82" s="2"/>
      <c r="F82" s="2"/>
      <c r="G82" s="2"/>
      <c r="H82" s="2"/>
      <c r="I82" s="2"/>
      <c r="J82" s="2"/>
    </row>
    <row r="83" spans="1:10" ht="13.5" x14ac:dyDescent="0.25">
      <c r="A83" s="225" t="s">
        <v>325</v>
      </c>
      <c r="D83" s="2"/>
      <c r="E83" s="2">
        <v>7334</v>
      </c>
      <c r="F83" s="2">
        <v>6787</v>
      </c>
      <c r="G83" s="2">
        <v>6811</v>
      </c>
      <c r="H83" s="2">
        <v>6811</v>
      </c>
      <c r="I83" s="2">
        <v>6811</v>
      </c>
      <c r="J83" s="2">
        <v>6811</v>
      </c>
    </row>
    <row r="84" spans="1:10" x14ac:dyDescent="0.2">
      <c r="A84" s="220" t="s">
        <v>326</v>
      </c>
      <c r="C84" s="2"/>
      <c r="D84" s="2">
        <v>150</v>
      </c>
      <c r="E84" s="2"/>
      <c r="F84" s="2"/>
      <c r="G84" s="2"/>
      <c r="H84" s="2"/>
      <c r="I84" s="2"/>
      <c r="J84" s="2"/>
    </row>
    <row r="85" spans="1:10" x14ac:dyDescent="0.2">
      <c r="A85" s="220" t="s">
        <v>612</v>
      </c>
      <c r="C85" s="2"/>
      <c r="D85" s="2">
        <v>500</v>
      </c>
      <c r="E85" s="2"/>
      <c r="F85" s="2"/>
      <c r="G85" s="2"/>
      <c r="H85" s="2"/>
      <c r="I85" s="2"/>
      <c r="J85" s="2"/>
    </row>
    <row r="86" spans="1:10" x14ac:dyDescent="0.2">
      <c r="A86" s="220" t="s">
        <v>1305</v>
      </c>
      <c r="C86" s="2"/>
      <c r="D86" s="2">
        <v>2745</v>
      </c>
      <c r="E86" s="2"/>
      <c r="F86" s="2"/>
      <c r="G86" s="2"/>
      <c r="H86" s="2"/>
      <c r="I86" s="2"/>
      <c r="J86" s="2"/>
    </row>
    <row r="87" spans="1:10" x14ac:dyDescent="0.2">
      <c r="A87" s="220" t="s">
        <v>327</v>
      </c>
      <c r="C87" s="2"/>
      <c r="D87" s="2">
        <v>2411</v>
      </c>
      <c r="E87" s="2"/>
      <c r="F87" s="2"/>
      <c r="G87" s="2"/>
      <c r="H87" s="2"/>
      <c r="I87" s="2"/>
      <c r="J87" s="2"/>
    </row>
    <row r="88" spans="1:10" x14ac:dyDescent="0.2">
      <c r="A88" s="220" t="s">
        <v>230</v>
      </c>
      <c r="C88" s="2"/>
      <c r="D88" s="2">
        <v>250</v>
      </c>
      <c r="E88" s="2"/>
      <c r="F88" s="2"/>
      <c r="G88" s="2"/>
      <c r="H88" s="2"/>
      <c r="I88" s="2"/>
      <c r="J88" s="2"/>
    </row>
    <row r="89" spans="1:10" ht="15" x14ac:dyDescent="0.35">
      <c r="A89" s="220" t="s">
        <v>911</v>
      </c>
      <c r="C89" s="10"/>
      <c r="D89" s="10">
        <v>755</v>
      </c>
      <c r="E89" s="2"/>
      <c r="F89" s="2"/>
      <c r="G89" s="2"/>
      <c r="H89" s="2"/>
      <c r="I89" s="2"/>
      <c r="J89" s="2"/>
    </row>
    <row r="90" spans="1:10" x14ac:dyDescent="0.2">
      <c r="A90" s="220" t="s">
        <v>1086</v>
      </c>
      <c r="C90" s="2"/>
      <c r="D90" s="2">
        <f>SUM(D84:D89)</f>
        <v>6811</v>
      </c>
      <c r="E90" s="2"/>
      <c r="F90" s="2"/>
      <c r="G90" s="2"/>
      <c r="H90" s="2"/>
      <c r="I90" s="2"/>
      <c r="J90" s="2"/>
    </row>
    <row r="91" spans="1:10" x14ac:dyDescent="0.2">
      <c r="C91" s="2"/>
      <c r="D91" s="2"/>
      <c r="E91" s="2"/>
      <c r="F91" s="2"/>
      <c r="G91" s="2"/>
      <c r="H91" s="2"/>
      <c r="I91" s="2"/>
      <c r="J91" s="2"/>
    </row>
    <row r="92" spans="1:10" ht="13.5" x14ac:dyDescent="0.25">
      <c r="A92" s="225" t="s">
        <v>328</v>
      </c>
      <c r="C92" s="2"/>
      <c r="D92" s="2"/>
      <c r="E92" s="2">
        <v>5425</v>
      </c>
      <c r="F92" s="220">
        <v>3200</v>
      </c>
      <c r="G92" s="2">
        <v>3200</v>
      </c>
      <c r="H92" s="2">
        <v>3200</v>
      </c>
      <c r="I92" s="2">
        <v>3200</v>
      </c>
      <c r="J92" s="2">
        <v>3200</v>
      </c>
    </row>
    <row r="93" spans="1:10" x14ac:dyDescent="0.2">
      <c r="A93" s="220" t="s">
        <v>329</v>
      </c>
      <c r="C93" s="2"/>
      <c r="D93" s="2">
        <v>3200</v>
      </c>
      <c r="E93" s="2"/>
      <c r="F93" s="2"/>
      <c r="G93" s="2"/>
      <c r="H93" s="2"/>
      <c r="I93" s="2"/>
      <c r="J93" s="2"/>
    </row>
    <row r="94" spans="1:10" x14ac:dyDescent="0.2">
      <c r="C94" s="2"/>
      <c r="D94" s="2"/>
      <c r="E94" s="2"/>
      <c r="F94" s="2"/>
      <c r="G94" s="2"/>
      <c r="H94" s="2"/>
      <c r="I94" s="2"/>
      <c r="J94" s="2"/>
    </row>
    <row r="95" spans="1:10" ht="13.5" x14ac:dyDescent="0.25">
      <c r="A95" s="225" t="s">
        <v>330</v>
      </c>
      <c r="C95" s="2"/>
      <c r="D95" s="2"/>
      <c r="E95" s="2">
        <v>33125</v>
      </c>
      <c r="F95" s="2">
        <v>28500</v>
      </c>
      <c r="G95" s="2">
        <v>30000</v>
      </c>
      <c r="H95" s="2">
        <v>30000</v>
      </c>
      <c r="I95" s="2">
        <v>30000</v>
      </c>
      <c r="J95" s="2">
        <v>30000</v>
      </c>
    </row>
    <row r="96" spans="1:10" x14ac:dyDescent="0.2">
      <c r="A96" s="22" t="s">
        <v>927</v>
      </c>
      <c r="B96" s="5"/>
      <c r="C96" s="2"/>
      <c r="D96" s="2" t="s">
        <v>349</v>
      </c>
      <c r="E96" s="2"/>
      <c r="F96" s="2"/>
      <c r="G96" s="2"/>
      <c r="H96" s="2"/>
      <c r="I96" s="2"/>
      <c r="J96" s="2"/>
    </row>
    <row r="97" spans="1:10" x14ac:dyDescent="0.2">
      <c r="A97" s="220" t="s">
        <v>928</v>
      </c>
      <c r="B97" s="2"/>
      <c r="C97" s="2"/>
      <c r="D97" s="2">
        <v>30000</v>
      </c>
      <c r="E97" s="2"/>
      <c r="F97" s="2"/>
      <c r="G97" s="2"/>
      <c r="H97" s="2"/>
      <c r="I97" s="2"/>
      <c r="J97" s="2"/>
    </row>
    <row r="98" spans="1:10" x14ac:dyDescent="0.2">
      <c r="C98" s="2"/>
      <c r="D98" s="2"/>
      <c r="E98" s="2"/>
      <c r="F98" s="2"/>
      <c r="G98" s="2"/>
      <c r="H98" s="2"/>
      <c r="I98" s="2"/>
      <c r="J98" s="2"/>
    </row>
    <row r="99" spans="1:10" ht="13.5" x14ac:dyDescent="0.25">
      <c r="A99" s="225" t="s">
        <v>850</v>
      </c>
      <c r="B99" s="2"/>
      <c r="C99" s="7"/>
      <c r="D99" s="7" t="s">
        <v>349</v>
      </c>
      <c r="E99" s="2">
        <v>1972</v>
      </c>
      <c r="F99" s="2">
        <v>1800</v>
      </c>
      <c r="G99" s="2">
        <v>2000</v>
      </c>
      <c r="H99" s="2">
        <v>2000</v>
      </c>
      <c r="I99" s="2">
        <v>2000</v>
      </c>
      <c r="J99" s="2">
        <v>2000</v>
      </c>
    </row>
    <row r="100" spans="1:10" x14ac:dyDescent="0.2">
      <c r="A100" s="220" t="s">
        <v>820</v>
      </c>
      <c r="B100" s="2"/>
      <c r="C100" s="2"/>
      <c r="D100" s="2">
        <v>2000</v>
      </c>
      <c r="E100" s="2"/>
      <c r="F100" s="2"/>
      <c r="G100" s="2"/>
      <c r="H100" s="2"/>
      <c r="I100" s="2"/>
      <c r="J100" s="2"/>
    </row>
    <row r="101" spans="1:10" x14ac:dyDescent="0.2">
      <c r="B101" s="2"/>
      <c r="C101" s="2"/>
      <c r="D101" s="2"/>
      <c r="E101" s="2"/>
      <c r="F101" s="2"/>
      <c r="G101" s="2"/>
      <c r="H101" s="2"/>
      <c r="I101" s="2"/>
      <c r="J101" s="2"/>
    </row>
    <row r="102" spans="1:10" ht="13.5" x14ac:dyDescent="0.25">
      <c r="A102" s="225" t="s">
        <v>851</v>
      </c>
      <c r="C102" s="2"/>
      <c r="D102" s="2"/>
      <c r="E102" s="2">
        <v>270</v>
      </c>
      <c r="F102" s="2">
        <v>310</v>
      </c>
      <c r="G102" s="2">
        <v>300</v>
      </c>
      <c r="H102" s="2">
        <v>300</v>
      </c>
      <c r="I102" s="2">
        <v>300</v>
      </c>
      <c r="J102" s="2">
        <v>300</v>
      </c>
    </row>
    <row r="103" spans="1:10" x14ac:dyDescent="0.2">
      <c r="A103" s="5" t="s">
        <v>1101</v>
      </c>
      <c r="B103" s="5"/>
      <c r="D103" s="2">
        <v>300</v>
      </c>
      <c r="E103" s="2"/>
      <c r="F103" s="2"/>
      <c r="G103" s="2"/>
      <c r="H103" s="2"/>
      <c r="I103" s="2"/>
      <c r="J103" s="2"/>
    </row>
    <row r="104" spans="1:10" x14ac:dyDescent="0.2">
      <c r="C104" s="2"/>
      <c r="D104" s="2"/>
      <c r="E104" s="2"/>
      <c r="F104" s="2"/>
      <c r="G104" s="2"/>
      <c r="H104" s="2"/>
      <c r="I104" s="2"/>
      <c r="J104" s="2"/>
    </row>
    <row r="105" spans="1:10" ht="13.5" x14ac:dyDescent="0.25">
      <c r="A105" s="16" t="s">
        <v>1152</v>
      </c>
      <c r="C105" s="2"/>
      <c r="D105" s="2"/>
      <c r="E105" s="2">
        <v>2694</v>
      </c>
      <c r="F105" s="2">
        <v>2703</v>
      </c>
      <c r="G105" s="2">
        <v>2892</v>
      </c>
      <c r="H105" s="2">
        <v>2892</v>
      </c>
      <c r="I105" s="2">
        <v>2892</v>
      </c>
      <c r="J105" s="2">
        <v>2892</v>
      </c>
    </row>
    <row r="106" spans="1:10" x14ac:dyDescent="0.2">
      <c r="A106" s="220" t="s">
        <v>1153</v>
      </c>
      <c r="D106" s="220">
        <v>2892</v>
      </c>
      <c r="E106" s="2"/>
      <c r="F106" s="2"/>
      <c r="G106" s="2"/>
      <c r="H106" s="2"/>
      <c r="I106" s="2"/>
      <c r="J106" s="2"/>
    </row>
    <row r="107" spans="1:10" x14ac:dyDescent="0.2">
      <c r="C107" s="2"/>
      <c r="D107" s="2"/>
      <c r="E107" s="2"/>
      <c r="F107" s="2"/>
      <c r="G107" s="2"/>
      <c r="H107" s="2"/>
      <c r="I107" s="2"/>
      <c r="J107" s="2"/>
    </row>
    <row r="108" spans="1:10" ht="13.5" x14ac:dyDescent="0.25">
      <c r="A108" s="225" t="s">
        <v>918</v>
      </c>
      <c r="C108" s="7"/>
      <c r="D108" s="7"/>
      <c r="E108" s="2">
        <v>421</v>
      </c>
      <c r="F108" s="2">
        <v>675</v>
      </c>
      <c r="G108" s="2">
        <v>675</v>
      </c>
      <c r="H108" s="2">
        <v>675</v>
      </c>
      <c r="I108" s="2">
        <v>675</v>
      </c>
      <c r="J108" s="2">
        <v>675</v>
      </c>
    </row>
    <row r="109" spans="1:10" x14ac:dyDescent="0.2">
      <c r="A109" s="220" t="s">
        <v>1081</v>
      </c>
      <c r="C109" s="2"/>
      <c r="D109" s="2">
        <v>0</v>
      </c>
      <c r="E109" s="2"/>
      <c r="F109" s="2"/>
      <c r="G109" s="2"/>
      <c r="H109" s="2"/>
      <c r="I109" s="2"/>
      <c r="J109" s="2"/>
    </row>
    <row r="110" spans="1:10" x14ac:dyDescent="0.2">
      <c r="A110" s="220" t="s">
        <v>726</v>
      </c>
      <c r="C110" s="2"/>
      <c r="D110" s="2">
        <v>125</v>
      </c>
      <c r="E110" s="2"/>
      <c r="F110" s="2"/>
      <c r="G110" s="2"/>
      <c r="H110" s="2"/>
      <c r="I110" s="2"/>
      <c r="J110" s="2"/>
    </row>
    <row r="111" spans="1:10" x14ac:dyDescent="0.2">
      <c r="A111" s="220" t="s">
        <v>727</v>
      </c>
      <c r="C111" s="2"/>
      <c r="D111" s="2">
        <v>125</v>
      </c>
      <c r="E111" s="2"/>
      <c r="F111" s="2"/>
      <c r="G111" s="2"/>
      <c r="H111" s="2"/>
      <c r="I111" s="2"/>
      <c r="J111" s="2"/>
    </row>
    <row r="112" spans="1:10" x14ac:dyDescent="0.2">
      <c r="A112" s="220" t="s">
        <v>728</v>
      </c>
      <c r="C112" s="2"/>
      <c r="D112" s="2">
        <v>50</v>
      </c>
      <c r="E112" s="2"/>
      <c r="F112" s="2"/>
      <c r="G112" s="2"/>
      <c r="H112" s="2"/>
      <c r="I112" s="2"/>
      <c r="J112" s="2"/>
    </row>
    <row r="113" spans="1:10" x14ac:dyDescent="0.2">
      <c r="A113" s="220" t="s">
        <v>729</v>
      </c>
      <c r="C113" s="2"/>
      <c r="D113" s="2">
        <v>150</v>
      </c>
      <c r="E113" s="2"/>
      <c r="F113" s="2"/>
      <c r="G113" s="2"/>
      <c r="H113" s="2"/>
      <c r="I113" s="2"/>
      <c r="J113" s="2"/>
    </row>
    <row r="114" spans="1:10" x14ac:dyDescent="0.2">
      <c r="A114" s="220" t="s">
        <v>1391</v>
      </c>
      <c r="C114" s="2"/>
      <c r="D114" s="2">
        <v>125</v>
      </c>
      <c r="E114" s="2"/>
      <c r="F114" s="2"/>
      <c r="G114" s="2"/>
      <c r="H114" s="2"/>
      <c r="I114" s="2"/>
      <c r="J114" s="2"/>
    </row>
    <row r="115" spans="1:10" ht="15" x14ac:dyDescent="0.35">
      <c r="A115" s="220" t="s">
        <v>730</v>
      </c>
      <c r="C115" s="10"/>
      <c r="D115" s="10">
        <v>100</v>
      </c>
      <c r="E115" s="2"/>
      <c r="F115" s="2"/>
      <c r="G115" s="2"/>
      <c r="H115" s="2"/>
      <c r="I115" s="2"/>
      <c r="J115" s="2"/>
    </row>
    <row r="116" spans="1:10" x14ac:dyDescent="0.2">
      <c r="A116" s="220" t="s">
        <v>1086</v>
      </c>
      <c r="C116" s="2"/>
      <c r="D116" s="2">
        <f>SUM(D109:D115)</f>
        <v>675</v>
      </c>
      <c r="E116" s="2"/>
      <c r="F116" s="2"/>
      <c r="G116" s="2"/>
      <c r="H116" s="2"/>
      <c r="I116" s="2"/>
      <c r="J116" s="2"/>
    </row>
    <row r="117" spans="1:10" x14ac:dyDescent="0.2">
      <c r="C117" s="2"/>
      <c r="D117" s="2"/>
      <c r="E117" s="2"/>
      <c r="F117" s="2"/>
      <c r="G117" s="2"/>
      <c r="H117" s="2"/>
      <c r="I117" s="2"/>
      <c r="J117" s="2"/>
    </row>
    <row r="118" spans="1:10" ht="13.5" x14ac:dyDescent="0.25">
      <c r="A118" s="225" t="s">
        <v>412</v>
      </c>
      <c r="C118" s="2"/>
      <c r="D118" s="2"/>
      <c r="E118" s="2">
        <v>14400</v>
      </c>
      <c r="F118" s="2">
        <v>14913</v>
      </c>
      <c r="G118" s="2">
        <v>15047</v>
      </c>
      <c r="H118" s="2">
        <v>15047</v>
      </c>
      <c r="I118" s="2">
        <v>15047</v>
      </c>
      <c r="J118" s="2">
        <v>15047</v>
      </c>
    </row>
    <row r="119" spans="1:10" x14ac:dyDescent="0.2">
      <c r="A119" s="220" t="s">
        <v>72</v>
      </c>
      <c r="D119" s="2">
        <v>6974</v>
      </c>
      <c r="E119" s="2"/>
      <c r="F119" s="2"/>
      <c r="G119" s="2"/>
      <c r="H119" s="2"/>
      <c r="I119" s="2"/>
      <c r="J119" s="2"/>
    </row>
    <row r="120" spans="1:10" x14ac:dyDescent="0.2">
      <c r="A120" s="220" t="s">
        <v>73</v>
      </c>
      <c r="D120" s="2">
        <v>6213</v>
      </c>
      <c r="E120" s="2"/>
      <c r="F120" s="2"/>
      <c r="G120" s="2"/>
      <c r="H120" s="2"/>
      <c r="I120" s="2"/>
      <c r="J120" s="2"/>
    </row>
    <row r="121" spans="1:10" x14ac:dyDescent="0.2">
      <c r="A121" s="220" t="s">
        <v>1781</v>
      </c>
      <c r="D121" s="2">
        <v>240</v>
      </c>
      <c r="E121" s="2"/>
      <c r="F121" s="2"/>
      <c r="G121" s="2"/>
      <c r="H121" s="2"/>
      <c r="I121" s="2"/>
      <c r="J121" s="2"/>
    </row>
    <row r="122" spans="1:10" x14ac:dyDescent="0.2">
      <c r="A122" s="220" t="s">
        <v>738</v>
      </c>
      <c r="D122" s="2">
        <v>870</v>
      </c>
      <c r="E122" s="2"/>
      <c r="F122" s="2"/>
      <c r="G122" s="2"/>
      <c r="H122" s="2"/>
      <c r="I122" s="2"/>
      <c r="J122" s="2"/>
    </row>
    <row r="123" spans="1:10" ht="15" x14ac:dyDescent="0.35">
      <c r="A123" s="220" t="s">
        <v>491</v>
      </c>
      <c r="D123" s="10">
        <v>750</v>
      </c>
      <c r="E123" s="2"/>
      <c r="F123" s="2"/>
      <c r="G123" s="2"/>
      <c r="H123" s="2"/>
      <c r="I123" s="2"/>
      <c r="J123" s="2"/>
    </row>
    <row r="124" spans="1:10" x14ac:dyDescent="0.2">
      <c r="A124" s="220" t="s">
        <v>1086</v>
      </c>
      <c r="D124" s="2">
        <f>SUM(D119:D123)</f>
        <v>15047</v>
      </c>
      <c r="E124" s="2"/>
      <c r="F124" s="2"/>
      <c r="G124" s="2"/>
      <c r="H124" s="2"/>
      <c r="I124" s="2"/>
      <c r="J124" s="2"/>
    </row>
    <row r="125" spans="1:10" x14ac:dyDescent="0.2">
      <c r="C125" s="2"/>
      <c r="D125" s="2"/>
      <c r="E125" s="2"/>
      <c r="F125" s="2"/>
      <c r="G125" s="2"/>
      <c r="H125" s="2"/>
      <c r="I125" s="2"/>
      <c r="J125" s="2"/>
    </row>
    <row r="126" spans="1:10" ht="13.5" x14ac:dyDescent="0.25">
      <c r="A126" s="225" t="s">
        <v>1274</v>
      </c>
      <c r="C126" s="2"/>
      <c r="D126" s="2"/>
      <c r="E126" s="2">
        <v>2110</v>
      </c>
      <c r="F126" s="2">
        <v>2605</v>
      </c>
      <c r="G126" s="2">
        <v>2605</v>
      </c>
      <c r="H126" s="2">
        <v>2605</v>
      </c>
      <c r="I126" s="2">
        <v>2605</v>
      </c>
      <c r="J126" s="2">
        <v>2605</v>
      </c>
    </row>
    <row r="127" spans="1:10" x14ac:dyDescent="0.2">
      <c r="A127" s="220" t="s">
        <v>726</v>
      </c>
      <c r="D127" s="2">
        <v>880</v>
      </c>
      <c r="E127" s="2"/>
      <c r="F127" s="2"/>
      <c r="G127" s="2"/>
      <c r="H127" s="2"/>
      <c r="I127" s="2"/>
      <c r="J127" s="2"/>
    </row>
    <row r="128" spans="1:10" x14ac:dyDescent="0.2">
      <c r="A128" s="220" t="s">
        <v>727</v>
      </c>
      <c r="D128" s="2">
        <v>880</v>
      </c>
      <c r="E128" s="2"/>
      <c r="F128" s="2"/>
      <c r="G128" s="2"/>
      <c r="H128" s="2"/>
      <c r="I128" s="2"/>
      <c r="J128" s="2"/>
    </row>
    <row r="129" spans="1:10" x14ac:dyDescent="0.2">
      <c r="A129" s="220" t="s">
        <v>584</v>
      </c>
      <c r="D129" s="2">
        <v>325</v>
      </c>
      <c r="E129" s="2"/>
      <c r="F129" s="2"/>
      <c r="G129" s="2"/>
      <c r="H129" s="2"/>
      <c r="I129" s="2"/>
      <c r="J129" s="2"/>
    </row>
    <row r="130" spans="1:10" x14ac:dyDescent="0.2">
      <c r="A130" s="220" t="s">
        <v>616</v>
      </c>
      <c r="D130" s="2">
        <v>120</v>
      </c>
      <c r="E130" s="2"/>
      <c r="F130" s="2"/>
      <c r="G130" s="2"/>
      <c r="H130" s="2"/>
      <c r="I130" s="2"/>
      <c r="J130" s="2"/>
    </row>
    <row r="131" spans="1:10" ht="15" x14ac:dyDescent="0.35">
      <c r="A131" s="220" t="s">
        <v>1694</v>
      </c>
      <c r="D131" s="10">
        <v>400</v>
      </c>
      <c r="E131" s="2"/>
      <c r="F131" s="2"/>
      <c r="G131" s="2"/>
      <c r="H131" s="2"/>
      <c r="I131" s="2"/>
      <c r="J131" s="2"/>
    </row>
    <row r="132" spans="1:10" x14ac:dyDescent="0.2">
      <c r="A132" s="220" t="s">
        <v>1086</v>
      </c>
      <c r="D132" s="2">
        <f>SUM(D127:D131)</f>
        <v>2605</v>
      </c>
      <c r="E132" s="2"/>
      <c r="F132" s="2"/>
      <c r="G132" s="2"/>
      <c r="H132" s="2"/>
      <c r="I132" s="2"/>
      <c r="J132" s="2"/>
    </row>
    <row r="133" spans="1:10" x14ac:dyDescent="0.2">
      <c r="C133" s="2"/>
      <c r="D133" s="2"/>
      <c r="E133" s="2"/>
      <c r="F133" s="2"/>
      <c r="G133" s="2"/>
      <c r="H133" s="2"/>
      <c r="I133" s="2"/>
      <c r="J133" s="2"/>
    </row>
    <row r="134" spans="1:10" ht="13.5" x14ac:dyDescent="0.25">
      <c r="A134" s="225" t="s">
        <v>1275</v>
      </c>
      <c r="C134" s="2"/>
      <c r="D134" s="2"/>
      <c r="E134" s="2">
        <v>7794</v>
      </c>
      <c r="F134" s="2">
        <v>9600</v>
      </c>
      <c r="G134" s="2">
        <v>9600</v>
      </c>
      <c r="H134" s="2">
        <v>9600</v>
      </c>
      <c r="I134" s="2">
        <v>9600</v>
      </c>
      <c r="J134" s="2">
        <v>9600</v>
      </c>
    </row>
    <row r="135" spans="1:10" x14ac:dyDescent="0.2">
      <c r="A135" s="220" t="s">
        <v>393</v>
      </c>
      <c r="C135" s="2" t="s">
        <v>349</v>
      </c>
      <c r="D135" s="2"/>
      <c r="E135" s="2"/>
      <c r="F135" s="2"/>
      <c r="G135" s="2"/>
      <c r="H135" s="2"/>
      <c r="I135" s="2"/>
      <c r="J135" s="2"/>
    </row>
    <row r="136" spans="1:10" x14ac:dyDescent="0.2">
      <c r="A136" s="220" t="s">
        <v>595</v>
      </c>
      <c r="D136" s="2">
        <v>9600</v>
      </c>
      <c r="E136" s="2"/>
      <c r="F136" s="2"/>
      <c r="G136" s="2"/>
      <c r="H136" s="2"/>
      <c r="I136" s="2"/>
      <c r="J136" s="2"/>
    </row>
    <row r="137" spans="1:10" x14ac:dyDescent="0.2">
      <c r="D137" s="2"/>
      <c r="E137" s="2"/>
      <c r="F137" s="2"/>
      <c r="G137" s="2"/>
      <c r="H137" s="2"/>
      <c r="I137" s="2"/>
      <c r="J137" s="2"/>
    </row>
    <row r="138" spans="1:10" ht="13.5" x14ac:dyDescent="0.25">
      <c r="A138" s="225" t="s">
        <v>596</v>
      </c>
      <c r="D138" s="2"/>
      <c r="E138" s="2">
        <v>145</v>
      </c>
      <c r="F138" s="2"/>
      <c r="G138" s="2"/>
      <c r="H138" s="2"/>
      <c r="I138" s="2"/>
      <c r="J138" s="2"/>
    </row>
    <row r="139" spans="1:10" x14ac:dyDescent="0.2">
      <c r="A139" s="220" t="s">
        <v>192</v>
      </c>
      <c r="D139" s="2"/>
      <c r="E139" s="2"/>
      <c r="F139" s="2"/>
      <c r="G139" s="2"/>
      <c r="H139" s="2"/>
      <c r="I139" s="2"/>
      <c r="J139" s="2"/>
    </row>
    <row r="140" spans="1:10" x14ac:dyDescent="0.2">
      <c r="D140" s="2"/>
      <c r="E140" s="2"/>
      <c r="F140" s="2"/>
      <c r="G140" s="2"/>
      <c r="H140" s="2"/>
      <c r="I140" s="2"/>
      <c r="J140" s="2"/>
    </row>
    <row r="141" spans="1:10" ht="13.5" x14ac:dyDescent="0.25">
      <c r="A141" s="225" t="s">
        <v>926</v>
      </c>
      <c r="D141" s="2"/>
      <c r="E141" s="2">
        <v>1014</v>
      </c>
      <c r="F141" s="2">
        <v>1025</v>
      </c>
      <c r="G141" s="2">
        <v>1025</v>
      </c>
      <c r="H141" s="2">
        <v>1025</v>
      </c>
      <c r="I141" s="2">
        <v>1025</v>
      </c>
      <c r="J141" s="2">
        <v>1025</v>
      </c>
    </row>
    <row r="142" spans="1:10" x14ac:dyDescent="0.2">
      <c r="A142" s="220" t="s">
        <v>597</v>
      </c>
      <c r="D142" s="2">
        <v>1025</v>
      </c>
      <c r="E142" s="2"/>
      <c r="I142" s="251"/>
      <c r="J142" s="256"/>
    </row>
    <row r="143" spans="1:10" x14ac:dyDescent="0.2">
      <c r="D143" s="2"/>
      <c r="E143" s="2"/>
      <c r="I143" s="251"/>
      <c r="J143" s="256"/>
    </row>
    <row r="144" spans="1:10" ht="13.5" hidden="1" x14ac:dyDescent="0.25">
      <c r="A144" s="225" t="s">
        <v>1764</v>
      </c>
      <c r="D144" s="2"/>
      <c r="E144" s="2">
        <v>0</v>
      </c>
      <c r="F144" s="2">
        <v>0</v>
      </c>
      <c r="G144" s="2">
        <v>0</v>
      </c>
      <c r="H144" s="2">
        <v>0</v>
      </c>
      <c r="I144" s="2">
        <v>0</v>
      </c>
      <c r="J144" s="2">
        <v>0</v>
      </c>
    </row>
    <row r="145" spans="1:10" hidden="1" x14ac:dyDescent="0.2">
      <c r="A145" s="220" t="s">
        <v>911</v>
      </c>
      <c r="D145" s="2">
        <v>0</v>
      </c>
      <c r="E145" s="2"/>
      <c r="I145" s="251"/>
      <c r="J145" s="256"/>
    </row>
    <row r="146" spans="1:10" hidden="1" x14ac:dyDescent="0.2">
      <c r="D146" s="2"/>
      <c r="E146" s="2"/>
      <c r="I146" s="251"/>
      <c r="J146" s="256"/>
    </row>
    <row r="147" spans="1:10" ht="15" x14ac:dyDescent="0.35">
      <c r="A147" s="225" t="s">
        <v>567</v>
      </c>
      <c r="D147" s="7" t="s">
        <v>349</v>
      </c>
      <c r="E147" s="10">
        <v>2087</v>
      </c>
      <c r="F147" s="17">
        <v>2000</v>
      </c>
      <c r="G147" s="10">
        <v>2000</v>
      </c>
      <c r="H147" s="10">
        <v>2000</v>
      </c>
      <c r="I147" s="10">
        <v>2000</v>
      </c>
      <c r="J147" s="10">
        <v>2000</v>
      </c>
    </row>
    <row r="148" spans="1:10" ht="15" x14ac:dyDescent="0.35">
      <c r="A148" s="220" t="s">
        <v>739</v>
      </c>
      <c r="C148" s="2">
        <v>2000</v>
      </c>
      <c r="D148" s="2">
        <v>2000</v>
      </c>
      <c r="E148" s="10"/>
      <c r="F148" s="2"/>
      <c r="G148" s="2"/>
      <c r="H148" s="2"/>
      <c r="I148" s="2"/>
      <c r="J148" s="2"/>
    </row>
    <row r="149" spans="1:10" x14ac:dyDescent="0.2">
      <c r="A149" s="22" t="s">
        <v>1695</v>
      </c>
      <c r="C149" s="17">
        <f>-34710+53400</f>
        <v>18690</v>
      </c>
      <c r="D149" s="17"/>
      <c r="E149" s="2"/>
      <c r="F149" s="2"/>
      <c r="G149" s="2"/>
      <c r="H149" s="2"/>
      <c r="I149" s="2"/>
      <c r="J149" s="2"/>
    </row>
    <row r="150" spans="1:10" ht="13.5" x14ac:dyDescent="0.25">
      <c r="A150" s="53" t="s">
        <v>349</v>
      </c>
      <c r="C150" s="2">
        <f>SUM(C148:C149)</f>
        <v>20690</v>
      </c>
      <c r="D150" s="2">
        <f>SUM(D148:D149)</f>
        <v>2000</v>
      </c>
      <c r="E150" s="2"/>
      <c r="F150" s="2"/>
      <c r="G150" s="2"/>
      <c r="H150" s="2"/>
      <c r="I150" s="2"/>
      <c r="J150" s="2"/>
    </row>
    <row r="151" spans="1:10" ht="13.5" x14ac:dyDescent="0.25">
      <c r="A151" s="53"/>
      <c r="C151" s="2"/>
      <c r="D151" s="2"/>
      <c r="E151" s="2"/>
      <c r="F151" s="2"/>
      <c r="G151" s="2"/>
      <c r="H151" s="2"/>
      <c r="I151" s="2"/>
      <c r="J151" s="2"/>
    </row>
    <row r="152" spans="1:10" x14ac:dyDescent="0.2">
      <c r="A152" s="220" t="s">
        <v>1167</v>
      </c>
      <c r="C152" s="2"/>
      <c r="D152" s="2"/>
      <c r="E152" s="2">
        <f t="shared" ref="E152:J152" si="1">SUM(E1:E151)</f>
        <v>537035</v>
      </c>
      <c r="F152" s="2">
        <f t="shared" si="1"/>
        <v>576379</v>
      </c>
      <c r="G152" s="2">
        <f t="shared" si="1"/>
        <v>597990</v>
      </c>
      <c r="H152" s="2">
        <f t="shared" si="1"/>
        <v>591240</v>
      </c>
      <c r="I152" s="2">
        <f t="shared" si="1"/>
        <v>595723</v>
      </c>
      <c r="J152" s="2">
        <f t="shared" si="1"/>
        <v>595723</v>
      </c>
    </row>
    <row r="154" spans="1:10" x14ac:dyDescent="0.2">
      <c r="A154" s="220" t="s">
        <v>523</v>
      </c>
      <c r="E154" s="2">
        <f t="shared" ref="E154:J154" si="2">SUM(E5:E81)</f>
        <v>458244</v>
      </c>
      <c r="F154" s="2">
        <f t="shared" si="2"/>
        <v>502261</v>
      </c>
      <c r="G154" s="2">
        <f t="shared" si="2"/>
        <v>521835</v>
      </c>
      <c r="H154" s="2">
        <f t="shared" si="2"/>
        <v>515085</v>
      </c>
      <c r="I154" s="2">
        <f t="shared" si="2"/>
        <v>519568</v>
      </c>
      <c r="J154" s="2">
        <f t="shared" si="2"/>
        <v>519568</v>
      </c>
    </row>
    <row r="155" spans="1:10" x14ac:dyDescent="0.2">
      <c r="A155" s="220" t="s">
        <v>818</v>
      </c>
      <c r="E155" s="2">
        <f t="shared" ref="E155:J155" si="3">SUM(E83:E145)</f>
        <v>76704</v>
      </c>
      <c r="F155" s="2">
        <f t="shared" si="3"/>
        <v>72118</v>
      </c>
      <c r="G155" s="2">
        <f t="shared" si="3"/>
        <v>74155</v>
      </c>
      <c r="H155" s="2">
        <f t="shared" ref="H155" si="4">SUM(H83:H145)</f>
        <v>74155</v>
      </c>
      <c r="I155" s="2">
        <f t="shared" si="3"/>
        <v>74155</v>
      </c>
      <c r="J155" s="2">
        <f t="shared" si="3"/>
        <v>74155</v>
      </c>
    </row>
    <row r="156" spans="1:10" ht="15" x14ac:dyDescent="0.35">
      <c r="A156" s="220" t="s">
        <v>819</v>
      </c>
      <c r="E156" s="10">
        <f t="shared" ref="E156:J156" si="5">SUM(E146:E147)</f>
        <v>2087</v>
      </c>
      <c r="F156" s="10">
        <f t="shared" si="5"/>
        <v>2000</v>
      </c>
      <c r="G156" s="10">
        <f t="shared" si="5"/>
        <v>2000</v>
      </c>
      <c r="H156" s="10">
        <f t="shared" ref="H156" si="6">SUM(H146:H147)</f>
        <v>2000</v>
      </c>
      <c r="I156" s="10">
        <f t="shared" si="5"/>
        <v>2000</v>
      </c>
      <c r="J156" s="10">
        <f t="shared" si="5"/>
        <v>2000</v>
      </c>
    </row>
    <row r="157" spans="1:10" x14ac:dyDescent="0.2">
      <c r="A157" s="220" t="s">
        <v>1086</v>
      </c>
      <c r="E157" s="2">
        <f t="shared" ref="E157:J157" si="7">SUM(E154:E156)</f>
        <v>537035</v>
      </c>
      <c r="F157" s="2">
        <f t="shared" si="7"/>
        <v>576379</v>
      </c>
      <c r="G157" s="2">
        <f t="shared" si="7"/>
        <v>597990</v>
      </c>
      <c r="H157" s="2">
        <f t="shared" ref="H157" si="8">SUM(H154:H156)</f>
        <v>591240</v>
      </c>
      <c r="I157" s="2">
        <f t="shared" si="7"/>
        <v>595723</v>
      </c>
      <c r="J157" s="2">
        <f t="shared" si="7"/>
        <v>595723</v>
      </c>
    </row>
  </sheetData>
  <mergeCells count="1">
    <mergeCell ref="A1:J1"/>
  </mergeCells>
  <phoneticPr fontId="0" type="noConversion"/>
  <printOptions gridLines="1"/>
  <pageMargins left="0.75" right="0.16" top="0.51" bottom="0.22" header="0.5" footer="0"/>
  <pageSetup scale="89" fitToHeight="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51"/>
  <sheetViews>
    <sheetView view="pageBreakPreview" zoomScaleNormal="100" zoomScaleSheetLayoutView="100" workbookViewId="0">
      <pane ySplit="5" topLeftCell="A74" activePane="bottomLeft" state="frozen"/>
      <selection activeCell="I6" sqref="I6:I240"/>
      <selection pane="bottomLeft" sqref="A1:J1"/>
    </sheetView>
  </sheetViews>
  <sheetFormatPr defaultColWidth="8.85546875" defaultRowHeight="12.75" x14ac:dyDescent="0.2"/>
  <cols>
    <col min="1" max="1" width="55" style="220" customWidth="1"/>
    <col min="2" max="2" width="7.7109375" style="220" bestFit="1" customWidth="1"/>
    <col min="3" max="4" width="9" style="220" bestFit="1" customWidth="1"/>
    <col min="5" max="5" width="9.5703125" style="220" bestFit="1" customWidth="1"/>
    <col min="6" max="7" width="9" style="220" bestFit="1" customWidth="1"/>
    <col min="8" max="8" width="10.28515625" style="220" customWidth="1"/>
    <col min="9" max="9" width="12.140625" style="2" customWidth="1"/>
    <col min="10" max="10" width="9.42578125" style="220" bestFit="1" customWidth="1"/>
    <col min="11" max="11" width="9" style="220" bestFit="1" customWidth="1"/>
    <col min="12" max="12" width="0" style="220" hidden="1" customWidth="1"/>
    <col min="13" max="16384" width="8.85546875" style="220"/>
  </cols>
  <sheetData>
    <row r="1" spans="1:11" x14ac:dyDescent="0.2">
      <c r="A1" s="261" t="s">
        <v>1965</v>
      </c>
      <c r="B1" s="262"/>
      <c r="C1" s="262"/>
      <c r="D1" s="262"/>
      <c r="E1" s="262"/>
      <c r="F1" s="262"/>
      <c r="G1" s="262"/>
      <c r="H1" s="262"/>
      <c r="I1" s="262"/>
      <c r="J1" s="262"/>
    </row>
    <row r="2" spans="1:11" ht="18.75" x14ac:dyDescent="0.3">
      <c r="A2" s="107" t="s">
        <v>1646</v>
      </c>
      <c r="B2" s="107"/>
      <c r="C2" s="107"/>
      <c r="D2" s="107"/>
      <c r="E2" s="107"/>
      <c r="F2" s="107"/>
      <c r="G2" s="107"/>
    </row>
    <row r="3" spans="1:11" x14ac:dyDescent="0.2">
      <c r="B3" s="2"/>
      <c r="C3" s="2"/>
      <c r="D3" s="2"/>
      <c r="E3" s="2"/>
      <c r="F3" s="2"/>
      <c r="G3" s="2"/>
    </row>
    <row r="4" spans="1:11" x14ac:dyDescent="0.2">
      <c r="B4" s="2"/>
      <c r="C4" s="2"/>
      <c r="D4" s="2"/>
      <c r="E4" s="2"/>
      <c r="F4" s="15" t="s">
        <v>207</v>
      </c>
      <c r="G4" s="15" t="s">
        <v>208</v>
      </c>
      <c r="H4" s="15" t="s">
        <v>63</v>
      </c>
      <c r="I4" s="15" t="s">
        <v>362</v>
      </c>
      <c r="J4" s="15" t="s">
        <v>274</v>
      </c>
      <c r="K4" s="15" t="s">
        <v>305</v>
      </c>
    </row>
    <row r="5" spans="1:11" ht="15" x14ac:dyDescent="0.35">
      <c r="B5" s="2"/>
      <c r="C5" s="2"/>
      <c r="D5" s="2"/>
      <c r="E5" s="2"/>
      <c r="F5" s="221" t="s">
        <v>1759</v>
      </c>
      <c r="G5" s="221" t="s">
        <v>1857</v>
      </c>
      <c r="H5" s="221" t="s">
        <v>1966</v>
      </c>
      <c r="I5" s="221" t="s">
        <v>1966</v>
      </c>
      <c r="J5" s="221" t="s">
        <v>1966</v>
      </c>
      <c r="K5" s="221" t="s">
        <v>1966</v>
      </c>
    </row>
    <row r="6" spans="1:11" ht="13.5" x14ac:dyDescent="0.25">
      <c r="A6" s="225" t="s">
        <v>568</v>
      </c>
      <c r="B6" s="2"/>
      <c r="C6" s="2"/>
      <c r="D6" s="2"/>
      <c r="E6" s="2"/>
      <c r="F6" s="2">
        <v>41863</v>
      </c>
      <c r="G6" s="2">
        <v>41976</v>
      </c>
      <c r="H6" s="2">
        <v>42756</v>
      </c>
      <c r="I6" s="2">
        <v>42756</v>
      </c>
      <c r="J6" s="2">
        <v>43587</v>
      </c>
      <c r="K6" s="2">
        <v>43587</v>
      </c>
    </row>
    <row r="7" spans="1:11" x14ac:dyDescent="0.2">
      <c r="A7" s="220" t="s">
        <v>1848</v>
      </c>
      <c r="B7" s="2"/>
      <c r="C7" s="2">
        <v>1456</v>
      </c>
      <c r="D7" s="11">
        <v>28.4</v>
      </c>
      <c r="E7" s="2">
        <f>+D7*C7</f>
        <v>41350.400000000001</v>
      </c>
      <c r="F7" s="2"/>
      <c r="G7" s="2"/>
      <c r="H7" s="2"/>
      <c r="J7" s="2"/>
      <c r="K7" s="2"/>
    </row>
    <row r="8" spans="1:11" x14ac:dyDescent="0.2">
      <c r="A8" s="220" t="s">
        <v>2138</v>
      </c>
      <c r="B8" s="2"/>
      <c r="C8" s="2">
        <v>28</v>
      </c>
      <c r="D8" s="11">
        <v>28.4</v>
      </c>
      <c r="E8" s="2">
        <f>+D8*C8</f>
        <v>795.19999999999993</v>
      </c>
      <c r="F8" s="2"/>
      <c r="G8" s="2"/>
      <c r="H8" s="2"/>
      <c r="J8" s="2"/>
      <c r="K8" s="2"/>
    </row>
    <row r="9" spans="1:11" ht="15" x14ac:dyDescent="0.35">
      <c r="A9" s="220" t="s">
        <v>1498</v>
      </c>
      <c r="B9" s="2"/>
      <c r="C9" s="2"/>
      <c r="D9" s="11"/>
      <c r="E9" s="10">
        <v>1441</v>
      </c>
      <c r="F9" s="2"/>
      <c r="G9" s="2"/>
      <c r="H9" s="2"/>
      <c r="J9" s="2"/>
      <c r="K9" s="2"/>
    </row>
    <row r="10" spans="1:11" x14ac:dyDescent="0.2">
      <c r="B10" s="2"/>
      <c r="C10" s="2"/>
      <c r="D10" s="11"/>
      <c r="E10" s="2">
        <f>SUM(E7:E9)</f>
        <v>43586.6</v>
      </c>
      <c r="F10" s="2"/>
      <c r="G10" s="2"/>
      <c r="H10" s="2"/>
      <c r="J10" s="2"/>
      <c r="K10" s="2"/>
    </row>
    <row r="11" spans="1:11" x14ac:dyDescent="0.2">
      <c r="B11" s="2"/>
      <c r="C11" s="2"/>
      <c r="D11" s="11"/>
      <c r="E11" s="2"/>
      <c r="F11" s="2"/>
      <c r="G11" s="2"/>
      <c r="H11" s="2"/>
      <c r="J11" s="2"/>
      <c r="K11" s="2"/>
    </row>
    <row r="12" spans="1:11" ht="13.5" x14ac:dyDescent="0.25">
      <c r="A12" s="225" t="s">
        <v>602</v>
      </c>
      <c r="E12" s="2"/>
      <c r="F12" s="2">
        <v>3202</v>
      </c>
      <c r="G12" s="2">
        <v>3211</v>
      </c>
      <c r="H12" s="2">
        <v>3211</v>
      </c>
      <c r="I12" s="2">
        <v>3271</v>
      </c>
      <c r="J12" s="2">
        <v>3334</v>
      </c>
      <c r="K12" s="2">
        <v>3334</v>
      </c>
    </row>
    <row r="13" spans="1:11" hidden="1" x14ac:dyDescent="0.2">
      <c r="A13" s="220" t="s">
        <v>603</v>
      </c>
      <c r="B13" s="2"/>
      <c r="C13" s="2">
        <f>+E10</f>
        <v>43586.6</v>
      </c>
      <c r="D13" s="13">
        <v>7.6499999999999999E-2</v>
      </c>
      <c r="E13" s="2">
        <f>ROUND(D13*C13,0)</f>
        <v>3334</v>
      </c>
      <c r="F13" s="2"/>
      <c r="G13" s="2"/>
      <c r="H13" s="2"/>
      <c r="J13" s="2"/>
      <c r="K13" s="2"/>
    </row>
    <row r="14" spans="1:11" x14ac:dyDescent="0.2">
      <c r="E14" s="2"/>
      <c r="F14" s="2"/>
      <c r="G14" s="2"/>
      <c r="H14" s="2"/>
      <c r="J14" s="2"/>
      <c r="K14" s="2"/>
    </row>
    <row r="15" spans="1:11" ht="13.5" x14ac:dyDescent="0.25">
      <c r="A15" s="225" t="s">
        <v>604</v>
      </c>
      <c r="E15" s="2"/>
      <c r="F15" s="2">
        <v>56</v>
      </c>
      <c r="G15" s="2">
        <v>71</v>
      </c>
      <c r="H15" s="2">
        <v>71</v>
      </c>
      <c r="I15" s="2">
        <v>73</v>
      </c>
      <c r="J15" s="2">
        <v>74</v>
      </c>
      <c r="K15" s="2">
        <v>74</v>
      </c>
    </row>
    <row r="16" spans="1:11" hidden="1" x14ac:dyDescent="0.2">
      <c r="A16" s="220" t="s">
        <v>603</v>
      </c>
      <c r="B16" s="2"/>
      <c r="C16" s="2">
        <f>+E10</f>
        <v>43586.6</v>
      </c>
      <c r="D16" s="13">
        <v>1.6999999999999999E-3</v>
      </c>
      <c r="E16" s="2">
        <f>ROUND(D16*C16,0)</f>
        <v>74</v>
      </c>
      <c r="F16" s="2"/>
      <c r="G16" s="2"/>
      <c r="H16" s="2"/>
      <c r="J16" s="2"/>
      <c r="K16" s="2"/>
    </row>
    <row r="17" spans="1:11" x14ac:dyDescent="0.2">
      <c r="E17" s="2"/>
      <c r="F17" s="2"/>
      <c r="G17" s="2"/>
      <c r="H17" s="2"/>
      <c r="J17" s="2"/>
      <c r="K17" s="2"/>
    </row>
    <row r="18" spans="1:11" ht="13.5" x14ac:dyDescent="0.25">
      <c r="A18" s="225" t="s">
        <v>605</v>
      </c>
      <c r="E18" s="2"/>
      <c r="F18" s="2">
        <v>20</v>
      </c>
      <c r="G18" s="2">
        <v>26</v>
      </c>
      <c r="H18" s="2">
        <v>20</v>
      </c>
      <c r="I18" s="2">
        <v>20</v>
      </c>
      <c r="J18" s="2">
        <v>20</v>
      </c>
      <c r="K18" s="2">
        <v>20</v>
      </c>
    </row>
    <row r="19" spans="1:11" hidden="1" x14ac:dyDescent="0.2">
      <c r="A19" s="220" t="s">
        <v>603</v>
      </c>
      <c r="B19" s="2" t="s">
        <v>349</v>
      </c>
      <c r="C19" s="2" t="s">
        <v>349</v>
      </c>
      <c r="D19" s="13" t="s">
        <v>349</v>
      </c>
      <c r="E19" s="2">
        <v>20</v>
      </c>
      <c r="F19" s="2"/>
      <c r="G19" s="2"/>
      <c r="H19" s="2"/>
      <c r="J19" s="2"/>
      <c r="K19" s="2"/>
    </row>
    <row r="20" spans="1:11" x14ac:dyDescent="0.2">
      <c r="E20" s="2"/>
      <c r="F20" s="2"/>
      <c r="G20" s="2"/>
      <c r="H20" s="2"/>
      <c r="J20" s="2"/>
      <c r="K20" s="2"/>
    </row>
    <row r="21" spans="1:11" ht="13.5" x14ac:dyDescent="0.25">
      <c r="A21" s="225" t="s">
        <v>606</v>
      </c>
      <c r="C21" s="18" t="s">
        <v>1759</v>
      </c>
      <c r="D21" s="18" t="s">
        <v>1857</v>
      </c>
      <c r="E21" s="18" t="s">
        <v>1966</v>
      </c>
      <c r="F21" s="2">
        <v>237</v>
      </c>
      <c r="G21" s="2">
        <v>270</v>
      </c>
      <c r="H21" s="2">
        <v>270</v>
      </c>
      <c r="I21" s="2">
        <v>270</v>
      </c>
      <c r="J21" s="2">
        <v>270</v>
      </c>
      <c r="K21" s="2">
        <v>270</v>
      </c>
    </row>
    <row r="22" spans="1:11" x14ac:dyDescent="0.2">
      <c r="A22" s="220" t="s">
        <v>312</v>
      </c>
      <c r="C22" s="2">
        <v>270</v>
      </c>
      <c r="D22" s="2">
        <v>270</v>
      </c>
      <c r="E22" s="2">
        <v>270</v>
      </c>
      <c r="F22" s="2"/>
      <c r="G22" s="2"/>
      <c r="H22" s="2"/>
      <c r="J22" s="2"/>
      <c r="K22" s="2"/>
    </row>
    <row r="23" spans="1:11" x14ac:dyDescent="0.2">
      <c r="C23" s="2"/>
      <c r="D23" s="2"/>
      <c r="E23" s="2"/>
      <c r="F23" s="2"/>
      <c r="G23" s="2"/>
      <c r="H23" s="2"/>
      <c r="J23" s="2"/>
      <c r="K23" s="2"/>
    </row>
    <row r="24" spans="1:11" ht="13.5" x14ac:dyDescent="0.25">
      <c r="A24" s="225" t="s">
        <v>24</v>
      </c>
      <c r="C24" s="18" t="s">
        <v>1759</v>
      </c>
      <c r="D24" s="18" t="s">
        <v>1857</v>
      </c>
      <c r="E24" s="18" t="s">
        <v>1966</v>
      </c>
      <c r="F24" s="2">
        <v>0</v>
      </c>
      <c r="G24" s="2">
        <v>50</v>
      </c>
      <c r="H24" s="2">
        <v>50</v>
      </c>
      <c r="I24" s="2">
        <v>50</v>
      </c>
      <c r="J24" s="2">
        <v>50</v>
      </c>
      <c r="K24" s="2">
        <v>50</v>
      </c>
    </row>
    <row r="25" spans="1:11" x14ac:dyDescent="0.2">
      <c r="A25" s="220" t="s">
        <v>1779</v>
      </c>
      <c r="C25" s="2">
        <v>50</v>
      </c>
      <c r="D25" s="2">
        <v>50</v>
      </c>
      <c r="E25" s="2">
        <v>50</v>
      </c>
      <c r="F25" s="2"/>
      <c r="G25" s="2"/>
      <c r="H25" s="2"/>
      <c r="J25" s="2"/>
      <c r="K25" s="2"/>
    </row>
    <row r="26" spans="1:11" x14ac:dyDescent="0.2">
      <c r="C26" s="2"/>
      <c r="D26" s="2"/>
      <c r="E26" s="2"/>
      <c r="F26" s="2"/>
      <c r="G26" s="2"/>
      <c r="H26" s="2"/>
      <c r="J26" s="2"/>
      <c r="K26" s="2"/>
    </row>
    <row r="27" spans="1:11" ht="13.5" x14ac:dyDescent="0.25">
      <c r="A27" s="225" t="s">
        <v>836</v>
      </c>
      <c r="C27" s="18" t="s">
        <v>1759</v>
      </c>
      <c r="D27" s="18" t="s">
        <v>1857</v>
      </c>
      <c r="E27" s="18" t="s">
        <v>1966</v>
      </c>
      <c r="F27" s="2">
        <v>68</v>
      </c>
      <c r="G27" s="2">
        <v>100</v>
      </c>
      <c r="H27" s="2">
        <v>100</v>
      </c>
      <c r="I27" s="2">
        <v>100</v>
      </c>
      <c r="J27" s="2">
        <v>100</v>
      </c>
      <c r="K27" s="2">
        <v>100</v>
      </c>
    </row>
    <row r="28" spans="1:11" x14ac:dyDescent="0.2">
      <c r="A28" s="220" t="s">
        <v>837</v>
      </c>
      <c r="B28" s="2" t="s">
        <v>349</v>
      </c>
      <c r="C28" s="2">
        <v>100</v>
      </c>
      <c r="D28" s="2">
        <v>100</v>
      </c>
      <c r="E28" s="2">
        <v>100</v>
      </c>
      <c r="F28" s="2"/>
      <c r="G28" s="2"/>
      <c r="H28" s="2"/>
      <c r="J28" s="2"/>
      <c r="K28" s="2"/>
    </row>
    <row r="29" spans="1:11" x14ac:dyDescent="0.2">
      <c r="B29" s="2"/>
      <c r="C29" s="2"/>
      <c r="D29" s="2"/>
      <c r="E29" s="2"/>
      <c r="F29" s="2"/>
      <c r="G29" s="2"/>
      <c r="H29" s="2"/>
      <c r="J29" s="2"/>
      <c r="K29" s="2"/>
    </row>
    <row r="30" spans="1:11" ht="13.5" x14ac:dyDescent="0.25">
      <c r="A30" s="225" t="s">
        <v>411</v>
      </c>
      <c r="C30" s="18" t="s">
        <v>1759</v>
      </c>
      <c r="D30" s="18" t="s">
        <v>1857</v>
      </c>
      <c r="E30" s="18" t="s">
        <v>1966</v>
      </c>
      <c r="F30" s="2">
        <v>954</v>
      </c>
      <c r="G30" s="2">
        <v>980</v>
      </c>
      <c r="H30" s="2">
        <v>980</v>
      </c>
      <c r="I30" s="2">
        <v>980</v>
      </c>
      <c r="J30" s="2">
        <v>980</v>
      </c>
      <c r="K30" s="2">
        <v>980</v>
      </c>
    </row>
    <row r="31" spans="1:11" x14ac:dyDescent="0.2">
      <c r="A31" s="220" t="s">
        <v>820</v>
      </c>
      <c r="C31" s="2">
        <v>590</v>
      </c>
      <c r="D31" s="2">
        <v>500</v>
      </c>
      <c r="E31" s="2">
        <v>500</v>
      </c>
      <c r="F31" s="2"/>
      <c r="G31" s="2"/>
      <c r="H31" s="2"/>
      <c r="J31" s="2"/>
      <c r="K31" s="2"/>
    </row>
    <row r="32" spans="1:11" ht="15" x14ac:dyDescent="0.35">
      <c r="A32" s="220" t="s">
        <v>863</v>
      </c>
      <c r="C32" s="10">
        <v>480</v>
      </c>
      <c r="D32" s="10">
        <v>480</v>
      </c>
      <c r="E32" s="10">
        <v>480</v>
      </c>
      <c r="F32" s="2"/>
      <c r="G32" s="2"/>
      <c r="H32" s="2"/>
      <c r="J32" s="2"/>
      <c r="K32" s="2"/>
    </row>
    <row r="33" spans="1:11" x14ac:dyDescent="0.2">
      <c r="A33" s="220" t="s">
        <v>1086</v>
      </c>
      <c r="C33" s="2">
        <f>SUM(C31:C32)</f>
        <v>1070</v>
      </c>
      <c r="D33" s="2">
        <f>SUM(D31:D32)</f>
        <v>980</v>
      </c>
      <c r="E33" s="2">
        <f>SUM(E31:E32)</f>
        <v>980</v>
      </c>
      <c r="F33" s="2"/>
      <c r="G33" s="2"/>
      <c r="H33" s="2"/>
      <c r="J33" s="2"/>
      <c r="K33" s="2"/>
    </row>
    <row r="34" spans="1:11" x14ac:dyDescent="0.2">
      <c r="A34" s="220" t="s">
        <v>349</v>
      </c>
      <c r="C34" s="2" t="s">
        <v>349</v>
      </c>
      <c r="D34" s="2" t="s">
        <v>349</v>
      </c>
      <c r="E34" s="2" t="s">
        <v>349</v>
      </c>
      <c r="F34" s="2"/>
      <c r="G34" s="2"/>
      <c r="H34" s="2"/>
      <c r="J34" s="2"/>
      <c r="K34" s="2"/>
    </row>
    <row r="35" spans="1:11" ht="13.5" x14ac:dyDescent="0.25">
      <c r="A35" s="225" t="s">
        <v>585</v>
      </c>
      <c r="C35" s="18" t="s">
        <v>1759</v>
      </c>
      <c r="D35" s="18" t="s">
        <v>1857</v>
      </c>
      <c r="E35" s="18" t="s">
        <v>1966</v>
      </c>
      <c r="F35" s="2">
        <v>50</v>
      </c>
      <c r="G35" s="2">
        <v>50</v>
      </c>
      <c r="H35" s="2">
        <v>50</v>
      </c>
      <c r="I35" s="2">
        <v>50</v>
      </c>
      <c r="J35" s="2">
        <v>50</v>
      </c>
      <c r="K35" s="2">
        <v>50</v>
      </c>
    </row>
    <row r="36" spans="1:11" x14ac:dyDescent="0.2">
      <c r="A36" s="220" t="s">
        <v>381</v>
      </c>
      <c r="B36" s="2" t="s">
        <v>349</v>
      </c>
      <c r="C36" s="2">
        <v>50</v>
      </c>
      <c r="D36" s="2">
        <v>50</v>
      </c>
      <c r="E36" s="2">
        <v>50</v>
      </c>
      <c r="F36" s="2"/>
      <c r="G36" s="2"/>
      <c r="H36" s="2"/>
      <c r="J36" s="2"/>
      <c r="K36" s="2"/>
    </row>
    <row r="37" spans="1:11" x14ac:dyDescent="0.2">
      <c r="C37" s="2"/>
      <c r="D37" s="2"/>
      <c r="E37" s="2"/>
      <c r="F37" s="2"/>
      <c r="G37" s="2"/>
      <c r="H37" s="2"/>
      <c r="J37" s="2"/>
      <c r="K37" s="2"/>
    </row>
    <row r="38" spans="1:11" ht="13.5" x14ac:dyDescent="0.25">
      <c r="A38" s="16" t="s">
        <v>1309</v>
      </c>
      <c r="C38" s="18" t="s">
        <v>1759</v>
      </c>
      <c r="D38" s="18" t="s">
        <v>1857</v>
      </c>
      <c r="E38" s="18" t="s">
        <v>1966</v>
      </c>
      <c r="F38" s="2">
        <v>374</v>
      </c>
      <c r="G38" s="2">
        <v>371</v>
      </c>
      <c r="H38" s="2">
        <v>397</v>
      </c>
      <c r="I38" s="2">
        <v>397</v>
      </c>
      <c r="J38" s="2">
        <v>397</v>
      </c>
      <c r="K38" s="2">
        <v>397</v>
      </c>
    </row>
    <row r="39" spans="1:11" x14ac:dyDescent="0.2">
      <c r="A39" s="220" t="s">
        <v>746</v>
      </c>
      <c r="C39" s="220">
        <v>360</v>
      </c>
      <c r="D39" s="220">
        <v>371</v>
      </c>
      <c r="E39" s="220">
        <v>397</v>
      </c>
      <c r="F39" s="2"/>
      <c r="G39" s="2"/>
      <c r="H39" s="2"/>
      <c r="J39" s="2"/>
      <c r="K39" s="2"/>
    </row>
    <row r="40" spans="1:11" x14ac:dyDescent="0.2">
      <c r="C40" s="2"/>
      <c r="D40" s="2"/>
      <c r="E40" s="2"/>
      <c r="F40" s="2"/>
      <c r="G40" s="2"/>
      <c r="H40" s="2"/>
      <c r="J40" s="2"/>
      <c r="K40" s="2"/>
    </row>
    <row r="41" spans="1:11" ht="13.5" x14ac:dyDescent="0.25">
      <c r="A41" s="225" t="s">
        <v>1310</v>
      </c>
      <c r="C41" s="18" t="s">
        <v>1759</v>
      </c>
      <c r="D41" s="18" t="s">
        <v>1857</v>
      </c>
      <c r="E41" s="18" t="s">
        <v>1966</v>
      </c>
      <c r="F41" s="2">
        <v>434</v>
      </c>
      <c r="G41" s="2">
        <v>600</v>
      </c>
      <c r="H41" s="2">
        <v>600</v>
      </c>
      <c r="I41" s="2">
        <v>600</v>
      </c>
      <c r="J41" s="2">
        <v>600</v>
      </c>
      <c r="K41" s="2">
        <v>600</v>
      </c>
    </row>
    <row r="42" spans="1:11" x14ac:dyDescent="0.2">
      <c r="A42" s="220" t="s">
        <v>271</v>
      </c>
      <c r="C42" s="2">
        <v>600</v>
      </c>
      <c r="D42" s="2">
        <v>600</v>
      </c>
      <c r="E42" s="2">
        <v>600</v>
      </c>
      <c r="F42" s="2"/>
      <c r="G42" s="2"/>
      <c r="H42" s="2"/>
      <c r="J42" s="2"/>
      <c r="K42" s="2"/>
    </row>
    <row r="43" spans="1:11" x14ac:dyDescent="0.2">
      <c r="D43" s="2"/>
      <c r="E43" s="2"/>
      <c r="F43" s="2"/>
      <c r="G43" s="2"/>
      <c r="H43" s="2"/>
      <c r="J43" s="2"/>
      <c r="K43" s="2"/>
    </row>
    <row r="44" spans="1:11" ht="13.5" x14ac:dyDescent="0.25">
      <c r="A44" s="225" t="s">
        <v>524</v>
      </c>
      <c r="D44" s="2"/>
      <c r="E44" s="2"/>
      <c r="F44" s="2">
        <v>1500</v>
      </c>
      <c r="G44" s="2">
        <v>1500</v>
      </c>
      <c r="H44" s="2">
        <v>1500</v>
      </c>
      <c r="I44" s="2">
        <v>1500</v>
      </c>
      <c r="J44" s="2">
        <v>1500</v>
      </c>
      <c r="K44" s="2">
        <v>1500</v>
      </c>
    </row>
    <row r="45" spans="1:11" x14ac:dyDescent="0.2">
      <c r="A45" s="22" t="s">
        <v>1442</v>
      </c>
      <c r="D45" s="2"/>
      <c r="E45" s="2">
        <v>1500</v>
      </c>
      <c r="F45" s="2"/>
      <c r="G45" s="2"/>
      <c r="H45" s="2"/>
      <c r="J45" s="2"/>
      <c r="K45" s="2"/>
    </row>
    <row r="46" spans="1:11" x14ac:dyDescent="0.2">
      <c r="A46" s="22"/>
      <c r="D46" s="2"/>
      <c r="E46" s="2"/>
      <c r="F46" s="2"/>
      <c r="G46" s="2"/>
      <c r="H46" s="2"/>
      <c r="J46" s="2"/>
      <c r="K46" s="2"/>
    </row>
    <row r="47" spans="1:11" ht="13.5" x14ac:dyDescent="0.25">
      <c r="A47" s="225" t="s">
        <v>453</v>
      </c>
      <c r="C47" s="18" t="s">
        <v>1759</v>
      </c>
      <c r="D47" s="18" t="s">
        <v>1857</v>
      </c>
      <c r="E47" s="18" t="s">
        <v>1966</v>
      </c>
      <c r="F47" s="2">
        <v>95</v>
      </c>
      <c r="G47" s="2">
        <v>185</v>
      </c>
      <c r="H47" s="2">
        <v>185</v>
      </c>
      <c r="I47" s="2">
        <v>185</v>
      </c>
      <c r="J47" s="2">
        <v>185</v>
      </c>
      <c r="K47" s="2">
        <v>185</v>
      </c>
    </row>
    <row r="48" spans="1:11" x14ac:dyDescent="0.2">
      <c r="A48" s="220" t="s">
        <v>429</v>
      </c>
      <c r="C48" s="2">
        <v>150</v>
      </c>
      <c r="D48" s="2">
        <v>90</v>
      </c>
      <c r="E48" s="2">
        <v>90</v>
      </c>
      <c r="F48" s="2"/>
      <c r="G48" s="2"/>
      <c r="H48" s="2"/>
      <c r="J48" s="2"/>
      <c r="K48" s="2"/>
    </row>
    <row r="49" spans="1:11" ht="15" x14ac:dyDescent="0.35">
      <c r="A49" s="220" t="s">
        <v>1910</v>
      </c>
      <c r="C49" s="10">
        <v>85</v>
      </c>
      <c r="D49" s="10">
        <v>95</v>
      </c>
      <c r="E49" s="10">
        <v>95</v>
      </c>
      <c r="F49" s="2"/>
      <c r="G49" s="2"/>
      <c r="H49" s="2"/>
      <c r="J49" s="2"/>
      <c r="K49" s="2"/>
    </row>
    <row r="50" spans="1:11" x14ac:dyDescent="0.2">
      <c r="A50" s="220" t="s">
        <v>1086</v>
      </c>
      <c r="C50" s="2">
        <f>SUM(C48:C49)</f>
        <v>235</v>
      </c>
      <c r="D50" s="2">
        <f>SUM(D48:D49)</f>
        <v>185</v>
      </c>
      <c r="E50" s="2">
        <f>SUM(E48:E49)</f>
        <v>185</v>
      </c>
      <c r="F50" s="2"/>
      <c r="G50" s="2"/>
      <c r="H50" s="2"/>
      <c r="J50" s="2"/>
      <c r="K50" s="2"/>
    </row>
    <row r="51" spans="1:11" x14ac:dyDescent="0.2">
      <c r="C51" s="2"/>
      <c r="D51" s="2"/>
      <c r="E51" s="2"/>
      <c r="F51" s="2"/>
      <c r="G51" s="2"/>
      <c r="H51" s="2"/>
      <c r="J51" s="2"/>
      <c r="K51" s="2"/>
    </row>
    <row r="52" spans="1:11" ht="13.5" x14ac:dyDescent="0.25">
      <c r="A52" s="225" t="s">
        <v>454</v>
      </c>
      <c r="C52" s="18" t="s">
        <v>1759</v>
      </c>
      <c r="D52" s="18" t="s">
        <v>1857</v>
      </c>
      <c r="E52" s="18" t="s">
        <v>1966</v>
      </c>
      <c r="F52" s="2">
        <v>0</v>
      </c>
      <c r="G52" s="2">
        <v>20</v>
      </c>
      <c r="H52" s="2">
        <v>20</v>
      </c>
      <c r="I52" s="2">
        <v>20</v>
      </c>
      <c r="J52" s="2">
        <v>20</v>
      </c>
      <c r="K52" s="2">
        <v>20</v>
      </c>
    </row>
    <row r="53" spans="1:11" x14ac:dyDescent="0.2">
      <c r="A53" s="220" t="s">
        <v>270</v>
      </c>
      <c r="C53" s="2">
        <v>17</v>
      </c>
      <c r="D53" s="2">
        <v>20</v>
      </c>
      <c r="E53" s="2">
        <v>20</v>
      </c>
      <c r="F53" s="2"/>
      <c r="G53" s="2"/>
      <c r="H53" s="2"/>
      <c r="J53" s="2"/>
      <c r="K53" s="2"/>
    </row>
    <row r="54" spans="1:11" x14ac:dyDescent="0.2">
      <c r="D54" s="2"/>
      <c r="E54" s="2"/>
      <c r="F54" s="2"/>
      <c r="G54" s="2"/>
      <c r="H54" s="2"/>
      <c r="J54" s="2"/>
      <c r="K54" s="2"/>
    </row>
    <row r="55" spans="1:11" ht="13.5" x14ac:dyDescent="0.25">
      <c r="A55" s="225" t="s">
        <v>1511</v>
      </c>
      <c r="D55" s="2"/>
      <c r="E55" s="2"/>
      <c r="F55" s="2"/>
      <c r="G55" s="2"/>
      <c r="H55" s="2"/>
      <c r="J55" s="2"/>
      <c r="K55" s="2"/>
    </row>
    <row r="56" spans="1:11" x14ac:dyDescent="0.2">
      <c r="D56" s="2"/>
      <c r="E56" s="2"/>
      <c r="F56" s="2"/>
      <c r="G56" s="2"/>
      <c r="H56" s="2"/>
      <c r="J56" s="2"/>
      <c r="K56" s="2"/>
    </row>
    <row r="57" spans="1:11" ht="15" x14ac:dyDescent="0.35">
      <c r="D57" s="265" t="s">
        <v>1966</v>
      </c>
      <c r="E57" s="266"/>
      <c r="F57" s="2"/>
      <c r="G57" s="2"/>
      <c r="H57" s="2"/>
      <c r="J57" s="2"/>
      <c r="K57" s="2"/>
    </row>
    <row r="58" spans="1:11" ht="13.5" x14ac:dyDescent="0.25">
      <c r="A58" s="225" t="s">
        <v>247</v>
      </c>
      <c r="B58" s="94" t="s">
        <v>1759</v>
      </c>
      <c r="C58" s="94" t="s">
        <v>1857</v>
      </c>
      <c r="D58" s="18" t="s">
        <v>219</v>
      </c>
      <c r="E58" s="18" t="s">
        <v>223</v>
      </c>
      <c r="F58" s="2">
        <v>75833</v>
      </c>
      <c r="G58" s="2">
        <v>75833</v>
      </c>
      <c r="H58" s="2">
        <v>76905</v>
      </c>
      <c r="I58" s="2">
        <v>76905</v>
      </c>
      <c r="J58" s="2">
        <v>76905</v>
      </c>
      <c r="K58" s="2">
        <v>76905</v>
      </c>
    </row>
    <row r="59" spans="1:11" x14ac:dyDescent="0.2">
      <c r="A59" s="220" t="s">
        <v>714</v>
      </c>
      <c r="B59" s="2">
        <v>1000</v>
      </c>
      <c r="C59" s="2">
        <v>1000</v>
      </c>
      <c r="D59" s="2">
        <v>1000</v>
      </c>
      <c r="E59" s="190">
        <v>1000</v>
      </c>
      <c r="F59" s="2"/>
      <c r="G59" s="2"/>
      <c r="H59" s="2"/>
      <c r="J59" s="2"/>
      <c r="K59" s="2"/>
    </row>
    <row r="60" spans="1:11" x14ac:dyDescent="0.2">
      <c r="A60" s="220" t="s">
        <v>1216</v>
      </c>
      <c r="B60" s="2">
        <v>1000</v>
      </c>
      <c r="C60" s="2">
        <v>1000</v>
      </c>
      <c r="D60" s="2">
        <v>1000</v>
      </c>
      <c r="E60" s="190">
        <v>1000</v>
      </c>
      <c r="F60" s="2"/>
      <c r="G60" s="2"/>
      <c r="H60" s="2"/>
      <c r="J60" s="2"/>
      <c r="K60" s="2"/>
    </row>
    <row r="61" spans="1:11" x14ac:dyDescent="0.2">
      <c r="A61" s="220" t="s">
        <v>1172</v>
      </c>
      <c r="B61" s="2">
        <v>5500</v>
      </c>
      <c r="C61" s="2">
        <v>5500</v>
      </c>
      <c r="D61" s="2">
        <v>5500</v>
      </c>
      <c r="E61" s="190">
        <v>5500</v>
      </c>
      <c r="F61" s="2"/>
      <c r="G61" s="2"/>
      <c r="H61" s="2"/>
      <c r="J61" s="2"/>
      <c r="K61" s="2"/>
    </row>
    <row r="62" spans="1:11" x14ac:dyDescent="0.2">
      <c r="A62" s="220" t="s">
        <v>893</v>
      </c>
      <c r="B62" s="2">
        <v>0</v>
      </c>
      <c r="C62" s="2">
        <v>2915</v>
      </c>
      <c r="D62" s="7">
        <v>3000</v>
      </c>
      <c r="E62" s="190">
        <v>2915</v>
      </c>
      <c r="F62" s="2"/>
      <c r="G62" s="2"/>
      <c r="H62" s="2"/>
      <c r="J62" s="2"/>
      <c r="K62" s="2"/>
    </row>
    <row r="63" spans="1:11" x14ac:dyDescent="0.2">
      <c r="A63" s="220" t="s">
        <v>1688</v>
      </c>
      <c r="B63" s="2">
        <v>3500</v>
      </c>
      <c r="C63" s="2">
        <v>3869</v>
      </c>
      <c r="D63" s="2">
        <v>4000</v>
      </c>
      <c r="E63" s="190">
        <v>3869</v>
      </c>
      <c r="F63" s="2"/>
      <c r="G63" s="2"/>
      <c r="H63" s="2"/>
      <c r="J63" s="2"/>
      <c r="K63" s="2"/>
    </row>
    <row r="64" spans="1:11" x14ac:dyDescent="0.2">
      <c r="A64" s="220" t="s">
        <v>1780</v>
      </c>
      <c r="B64" s="2">
        <v>2500</v>
      </c>
      <c r="C64" s="2">
        <v>2500</v>
      </c>
      <c r="D64" s="2">
        <v>5000</v>
      </c>
      <c r="E64" s="190">
        <v>2500</v>
      </c>
      <c r="F64" s="2"/>
      <c r="G64" s="2"/>
      <c r="H64" s="2"/>
      <c r="J64" s="2"/>
      <c r="K64" s="2"/>
    </row>
    <row r="65" spans="1:11" x14ac:dyDescent="0.2">
      <c r="A65" s="220" t="s">
        <v>82</v>
      </c>
      <c r="B65" s="2">
        <v>13517</v>
      </c>
      <c r="C65" s="2">
        <v>13886</v>
      </c>
      <c r="D65" s="2">
        <v>33076</v>
      </c>
      <c r="E65" s="190">
        <v>13886</v>
      </c>
      <c r="F65" s="2"/>
      <c r="G65" s="2"/>
      <c r="H65" s="2"/>
      <c r="J65" s="2"/>
      <c r="K65" s="2"/>
    </row>
    <row r="66" spans="1:11" x14ac:dyDescent="0.2">
      <c r="A66" s="232" t="s">
        <v>2038</v>
      </c>
      <c r="B66" s="2">
        <v>4500</v>
      </c>
      <c r="C66" s="2">
        <v>4869</v>
      </c>
      <c r="D66" s="2">
        <v>8000</v>
      </c>
      <c r="E66" s="190">
        <v>8000</v>
      </c>
      <c r="F66" s="2"/>
      <c r="G66" s="2"/>
      <c r="H66" s="2"/>
      <c r="J66" s="2"/>
      <c r="K66" s="2"/>
    </row>
    <row r="67" spans="1:11" x14ac:dyDescent="0.2">
      <c r="A67" s="220" t="s">
        <v>795</v>
      </c>
      <c r="B67" s="2">
        <v>1000</v>
      </c>
      <c r="C67" s="2">
        <v>1000</v>
      </c>
      <c r="D67" s="196" t="s">
        <v>2039</v>
      </c>
      <c r="E67" s="197" t="s">
        <v>2039</v>
      </c>
      <c r="F67" s="2"/>
      <c r="G67" s="2"/>
      <c r="H67" s="2"/>
      <c r="J67" s="2"/>
      <c r="K67" s="2"/>
    </row>
    <row r="68" spans="1:11" x14ac:dyDescent="0.2">
      <c r="A68" s="220" t="s">
        <v>1212</v>
      </c>
      <c r="B68" s="2">
        <v>15000</v>
      </c>
      <c r="C68" s="2">
        <v>15000</v>
      </c>
      <c r="D68" s="2">
        <v>15000</v>
      </c>
      <c r="E68" s="190">
        <v>15000</v>
      </c>
      <c r="F68" s="2"/>
      <c r="G68" s="2"/>
      <c r="H68" s="2"/>
      <c r="J68" s="2"/>
      <c r="K68" s="2"/>
    </row>
    <row r="69" spans="1:11" x14ac:dyDescent="0.2">
      <c r="A69" s="220" t="s">
        <v>347</v>
      </c>
      <c r="B69" s="2">
        <v>4000</v>
      </c>
      <c r="C69" s="2">
        <v>4369</v>
      </c>
      <c r="D69" s="196" t="s">
        <v>2039</v>
      </c>
      <c r="E69" s="197" t="s">
        <v>2039</v>
      </c>
      <c r="F69" s="2"/>
      <c r="G69" s="2"/>
      <c r="H69" s="2"/>
      <c r="J69" s="2"/>
      <c r="K69" s="2"/>
    </row>
    <row r="70" spans="1:11" x14ac:dyDescent="0.2">
      <c r="A70" s="220" t="s">
        <v>83</v>
      </c>
      <c r="B70" s="2">
        <v>5000</v>
      </c>
      <c r="C70" s="2">
        <v>0</v>
      </c>
      <c r="D70" s="2">
        <v>5000</v>
      </c>
      <c r="E70" s="190">
        <v>5000</v>
      </c>
      <c r="F70" s="2"/>
      <c r="G70" s="2"/>
      <c r="H70" s="2"/>
      <c r="J70" s="2"/>
      <c r="K70" s="2"/>
    </row>
    <row r="71" spans="1:11" x14ac:dyDescent="0.2">
      <c r="A71" s="220" t="s">
        <v>787</v>
      </c>
      <c r="B71" s="2">
        <v>5000</v>
      </c>
      <c r="C71" s="2">
        <v>5000</v>
      </c>
      <c r="D71" s="2">
        <v>5000</v>
      </c>
      <c r="E71" s="190">
        <v>5000</v>
      </c>
      <c r="F71" s="2"/>
      <c r="G71" s="2"/>
      <c r="H71" s="2"/>
      <c r="J71" s="2"/>
      <c r="K71" s="2"/>
    </row>
    <row r="72" spans="1:11" x14ac:dyDescent="0.2">
      <c r="A72" s="220" t="s">
        <v>84</v>
      </c>
      <c r="B72" s="2">
        <v>1300</v>
      </c>
      <c r="C72" s="2">
        <v>1300</v>
      </c>
      <c r="D72" s="2">
        <v>2500</v>
      </c>
      <c r="E72" s="190">
        <v>1300</v>
      </c>
      <c r="F72" s="2"/>
      <c r="G72" s="2"/>
      <c r="H72" s="2"/>
      <c r="J72" s="2"/>
      <c r="K72" s="2"/>
    </row>
    <row r="73" spans="1:11" x14ac:dyDescent="0.2">
      <c r="A73" s="220" t="s">
        <v>448</v>
      </c>
      <c r="B73" s="3">
        <v>3000</v>
      </c>
      <c r="C73" s="3">
        <v>3000</v>
      </c>
      <c r="D73" s="2">
        <v>2500</v>
      </c>
      <c r="E73" s="190">
        <v>2500</v>
      </c>
      <c r="F73" s="2"/>
      <c r="G73" s="2"/>
      <c r="H73" s="2"/>
      <c r="J73" s="2"/>
      <c r="K73" s="2"/>
    </row>
    <row r="74" spans="1:11" ht="15" x14ac:dyDescent="0.35">
      <c r="A74" s="220" t="s">
        <v>788</v>
      </c>
      <c r="B74" s="30">
        <v>10016</v>
      </c>
      <c r="C74" s="30">
        <v>10625</v>
      </c>
      <c r="D74" s="10">
        <v>9435</v>
      </c>
      <c r="E74" s="198">
        <v>9435</v>
      </c>
      <c r="F74" s="2"/>
      <c r="G74" s="2"/>
      <c r="H74" s="2"/>
      <c r="J74" s="2"/>
      <c r="K74" s="2"/>
    </row>
    <row r="75" spans="1:11" x14ac:dyDescent="0.2">
      <c r="A75" s="220" t="s">
        <v>1086</v>
      </c>
      <c r="B75" s="2">
        <f>SUM(B59:B74)</f>
        <v>75833</v>
      </c>
      <c r="C75" s="2">
        <f>SUM(C59:C74)</f>
        <v>75833</v>
      </c>
      <c r="D75" s="2">
        <f>SUM(D59:D74)</f>
        <v>100011</v>
      </c>
      <c r="E75" s="190">
        <f>SUM(E59:E74)</f>
        <v>76905</v>
      </c>
      <c r="F75" s="2"/>
      <c r="G75" s="2"/>
      <c r="H75" s="2"/>
      <c r="J75" s="2"/>
      <c r="K75" s="2"/>
    </row>
    <row r="76" spans="1:11" x14ac:dyDescent="0.2">
      <c r="B76" s="2"/>
      <c r="C76" s="2"/>
      <c r="D76" s="2"/>
      <c r="E76" s="2"/>
      <c r="F76" s="2"/>
      <c r="G76" s="2"/>
      <c r="H76" s="2"/>
      <c r="J76" s="2"/>
      <c r="K76" s="2"/>
    </row>
    <row r="77" spans="1:11" x14ac:dyDescent="0.2">
      <c r="A77" s="220" t="s">
        <v>823</v>
      </c>
      <c r="B77" s="2"/>
      <c r="C77" s="2"/>
      <c r="D77" s="2"/>
      <c r="E77" s="7"/>
      <c r="F77" s="2">
        <v>20937</v>
      </c>
      <c r="G77" s="142">
        <v>35000</v>
      </c>
      <c r="H77" s="2">
        <v>35000</v>
      </c>
      <c r="I77" s="2">
        <v>35000</v>
      </c>
      <c r="J77" s="2">
        <v>35000</v>
      </c>
      <c r="K77" s="2">
        <v>35000</v>
      </c>
    </row>
    <row r="78" spans="1:11" x14ac:dyDescent="0.2">
      <c r="A78" s="220" t="s">
        <v>824</v>
      </c>
      <c r="B78" s="2"/>
      <c r="C78" s="2"/>
      <c r="D78" s="2"/>
      <c r="E78" s="7"/>
      <c r="F78" s="2">
        <v>1123</v>
      </c>
      <c r="G78" s="142">
        <v>1000</v>
      </c>
      <c r="H78" s="2">
        <v>1500</v>
      </c>
      <c r="I78" s="2">
        <v>1500</v>
      </c>
      <c r="J78" s="2">
        <v>1500</v>
      </c>
      <c r="K78" s="2">
        <v>1500</v>
      </c>
    </row>
    <row r="79" spans="1:11" x14ac:dyDescent="0.2">
      <c r="A79" s="220" t="s">
        <v>629</v>
      </c>
      <c r="B79" s="2"/>
      <c r="C79" s="2"/>
      <c r="D79" s="2"/>
      <c r="E79" s="7"/>
      <c r="F79" s="2">
        <v>0</v>
      </c>
      <c r="G79" s="142">
        <v>200</v>
      </c>
      <c r="H79" s="2">
        <v>200</v>
      </c>
      <c r="I79" s="2">
        <v>200</v>
      </c>
      <c r="J79" s="2">
        <v>200</v>
      </c>
      <c r="K79" s="2">
        <v>200</v>
      </c>
    </row>
    <row r="80" spans="1:11" x14ac:dyDescent="0.2">
      <c r="A80" s="220" t="s">
        <v>630</v>
      </c>
      <c r="B80" s="2"/>
      <c r="C80" s="2"/>
      <c r="D80" s="2"/>
      <c r="E80" s="7"/>
      <c r="F80" s="2">
        <v>0</v>
      </c>
      <c r="G80" s="142">
        <v>500</v>
      </c>
      <c r="H80" s="2">
        <v>500</v>
      </c>
      <c r="I80" s="2">
        <v>500</v>
      </c>
      <c r="J80" s="2">
        <v>500</v>
      </c>
      <c r="K80" s="2">
        <v>500</v>
      </c>
    </row>
    <row r="81" spans="1:11" x14ac:dyDescent="0.2">
      <c r="A81" s="220" t="s">
        <v>825</v>
      </c>
      <c r="B81" s="2"/>
      <c r="C81" s="2"/>
      <c r="D81" s="2"/>
      <c r="E81" s="7"/>
      <c r="F81" s="2">
        <v>0</v>
      </c>
      <c r="G81" s="142">
        <v>50</v>
      </c>
      <c r="H81" s="2">
        <v>50</v>
      </c>
      <c r="I81" s="2">
        <v>50</v>
      </c>
      <c r="J81" s="2">
        <v>50</v>
      </c>
      <c r="K81" s="2">
        <v>50</v>
      </c>
    </row>
    <row r="82" spans="1:11" x14ac:dyDescent="0.2">
      <c r="A82" s="220" t="s">
        <v>826</v>
      </c>
      <c r="B82" s="2"/>
      <c r="C82" s="2"/>
      <c r="D82" s="2"/>
      <c r="E82" s="7"/>
      <c r="F82" s="2">
        <v>0</v>
      </c>
      <c r="G82" s="142">
        <v>1</v>
      </c>
      <c r="H82" s="2">
        <v>1</v>
      </c>
      <c r="I82" s="2">
        <v>1</v>
      </c>
      <c r="J82" s="2">
        <v>1</v>
      </c>
      <c r="K82" s="2">
        <v>1</v>
      </c>
    </row>
    <row r="83" spans="1:11" x14ac:dyDescent="0.2">
      <c r="A83" s="220" t="s">
        <v>827</v>
      </c>
      <c r="B83" s="2"/>
      <c r="C83" s="2"/>
      <c r="D83" s="2"/>
      <c r="E83" s="7"/>
      <c r="F83" s="2">
        <v>0</v>
      </c>
      <c r="G83" s="142">
        <v>200</v>
      </c>
      <c r="H83" s="2">
        <v>200</v>
      </c>
      <c r="I83" s="2">
        <v>200</v>
      </c>
      <c r="J83" s="2">
        <v>200</v>
      </c>
      <c r="K83" s="2">
        <v>200</v>
      </c>
    </row>
    <row r="84" spans="1:11" x14ac:dyDescent="0.2">
      <c r="A84" s="220" t="s">
        <v>828</v>
      </c>
      <c r="B84" s="2"/>
      <c r="C84" s="2"/>
      <c r="D84" s="2"/>
      <c r="E84" s="7"/>
      <c r="F84" s="2">
        <v>0</v>
      </c>
      <c r="G84" s="142">
        <v>1</v>
      </c>
      <c r="H84" s="2">
        <v>1</v>
      </c>
      <c r="I84" s="2">
        <v>1</v>
      </c>
      <c r="J84" s="2">
        <v>1</v>
      </c>
      <c r="K84" s="2">
        <v>1</v>
      </c>
    </row>
    <row r="85" spans="1:11" x14ac:dyDescent="0.2">
      <c r="A85" s="220" t="s">
        <v>1137</v>
      </c>
      <c r="B85" s="2"/>
      <c r="C85" s="2"/>
      <c r="D85" s="2"/>
      <c r="E85" s="7"/>
      <c r="F85" s="2">
        <v>0</v>
      </c>
      <c r="G85" s="142">
        <v>300</v>
      </c>
      <c r="H85" s="2">
        <v>1</v>
      </c>
      <c r="I85" s="2">
        <v>1</v>
      </c>
      <c r="J85" s="2">
        <v>1</v>
      </c>
      <c r="K85" s="2">
        <v>1</v>
      </c>
    </row>
    <row r="86" spans="1:11" x14ac:dyDescent="0.2">
      <c r="A86" s="220" t="s">
        <v>1749</v>
      </c>
      <c r="B86" s="2"/>
      <c r="C86" s="2"/>
      <c r="D86" s="2"/>
      <c r="E86" s="7"/>
      <c r="F86" s="2">
        <v>0</v>
      </c>
      <c r="G86" s="142">
        <v>1000</v>
      </c>
      <c r="H86" s="2">
        <v>1000</v>
      </c>
      <c r="I86" s="2">
        <v>1000</v>
      </c>
      <c r="J86" s="2">
        <v>1000</v>
      </c>
      <c r="K86" s="2">
        <v>1000</v>
      </c>
    </row>
    <row r="87" spans="1:11" x14ac:dyDescent="0.2">
      <c r="A87" s="220" t="s">
        <v>637</v>
      </c>
      <c r="B87" s="2"/>
      <c r="C87" s="2"/>
      <c r="D87" s="2"/>
      <c r="E87" s="7"/>
      <c r="F87" s="2">
        <v>0</v>
      </c>
      <c r="G87" s="142">
        <v>1</v>
      </c>
      <c r="H87" s="2">
        <v>1</v>
      </c>
      <c r="I87" s="2">
        <v>1</v>
      </c>
      <c r="J87" s="2">
        <v>1</v>
      </c>
      <c r="K87" s="2">
        <v>1</v>
      </c>
    </row>
    <row r="88" spans="1:11" x14ac:dyDescent="0.2">
      <c r="A88" s="220" t="s">
        <v>237</v>
      </c>
      <c r="B88" s="2"/>
      <c r="C88" s="2"/>
      <c r="D88" s="2"/>
      <c r="E88" s="7"/>
      <c r="F88" s="2">
        <v>0</v>
      </c>
      <c r="G88" s="142">
        <v>1</v>
      </c>
      <c r="H88" s="2">
        <v>1</v>
      </c>
      <c r="I88" s="2">
        <v>1</v>
      </c>
      <c r="J88" s="2">
        <v>1</v>
      </c>
      <c r="K88" s="2">
        <v>1</v>
      </c>
    </row>
    <row r="89" spans="1:11" x14ac:dyDescent="0.2">
      <c r="A89" s="220" t="s">
        <v>238</v>
      </c>
      <c r="B89" s="2"/>
      <c r="C89" s="2"/>
      <c r="D89" s="2"/>
      <c r="E89" s="7"/>
      <c r="F89" s="2">
        <v>0</v>
      </c>
      <c r="G89" s="142">
        <v>1000</v>
      </c>
      <c r="H89" s="2">
        <v>1000</v>
      </c>
      <c r="I89" s="2">
        <v>1000</v>
      </c>
      <c r="J89" s="2">
        <v>1000</v>
      </c>
      <c r="K89" s="2">
        <v>1000</v>
      </c>
    </row>
    <row r="90" spans="1:11" x14ac:dyDescent="0.2">
      <c r="A90" s="220" t="s">
        <v>883</v>
      </c>
      <c r="B90" s="2"/>
      <c r="C90" s="2"/>
      <c r="D90" s="2"/>
      <c r="E90" s="7"/>
      <c r="F90" s="2">
        <v>0</v>
      </c>
      <c r="G90" s="142">
        <v>500</v>
      </c>
      <c r="H90" s="2">
        <v>500</v>
      </c>
      <c r="I90" s="2">
        <v>500</v>
      </c>
      <c r="J90" s="2">
        <v>500</v>
      </c>
      <c r="K90" s="2">
        <v>500</v>
      </c>
    </row>
    <row r="91" spans="1:11" x14ac:dyDescent="0.2">
      <c r="A91" s="220" t="s">
        <v>1260</v>
      </c>
      <c r="B91" s="2"/>
      <c r="C91" s="2"/>
      <c r="D91" s="2"/>
      <c r="E91" s="7"/>
      <c r="F91" s="2">
        <v>0</v>
      </c>
      <c r="G91" s="142">
        <v>1</v>
      </c>
      <c r="H91" s="2">
        <v>1</v>
      </c>
      <c r="I91" s="2">
        <v>1</v>
      </c>
      <c r="J91" s="2">
        <v>1</v>
      </c>
      <c r="K91" s="2">
        <v>1</v>
      </c>
    </row>
    <row r="92" spans="1:11" ht="15" x14ac:dyDescent="0.35">
      <c r="A92" s="220" t="s">
        <v>591</v>
      </c>
      <c r="B92" s="10"/>
      <c r="C92" s="10"/>
      <c r="D92" s="10"/>
      <c r="E92" s="8"/>
      <c r="F92" s="10">
        <v>0</v>
      </c>
      <c r="G92" s="143">
        <v>1</v>
      </c>
      <c r="H92" s="10">
        <v>1</v>
      </c>
      <c r="I92" s="10">
        <v>1</v>
      </c>
      <c r="J92" s="10">
        <v>1</v>
      </c>
      <c r="K92" s="10">
        <v>1</v>
      </c>
    </row>
    <row r="93" spans="1:11" x14ac:dyDescent="0.2">
      <c r="A93" s="220" t="s">
        <v>349</v>
      </c>
      <c r="B93" s="2"/>
      <c r="C93" s="7"/>
      <c r="D93" s="7"/>
      <c r="E93" s="2"/>
      <c r="F93" s="2">
        <f t="shared" ref="F93:K93" si="0">SUM(F77:F92)</f>
        <v>22060</v>
      </c>
      <c r="G93" s="2">
        <f t="shared" si="0"/>
        <v>39756</v>
      </c>
      <c r="H93" s="2">
        <f t="shared" si="0"/>
        <v>39957</v>
      </c>
      <c r="I93" s="2">
        <f t="shared" ref="I93" si="1">SUM(I77:I92)</f>
        <v>39957</v>
      </c>
      <c r="J93" s="2">
        <f t="shared" si="0"/>
        <v>39957</v>
      </c>
      <c r="K93" s="2">
        <f t="shared" si="0"/>
        <v>39957</v>
      </c>
    </row>
    <row r="94" spans="1:11" x14ac:dyDescent="0.2">
      <c r="B94" s="2"/>
      <c r="C94" s="7"/>
      <c r="D94" s="7"/>
      <c r="E94" s="2"/>
      <c r="F94" s="2"/>
      <c r="G94" s="2"/>
      <c r="H94" s="2"/>
      <c r="J94" s="2"/>
      <c r="K94" s="2"/>
    </row>
    <row r="95" spans="1:11" x14ac:dyDescent="0.2">
      <c r="A95" s="220" t="s">
        <v>1167</v>
      </c>
      <c r="E95" s="2"/>
      <c r="F95" s="2">
        <f t="shared" ref="F95:K95" si="2">SUM(F6:F92)</f>
        <v>146746</v>
      </c>
      <c r="G95" s="2">
        <f t="shared" si="2"/>
        <v>164999</v>
      </c>
      <c r="H95" s="2">
        <f t="shared" si="2"/>
        <v>167072</v>
      </c>
      <c r="I95" s="2">
        <f t="shared" si="2"/>
        <v>167134</v>
      </c>
      <c r="J95" s="2">
        <f t="shared" si="2"/>
        <v>168029</v>
      </c>
      <c r="K95" s="2">
        <f t="shared" si="2"/>
        <v>168029</v>
      </c>
    </row>
    <row r="96" spans="1:11" x14ac:dyDescent="0.2">
      <c r="J96" s="2"/>
      <c r="K96" s="2"/>
    </row>
    <row r="97" spans="1:11" x14ac:dyDescent="0.2">
      <c r="A97" s="220" t="s">
        <v>838</v>
      </c>
      <c r="F97" s="2">
        <f t="shared" ref="F97:K97" si="3">SUM(F6:F18)</f>
        <v>45141</v>
      </c>
      <c r="G97" s="2">
        <f t="shared" si="3"/>
        <v>45284</v>
      </c>
      <c r="H97" s="2">
        <f t="shared" si="3"/>
        <v>46058</v>
      </c>
      <c r="I97" s="2">
        <f t="shared" si="3"/>
        <v>46120</v>
      </c>
      <c r="J97" s="2">
        <f t="shared" si="3"/>
        <v>47015</v>
      </c>
      <c r="K97" s="2">
        <f t="shared" si="3"/>
        <v>47015</v>
      </c>
    </row>
    <row r="98" spans="1:11" x14ac:dyDescent="0.2">
      <c r="A98" s="220" t="s">
        <v>818</v>
      </c>
      <c r="F98" s="2">
        <f t="shared" ref="F98:K98" si="4">SUM(F58:F92)+SUM(F20:F54)</f>
        <v>101605</v>
      </c>
      <c r="G98" s="2">
        <f t="shared" si="4"/>
        <v>119715</v>
      </c>
      <c r="H98" s="2">
        <f t="shared" si="4"/>
        <v>121014</v>
      </c>
      <c r="I98" s="2">
        <f t="shared" si="4"/>
        <v>121014</v>
      </c>
      <c r="J98" s="2">
        <f t="shared" si="4"/>
        <v>121014</v>
      </c>
      <c r="K98" s="2">
        <f t="shared" si="4"/>
        <v>121014</v>
      </c>
    </row>
    <row r="99" spans="1:11" x14ac:dyDescent="0.2">
      <c r="A99" s="220" t="s">
        <v>819</v>
      </c>
      <c r="F99" s="17">
        <f t="shared" ref="F99:K99" si="5">+F55</f>
        <v>0</v>
      </c>
      <c r="G99" s="17">
        <f t="shared" si="5"/>
        <v>0</v>
      </c>
      <c r="H99" s="17">
        <f t="shared" si="5"/>
        <v>0</v>
      </c>
      <c r="I99" s="17">
        <f t="shared" si="5"/>
        <v>0</v>
      </c>
      <c r="J99" s="17">
        <f t="shared" si="5"/>
        <v>0</v>
      </c>
      <c r="K99" s="17">
        <f t="shared" si="5"/>
        <v>0</v>
      </c>
    </row>
    <row r="100" spans="1:11" x14ac:dyDescent="0.2">
      <c r="A100" s="220" t="s">
        <v>1086</v>
      </c>
      <c r="F100" s="2">
        <f t="shared" ref="F100:K100" si="6">SUM(F97:F99)</f>
        <v>146746</v>
      </c>
      <c r="G100" s="2">
        <f t="shared" si="6"/>
        <v>164999</v>
      </c>
      <c r="H100" s="2">
        <f t="shared" si="6"/>
        <v>167072</v>
      </c>
      <c r="I100" s="2">
        <f t="shared" si="6"/>
        <v>167134</v>
      </c>
      <c r="J100" s="2">
        <f t="shared" si="6"/>
        <v>168029</v>
      </c>
      <c r="K100" s="2">
        <f t="shared" si="6"/>
        <v>168029</v>
      </c>
    </row>
    <row r="101" spans="1:11" x14ac:dyDescent="0.2">
      <c r="J101" s="2"/>
      <c r="K101" s="2">
        <f>+K100-J100</f>
        <v>0</v>
      </c>
    </row>
    <row r="102" spans="1:11" x14ac:dyDescent="0.2">
      <c r="J102" s="2"/>
    </row>
    <row r="103" spans="1:11" x14ac:dyDescent="0.2">
      <c r="J103" s="2"/>
    </row>
    <row r="104" spans="1:11" x14ac:dyDescent="0.2">
      <c r="J104" s="2"/>
    </row>
    <row r="105" spans="1:11" x14ac:dyDescent="0.2">
      <c r="J105" s="2"/>
    </row>
    <row r="106" spans="1:11" x14ac:dyDescent="0.2">
      <c r="J106" s="2"/>
    </row>
    <row r="107" spans="1:11" x14ac:dyDescent="0.2">
      <c r="J107" s="2"/>
    </row>
    <row r="108" spans="1:11" x14ac:dyDescent="0.2">
      <c r="J108" s="2"/>
    </row>
    <row r="109" spans="1:11" x14ac:dyDescent="0.2">
      <c r="J109" s="2"/>
    </row>
    <row r="110" spans="1:11" x14ac:dyDescent="0.2">
      <c r="J110" s="2"/>
    </row>
    <row r="111" spans="1:11" x14ac:dyDescent="0.2">
      <c r="J111" s="2"/>
    </row>
    <row r="112" spans="1:11" x14ac:dyDescent="0.2">
      <c r="J112" s="2"/>
    </row>
    <row r="113" spans="10:10" x14ac:dyDescent="0.2">
      <c r="J113" s="2"/>
    </row>
    <row r="114" spans="10:10" x14ac:dyDescent="0.2">
      <c r="J114" s="2"/>
    </row>
    <row r="115" spans="10:10" x14ac:dyDescent="0.2">
      <c r="J115" s="2"/>
    </row>
    <row r="116" spans="10:10" x14ac:dyDescent="0.2">
      <c r="J116" s="2"/>
    </row>
    <row r="117" spans="10:10" x14ac:dyDescent="0.2">
      <c r="J117" s="2"/>
    </row>
    <row r="118" spans="10:10" x14ac:dyDescent="0.2">
      <c r="J118" s="2"/>
    </row>
    <row r="119" spans="10:10" x14ac:dyDescent="0.2">
      <c r="J119" s="2"/>
    </row>
    <row r="120" spans="10:10" x14ac:dyDescent="0.2">
      <c r="J120" s="2"/>
    </row>
    <row r="121" spans="10:10" x14ac:dyDescent="0.2">
      <c r="J121" s="2"/>
    </row>
    <row r="122" spans="10:10" x14ac:dyDescent="0.2">
      <c r="J122" s="2"/>
    </row>
    <row r="123" spans="10:10" x14ac:dyDescent="0.2">
      <c r="J123" s="2"/>
    </row>
    <row r="124" spans="10:10" x14ac:dyDescent="0.2">
      <c r="J124" s="2"/>
    </row>
    <row r="125" spans="10:10" x14ac:dyDescent="0.2">
      <c r="J125" s="2"/>
    </row>
    <row r="126" spans="10:10" x14ac:dyDescent="0.2">
      <c r="J126" s="2"/>
    </row>
    <row r="127" spans="10:10" x14ac:dyDescent="0.2">
      <c r="J127" s="2"/>
    </row>
    <row r="128" spans="10:10" x14ac:dyDescent="0.2">
      <c r="J128" s="2"/>
    </row>
    <row r="129" spans="10:10" x14ac:dyDescent="0.2">
      <c r="J129" s="2"/>
    </row>
    <row r="130" spans="10:10" x14ac:dyDescent="0.2">
      <c r="J130" s="2"/>
    </row>
    <row r="131" spans="10:10" x14ac:dyDescent="0.2">
      <c r="J131" s="2"/>
    </row>
    <row r="132" spans="10:10" x14ac:dyDescent="0.2">
      <c r="J132" s="2"/>
    </row>
    <row r="133" spans="10:10" x14ac:dyDescent="0.2">
      <c r="J133" s="2"/>
    </row>
    <row r="134" spans="10:10" x14ac:dyDescent="0.2">
      <c r="J134" s="2"/>
    </row>
    <row r="135" spans="10:10" x14ac:dyDescent="0.2">
      <c r="J135" s="2"/>
    </row>
    <row r="136" spans="10:10" x14ac:dyDescent="0.2">
      <c r="J136" s="2"/>
    </row>
    <row r="137" spans="10:10" x14ac:dyDescent="0.2">
      <c r="J137" s="2"/>
    </row>
    <row r="138" spans="10:10" x14ac:dyDescent="0.2">
      <c r="J138" s="2"/>
    </row>
    <row r="139" spans="10:10" x14ac:dyDescent="0.2">
      <c r="J139" s="2"/>
    </row>
    <row r="140" spans="10:10" x14ac:dyDescent="0.2">
      <c r="J140" s="2"/>
    </row>
    <row r="141" spans="10:10" x14ac:dyDescent="0.2">
      <c r="J141" s="2"/>
    </row>
    <row r="142" spans="10:10" x14ac:dyDescent="0.2">
      <c r="J142" s="2"/>
    </row>
    <row r="143" spans="10:10" x14ac:dyDescent="0.2">
      <c r="J143" s="2"/>
    </row>
    <row r="144" spans="10:10" x14ac:dyDescent="0.2">
      <c r="J144" s="2"/>
    </row>
    <row r="145" spans="10:10" x14ac:dyDescent="0.2">
      <c r="J145" s="2"/>
    </row>
    <row r="146" spans="10:10" x14ac:dyDescent="0.2">
      <c r="J146" s="2"/>
    </row>
    <row r="147" spans="10:10" x14ac:dyDescent="0.2">
      <c r="J147" s="2"/>
    </row>
    <row r="148" spans="10:10" x14ac:dyDescent="0.2">
      <c r="J148" s="2"/>
    </row>
    <row r="149" spans="10:10" x14ac:dyDescent="0.2">
      <c r="J149" s="2"/>
    </row>
    <row r="150" spans="10:10" x14ac:dyDescent="0.2">
      <c r="J150" s="2"/>
    </row>
    <row r="151" spans="10:10" x14ac:dyDescent="0.2">
      <c r="J151" s="2"/>
    </row>
  </sheetData>
  <mergeCells count="2">
    <mergeCell ref="D57:E57"/>
    <mergeCell ref="A1:J1"/>
  </mergeCells>
  <phoneticPr fontId="0" type="noConversion"/>
  <printOptions gridLines="1"/>
  <pageMargins left="0.75" right="0.16" top="0.51" bottom="0.16" header="0.5" footer="0.5"/>
  <pageSetup scale="77" fitToHeight="3" orientation="landscape" r:id="rId1"/>
  <headerFooter alignWithMargins="0"/>
  <rowBreaks count="1" manualBreakCount="1">
    <brk id="54"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70"/>
  <sheetViews>
    <sheetView view="pageBreakPreview" zoomScaleNormal="100" zoomScaleSheetLayoutView="100" workbookViewId="0">
      <pane ySplit="5" topLeftCell="A34" activePane="bottomLeft" state="frozen"/>
      <selection activeCell="I6" sqref="I6:I240"/>
      <selection pane="bottomLeft" sqref="A1:G1"/>
    </sheetView>
  </sheetViews>
  <sheetFormatPr defaultColWidth="8.85546875" defaultRowHeight="12.75" x14ac:dyDescent="0.2"/>
  <cols>
    <col min="1" max="1" width="53.85546875" style="148" bestFit="1" customWidth="1"/>
    <col min="2" max="3" width="11.28515625" style="148" bestFit="1" customWidth="1"/>
    <col min="4" max="4" width="11.7109375" style="148" bestFit="1" customWidth="1"/>
    <col min="5" max="5" width="14.85546875" style="148" bestFit="1" customWidth="1"/>
    <col min="6" max="7" width="11.28515625" style="148" bestFit="1" customWidth="1"/>
    <col min="8" max="8" width="0" style="148" hidden="1" customWidth="1"/>
    <col min="9" max="11" width="10.85546875" style="148" bestFit="1" customWidth="1"/>
    <col min="12" max="13" width="10" style="148" bestFit="1" customWidth="1"/>
    <col min="14" max="16384" width="8.85546875" style="148"/>
  </cols>
  <sheetData>
    <row r="1" spans="1:8" x14ac:dyDescent="0.2">
      <c r="A1" s="261" t="s">
        <v>1965</v>
      </c>
      <c r="B1" s="261"/>
      <c r="C1" s="261"/>
      <c r="D1" s="261"/>
      <c r="E1" s="261"/>
      <c r="F1" s="261"/>
      <c r="G1" s="261"/>
      <c r="H1" s="5"/>
    </row>
    <row r="2" spans="1:8" ht="18.75" x14ac:dyDescent="0.3">
      <c r="A2" s="107" t="s">
        <v>1647</v>
      </c>
      <c r="B2" s="107"/>
      <c r="C2" s="107"/>
      <c r="D2" s="107"/>
      <c r="E2" s="107"/>
      <c r="F2" s="107"/>
      <c r="G2" s="107"/>
    </row>
    <row r="3" spans="1:8" x14ac:dyDescent="0.2">
      <c r="A3" s="155"/>
      <c r="B3" s="2"/>
      <c r="C3" s="2"/>
      <c r="D3" s="155"/>
      <c r="E3" s="155"/>
      <c r="F3" s="155"/>
      <c r="G3" s="155"/>
    </row>
    <row r="4" spans="1:8" x14ac:dyDescent="0.2">
      <c r="A4" s="155"/>
      <c r="B4" s="15" t="s">
        <v>1972</v>
      </c>
      <c r="C4" s="15" t="s">
        <v>1973</v>
      </c>
      <c r="D4" s="15" t="s">
        <v>1974</v>
      </c>
      <c r="E4" s="15" t="s">
        <v>1975</v>
      </c>
      <c r="F4" s="15" t="s">
        <v>1976</v>
      </c>
      <c r="G4" s="15" t="s">
        <v>1977</v>
      </c>
    </row>
    <row r="5" spans="1:8" ht="15" x14ac:dyDescent="0.35">
      <c r="A5" s="155"/>
      <c r="B5" s="156" t="s">
        <v>1978</v>
      </c>
      <c r="C5" s="156" t="s">
        <v>1979</v>
      </c>
      <c r="D5" s="156" t="s">
        <v>1980</v>
      </c>
      <c r="E5" s="156" t="s">
        <v>1980</v>
      </c>
      <c r="F5" s="156" t="s">
        <v>1980</v>
      </c>
      <c r="G5" s="156" t="s">
        <v>1980</v>
      </c>
    </row>
    <row r="6" spans="1:8" ht="13.5" x14ac:dyDescent="0.25">
      <c r="A6" s="157" t="s">
        <v>239</v>
      </c>
      <c r="B6" s="2" t="s">
        <v>1981</v>
      </c>
      <c r="C6" s="2">
        <v>1</v>
      </c>
      <c r="D6" s="2">
        <v>1</v>
      </c>
      <c r="E6" s="2">
        <v>1</v>
      </c>
      <c r="F6" s="2">
        <v>1</v>
      </c>
      <c r="G6" s="2">
        <v>1</v>
      </c>
    </row>
    <row r="7" spans="1:8" x14ac:dyDescent="0.2">
      <c r="A7" s="155" t="s">
        <v>234</v>
      </c>
      <c r="B7" s="2"/>
      <c r="C7" s="2"/>
      <c r="D7" s="2"/>
      <c r="E7" s="2"/>
      <c r="F7" s="2"/>
      <c r="G7" s="2"/>
    </row>
    <row r="8" spans="1:8" x14ac:dyDescent="0.2">
      <c r="A8" s="155" t="s">
        <v>235</v>
      </c>
      <c r="B8" s="2"/>
      <c r="C8" s="2"/>
      <c r="D8" s="2"/>
      <c r="E8" s="2"/>
      <c r="F8" s="2"/>
      <c r="G8" s="2"/>
    </row>
    <row r="9" spans="1:8" x14ac:dyDescent="0.2">
      <c r="A9" s="155"/>
      <c r="B9" s="2"/>
      <c r="C9" s="2"/>
      <c r="D9" s="2"/>
      <c r="E9" s="2"/>
      <c r="F9" s="2"/>
      <c r="G9" s="2"/>
    </row>
    <row r="10" spans="1:8" ht="13.5" x14ac:dyDescent="0.25">
      <c r="A10" s="157"/>
      <c r="B10" s="2"/>
      <c r="C10" s="2"/>
      <c r="D10" s="2"/>
      <c r="E10" s="2"/>
      <c r="F10" s="2"/>
      <c r="G10" s="2"/>
    </row>
    <row r="11" spans="1:8" x14ac:dyDescent="0.2">
      <c r="A11" s="132" t="s">
        <v>1191</v>
      </c>
      <c r="B11" s="2">
        <v>10500</v>
      </c>
      <c r="C11" s="2">
        <v>7175</v>
      </c>
      <c r="D11" s="2">
        <v>3706</v>
      </c>
      <c r="E11" s="2">
        <v>3706</v>
      </c>
      <c r="F11" s="2">
        <v>3706</v>
      </c>
      <c r="G11" s="2">
        <v>3706</v>
      </c>
    </row>
    <row r="12" spans="1:8" x14ac:dyDescent="0.2">
      <c r="A12" s="155" t="s">
        <v>33</v>
      </c>
      <c r="B12" s="2"/>
      <c r="C12" s="2"/>
      <c r="D12" s="2"/>
      <c r="E12" s="2"/>
      <c r="F12" s="2"/>
      <c r="G12" s="2"/>
    </row>
    <row r="13" spans="1:8" ht="13.5" x14ac:dyDescent="0.25">
      <c r="A13" s="157"/>
      <c r="B13" s="2"/>
      <c r="C13" s="2"/>
      <c r="D13" s="2"/>
      <c r="E13" s="2"/>
      <c r="F13" s="2"/>
      <c r="G13" s="2"/>
    </row>
    <row r="14" spans="1:8" x14ac:dyDescent="0.2">
      <c r="A14" s="132" t="s">
        <v>1192</v>
      </c>
      <c r="B14" s="2">
        <v>120765</v>
      </c>
      <c r="C14" s="2">
        <v>140000</v>
      </c>
      <c r="D14" s="2">
        <v>145000</v>
      </c>
      <c r="E14" s="2">
        <v>145000</v>
      </c>
      <c r="F14" s="2">
        <v>145000</v>
      </c>
      <c r="G14" s="2">
        <v>145000</v>
      </c>
    </row>
    <row r="15" spans="1:8" x14ac:dyDescent="0.2">
      <c r="A15" s="155" t="s">
        <v>33</v>
      </c>
      <c r="B15" s="2"/>
      <c r="C15" s="2"/>
      <c r="D15" s="2"/>
      <c r="E15" s="2"/>
      <c r="F15" s="2"/>
      <c r="G15" s="2"/>
    </row>
    <row r="16" spans="1:8" ht="13.5" x14ac:dyDescent="0.25">
      <c r="A16" s="157"/>
      <c r="B16" s="2"/>
      <c r="C16" s="2"/>
      <c r="D16" s="2"/>
      <c r="E16" s="2"/>
      <c r="F16" s="2"/>
      <c r="G16" s="2"/>
    </row>
    <row r="17" spans="1:12" x14ac:dyDescent="0.2">
      <c r="A17" s="132" t="s">
        <v>1674</v>
      </c>
      <c r="B17" s="2">
        <v>130000</v>
      </c>
      <c r="C17" s="2">
        <v>112860</v>
      </c>
      <c r="D17" s="2">
        <v>104955</v>
      </c>
      <c r="E17" s="2">
        <v>104955</v>
      </c>
      <c r="F17" s="2">
        <v>104955</v>
      </c>
      <c r="G17" s="2">
        <v>104955</v>
      </c>
    </row>
    <row r="18" spans="1:12" x14ac:dyDescent="0.2">
      <c r="A18" s="155" t="s">
        <v>1676</v>
      </c>
      <c r="B18" s="2"/>
      <c r="C18" s="2"/>
      <c r="D18" s="2"/>
      <c r="E18" s="2"/>
      <c r="F18" s="2"/>
      <c r="G18" s="2"/>
    </row>
    <row r="19" spans="1:12" ht="13.5" x14ac:dyDescent="0.25">
      <c r="A19" s="157"/>
      <c r="B19" s="2"/>
      <c r="C19" s="2"/>
      <c r="D19" s="2"/>
      <c r="E19" s="2"/>
      <c r="F19" s="2"/>
      <c r="G19" s="2"/>
    </row>
    <row r="20" spans="1:12" x14ac:dyDescent="0.2">
      <c r="A20" s="132" t="s">
        <v>1675</v>
      </c>
      <c r="B20" s="2">
        <v>155000</v>
      </c>
      <c r="C20" s="2">
        <v>155000</v>
      </c>
      <c r="D20" s="2">
        <v>155000</v>
      </c>
      <c r="E20" s="2">
        <v>155000</v>
      </c>
      <c r="F20" s="2">
        <v>155000</v>
      </c>
      <c r="G20" s="2">
        <v>155000</v>
      </c>
    </row>
    <row r="21" spans="1:12" x14ac:dyDescent="0.2">
      <c r="A21" s="155" t="s">
        <v>1676</v>
      </c>
      <c r="B21" s="2"/>
      <c r="C21" s="2"/>
      <c r="D21" s="2"/>
      <c r="E21" s="2"/>
      <c r="F21" s="2"/>
      <c r="G21" s="2"/>
    </row>
    <row r="22" spans="1:12" ht="13.5" x14ac:dyDescent="0.25">
      <c r="A22" s="157"/>
      <c r="B22" s="2"/>
      <c r="C22" s="2"/>
      <c r="D22" s="2"/>
      <c r="E22" s="2"/>
      <c r="F22" s="2"/>
      <c r="G22" s="2"/>
    </row>
    <row r="23" spans="1:12" x14ac:dyDescent="0.2">
      <c r="A23" s="155" t="s">
        <v>1189</v>
      </c>
      <c r="B23" s="2">
        <v>416265</v>
      </c>
      <c r="C23" s="2">
        <v>415036</v>
      </c>
      <c r="D23" s="42">
        <v>408662</v>
      </c>
      <c r="E23" s="42">
        <v>408662</v>
      </c>
      <c r="F23" s="42">
        <v>408662</v>
      </c>
      <c r="G23" s="42">
        <v>408662</v>
      </c>
    </row>
    <row r="24" spans="1:12" x14ac:dyDescent="0.2">
      <c r="A24" s="155"/>
      <c r="B24" s="2"/>
      <c r="C24" s="2"/>
      <c r="D24" s="2"/>
      <c r="E24" s="2"/>
      <c r="F24" s="2"/>
      <c r="G24" s="2"/>
    </row>
    <row r="25" spans="1:12" ht="13.5" x14ac:dyDescent="0.25">
      <c r="A25" s="157"/>
      <c r="B25" s="214"/>
      <c r="C25" s="214"/>
      <c r="D25" s="214"/>
      <c r="E25" s="214"/>
      <c r="F25" s="214"/>
      <c r="G25" s="214"/>
    </row>
    <row r="26" spans="1:12" x14ac:dyDescent="0.2">
      <c r="A26" s="155" t="s">
        <v>1630</v>
      </c>
      <c r="B26" s="2">
        <f>+'01-gen gov'!E282+'02-assessing'!E122+'03-fire'!E385+'04-police'!E306+'05-comm'!E146+'06-code enforcement'!E152+'07-pub works'!E144+'08-highway'!E356+'09-solid waste'!E221+'13-parks &amp; rec'!E254+'15-library'!E246+'16-equip mntc'!E129+'17-bldg &amp; grounds'!E142+'21-comm dev'!E164+'24-tax coll'!E152+'25-welfare'!F95+B23</f>
        <v>31507910</v>
      </c>
      <c r="C26" s="2">
        <f>+'01-gen gov'!F282+'02-assessing'!F122+'03-fire'!F385+'04-police'!F306+'05-comm'!F146+'06-code enforcement'!F152+'07-pub works'!F144+'08-highway'!F356+'09-solid waste'!F221+'13-parks &amp; rec'!F254+'15-library'!F246+'16-equip mntc'!F129+'17-bldg &amp; grounds'!F142+'21-comm dev'!F164+'24-tax coll'!F152+'25-welfare'!G95+C23</f>
        <v>29404355.365831427</v>
      </c>
      <c r="D26" s="2">
        <f>+'01-gen gov'!G282+'02-assessing'!G122+'03-fire'!G385+'04-police'!G306+'05-comm'!G146+'06-code enforcement'!G152+'07-pub works'!G144+'08-highway'!G356+'09-solid waste'!G221+'13-parks &amp; rec'!G254+'15-library'!G246+'16-equip mntc'!G129+'17-bldg &amp; grounds'!G142+'21-comm dev'!G164+'24-tax coll'!G152+'25-welfare'!H95+D23</f>
        <v>31394601.501744002</v>
      </c>
      <c r="E26" s="2">
        <f>+'01-gen gov'!H282+'02-assessing'!H122+'03-fire'!H385+'04-police'!H306+'05-comm'!H146+'06-code enforcement'!H152+'07-pub works'!H144+'08-highway'!H356+'09-solid waste'!H221+'13-parks &amp; rec'!H254+'15-library'!H246+'16-equip mntc'!H129+'17-bldg &amp; grounds'!H142+'21-comm dev'!H164+'24-tax coll'!H152+'25-welfare'!I95+E23</f>
        <v>31096572.501744002</v>
      </c>
      <c r="F26" s="2">
        <f>+'01-gen gov'!I282+'02-assessing'!I122+'03-fire'!I385+'04-police'!I306+'05-comm'!I146+'06-code enforcement'!I152+'07-pub works'!I144+'08-highway'!I356+'09-solid waste'!I221+'13-parks &amp; rec'!I254+'15-library'!I246+'16-equip mntc'!I129+'17-bldg &amp; grounds'!I142+'21-comm dev'!I164+'24-tax coll'!I152+'25-welfare'!J95+F23</f>
        <v>30707373.501744002</v>
      </c>
      <c r="G26" s="2">
        <f>+'01-gen gov'!J282+'02-assessing'!J122+'03-fire'!J385+'04-police'!J306+'05-comm'!J146+'06-code enforcement'!J152+'07-pub works'!J144+'08-highway'!J356+'09-solid waste'!J221+'13-parks &amp; rec'!J254+'15-library'!J246+'16-equip mntc'!J129+'17-bldg &amp; grounds'!J142+'21-comm dev'!J164+'24-tax coll'!J152+'25-welfare'!K95+G23</f>
        <v>30707373.501744002</v>
      </c>
    </row>
    <row r="27" spans="1:12" x14ac:dyDescent="0.2">
      <c r="A27" s="54"/>
      <c r="B27" s="2"/>
      <c r="C27" s="2"/>
      <c r="D27" s="2"/>
      <c r="E27" s="2"/>
      <c r="F27" s="2"/>
      <c r="G27" s="2"/>
    </row>
    <row r="28" spans="1:12" x14ac:dyDescent="0.2">
      <c r="A28" s="155" t="s">
        <v>523</v>
      </c>
      <c r="B28" s="2">
        <f>+'25-welfare'!F97+'24-tax coll'!E154+'21-comm dev'!E168+'17-bldg &amp; grounds'!E144+'16-equip mntc'!E132+'15-library'!E253+'13-parks &amp; rec'!E256+'09-solid waste'!E224+'08-highway'!E358+'07-pub works'!E146+'06-code enforcement'!E154+'05-comm'!E148+'04-police'!E308+'03-fire'!E387+'02-assessing'!E124+'01-gen gov'!E284</f>
        <v>18959935</v>
      </c>
      <c r="C28" s="2">
        <f>+'25-welfare'!G97+'24-tax coll'!F154+'21-comm dev'!F168+'17-bldg &amp; grounds'!F144+'16-equip mntc'!F132+'15-library'!F253+'13-parks &amp; rec'!F256+'09-solid waste'!F224+'08-highway'!F358+'07-pub works'!F146+'06-code enforcement'!F154+'05-comm'!F148+'04-police'!F308+'03-fire'!F387+'02-assessing'!F124+'01-gen gov'!F284</f>
        <v>20919651.365831427</v>
      </c>
      <c r="D28" s="2">
        <f>+'25-welfare'!H97+'24-tax coll'!G154+'21-comm dev'!G168+'17-bldg &amp; grounds'!G144+'16-equip mntc'!G132+'15-library'!G253+'13-parks &amp; rec'!G256+'09-solid waste'!G224+'08-highway'!G358+'07-pub works'!G146+'06-code enforcement'!G154+'05-comm'!G148+'04-police'!G308+'03-fire'!G387+'02-assessing'!G124+'01-gen gov'!G284</f>
        <v>22536491.501744002</v>
      </c>
      <c r="E28" s="2">
        <f>+'25-welfare'!I97+'24-tax coll'!H154+'21-comm dev'!H168+'17-bldg &amp; grounds'!H144+'16-equip mntc'!H132+'15-library'!H253+'13-parks &amp; rec'!H256+'09-solid waste'!H224+'08-highway'!H358+'07-pub works'!H146+'06-code enforcement'!H154+'05-comm'!H148+'04-police'!H308+'03-fire'!H387+'02-assessing'!H124+'01-gen gov'!H284</f>
        <v>22429092.501744002</v>
      </c>
      <c r="F28" s="2">
        <f>+'25-welfare'!J97+'24-tax coll'!I154+'21-comm dev'!I168+'17-bldg &amp; grounds'!I144+'16-equip mntc'!I132+'15-library'!I253+'13-parks &amp; rec'!I256+'09-solid waste'!I224+'08-highway'!I358+'07-pub works'!I146+'06-code enforcement'!I154+'05-comm'!I148+'04-police'!I308+'03-fire'!I387+'02-assessing'!I124+'01-gen gov'!I284</f>
        <v>22398671.501744002</v>
      </c>
      <c r="G28" s="2">
        <f>+'25-welfare'!K97+'24-tax coll'!J154+'21-comm dev'!J168+'17-bldg &amp; grounds'!J144+'16-equip mntc'!J132+'15-library'!J253+'13-parks &amp; rec'!J256+'09-solid waste'!J224+'08-highway'!J358+'07-pub works'!J146+'06-code enforcement'!J154+'05-comm'!J148+'04-police'!J308+'03-fire'!J387+'02-assessing'!J124+'01-gen gov'!J284</f>
        <v>22398671.501744002</v>
      </c>
    </row>
    <row r="29" spans="1:12" x14ac:dyDescent="0.2">
      <c r="A29" s="155" t="s">
        <v>818</v>
      </c>
      <c r="B29" s="2">
        <f>+'25-welfare'!F98+'24-tax coll'!E155+'21-comm dev'!E169+'17-bldg &amp; grounds'!E145+'16-equip mntc'!E133+'15-library'!E254+'13-parks &amp; rec'!E257+'09-solid waste'!E225+'08-highway'!E359+'07-pub works'!E147+'06-code enforcement'!E155+'05-comm'!E149+'04-police'!E309+'03-fire'!E388+'02-assessing'!E125+'01-gen gov'!E285</f>
        <v>4429737</v>
      </c>
      <c r="C29" s="2">
        <f>+'25-welfare'!G98+'24-tax coll'!F155+'21-comm dev'!F169+'17-bldg &amp; grounds'!F145+'16-equip mntc'!F133+'15-library'!F254+'13-parks &amp; rec'!F257+'09-solid waste'!F225+'08-highway'!F359+'07-pub works'!F147+'06-code enforcement'!F155+'05-comm'!F149+'04-police'!F309+'03-fire'!F388+'02-assessing'!F125+'01-gen gov'!F285</f>
        <v>4503005</v>
      </c>
      <c r="D29" s="2">
        <f>+'25-welfare'!H98+'24-tax coll'!G155+'21-comm dev'!G169+'17-bldg &amp; grounds'!G145+'16-equip mntc'!G133+'15-library'!G254+'13-parks &amp; rec'!G257+'09-solid waste'!G225+'08-highway'!G359+'07-pub works'!G147+'06-code enforcement'!G155+'05-comm'!G149+'04-police'!G309+'03-fire'!G388+'02-assessing'!G125+'01-gen gov'!G285</f>
        <v>4807609</v>
      </c>
      <c r="E29" s="2">
        <f>+'25-welfare'!I98+'24-tax coll'!H155+'21-comm dev'!H169+'17-bldg &amp; grounds'!H145+'16-equip mntc'!H133+'15-library'!H254+'13-parks &amp; rec'!H257+'09-solid waste'!H225+'08-highway'!H359+'07-pub works'!H147+'06-code enforcement'!H155+'05-comm'!H149+'04-police'!H309+'03-fire'!H388+'02-assessing'!H125+'01-gen gov'!H285</f>
        <v>4637079</v>
      </c>
      <c r="F29" s="2">
        <f>+'25-welfare'!J98+'24-tax coll'!I155+'21-comm dev'!I169+'17-bldg &amp; grounds'!I145+'16-equip mntc'!I133+'15-library'!I254+'13-parks &amp; rec'!I257+'09-solid waste'!I225+'08-highway'!I359+'07-pub works'!I147+'06-code enforcement'!I155+'05-comm'!I149+'04-police'!I309+'03-fire'!I388+'02-assessing'!I125+'01-gen gov'!I285</f>
        <v>4534101</v>
      </c>
      <c r="G29" s="2">
        <f>+'25-welfare'!K98+'24-tax coll'!J155+'21-comm dev'!J169+'17-bldg &amp; grounds'!J145+'16-equip mntc'!J133+'15-library'!J254+'13-parks &amp; rec'!J257+'09-solid waste'!J225+'08-highway'!J359+'07-pub works'!J147+'06-code enforcement'!J155+'05-comm'!J149+'04-police'!J309+'03-fire'!J388+'02-assessing'!J125+'01-gen gov'!J285</f>
        <v>4534101</v>
      </c>
    </row>
    <row r="30" spans="1:12" x14ac:dyDescent="0.2">
      <c r="A30" s="155" t="s">
        <v>819</v>
      </c>
      <c r="B30" s="2">
        <f>+'25-welfare'!F99+'24-tax coll'!E156+'21-comm dev'!E170+'17-bldg &amp; grounds'!E146+'16-equip mntc'!E134+'15-library'!E255+'13-parks &amp; rec'!E258+'09-solid waste'!E226+'08-highway'!E360+'07-pub works'!E148+'06-code enforcement'!E156+'05-comm'!E150+'04-police'!E310+'03-fire'!E389+'02-assessing'!E126+'01-gen gov'!E286</f>
        <v>7701973</v>
      </c>
      <c r="C30" s="2">
        <f>+'25-welfare'!G99+'24-tax coll'!F156+'21-comm dev'!F170+'17-bldg &amp; grounds'!F146+'16-equip mntc'!F134+'15-library'!F255+'13-parks &amp; rec'!F258+'09-solid waste'!F226+'08-highway'!F360+'07-pub works'!F148+'06-code enforcement'!F156+'05-comm'!F150+'04-police'!F310+'03-fire'!F389+'02-assessing'!F126+'01-gen gov'!F286</f>
        <v>3566663</v>
      </c>
      <c r="D30" s="2">
        <f>+'25-welfare'!H99+'24-tax coll'!G156+'21-comm dev'!G170+'17-bldg &amp; grounds'!G146+'16-equip mntc'!G134+'15-library'!G255+'13-parks &amp; rec'!G258+'09-solid waste'!G226+'08-highway'!G360+'07-pub works'!G148+'06-code enforcement'!G156+'05-comm'!G150+'04-police'!G310+'03-fire'!G389+'02-assessing'!G126+'01-gen gov'!G286</f>
        <v>3641839</v>
      </c>
      <c r="E30" s="2">
        <f>+'25-welfare'!I99+'24-tax coll'!H156+'21-comm dev'!H170+'17-bldg &amp; grounds'!H146+'16-equip mntc'!H134+'15-library'!H255+'13-parks &amp; rec'!H258+'09-solid waste'!H226+'08-highway'!H360+'07-pub works'!H148+'06-code enforcement'!H156+'05-comm'!H150+'04-police'!H310+'03-fire'!H389+'02-assessing'!H126+'01-gen gov'!H286</f>
        <v>3621739</v>
      </c>
      <c r="F30" s="2">
        <f>+'25-welfare'!J99+'24-tax coll'!I156+'21-comm dev'!I170+'17-bldg &amp; grounds'!I146+'16-equip mntc'!I134+'15-library'!I255+'13-parks &amp; rec'!I258+'09-solid waste'!I226+'08-highway'!I360+'07-pub works'!I148+'06-code enforcement'!I156+'05-comm'!I150+'04-police'!I310+'03-fire'!I389+'02-assessing'!I126+'01-gen gov'!I286</f>
        <v>3365739</v>
      </c>
      <c r="G30" s="2">
        <f>+'25-welfare'!K99+'24-tax coll'!J156+'21-comm dev'!J170+'17-bldg &amp; grounds'!J146+'16-equip mntc'!J134+'15-library'!J255+'13-parks &amp; rec'!J258+'09-solid waste'!J226+'08-highway'!J360+'07-pub works'!J148+'06-code enforcement'!J156+'05-comm'!J150+'04-police'!J310+'03-fire'!J389+'02-assessing'!J126+'01-gen gov'!J286</f>
        <v>3365739</v>
      </c>
    </row>
    <row r="31" spans="1:12" ht="15" x14ac:dyDescent="0.35">
      <c r="A31" s="155" t="s">
        <v>985</v>
      </c>
      <c r="B31" s="10">
        <f t="shared" ref="B31:D31" si="0">+B23</f>
        <v>416265</v>
      </c>
      <c r="C31" s="10">
        <f>+C23</f>
        <v>415036</v>
      </c>
      <c r="D31" s="10">
        <f t="shared" si="0"/>
        <v>408662</v>
      </c>
      <c r="E31" s="10">
        <f t="shared" ref="E31:G31" si="1">+E23</f>
        <v>408662</v>
      </c>
      <c r="F31" s="10">
        <f t="shared" si="1"/>
        <v>408662</v>
      </c>
      <c r="G31" s="10">
        <f t="shared" si="1"/>
        <v>408662</v>
      </c>
    </row>
    <row r="32" spans="1:12" x14ac:dyDescent="0.2">
      <c r="A32" s="155" t="s">
        <v>1086</v>
      </c>
      <c r="B32" s="2">
        <f t="shared" ref="B32:D32" si="2">SUM(B28:B31)</f>
        <v>31507910</v>
      </c>
      <c r="C32" s="2">
        <f t="shared" si="2"/>
        <v>29404355.365831427</v>
      </c>
      <c r="D32" s="2">
        <f t="shared" si="2"/>
        <v>31394601.501744002</v>
      </c>
      <c r="E32" s="2">
        <f t="shared" ref="E32:G32" si="3">SUM(E28:E31)</f>
        <v>31096572.501744002</v>
      </c>
      <c r="F32" s="2">
        <f t="shared" si="3"/>
        <v>30707173.501744002</v>
      </c>
      <c r="G32" s="2">
        <f t="shared" si="3"/>
        <v>30707173.501744002</v>
      </c>
      <c r="I32" s="2">
        <f>+B32-B26</f>
        <v>0</v>
      </c>
      <c r="J32" s="2">
        <f>+C32-C26</f>
        <v>0</v>
      </c>
      <c r="K32" s="2">
        <f>+D32-D26</f>
        <v>0</v>
      </c>
      <c r="L32" s="2">
        <f>+E32-E26</f>
        <v>0</v>
      </c>
    </row>
    <row r="33" spans="1:13" x14ac:dyDescent="0.2">
      <c r="A33" s="155"/>
      <c r="B33" s="2"/>
      <c r="C33" s="2"/>
      <c r="D33" s="2"/>
      <c r="E33" s="2"/>
      <c r="F33" s="2"/>
      <c r="G33" s="2"/>
    </row>
    <row r="34" spans="1:13" x14ac:dyDescent="0.2">
      <c r="A34" s="261" t="s">
        <v>1965</v>
      </c>
      <c r="B34" s="261"/>
      <c r="C34" s="261"/>
      <c r="D34" s="261"/>
      <c r="E34" s="261"/>
      <c r="F34" s="261"/>
      <c r="G34" s="261"/>
    </row>
    <row r="35" spans="1:13" x14ac:dyDescent="0.2">
      <c r="A35" s="261" t="s">
        <v>1648</v>
      </c>
      <c r="B35" s="261"/>
      <c r="C35" s="261"/>
      <c r="D35" s="261"/>
      <c r="E35" s="261"/>
      <c r="F35" s="261"/>
      <c r="G35" s="261"/>
    </row>
    <row r="36" spans="1:13" ht="15" x14ac:dyDescent="0.35">
      <c r="A36" s="155"/>
      <c r="B36" s="10"/>
      <c r="C36" s="10"/>
      <c r="D36" s="10"/>
      <c r="E36" s="10"/>
      <c r="F36" s="10"/>
      <c r="G36" s="10"/>
    </row>
    <row r="37" spans="1:13" x14ac:dyDescent="0.2">
      <c r="A37" s="155"/>
      <c r="B37" s="2" t="s">
        <v>1972</v>
      </c>
      <c r="C37" s="2" t="s">
        <v>1973</v>
      </c>
      <c r="D37" s="2" t="s">
        <v>1974</v>
      </c>
      <c r="E37" s="2" t="s">
        <v>1975</v>
      </c>
      <c r="F37" s="2" t="s">
        <v>1976</v>
      </c>
      <c r="G37" s="2" t="s">
        <v>1977</v>
      </c>
      <c r="I37" s="2"/>
      <c r="J37" s="2"/>
      <c r="K37" s="2"/>
      <c r="L37" s="2"/>
      <c r="M37" s="2"/>
    </row>
    <row r="38" spans="1:13" ht="15" x14ac:dyDescent="0.35">
      <c r="A38" s="155"/>
      <c r="B38" s="10" t="s">
        <v>1978</v>
      </c>
      <c r="C38" s="10" t="s">
        <v>1979</v>
      </c>
      <c r="D38" s="212" t="s">
        <v>1980</v>
      </c>
      <c r="E38" s="212" t="s">
        <v>1980</v>
      </c>
      <c r="F38" s="10" t="s">
        <v>1980</v>
      </c>
      <c r="G38" s="10" t="s">
        <v>1980</v>
      </c>
    </row>
    <row r="39" spans="1:13" x14ac:dyDescent="0.2">
      <c r="A39" s="154" t="s">
        <v>1229</v>
      </c>
      <c r="B39" s="101">
        <v>2166</v>
      </c>
      <c r="C39" s="101">
        <v>1083</v>
      </c>
      <c r="D39" s="154" t="s">
        <v>1981</v>
      </c>
      <c r="E39" s="216" t="s">
        <v>1981</v>
      </c>
      <c r="F39" s="250" t="s">
        <v>1981</v>
      </c>
      <c r="G39" s="255" t="s">
        <v>1981</v>
      </c>
    </row>
    <row r="40" spans="1:13" ht="18.75" x14ac:dyDescent="0.3">
      <c r="A40" s="159" t="s">
        <v>1877</v>
      </c>
      <c r="B40" s="107"/>
      <c r="C40" s="107"/>
      <c r="D40" s="107"/>
      <c r="E40" s="107"/>
      <c r="F40" s="107"/>
      <c r="G40" s="107"/>
    </row>
    <row r="41" spans="1:13" x14ac:dyDescent="0.2">
      <c r="A41" s="155"/>
      <c r="B41" s="2"/>
      <c r="C41" s="2"/>
      <c r="D41" s="155"/>
      <c r="E41" s="217"/>
      <c r="F41" s="251"/>
      <c r="G41" s="256"/>
    </row>
    <row r="42" spans="1:13" x14ac:dyDescent="0.2">
      <c r="A42" s="158" t="s">
        <v>1230</v>
      </c>
      <c r="B42" s="15">
        <v>55823</v>
      </c>
      <c r="C42" s="15">
        <v>55823</v>
      </c>
      <c r="D42" s="15" t="s">
        <v>1981</v>
      </c>
      <c r="E42" s="15" t="s">
        <v>1981</v>
      </c>
      <c r="F42" s="15" t="s">
        <v>1981</v>
      </c>
      <c r="G42" s="15" t="s">
        <v>1981</v>
      </c>
    </row>
    <row r="43" spans="1:13" ht="15" x14ac:dyDescent="0.35">
      <c r="A43" s="155" t="s">
        <v>1877</v>
      </c>
      <c r="B43" s="156"/>
      <c r="C43" s="156"/>
      <c r="D43" s="156"/>
      <c r="E43" s="218"/>
      <c r="F43" s="252"/>
      <c r="G43" s="257"/>
    </row>
    <row r="44" spans="1:13" ht="13.5" x14ac:dyDescent="0.25">
      <c r="A44" s="157"/>
      <c r="B44" s="2"/>
      <c r="C44" s="2"/>
      <c r="D44" s="2"/>
      <c r="E44" s="2"/>
      <c r="F44" s="2"/>
      <c r="G44" s="2"/>
    </row>
    <row r="45" spans="1:13" x14ac:dyDescent="0.2">
      <c r="A45" s="158" t="s">
        <v>1111</v>
      </c>
      <c r="B45" s="2">
        <v>13437</v>
      </c>
      <c r="C45" s="2">
        <v>8958</v>
      </c>
      <c r="D45" s="2">
        <v>4479</v>
      </c>
      <c r="E45" s="2">
        <v>4479</v>
      </c>
      <c r="F45" s="2">
        <v>4479</v>
      </c>
      <c r="G45" s="2">
        <v>4479</v>
      </c>
    </row>
    <row r="46" spans="1:13" x14ac:dyDescent="0.2">
      <c r="A46" s="155" t="s">
        <v>103</v>
      </c>
      <c r="B46" s="2"/>
      <c r="C46" s="2"/>
      <c r="D46" s="2"/>
      <c r="E46" s="2"/>
      <c r="F46" s="2"/>
      <c r="G46" s="2"/>
    </row>
    <row r="47" spans="1:13" ht="13.5" x14ac:dyDescent="0.25">
      <c r="A47" s="157"/>
      <c r="B47" s="2"/>
      <c r="C47" s="2"/>
      <c r="D47" s="2"/>
      <c r="E47" s="2"/>
      <c r="F47" s="2"/>
      <c r="G47" s="2"/>
    </row>
    <row r="48" spans="1:13" x14ac:dyDescent="0.2">
      <c r="A48" s="158" t="s">
        <v>1112</v>
      </c>
      <c r="B48" s="2">
        <v>263468</v>
      </c>
      <c r="C48" s="2">
        <v>263468</v>
      </c>
      <c r="D48" s="2">
        <v>263468</v>
      </c>
      <c r="E48" s="2">
        <v>263468</v>
      </c>
      <c r="F48" s="2">
        <v>263468</v>
      </c>
      <c r="G48" s="2">
        <v>263468</v>
      </c>
    </row>
    <row r="49" spans="1:10" x14ac:dyDescent="0.2">
      <c r="A49" s="22" t="s">
        <v>102</v>
      </c>
      <c r="B49" s="2"/>
      <c r="C49" s="2"/>
      <c r="D49" s="2"/>
      <c r="E49" s="2"/>
      <c r="F49" s="2"/>
      <c r="G49" s="2"/>
    </row>
    <row r="50" spans="1:10" ht="13.5" x14ac:dyDescent="0.25">
      <c r="A50" s="157"/>
      <c r="B50" s="2"/>
      <c r="C50" s="2"/>
      <c r="D50" s="2"/>
      <c r="E50" s="2"/>
      <c r="F50" s="2"/>
      <c r="G50" s="2"/>
    </row>
    <row r="51" spans="1:10" x14ac:dyDescent="0.2">
      <c r="A51" s="158" t="s">
        <v>1549</v>
      </c>
      <c r="B51" s="2">
        <v>118218</v>
      </c>
      <c r="C51" s="2">
        <v>166022</v>
      </c>
      <c r="D51" s="2">
        <v>166022</v>
      </c>
      <c r="E51" s="2">
        <v>166022</v>
      </c>
      <c r="F51" s="2">
        <v>166022</v>
      </c>
      <c r="G51" s="2">
        <v>166022</v>
      </c>
    </row>
    <row r="52" spans="1:10" x14ac:dyDescent="0.2">
      <c r="A52" s="155" t="s">
        <v>1518</v>
      </c>
      <c r="B52" s="2"/>
      <c r="C52" s="2"/>
      <c r="D52" s="2"/>
      <c r="E52" s="2"/>
      <c r="F52" s="2"/>
      <c r="G52" s="2"/>
    </row>
    <row r="53" spans="1:10" ht="13.5" x14ac:dyDescent="0.25">
      <c r="A53" s="157"/>
      <c r="B53" s="2"/>
      <c r="C53" s="2"/>
      <c r="D53" s="2"/>
      <c r="E53" s="2"/>
      <c r="F53" s="2"/>
      <c r="G53" s="2"/>
    </row>
    <row r="54" spans="1:10" x14ac:dyDescent="0.2">
      <c r="A54" s="158" t="s">
        <v>1550</v>
      </c>
      <c r="B54" s="2">
        <v>166022</v>
      </c>
      <c r="C54" s="2">
        <v>181677</v>
      </c>
      <c r="D54" s="2">
        <v>181677</v>
      </c>
      <c r="E54" s="2">
        <v>181677</v>
      </c>
      <c r="F54" s="2">
        <v>181677</v>
      </c>
      <c r="G54" s="2">
        <v>181677</v>
      </c>
    </row>
    <row r="55" spans="1:10" x14ac:dyDescent="0.2">
      <c r="A55" s="22" t="s">
        <v>1519</v>
      </c>
      <c r="B55" s="2"/>
      <c r="C55" s="2"/>
      <c r="D55" s="2"/>
      <c r="E55" s="2"/>
      <c r="F55" s="2"/>
      <c r="G55" s="2"/>
    </row>
    <row r="56" spans="1:10" ht="13.5" x14ac:dyDescent="0.25">
      <c r="A56" s="157"/>
      <c r="B56" s="2"/>
      <c r="C56" s="2"/>
      <c r="D56" s="2"/>
      <c r="E56" s="2"/>
      <c r="F56" s="2"/>
      <c r="G56" s="2"/>
      <c r="J56" s="2"/>
    </row>
    <row r="57" spans="1:10" x14ac:dyDescent="0.2">
      <c r="A57" s="158" t="s">
        <v>1551</v>
      </c>
      <c r="B57" s="2">
        <v>181677</v>
      </c>
      <c r="C57" s="2">
        <v>111264</v>
      </c>
      <c r="D57" s="2">
        <v>104310</v>
      </c>
      <c r="E57" s="2">
        <v>104310</v>
      </c>
      <c r="F57" s="2">
        <v>104310</v>
      </c>
      <c r="G57" s="2">
        <v>104310</v>
      </c>
      <c r="J57" s="11"/>
    </row>
    <row r="58" spans="1:10" x14ac:dyDescent="0.2">
      <c r="A58" s="22" t="s">
        <v>1520</v>
      </c>
      <c r="B58" s="2"/>
      <c r="C58" s="2"/>
      <c r="D58" s="2"/>
      <c r="E58" s="2"/>
      <c r="F58" s="2"/>
      <c r="G58" s="2"/>
    </row>
    <row r="59" spans="1:10" ht="13.5" x14ac:dyDescent="0.25">
      <c r="A59" s="157"/>
      <c r="B59" s="2"/>
      <c r="C59" s="2"/>
      <c r="D59" s="2"/>
      <c r="E59" s="2"/>
      <c r="F59" s="2"/>
      <c r="G59" s="2"/>
    </row>
    <row r="60" spans="1:10" x14ac:dyDescent="0.2">
      <c r="A60" s="22"/>
      <c r="B60" s="2"/>
      <c r="C60" s="2"/>
      <c r="D60" s="2"/>
      <c r="E60" s="2"/>
      <c r="F60" s="2"/>
      <c r="G60" s="2"/>
    </row>
    <row r="61" spans="1:10" ht="13.5" x14ac:dyDescent="0.25">
      <c r="A61" s="157" t="s">
        <v>221</v>
      </c>
      <c r="B61" s="2">
        <f>SUM(B39:B58)</f>
        <v>800811</v>
      </c>
      <c r="C61" s="2">
        <f t="shared" ref="C61:G61" si="4">SUM(C39:C58)</f>
        <v>788295</v>
      </c>
      <c r="D61" s="2">
        <f t="shared" si="4"/>
        <v>719956</v>
      </c>
      <c r="E61" s="2">
        <f t="shared" si="4"/>
        <v>719956</v>
      </c>
      <c r="F61" s="2">
        <f t="shared" si="4"/>
        <v>719956</v>
      </c>
      <c r="G61" s="2">
        <f t="shared" si="4"/>
        <v>719956</v>
      </c>
    </row>
    <row r="62" spans="1:10" ht="15" x14ac:dyDescent="0.35">
      <c r="A62" s="157"/>
      <c r="B62" s="10"/>
      <c r="C62" s="10"/>
      <c r="D62" s="10"/>
      <c r="E62" s="10"/>
      <c r="F62" s="10"/>
      <c r="G62" s="10"/>
    </row>
    <row r="63" spans="1:10" hidden="1" x14ac:dyDescent="0.2">
      <c r="A63" s="22" t="s">
        <v>1189</v>
      </c>
      <c r="B63" s="2">
        <f>+B23</f>
        <v>416265</v>
      </c>
      <c r="C63" s="2">
        <f t="shared" ref="C63:G63" si="5">+C23</f>
        <v>415036</v>
      </c>
      <c r="D63" s="2">
        <f t="shared" si="5"/>
        <v>408662</v>
      </c>
      <c r="E63" s="2">
        <f t="shared" si="5"/>
        <v>408662</v>
      </c>
      <c r="F63" s="2">
        <f t="shared" si="5"/>
        <v>408662</v>
      </c>
      <c r="G63" s="2">
        <f t="shared" si="5"/>
        <v>408662</v>
      </c>
    </row>
    <row r="64" spans="1:10" hidden="1" x14ac:dyDescent="0.2">
      <c r="A64" s="22" t="s">
        <v>221</v>
      </c>
      <c r="B64" s="2">
        <f>+B61</f>
        <v>800811</v>
      </c>
      <c r="C64" s="2">
        <f t="shared" ref="C64:G64" si="6">+C61</f>
        <v>788295</v>
      </c>
      <c r="D64" s="2">
        <f t="shared" si="6"/>
        <v>719956</v>
      </c>
      <c r="E64" s="2">
        <f t="shared" si="6"/>
        <v>719956</v>
      </c>
      <c r="F64" s="2">
        <f t="shared" si="6"/>
        <v>719956</v>
      </c>
      <c r="G64" s="2">
        <f t="shared" si="6"/>
        <v>719956</v>
      </c>
    </row>
    <row r="65" spans="1:8" hidden="1" x14ac:dyDescent="0.2">
      <c r="A65" s="155" t="s">
        <v>1086</v>
      </c>
      <c r="B65" s="2">
        <f>SUM(B63:B64)</f>
        <v>1217076</v>
      </c>
      <c r="C65" s="2">
        <f t="shared" ref="C65:G65" si="7">SUM(C63:C64)</f>
        <v>1203331</v>
      </c>
      <c r="D65" s="2">
        <f t="shared" si="7"/>
        <v>1128618</v>
      </c>
      <c r="E65" s="2">
        <f t="shared" si="7"/>
        <v>1128618</v>
      </c>
      <c r="F65" s="2">
        <f t="shared" si="7"/>
        <v>1128618</v>
      </c>
      <c r="G65" s="2">
        <f t="shared" si="7"/>
        <v>1128618</v>
      </c>
    </row>
    <row r="66" spans="1:8" hidden="1" x14ac:dyDescent="0.2">
      <c r="B66" s="2"/>
      <c r="C66" s="2"/>
      <c r="D66" s="2"/>
      <c r="E66" s="2"/>
      <c r="F66" s="2"/>
      <c r="G66" s="2"/>
    </row>
    <row r="67" spans="1:8" x14ac:dyDescent="0.2">
      <c r="B67" s="2"/>
      <c r="C67" s="2"/>
      <c r="D67" s="2"/>
      <c r="E67" s="2"/>
      <c r="F67" s="2"/>
      <c r="G67" s="2"/>
    </row>
    <row r="68" spans="1:8" x14ac:dyDescent="0.2">
      <c r="B68" s="2"/>
      <c r="C68" s="2"/>
      <c r="D68" s="2"/>
      <c r="E68" s="2"/>
      <c r="F68" s="2"/>
      <c r="G68" s="2"/>
      <c r="H68" s="2" t="e">
        <f>#N/A</f>
        <v>#N/A</v>
      </c>
    </row>
    <row r="69" spans="1:8" ht="15" x14ac:dyDescent="0.35">
      <c r="B69" s="10"/>
      <c r="C69" s="10"/>
      <c r="D69" s="10"/>
      <c r="E69" s="10"/>
      <c r="F69" s="10"/>
      <c r="G69" s="10"/>
      <c r="H69" s="10" t="e">
        <f>#N/A</f>
        <v>#N/A</v>
      </c>
    </row>
    <row r="70" spans="1:8" x14ac:dyDescent="0.2">
      <c r="B70" s="2"/>
      <c r="C70" s="2"/>
      <c r="D70" s="2"/>
      <c r="E70" s="2"/>
      <c r="F70" s="2"/>
      <c r="G70" s="2"/>
      <c r="H70" s="2" t="e">
        <f>#N/A</f>
        <v>#N/A</v>
      </c>
    </row>
  </sheetData>
  <mergeCells count="3">
    <mergeCell ref="A1:G1"/>
    <mergeCell ref="A34:G34"/>
    <mergeCell ref="A35:G35"/>
  </mergeCells>
  <phoneticPr fontId="0" type="noConversion"/>
  <printOptions gridLines="1"/>
  <pageMargins left="0.75" right="0.16" top="0.51" bottom="0.22" header="0.5" footer="0"/>
  <pageSetup fitToHeight="2" orientation="landscape" r:id="rId1"/>
  <headerFooter alignWithMargins="0"/>
  <rowBreaks count="1" manualBreakCount="1">
    <brk id="33"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56"/>
  <sheetViews>
    <sheetView view="pageBreakPreview" zoomScaleNormal="100" zoomScaleSheetLayoutView="100" workbookViewId="0">
      <pane ySplit="5" topLeftCell="A6" activePane="bottomLeft" state="frozen"/>
      <selection pane="bottomLeft" sqref="A1:J1"/>
    </sheetView>
  </sheetViews>
  <sheetFormatPr defaultColWidth="8.85546875" defaultRowHeight="12.75" x14ac:dyDescent="0.2"/>
  <cols>
    <col min="1" max="1" width="44.7109375" style="220" customWidth="1"/>
    <col min="2" max="2" width="8.85546875" style="220" bestFit="1" customWidth="1"/>
    <col min="3" max="3" width="12.28515625" style="220" bestFit="1" customWidth="1"/>
    <col min="4" max="6" width="10.28515625" style="220" bestFit="1" customWidth="1"/>
    <col min="7" max="7" width="11.7109375" style="220" bestFit="1" customWidth="1"/>
    <col min="8" max="8" width="13.7109375" style="2" bestFit="1" customWidth="1"/>
    <col min="9" max="9" width="10.85546875" style="220" customWidth="1"/>
    <col min="10" max="10" width="10.28515625" style="220" bestFit="1" customWidth="1"/>
    <col min="11" max="16384" width="8.85546875" style="220"/>
  </cols>
  <sheetData>
    <row r="1" spans="1:10" x14ac:dyDescent="0.2">
      <c r="A1" s="261" t="s">
        <v>1965</v>
      </c>
      <c r="B1" s="262"/>
      <c r="C1" s="262"/>
      <c r="D1" s="262"/>
      <c r="E1" s="262"/>
      <c r="F1" s="262"/>
      <c r="G1" s="262"/>
      <c r="H1" s="262"/>
      <c r="I1" s="262"/>
      <c r="J1" s="262"/>
    </row>
    <row r="2" spans="1:10" ht="18.75" x14ac:dyDescent="0.3">
      <c r="A2" s="107" t="s">
        <v>1649</v>
      </c>
      <c r="B2" s="107"/>
      <c r="C2" s="107"/>
      <c r="D2" s="107"/>
      <c r="E2" s="107"/>
      <c r="F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683</v>
      </c>
      <c r="B6" s="2"/>
      <c r="C6" s="2"/>
      <c r="D6" s="2"/>
      <c r="E6" s="2">
        <v>53810</v>
      </c>
      <c r="F6" s="2">
        <v>54860</v>
      </c>
      <c r="G6" s="42">
        <v>46640</v>
      </c>
      <c r="H6" s="42">
        <v>46640</v>
      </c>
      <c r="I6" s="42">
        <v>46640</v>
      </c>
      <c r="J6" s="42">
        <v>46640</v>
      </c>
    </row>
    <row r="7" spans="1:10" x14ac:dyDescent="0.2">
      <c r="A7" s="220" t="s">
        <v>389</v>
      </c>
      <c r="B7" s="2">
        <v>52</v>
      </c>
      <c r="C7" s="2">
        <v>880</v>
      </c>
      <c r="D7" s="2">
        <f>ROUND(B7*C7,0)</f>
        <v>45760</v>
      </c>
      <c r="E7" s="2"/>
      <c r="F7" s="2"/>
      <c r="G7" s="42"/>
      <c r="H7" s="42"/>
      <c r="I7" s="42"/>
      <c r="J7" s="42"/>
    </row>
    <row r="8" spans="1:10" ht="15" x14ac:dyDescent="0.35">
      <c r="A8" s="220" t="s">
        <v>2138</v>
      </c>
      <c r="B8" s="2">
        <v>1</v>
      </c>
      <c r="C8" s="2">
        <v>880</v>
      </c>
      <c r="D8" s="10">
        <f>+C8*B8</f>
        <v>880</v>
      </c>
      <c r="E8" s="2"/>
      <c r="F8" s="2"/>
      <c r="G8" s="42"/>
      <c r="H8" s="42"/>
      <c r="I8" s="42"/>
      <c r="J8" s="42"/>
    </row>
    <row r="9" spans="1:10" x14ac:dyDescent="0.2">
      <c r="B9" s="2"/>
      <c r="C9" s="2"/>
      <c r="D9" s="2">
        <f>SUM(D7:D8)</f>
        <v>46640</v>
      </c>
      <c r="E9" s="2"/>
      <c r="F9" s="2"/>
      <c r="G9" s="42"/>
      <c r="H9" s="42"/>
      <c r="I9" s="42"/>
      <c r="J9" s="42"/>
    </row>
    <row r="10" spans="1:10" x14ac:dyDescent="0.2">
      <c r="B10" s="2"/>
      <c r="C10" s="2"/>
      <c r="D10" s="2"/>
      <c r="E10" s="2"/>
      <c r="F10" s="2"/>
      <c r="G10" s="42"/>
      <c r="H10" s="42"/>
      <c r="I10" s="42"/>
      <c r="J10" s="42"/>
    </row>
    <row r="11" spans="1:10" ht="13.5" x14ac:dyDescent="0.25">
      <c r="A11" s="225" t="s">
        <v>638</v>
      </c>
      <c r="B11" s="2"/>
      <c r="C11" s="2"/>
      <c r="D11" s="2"/>
      <c r="E11" s="2">
        <v>425187</v>
      </c>
      <c r="F11" s="2">
        <v>582253</v>
      </c>
      <c r="G11" s="42">
        <v>592475</v>
      </c>
      <c r="H11" s="42">
        <v>592475</v>
      </c>
      <c r="I11" s="42">
        <v>595867</v>
      </c>
      <c r="J11" s="42">
        <v>595867</v>
      </c>
    </row>
    <row r="12" spans="1:10" x14ac:dyDescent="0.2">
      <c r="A12" s="220" t="s">
        <v>1750</v>
      </c>
      <c r="B12" s="2">
        <v>52</v>
      </c>
      <c r="C12" s="2">
        <v>1832</v>
      </c>
      <c r="D12" s="2">
        <f t="shared" ref="D12:D20" si="0">ROUND(B12*C12,0)</f>
        <v>95264</v>
      </c>
      <c r="E12" s="2"/>
      <c r="F12" s="2"/>
      <c r="G12" s="42"/>
      <c r="H12" s="42"/>
      <c r="I12" s="42"/>
      <c r="J12" s="42"/>
    </row>
    <row r="13" spans="1:10" x14ac:dyDescent="0.2">
      <c r="A13" s="118" t="s">
        <v>639</v>
      </c>
      <c r="B13" s="2">
        <v>52</v>
      </c>
      <c r="C13" s="2">
        <v>1654</v>
      </c>
      <c r="D13" s="2">
        <f t="shared" si="0"/>
        <v>86008</v>
      </c>
      <c r="E13" s="1"/>
      <c r="F13" s="1"/>
      <c r="G13" s="129"/>
      <c r="H13" s="129"/>
      <c r="I13" s="129"/>
      <c r="J13" s="129"/>
    </row>
    <row r="14" spans="1:10" x14ac:dyDescent="0.2">
      <c r="A14" s="220" t="s">
        <v>1961</v>
      </c>
      <c r="B14" s="2">
        <v>52</v>
      </c>
      <c r="C14" s="2">
        <v>1138</v>
      </c>
      <c r="D14" s="2">
        <f t="shared" si="0"/>
        <v>59176</v>
      </c>
      <c r="E14" s="1"/>
      <c r="F14" s="1"/>
      <c r="G14" s="129"/>
      <c r="H14" s="129"/>
      <c r="I14" s="129"/>
      <c r="J14" s="129"/>
    </row>
    <row r="15" spans="1:10" x14ac:dyDescent="0.2">
      <c r="A15" s="118" t="s">
        <v>1679</v>
      </c>
      <c r="B15" s="2">
        <v>52</v>
      </c>
      <c r="C15" s="2">
        <v>1340</v>
      </c>
      <c r="D15" s="2">
        <f t="shared" si="0"/>
        <v>69680</v>
      </c>
      <c r="E15" s="2"/>
      <c r="F15" s="2"/>
      <c r="G15" s="42"/>
      <c r="H15" s="42"/>
      <c r="I15" s="42"/>
      <c r="J15" s="42"/>
    </row>
    <row r="16" spans="1:10" x14ac:dyDescent="0.2">
      <c r="A16" s="118" t="s">
        <v>640</v>
      </c>
      <c r="B16" s="2">
        <v>52</v>
      </c>
      <c r="C16" s="2">
        <v>1338</v>
      </c>
      <c r="D16" s="2">
        <f t="shared" si="0"/>
        <v>69576</v>
      </c>
      <c r="E16" s="2"/>
      <c r="F16" s="2"/>
      <c r="G16" s="42"/>
      <c r="H16" s="42"/>
      <c r="I16" s="42"/>
      <c r="J16" s="42"/>
    </row>
    <row r="17" spans="1:10" x14ac:dyDescent="0.2">
      <c r="A17" s="118" t="s">
        <v>215</v>
      </c>
      <c r="B17" s="2">
        <v>52</v>
      </c>
      <c r="C17" s="2">
        <v>1530</v>
      </c>
      <c r="D17" s="2">
        <f>ROUND(B17*C17,0)</f>
        <v>79560</v>
      </c>
      <c r="E17" s="2"/>
      <c r="F17" s="2"/>
      <c r="G17" s="42"/>
      <c r="H17" s="42"/>
      <c r="I17" s="42"/>
      <c r="J17" s="42"/>
    </row>
    <row r="18" spans="1:10" x14ac:dyDescent="0.2">
      <c r="A18" s="118" t="s">
        <v>1680</v>
      </c>
      <c r="B18" s="2">
        <v>52</v>
      </c>
      <c r="C18" s="2">
        <v>1140</v>
      </c>
      <c r="D18" s="2">
        <f t="shared" si="0"/>
        <v>59280</v>
      </c>
      <c r="E18" s="2"/>
      <c r="F18" s="2"/>
      <c r="G18" s="42"/>
      <c r="H18" s="42"/>
      <c r="I18" s="42"/>
      <c r="J18" s="42"/>
    </row>
    <row r="19" spans="1:10" x14ac:dyDescent="0.2">
      <c r="A19" s="220" t="s">
        <v>1379</v>
      </c>
      <c r="B19" s="2">
        <v>52</v>
      </c>
      <c r="C19" s="2">
        <v>1198</v>
      </c>
      <c r="D19" s="2">
        <f t="shared" si="0"/>
        <v>62296</v>
      </c>
      <c r="E19" s="2"/>
      <c r="F19" s="2"/>
      <c r="G19" s="42"/>
      <c r="H19" s="42"/>
      <c r="I19" s="42"/>
      <c r="J19" s="42"/>
    </row>
    <row r="20" spans="1:10" x14ac:dyDescent="0.2">
      <c r="A20" s="220" t="s">
        <v>2138</v>
      </c>
      <c r="B20" s="2">
        <v>1</v>
      </c>
      <c r="C20" s="2">
        <f>SUM(C12:C19)</f>
        <v>11170</v>
      </c>
      <c r="D20" s="2">
        <f t="shared" si="0"/>
        <v>11170</v>
      </c>
      <c r="E20" s="2"/>
      <c r="F20" s="2"/>
      <c r="G20" s="42"/>
      <c r="H20" s="42"/>
      <c r="I20" s="42"/>
      <c r="J20" s="42"/>
    </row>
    <row r="21" spans="1:10" ht="15" x14ac:dyDescent="0.35">
      <c r="A21" s="220" t="s">
        <v>833</v>
      </c>
      <c r="B21" s="2" t="s">
        <v>349</v>
      </c>
      <c r="C21" s="2" t="s">
        <v>349</v>
      </c>
      <c r="D21" s="10">
        <f>119+3738</f>
        <v>3857</v>
      </c>
      <c r="E21" s="2"/>
      <c r="F21" s="2"/>
      <c r="G21" s="42"/>
      <c r="H21" s="42"/>
      <c r="I21" s="42"/>
      <c r="J21" s="42"/>
    </row>
    <row r="22" spans="1:10" x14ac:dyDescent="0.2">
      <c r="A22" s="220" t="s">
        <v>1086</v>
      </c>
      <c r="B22" s="2"/>
      <c r="C22" s="2"/>
      <c r="D22" s="2">
        <f>SUM(D12:D21)</f>
        <v>595867</v>
      </c>
      <c r="E22" s="2"/>
      <c r="F22" s="2"/>
      <c r="G22" s="42"/>
      <c r="H22" s="42"/>
      <c r="I22" s="42"/>
      <c r="J22" s="42"/>
    </row>
    <row r="23" spans="1:10" x14ac:dyDescent="0.2">
      <c r="B23" s="2"/>
      <c r="C23" s="2"/>
      <c r="D23" s="2"/>
      <c r="E23" s="2"/>
      <c r="F23" s="2"/>
      <c r="G23" s="42"/>
      <c r="H23" s="42"/>
      <c r="I23" s="42"/>
      <c r="J23" s="42"/>
    </row>
    <row r="24" spans="1:10" ht="13.5" x14ac:dyDescent="0.25">
      <c r="A24" s="225" t="s">
        <v>1202</v>
      </c>
      <c r="B24" s="2"/>
      <c r="C24" s="2"/>
      <c r="D24" s="2"/>
      <c r="E24" s="2">
        <v>547218</v>
      </c>
      <c r="F24" s="2">
        <v>651313</v>
      </c>
      <c r="G24" s="2">
        <v>698877</v>
      </c>
      <c r="H24" s="2">
        <v>701719</v>
      </c>
      <c r="I24" s="2">
        <v>701719</v>
      </c>
      <c r="J24" s="2">
        <v>701719</v>
      </c>
    </row>
    <row r="25" spans="1:10" x14ac:dyDescent="0.2">
      <c r="E25" s="2"/>
      <c r="F25" s="2"/>
      <c r="G25" s="2"/>
      <c r="I25" s="2"/>
      <c r="J25" s="2"/>
    </row>
    <row r="26" spans="1:10" x14ac:dyDescent="0.2">
      <c r="A26" s="139" t="s">
        <v>1196</v>
      </c>
      <c r="B26" s="2">
        <v>52</v>
      </c>
      <c r="C26" s="118">
        <v>1004</v>
      </c>
      <c r="D26" s="2">
        <f t="shared" ref="D26:D39" si="1">ROUND(B26*C26,0)</f>
        <v>52208</v>
      </c>
      <c r="E26" s="2"/>
      <c r="F26" s="2"/>
      <c r="G26" s="2"/>
      <c r="I26" s="2"/>
      <c r="J26" s="2"/>
    </row>
    <row r="27" spans="1:10" x14ac:dyDescent="0.2">
      <c r="A27" s="139" t="s">
        <v>1196</v>
      </c>
      <c r="B27" s="2">
        <v>52</v>
      </c>
      <c r="C27" s="118">
        <v>1044</v>
      </c>
      <c r="D27" s="2">
        <f t="shared" si="1"/>
        <v>54288</v>
      </c>
      <c r="E27" s="2"/>
      <c r="F27" s="2"/>
      <c r="G27" s="2"/>
      <c r="I27" s="2"/>
      <c r="J27" s="2"/>
    </row>
    <row r="28" spans="1:10" x14ac:dyDescent="0.2">
      <c r="A28" s="139" t="s">
        <v>1196</v>
      </c>
      <c r="B28" s="2">
        <v>52</v>
      </c>
      <c r="C28" s="118">
        <v>969</v>
      </c>
      <c r="D28" s="2">
        <f t="shared" si="1"/>
        <v>50388</v>
      </c>
      <c r="E28" s="2"/>
      <c r="F28" s="2"/>
      <c r="G28" s="2"/>
      <c r="I28" s="2"/>
      <c r="J28" s="2"/>
    </row>
    <row r="29" spans="1:10" x14ac:dyDescent="0.2">
      <c r="A29" s="139" t="s">
        <v>1196</v>
      </c>
      <c r="B29" s="2">
        <v>52</v>
      </c>
      <c r="C29" s="118">
        <v>1004</v>
      </c>
      <c r="D29" s="2">
        <f t="shared" si="1"/>
        <v>52208</v>
      </c>
      <c r="E29" s="2"/>
      <c r="F29" s="2"/>
      <c r="G29" s="2"/>
      <c r="I29" s="2"/>
      <c r="J29" s="2"/>
    </row>
    <row r="30" spans="1:10" x14ac:dyDescent="0.2">
      <c r="A30" s="139" t="s">
        <v>1608</v>
      </c>
      <c r="B30" s="2">
        <v>52</v>
      </c>
      <c r="C30" s="118">
        <v>1095</v>
      </c>
      <c r="D30" s="2">
        <f t="shared" si="1"/>
        <v>56940</v>
      </c>
      <c r="E30" s="2"/>
      <c r="F30" s="2"/>
      <c r="G30" s="2"/>
      <c r="I30" s="2"/>
      <c r="J30" s="2"/>
    </row>
    <row r="31" spans="1:10" x14ac:dyDescent="0.2">
      <c r="A31" s="139" t="s">
        <v>1608</v>
      </c>
      <c r="B31" s="2">
        <v>52</v>
      </c>
      <c r="C31" s="118">
        <v>1095</v>
      </c>
      <c r="D31" s="2">
        <f t="shared" si="1"/>
        <v>56940</v>
      </c>
      <c r="E31" s="2"/>
      <c r="F31" s="2"/>
      <c r="G31" s="2"/>
      <c r="I31" s="2"/>
      <c r="J31" s="2"/>
    </row>
    <row r="32" spans="1:10" x14ac:dyDescent="0.2">
      <c r="A32" s="139" t="s">
        <v>1608</v>
      </c>
      <c r="B32" s="2">
        <v>52</v>
      </c>
      <c r="C32" s="118">
        <v>1095</v>
      </c>
      <c r="D32" s="2">
        <f t="shared" si="1"/>
        <v>56940</v>
      </c>
      <c r="E32" s="2"/>
      <c r="F32" s="2"/>
      <c r="G32" s="2"/>
      <c r="I32" s="2"/>
      <c r="J32" s="2"/>
    </row>
    <row r="33" spans="1:10" x14ac:dyDescent="0.2">
      <c r="A33" s="139" t="s">
        <v>1608</v>
      </c>
      <c r="B33" s="2">
        <v>52</v>
      </c>
      <c r="C33" s="118">
        <v>1008</v>
      </c>
      <c r="D33" s="2">
        <f t="shared" si="1"/>
        <v>52416</v>
      </c>
      <c r="E33" s="2"/>
      <c r="F33" s="2"/>
      <c r="G33" s="2"/>
      <c r="I33" s="2"/>
      <c r="J33" s="2"/>
    </row>
    <row r="34" spans="1:10" x14ac:dyDescent="0.2">
      <c r="A34" s="139" t="s">
        <v>1566</v>
      </c>
      <c r="B34" s="2">
        <v>52</v>
      </c>
      <c r="C34" s="118">
        <v>954</v>
      </c>
      <c r="D34" s="2">
        <f>ROUND(B34*C34,0)</f>
        <v>49608</v>
      </c>
      <c r="E34" s="2"/>
      <c r="F34" s="2"/>
      <c r="G34" s="2"/>
      <c r="I34" s="2"/>
      <c r="J34" s="2"/>
    </row>
    <row r="35" spans="1:10" x14ac:dyDescent="0.2">
      <c r="A35" s="139" t="s">
        <v>1566</v>
      </c>
      <c r="B35" s="2">
        <v>52</v>
      </c>
      <c r="C35" s="118">
        <v>846</v>
      </c>
      <c r="D35" s="2">
        <f>ROUND(B35*C35,0)</f>
        <v>43992</v>
      </c>
      <c r="E35" s="2"/>
      <c r="F35" s="2"/>
      <c r="G35" s="2"/>
      <c r="I35" s="2"/>
      <c r="J35" s="2"/>
    </row>
    <row r="36" spans="1:10" x14ac:dyDescent="0.2">
      <c r="A36" s="139" t="s">
        <v>1566</v>
      </c>
      <c r="B36" s="2">
        <v>52</v>
      </c>
      <c r="C36" s="118">
        <v>865</v>
      </c>
      <c r="D36" s="2">
        <f>ROUND(B36*C36,0)</f>
        <v>44980</v>
      </c>
      <c r="E36" s="2"/>
      <c r="F36" s="2"/>
      <c r="G36" s="2"/>
      <c r="I36" s="2"/>
      <c r="J36" s="2"/>
    </row>
    <row r="37" spans="1:10" x14ac:dyDescent="0.2">
      <c r="A37" s="139" t="s">
        <v>1567</v>
      </c>
      <c r="B37" s="2">
        <v>52</v>
      </c>
      <c r="C37" s="118">
        <v>965</v>
      </c>
      <c r="D37" s="2">
        <f t="shared" si="1"/>
        <v>50180</v>
      </c>
      <c r="E37" s="2"/>
      <c r="F37" s="2"/>
      <c r="G37" s="2"/>
      <c r="I37" s="2"/>
      <c r="J37" s="2"/>
    </row>
    <row r="38" spans="1:10" x14ac:dyDescent="0.2">
      <c r="A38" s="139" t="s">
        <v>1777</v>
      </c>
      <c r="B38" s="2">
        <v>52</v>
      </c>
      <c r="C38" s="118">
        <v>1095</v>
      </c>
      <c r="D38" s="2">
        <f t="shared" si="1"/>
        <v>56940</v>
      </c>
      <c r="E38" s="2"/>
      <c r="F38" s="2"/>
      <c r="G38" s="2"/>
      <c r="I38" s="2"/>
      <c r="J38" s="2"/>
    </row>
    <row r="39" spans="1:10" x14ac:dyDescent="0.2">
      <c r="A39" s="220" t="s">
        <v>2138</v>
      </c>
      <c r="B39" s="2">
        <v>1</v>
      </c>
      <c r="C39" s="118">
        <f>SUM(C26:C38)</f>
        <v>13039</v>
      </c>
      <c r="D39" s="2">
        <f t="shared" si="1"/>
        <v>13039</v>
      </c>
      <c r="E39" s="2"/>
      <c r="F39" s="2"/>
      <c r="G39" s="2"/>
      <c r="I39" s="2"/>
      <c r="J39" s="2"/>
    </row>
    <row r="40" spans="1:10" x14ac:dyDescent="0.2">
      <c r="A40" s="220" t="s">
        <v>833</v>
      </c>
      <c r="B40" s="2"/>
      <c r="C40" s="2"/>
      <c r="D40" s="2">
        <v>1500</v>
      </c>
      <c r="E40" s="2"/>
      <c r="F40" s="2"/>
      <c r="G40" s="2"/>
      <c r="I40" s="2"/>
      <c r="J40" s="2"/>
    </row>
    <row r="41" spans="1:10" ht="15" x14ac:dyDescent="0.35">
      <c r="A41" s="220" t="s">
        <v>991</v>
      </c>
      <c r="B41" s="2">
        <v>9152</v>
      </c>
      <c r="C41" s="11">
        <v>1</v>
      </c>
      <c r="D41" s="10">
        <f>ROUND(B41*C41,0)</f>
        <v>9152</v>
      </c>
      <c r="E41" s="2"/>
      <c r="F41" s="2"/>
      <c r="G41" s="2"/>
      <c r="I41" s="2"/>
      <c r="J41" s="2"/>
    </row>
    <row r="42" spans="1:10" x14ac:dyDescent="0.2">
      <c r="A42" s="220" t="s">
        <v>1086</v>
      </c>
      <c r="B42" s="2"/>
      <c r="C42" s="2"/>
      <c r="D42" s="2">
        <f>SUM(D26:D41)</f>
        <v>701719</v>
      </c>
      <c r="E42" s="2"/>
      <c r="F42" s="2"/>
      <c r="G42" s="2"/>
      <c r="I42" s="2"/>
      <c r="J42" s="2"/>
    </row>
    <row r="43" spans="1:10" x14ac:dyDescent="0.2">
      <c r="C43" s="62"/>
      <c r="D43" s="2"/>
      <c r="E43" s="2"/>
      <c r="F43" s="2"/>
      <c r="G43" s="2"/>
      <c r="I43" s="2"/>
      <c r="J43" s="2"/>
    </row>
    <row r="44" spans="1:10" ht="13.5" x14ac:dyDescent="0.25">
      <c r="A44" s="225" t="s">
        <v>1248</v>
      </c>
      <c r="B44" s="11"/>
      <c r="D44" s="2"/>
      <c r="E44" s="2">
        <v>12869</v>
      </c>
      <c r="F44" s="2">
        <v>9438</v>
      </c>
      <c r="G44" s="2">
        <v>9437</v>
      </c>
      <c r="H44" s="2">
        <v>9437</v>
      </c>
      <c r="I44" s="2">
        <v>9437</v>
      </c>
      <c r="J44" s="2">
        <v>9437</v>
      </c>
    </row>
    <row r="45" spans="1:10" x14ac:dyDescent="0.2">
      <c r="A45" s="220" t="s">
        <v>622</v>
      </c>
      <c r="B45" s="2" t="s">
        <v>349</v>
      </c>
      <c r="C45" s="11" t="s">
        <v>349</v>
      </c>
      <c r="D45" s="2" t="s">
        <v>349</v>
      </c>
      <c r="E45" s="2"/>
      <c r="F45" s="2"/>
      <c r="G45" s="2"/>
      <c r="I45" s="2"/>
      <c r="J45" s="2"/>
    </row>
    <row r="46" spans="1:10" x14ac:dyDescent="0.2">
      <c r="A46" s="220" t="s">
        <v>1066</v>
      </c>
      <c r="B46" s="2">
        <v>185.5</v>
      </c>
      <c r="C46" s="11">
        <f>SUM(C13:C18)/40/6*1.5</f>
        <v>50.875</v>
      </c>
      <c r="D46" s="2">
        <f>+C46*B46</f>
        <v>9437.3125</v>
      </c>
      <c r="E46" s="2"/>
      <c r="F46" s="2"/>
      <c r="G46" s="2"/>
      <c r="I46" s="2"/>
      <c r="J46" s="2"/>
    </row>
    <row r="47" spans="1:10" x14ac:dyDescent="0.2">
      <c r="B47" s="2"/>
      <c r="C47" s="11"/>
      <c r="D47" s="2"/>
      <c r="E47" s="2"/>
      <c r="F47" s="2"/>
      <c r="G47" s="2"/>
      <c r="I47" s="2"/>
      <c r="J47" s="2"/>
    </row>
    <row r="48" spans="1:10" x14ac:dyDescent="0.2">
      <c r="A48" s="220" t="s">
        <v>349</v>
      </c>
      <c r="B48" s="2"/>
      <c r="C48" s="11"/>
      <c r="D48" s="2"/>
      <c r="E48" s="2"/>
      <c r="F48" s="2"/>
      <c r="G48" s="2"/>
      <c r="I48" s="2"/>
      <c r="J48" s="2"/>
    </row>
    <row r="49" spans="1:10" ht="13.5" x14ac:dyDescent="0.25">
      <c r="A49" s="225" t="s">
        <v>407</v>
      </c>
      <c r="D49" s="2"/>
      <c r="E49" s="2">
        <v>33596</v>
      </c>
      <c r="F49" s="2">
        <v>39470</v>
      </c>
      <c r="G49" s="2">
        <v>39470</v>
      </c>
      <c r="H49" s="2">
        <v>39772</v>
      </c>
      <c r="I49" s="2">
        <v>39772</v>
      </c>
      <c r="J49" s="2">
        <v>39772</v>
      </c>
    </row>
    <row r="50" spans="1:10" x14ac:dyDescent="0.2">
      <c r="A50" s="220" t="s">
        <v>53</v>
      </c>
      <c r="B50" s="2">
        <v>640</v>
      </c>
      <c r="C50" s="11">
        <v>17.89</v>
      </c>
      <c r="D50" s="2">
        <f>ROUND(B50*C50,0)</f>
        <v>11450</v>
      </c>
      <c r="E50" s="2"/>
      <c r="F50" s="2"/>
      <c r="G50" s="2"/>
      <c r="I50" s="2"/>
      <c r="J50" s="2"/>
    </row>
    <row r="51" spans="1:10" x14ac:dyDescent="0.2">
      <c r="A51" s="220" t="s">
        <v>1714</v>
      </c>
      <c r="B51" s="2">
        <v>880</v>
      </c>
      <c r="C51" s="11">
        <v>14</v>
      </c>
      <c r="D51" s="2">
        <f>+B51*C51</f>
        <v>12320</v>
      </c>
      <c r="E51" s="2"/>
      <c r="F51" s="2"/>
      <c r="G51" s="2"/>
      <c r="I51" s="2"/>
      <c r="J51" s="2"/>
    </row>
    <row r="52" spans="1:10" x14ac:dyDescent="0.2">
      <c r="A52" s="220" t="s">
        <v>1715</v>
      </c>
      <c r="B52" s="2"/>
      <c r="C52" s="11"/>
      <c r="D52" s="2"/>
      <c r="E52" s="2"/>
      <c r="F52" s="2"/>
      <c r="G52" s="2"/>
      <c r="I52" s="2"/>
      <c r="J52" s="2"/>
    </row>
    <row r="53" spans="1:10" x14ac:dyDescent="0.2">
      <c r="A53" s="220" t="s">
        <v>1716</v>
      </c>
      <c r="B53" s="2">
        <v>1248</v>
      </c>
      <c r="C53" s="11">
        <v>12.58</v>
      </c>
      <c r="D53" s="3">
        <f>ROUND(B53*C53,0)</f>
        <v>15700</v>
      </c>
      <c r="E53" s="2"/>
      <c r="F53" s="2"/>
      <c r="G53" s="2"/>
      <c r="I53" s="2"/>
      <c r="J53" s="2"/>
    </row>
    <row r="54" spans="1:10" ht="15" x14ac:dyDescent="0.35">
      <c r="A54" s="220" t="s">
        <v>2138</v>
      </c>
      <c r="B54" s="2">
        <v>24</v>
      </c>
      <c r="C54" s="11">
        <v>12.58</v>
      </c>
      <c r="D54" s="30">
        <f>ROUND(B54*C54,0)</f>
        <v>302</v>
      </c>
      <c r="E54" s="2"/>
      <c r="F54" s="2"/>
      <c r="G54" s="2"/>
      <c r="I54" s="2"/>
      <c r="J54" s="2"/>
    </row>
    <row r="55" spans="1:10" x14ac:dyDescent="0.2">
      <c r="B55" s="2"/>
      <c r="C55" s="11"/>
      <c r="D55" s="3">
        <f>SUM(D50:D54)</f>
        <v>39772</v>
      </c>
      <c r="E55" s="2"/>
      <c r="F55" s="2"/>
      <c r="G55" s="2"/>
      <c r="I55" s="2"/>
      <c r="J55" s="2"/>
    </row>
    <row r="56" spans="1:10" x14ac:dyDescent="0.2">
      <c r="B56" s="2"/>
      <c r="C56" s="11"/>
      <c r="D56" s="3"/>
      <c r="E56" s="2"/>
      <c r="F56" s="2"/>
      <c r="G56" s="2"/>
      <c r="I56" s="2"/>
      <c r="J56" s="2"/>
    </row>
    <row r="57" spans="1:10" ht="13.5" x14ac:dyDescent="0.25">
      <c r="A57" s="225" t="s">
        <v>852</v>
      </c>
      <c r="D57" s="2"/>
      <c r="E57" s="2">
        <v>66303</v>
      </c>
      <c r="F57" s="2">
        <v>75777</v>
      </c>
      <c r="G57" s="2">
        <v>85601</v>
      </c>
      <c r="H57" s="2">
        <v>85601</v>
      </c>
      <c r="I57" s="2">
        <v>85601</v>
      </c>
      <c r="J57" s="2">
        <v>85601</v>
      </c>
    </row>
    <row r="58" spans="1:10" x14ac:dyDescent="0.2">
      <c r="A58" s="220" t="s">
        <v>183</v>
      </c>
      <c r="B58" s="2" t="s">
        <v>349</v>
      </c>
      <c r="C58" s="11" t="s">
        <v>349</v>
      </c>
      <c r="D58" s="2" t="s">
        <v>349</v>
      </c>
      <c r="E58" s="2"/>
      <c r="F58" s="2"/>
      <c r="G58" s="2"/>
      <c r="I58" s="2"/>
      <c r="J58" s="2"/>
    </row>
    <row r="59" spans="1:10" x14ac:dyDescent="0.2">
      <c r="A59" s="220" t="s">
        <v>1380</v>
      </c>
      <c r="B59" s="2">
        <v>1893</v>
      </c>
      <c r="C59" s="11">
        <f>+SUM(C17:C38)/40/14*1.5</f>
        <v>75.206249999999997</v>
      </c>
      <c r="D59" s="2">
        <f>+C59*B59</f>
        <v>142365.43124999999</v>
      </c>
      <c r="E59" s="2"/>
      <c r="F59" s="2"/>
      <c r="G59" s="2"/>
      <c r="I59" s="2"/>
      <c r="J59" s="2"/>
    </row>
    <row r="60" spans="1:10" x14ac:dyDescent="0.2">
      <c r="B60" s="2"/>
      <c r="C60" s="11"/>
      <c r="D60" s="2"/>
      <c r="E60" s="2"/>
      <c r="F60" s="2"/>
      <c r="G60" s="2"/>
      <c r="I60" s="2"/>
      <c r="J60" s="2"/>
    </row>
    <row r="61" spans="1:10" ht="13.5" x14ac:dyDescent="0.25">
      <c r="A61" s="225" t="s">
        <v>583</v>
      </c>
      <c r="D61" s="2"/>
      <c r="E61" s="2">
        <v>90363</v>
      </c>
      <c r="F61" s="2">
        <v>108111</v>
      </c>
      <c r="G61" s="2">
        <v>112645</v>
      </c>
      <c r="H61" s="2">
        <v>117128</v>
      </c>
      <c r="I61" s="2">
        <v>117423</v>
      </c>
      <c r="J61" s="2">
        <v>117423</v>
      </c>
    </row>
    <row r="62" spans="1:10" hidden="1" x14ac:dyDescent="0.2">
      <c r="A62" s="12" t="s">
        <v>770</v>
      </c>
      <c r="B62" s="2">
        <f>+D7</f>
        <v>45760</v>
      </c>
      <c r="C62" s="13">
        <v>7.6499999999999999E-2</v>
      </c>
      <c r="D62" s="2">
        <f t="shared" ref="D62:D67" si="2">ROUND(B62*C62,0)</f>
        <v>3501</v>
      </c>
      <c r="E62" s="2"/>
      <c r="F62" s="2"/>
      <c r="G62" s="2"/>
      <c r="I62" s="2"/>
      <c r="J62" s="2"/>
    </row>
    <row r="63" spans="1:10" hidden="1" x14ac:dyDescent="0.2">
      <c r="A63" s="12" t="s">
        <v>1290</v>
      </c>
      <c r="B63" s="2">
        <f>+D22</f>
        <v>595867</v>
      </c>
      <c r="C63" s="13">
        <v>7.6499999999999999E-2</v>
      </c>
      <c r="D63" s="2">
        <f t="shared" si="2"/>
        <v>45584</v>
      </c>
      <c r="E63" s="2"/>
      <c r="F63" s="2"/>
      <c r="G63" s="2"/>
      <c r="I63" s="2"/>
      <c r="J63" s="2"/>
    </row>
    <row r="64" spans="1:10" hidden="1" x14ac:dyDescent="0.2">
      <c r="A64" s="12" t="s">
        <v>695</v>
      </c>
      <c r="B64" s="2">
        <f>+D42</f>
        <v>701719</v>
      </c>
      <c r="C64" s="13">
        <v>7.6499999999999999E-2</v>
      </c>
      <c r="D64" s="2">
        <f t="shared" si="2"/>
        <v>53682</v>
      </c>
      <c r="E64" s="2"/>
      <c r="F64" s="2"/>
      <c r="G64" s="2"/>
      <c r="I64" s="2"/>
      <c r="J64" s="2"/>
    </row>
    <row r="65" spans="1:10" hidden="1" x14ac:dyDescent="0.2">
      <c r="A65" s="12" t="s">
        <v>771</v>
      </c>
      <c r="B65" s="2">
        <f>+D46</f>
        <v>9437.3125</v>
      </c>
      <c r="C65" s="13">
        <v>7.6499999999999999E-2</v>
      </c>
      <c r="D65" s="2">
        <f t="shared" si="2"/>
        <v>722</v>
      </c>
      <c r="E65" s="2"/>
      <c r="F65" s="2"/>
      <c r="G65" s="2"/>
      <c r="I65" s="2"/>
      <c r="J65" s="2"/>
    </row>
    <row r="66" spans="1:10" hidden="1" x14ac:dyDescent="0.2">
      <c r="A66" s="12" t="s">
        <v>158</v>
      </c>
      <c r="B66" s="2">
        <f>+D55</f>
        <v>39772</v>
      </c>
      <c r="C66" s="13">
        <v>7.6499999999999999E-2</v>
      </c>
      <c r="D66" s="2">
        <f t="shared" si="2"/>
        <v>3043</v>
      </c>
      <c r="E66" s="2"/>
      <c r="F66" s="2"/>
      <c r="G66" s="2"/>
      <c r="I66" s="2"/>
      <c r="J66" s="2"/>
    </row>
    <row r="67" spans="1:10" ht="15" hidden="1" x14ac:dyDescent="0.35">
      <c r="A67" s="12" t="s">
        <v>159</v>
      </c>
      <c r="B67" s="2">
        <f>+D59</f>
        <v>142365.43124999999</v>
      </c>
      <c r="C67" s="13">
        <v>7.6499999999999999E-2</v>
      </c>
      <c r="D67" s="10">
        <f t="shared" si="2"/>
        <v>10891</v>
      </c>
      <c r="E67" s="2"/>
      <c r="F67" s="2"/>
      <c r="G67" s="2"/>
      <c r="I67" s="2"/>
      <c r="J67" s="2"/>
    </row>
    <row r="68" spans="1:10" hidden="1" x14ac:dyDescent="0.2">
      <c r="A68" s="220" t="s">
        <v>1086</v>
      </c>
      <c r="D68" s="2">
        <f>SUM(D62:D67)</f>
        <v>117423</v>
      </c>
      <c r="E68" s="2"/>
      <c r="F68" s="2"/>
      <c r="G68" s="2"/>
      <c r="I68" s="2"/>
      <c r="J68" s="2"/>
    </row>
    <row r="69" spans="1:10" x14ac:dyDescent="0.2">
      <c r="D69" s="2"/>
      <c r="E69" s="2"/>
      <c r="F69" s="2"/>
      <c r="G69" s="2"/>
      <c r="I69" s="2"/>
      <c r="J69" s="2"/>
    </row>
    <row r="70" spans="1:10" ht="13.5" x14ac:dyDescent="0.25">
      <c r="A70" s="225" t="s">
        <v>992</v>
      </c>
      <c r="D70" s="2"/>
      <c r="E70" s="2">
        <v>126746</v>
      </c>
      <c r="F70" s="2">
        <v>153450</v>
      </c>
      <c r="G70" s="2">
        <v>201484</v>
      </c>
      <c r="H70" s="2">
        <v>209678</v>
      </c>
      <c r="I70" s="2">
        <v>210219</v>
      </c>
      <c r="J70" s="2">
        <v>210219</v>
      </c>
    </row>
    <row r="71" spans="1:10" hidden="1" x14ac:dyDescent="0.2">
      <c r="A71" s="22">
        <v>8102</v>
      </c>
      <c r="B71" s="2">
        <f>+B62</f>
        <v>45760</v>
      </c>
      <c r="C71" s="228">
        <v>0.1406</v>
      </c>
      <c r="D71" s="2">
        <f>ROUND(B71*C71,0)</f>
        <v>6434</v>
      </c>
      <c r="E71" s="2"/>
      <c r="F71" s="2"/>
      <c r="G71" s="2"/>
      <c r="I71" s="2"/>
      <c r="J71" s="2"/>
    </row>
    <row r="72" spans="1:10" hidden="1" x14ac:dyDescent="0.2">
      <c r="A72" s="12" t="s">
        <v>1290</v>
      </c>
      <c r="B72" s="2">
        <f>+B63</f>
        <v>595867</v>
      </c>
      <c r="C72" s="228">
        <v>0.1406</v>
      </c>
      <c r="D72" s="2">
        <f>ROUND(B72*C72,0)</f>
        <v>83779</v>
      </c>
      <c r="E72" s="2"/>
      <c r="F72" s="2"/>
      <c r="G72" s="2"/>
      <c r="I72" s="2"/>
      <c r="J72" s="2"/>
    </row>
    <row r="73" spans="1:10" hidden="1" x14ac:dyDescent="0.2">
      <c r="A73" s="22">
        <v>8104</v>
      </c>
      <c r="B73" s="2">
        <f>+B64</f>
        <v>701719</v>
      </c>
      <c r="C73" s="228">
        <v>0.1406</v>
      </c>
      <c r="D73" s="2">
        <f>ROUND(B73*C73,0)</f>
        <v>98662</v>
      </c>
      <c r="E73" s="2"/>
      <c r="F73" s="2"/>
      <c r="G73" s="2"/>
      <c r="I73" s="2"/>
      <c r="J73" s="2"/>
    </row>
    <row r="74" spans="1:10" hidden="1" x14ac:dyDescent="0.2">
      <c r="A74" s="12" t="s">
        <v>771</v>
      </c>
      <c r="B74" s="2">
        <f>+B65</f>
        <v>9437.3125</v>
      </c>
      <c r="C74" s="228">
        <v>0.1406</v>
      </c>
      <c r="D74" s="2">
        <f>ROUND(B74*C74,0)</f>
        <v>1327</v>
      </c>
      <c r="E74" s="2"/>
      <c r="F74" s="2"/>
      <c r="G74" s="2"/>
      <c r="I74" s="2"/>
      <c r="J74" s="2"/>
    </row>
    <row r="75" spans="1:10" ht="15" hidden="1" x14ac:dyDescent="0.35">
      <c r="A75" s="32" t="s">
        <v>159</v>
      </c>
      <c r="B75" s="2">
        <f>+B67</f>
        <v>142365.43124999999</v>
      </c>
      <c r="C75" s="228">
        <v>0.1406</v>
      </c>
      <c r="D75" s="10">
        <f>ROUND(B75*C75,0)</f>
        <v>20017</v>
      </c>
      <c r="E75" s="2"/>
      <c r="F75" s="2"/>
      <c r="G75" s="2"/>
      <c r="I75" s="2"/>
      <c r="J75" s="2"/>
    </row>
    <row r="76" spans="1:10" hidden="1" x14ac:dyDescent="0.2">
      <c r="A76" s="220" t="s">
        <v>1086</v>
      </c>
      <c r="D76" s="2">
        <f>SUM(D71:D75)</f>
        <v>210219</v>
      </c>
      <c r="E76" s="2"/>
      <c r="F76" s="2"/>
      <c r="G76" s="2"/>
      <c r="I76" s="2"/>
      <c r="J76" s="2"/>
    </row>
    <row r="77" spans="1:10" x14ac:dyDescent="0.2">
      <c r="D77" s="2"/>
      <c r="E77" s="2"/>
      <c r="F77" s="2"/>
      <c r="G77" s="2"/>
      <c r="I77" s="2"/>
      <c r="J77" s="2"/>
    </row>
    <row r="78" spans="1:10" ht="13.5" x14ac:dyDescent="0.25">
      <c r="A78" s="225" t="s">
        <v>587</v>
      </c>
      <c r="D78" s="2"/>
      <c r="E78" s="2">
        <v>360631</v>
      </c>
      <c r="F78" s="2">
        <v>430650</v>
      </c>
      <c r="G78" s="2">
        <v>438900</v>
      </c>
      <c r="H78" s="2">
        <v>434500</v>
      </c>
      <c r="I78" s="2">
        <v>434500</v>
      </c>
      <c r="J78" s="2">
        <v>434500</v>
      </c>
    </row>
    <row r="79" spans="1:10" x14ac:dyDescent="0.2">
      <c r="A79" s="220" t="s">
        <v>268</v>
      </c>
      <c r="B79" s="2">
        <v>14</v>
      </c>
      <c r="C79" s="2">
        <v>19750</v>
      </c>
      <c r="D79" s="2">
        <f>ROUND(B79*C79,0)</f>
        <v>276500</v>
      </c>
      <c r="E79" s="2"/>
      <c r="F79" s="2"/>
      <c r="G79" s="2"/>
      <c r="I79" s="2"/>
      <c r="J79" s="2"/>
    </row>
    <row r="80" spans="1:10" x14ac:dyDescent="0.2">
      <c r="A80" s="220" t="s">
        <v>269</v>
      </c>
      <c r="B80" s="2">
        <v>2</v>
      </c>
      <c r="C80" s="2">
        <v>19750</v>
      </c>
      <c r="D80" s="2">
        <f>ROUND(B80*C80,0)</f>
        <v>39500</v>
      </c>
      <c r="E80" s="2"/>
      <c r="F80" s="2"/>
      <c r="G80" s="2"/>
      <c r="I80" s="2"/>
      <c r="J80" s="2"/>
    </row>
    <row r="81" spans="1:10" ht="15" x14ac:dyDescent="0.35">
      <c r="A81" s="220" t="s">
        <v>307</v>
      </c>
      <c r="B81" s="2">
        <v>6</v>
      </c>
      <c r="C81" s="2">
        <v>19750</v>
      </c>
      <c r="D81" s="10">
        <f>ROUND(B81*C81,0)</f>
        <v>118500</v>
      </c>
      <c r="E81" s="2"/>
      <c r="F81" s="2"/>
      <c r="G81" s="2"/>
      <c r="I81" s="2"/>
      <c r="J81" s="2"/>
    </row>
    <row r="82" spans="1:10" x14ac:dyDescent="0.2">
      <c r="A82" s="220" t="s">
        <v>690</v>
      </c>
      <c r="B82" s="2"/>
      <c r="C82" s="2"/>
      <c r="D82" s="2">
        <f>SUM(D79:D81)</f>
        <v>434500</v>
      </c>
      <c r="E82" s="2"/>
      <c r="F82" s="2"/>
      <c r="G82" s="2"/>
      <c r="I82" s="2"/>
      <c r="J82" s="2"/>
    </row>
    <row r="83" spans="1:10" x14ac:dyDescent="0.2">
      <c r="D83" s="2"/>
      <c r="E83" s="2"/>
      <c r="F83" s="2"/>
      <c r="G83" s="2"/>
      <c r="I83" s="2"/>
      <c r="J83" s="2"/>
    </row>
    <row r="84" spans="1:10" ht="13.5" x14ac:dyDescent="0.25">
      <c r="A84" s="225" t="s">
        <v>588</v>
      </c>
      <c r="D84" s="2"/>
      <c r="E84" s="2">
        <v>22415</v>
      </c>
      <c r="F84" s="2">
        <v>27720</v>
      </c>
      <c r="G84" s="2">
        <v>27720</v>
      </c>
      <c r="H84" s="2">
        <v>27720</v>
      </c>
      <c r="I84" s="2">
        <v>27720</v>
      </c>
      <c r="J84" s="2">
        <v>27720</v>
      </c>
    </row>
    <row r="85" spans="1:10" x14ac:dyDescent="0.2">
      <c r="A85" s="220" t="s">
        <v>268</v>
      </c>
      <c r="B85" s="2">
        <v>22</v>
      </c>
      <c r="C85" s="2">
        <v>1400</v>
      </c>
      <c r="D85" s="2">
        <f>+C85*B85</f>
        <v>30800</v>
      </c>
      <c r="E85" s="2"/>
      <c r="F85" s="2"/>
      <c r="G85" s="2"/>
      <c r="I85" s="2"/>
      <c r="J85" s="2"/>
    </row>
    <row r="86" spans="1:10" ht="15" x14ac:dyDescent="0.35">
      <c r="A86" s="220" t="s">
        <v>535</v>
      </c>
      <c r="B86" s="2"/>
      <c r="C86" s="2"/>
      <c r="D86" s="10">
        <f>D85*-0.1</f>
        <v>-3080</v>
      </c>
      <c r="E86" s="2"/>
      <c r="F86" s="2"/>
      <c r="G86" s="2"/>
      <c r="I86" s="2"/>
      <c r="J86" s="2"/>
    </row>
    <row r="87" spans="1:10" x14ac:dyDescent="0.2">
      <c r="A87" s="220" t="s">
        <v>690</v>
      </c>
      <c r="B87" s="2"/>
      <c r="C87" s="2"/>
      <c r="D87" s="2">
        <f>SUM(D85:D86)</f>
        <v>27720</v>
      </c>
      <c r="E87" s="2"/>
      <c r="F87" s="2"/>
      <c r="G87" s="2"/>
      <c r="I87" s="2"/>
      <c r="J87" s="2"/>
    </row>
    <row r="88" spans="1:10" x14ac:dyDescent="0.2">
      <c r="D88" s="2"/>
      <c r="E88" s="2"/>
      <c r="F88" s="2"/>
      <c r="G88" s="2"/>
      <c r="I88" s="2"/>
      <c r="J88" s="2"/>
    </row>
    <row r="89" spans="1:10" ht="13.5" x14ac:dyDescent="0.25">
      <c r="A89" s="225" t="s">
        <v>589</v>
      </c>
      <c r="D89" s="2"/>
      <c r="E89" s="2">
        <v>1428</v>
      </c>
      <c r="F89" s="2">
        <v>1570</v>
      </c>
      <c r="G89" s="2">
        <v>1570</v>
      </c>
      <c r="H89" s="2">
        <v>1570</v>
      </c>
      <c r="I89" s="2">
        <v>1570</v>
      </c>
      <c r="J89" s="2">
        <v>1570</v>
      </c>
    </row>
    <row r="90" spans="1:10" hidden="1" x14ac:dyDescent="0.2">
      <c r="A90" s="220" t="s">
        <v>197</v>
      </c>
      <c r="B90" s="2">
        <v>2</v>
      </c>
      <c r="C90" s="2">
        <v>135</v>
      </c>
      <c r="D90" s="2">
        <f>+C90*B90</f>
        <v>270</v>
      </c>
      <c r="E90" s="2"/>
      <c r="F90" s="2"/>
      <c r="G90" s="2"/>
      <c r="I90" s="2"/>
      <c r="J90" s="2"/>
    </row>
    <row r="91" spans="1:10" hidden="1" x14ac:dyDescent="0.2">
      <c r="A91" s="220" t="s">
        <v>306</v>
      </c>
      <c r="B91" s="2">
        <v>6</v>
      </c>
      <c r="C91" s="2">
        <v>135</v>
      </c>
      <c r="D91" s="2">
        <f>+C91*B91</f>
        <v>810</v>
      </c>
      <c r="E91" s="2"/>
      <c r="F91" s="2"/>
      <c r="G91" s="2"/>
      <c r="I91" s="2"/>
      <c r="J91" s="2"/>
    </row>
    <row r="92" spans="1:10" ht="15" hidden="1" x14ac:dyDescent="0.35">
      <c r="A92" s="220" t="s">
        <v>198</v>
      </c>
      <c r="B92" s="2">
        <v>14</v>
      </c>
      <c r="C92" s="2">
        <v>35</v>
      </c>
      <c r="D92" s="10">
        <f>+C92*B92</f>
        <v>490</v>
      </c>
      <c r="E92" s="2"/>
      <c r="F92" s="2"/>
      <c r="G92" s="2"/>
      <c r="I92" s="2"/>
      <c r="J92" s="2"/>
    </row>
    <row r="93" spans="1:10" hidden="1" x14ac:dyDescent="0.2">
      <c r="A93" s="220" t="s">
        <v>1086</v>
      </c>
      <c r="D93" s="2">
        <f>SUM(D90:D92)</f>
        <v>1570</v>
      </c>
      <c r="E93" s="2"/>
      <c r="F93" s="2"/>
      <c r="G93" s="2"/>
      <c r="I93" s="2"/>
      <c r="J93" s="2"/>
    </row>
    <row r="94" spans="1:10" x14ac:dyDescent="0.2">
      <c r="D94" s="2"/>
      <c r="E94" s="2"/>
      <c r="F94" s="2"/>
      <c r="G94" s="2"/>
      <c r="I94" s="2"/>
      <c r="J94" s="2"/>
    </row>
    <row r="95" spans="1:10" ht="13.5" x14ac:dyDescent="0.25">
      <c r="A95" s="225" t="s">
        <v>598</v>
      </c>
      <c r="D95" s="2"/>
      <c r="E95" s="2">
        <v>11080</v>
      </c>
      <c r="F95" s="2">
        <v>13750</v>
      </c>
      <c r="G95" s="2">
        <v>12100</v>
      </c>
      <c r="H95" s="2">
        <v>12100</v>
      </c>
      <c r="I95" s="2">
        <v>12100</v>
      </c>
      <c r="J95" s="2">
        <v>12100</v>
      </c>
    </row>
    <row r="96" spans="1:10" hidden="1" x14ac:dyDescent="0.2">
      <c r="A96" s="220" t="s">
        <v>197</v>
      </c>
      <c r="B96" s="2">
        <v>2</v>
      </c>
      <c r="C96" s="2">
        <v>550</v>
      </c>
      <c r="D96" s="2">
        <f>+C96*B96</f>
        <v>1100</v>
      </c>
      <c r="E96" s="2"/>
      <c r="F96" s="2"/>
      <c r="G96" s="2"/>
      <c r="I96" s="2"/>
      <c r="J96" s="2"/>
    </row>
    <row r="97" spans="1:10" ht="15" hidden="1" x14ac:dyDescent="0.35">
      <c r="A97" s="220" t="s">
        <v>1238</v>
      </c>
      <c r="B97" s="2">
        <v>20</v>
      </c>
      <c r="C97" s="2">
        <v>550</v>
      </c>
      <c r="D97" s="10">
        <f>+C97*B97</f>
        <v>11000</v>
      </c>
      <c r="E97" s="2"/>
      <c r="F97" s="2"/>
      <c r="G97" s="2"/>
      <c r="I97" s="2"/>
      <c r="J97" s="2"/>
    </row>
    <row r="98" spans="1:10" hidden="1" x14ac:dyDescent="0.2">
      <c r="A98" s="220" t="s">
        <v>1086</v>
      </c>
      <c r="D98" s="2">
        <f>SUM(D96:D97)</f>
        <v>12100</v>
      </c>
      <c r="E98" s="2"/>
      <c r="F98" s="2"/>
      <c r="G98" s="2"/>
      <c r="I98" s="2"/>
      <c r="J98" s="2"/>
    </row>
    <row r="99" spans="1:10" x14ac:dyDescent="0.2">
      <c r="D99" s="2"/>
      <c r="E99" s="2"/>
      <c r="F99" s="2"/>
      <c r="G99" s="2"/>
      <c r="I99" s="2"/>
      <c r="J99" s="2"/>
    </row>
    <row r="100" spans="1:10" ht="13.5" x14ac:dyDescent="0.25">
      <c r="A100" s="225" t="s">
        <v>254</v>
      </c>
      <c r="D100" s="2"/>
      <c r="E100" s="2">
        <v>15399</v>
      </c>
      <c r="F100" s="2">
        <v>22512</v>
      </c>
      <c r="G100" s="2">
        <v>27176</v>
      </c>
      <c r="H100" s="2">
        <v>28305</v>
      </c>
      <c r="I100" s="2">
        <v>28378</v>
      </c>
      <c r="J100" s="2">
        <v>28378</v>
      </c>
    </row>
    <row r="101" spans="1:10" hidden="1" x14ac:dyDescent="0.2">
      <c r="A101" s="12" t="s">
        <v>770</v>
      </c>
      <c r="B101" s="2">
        <f t="shared" ref="B101:B106" si="3">+B62</f>
        <v>45760</v>
      </c>
      <c r="C101" s="13">
        <v>1.6999999999999999E-3</v>
      </c>
      <c r="D101" s="2">
        <f t="shared" ref="D101:D106" si="4">ROUND(B101*C101,0)</f>
        <v>78</v>
      </c>
      <c r="E101" s="2"/>
      <c r="F101" s="2"/>
      <c r="G101" s="2"/>
      <c r="I101" s="2"/>
      <c r="J101" s="2"/>
    </row>
    <row r="102" spans="1:10" hidden="1" x14ac:dyDescent="0.2">
      <c r="A102" s="12" t="s">
        <v>1290</v>
      </c>
      <c r="B102" s="2">
        <f t="shared" si="3"/>
        <v>595867</v>
      </c>
      <c r="C102" s="13">
        <v>1.9E-2</v>
      </c>
      <c r="D102" s="2">
        <f t="shared" si="4"/>
        <v>11321</v>
      </c>
      <c r="E102" s="2"/>
      <c r="F102" s="2"/>
      <c r="G102" s="2"/>
      <c r="I102" s="2"/>
      <c r="J102" s="2"/>
    </row>
    <row r="103" spans="1:10" hidden="1" x14ac:dyDescent="0.2">
      <c r="A103" s="12" t="s">
        <v>695</v>
      </c>
      <c r="B103" s="2">
        <f t="shared" si="3"/>
        <v>701719</v>
      </c>
      <c r="C103" s="13">
        <v>1.9E-2</v>
      </c>
      <c r="D103" s="2">
        <f t="shared" si="4"/>
        <v>13333</v>
      </c>
      <c r="E103" s="2"/>
      <c r="F103" s="2"/>
      <c r="G103" s="2"/>
      <c r="I103" s="2"/>
      <c r="J103" s="2"/>
    </row>
    <row r="104" spans="1:10" hidden="1" x14ac:dyDescent="0.2">
      <c r="A104" s="12" t="s">
        <v>1669</v>
      </c>
      <c r="B104" s="2">
        <f t="shared" si="3"/>
        <v>9437.3125</v>
      </c>
      <c r="C104" s="13">
        <v>1.9E-2</v>
      </c>
      <c r="D104" s="2">
        <f t="shared" si="4"/>
        <v>179</v>
      </c>
      <c r="E104" s="2"/>
      <c r="F104" s="2"/>
      <c r="G104" s="2"/>
      <c r="I104" s="2"/>
      <c r="J104" s="2"/>
    </row>
    <row r="105" spans="1:10" hidden="1" x14ac:dyDescent="0.2">
      <c r="A105" s="12" t="s">
        <v>158</v>
      </c>
      <c r="B105" s="2">
        <f t="shared" si="3"/>
        <v>39772</v>
      </c>
      <c r="C105" s="13">
        <v>1.9E-2</v>
      </c>
      <c r="D105" s="2">
        <f t="shared" si="4"/>
        <v>756</v>
      </c>
      <c r="E105" s="2"/>
      <c r="F105" s="2"/>
      <c r="G105" s="2"/>
      <c r="I105" s="2"/>
      <c r="J105" s="2"/>
    </row>
    <row r="106" spans="1:10" ht="15" hidden="1" x14ac:dyDescent="0.35">
      <c r="A106" s="12" t="s">
        <v>1670</v>
      </c>
      <c r="B106" s="2">
        <f t="shared" si="3"/>
        <v>142365.43124999999</v>
      </c>
      <c r="C106" s="13">
        <v>1.9E-2</v>
      </c>
      <c r="D106" s="10">
        <f t="shared" si="4"/>
        <v>2705</v>
      </c>
      <c r="E106" s="2"/>
      <c r="F106" s="2"/>
      <c r="G106" s="2"/>
      <c r="I106" s="2"/>
      <c r="J106" s="2"/>
    </row>
    <row r="107" spans="1:10" hidden="1" x14ac:dyDescent="0.2">
      <c r="A107" s="220" t="s">
        <v>1086</v>
      </c>
      <c r="D107" s="2">
        <f>SUM(D101:D106)+6</f>
        <v>28378</v>
      </c>
      <c r="E107" s="2"/>
      <c r="F107" s="2"/>
      <c r="G107" s="2"/>
      <c r="I107" s="2"/>
      <c r="J107" s="2"/>
    </row>
    <row r="108" spans="1:10" x14ac:dyDescent="0.2">
      <c r="D108" s="2"/>
      <c r="E108" s="2"/>
      <c r="F108" s="2"/>
      <c r="G108" s="2"/>
      <c r="I108" s="2"/>
      <c r="J108" s="2"/>
    </row>
    <row r="109" spans="1:10" ht="13.5" x14ac:dyDescent="0.25">
      <c r="A109" s="225" t="s">
        <v>1265</v>
      </c>
      <c r="D109" s="2"/>
      <c r="E109" s="2">
        <v>368</v>
      </c>
      <c r="F109" s="2">
        <v>449</v>
      </c>
      <c r="G109" s="2">
        <v>449</v>
      </c>
      <c r="H109" s="2">
        <v>449</v>
      </c>
      <c r="I109" s="2">
        <v>449</v>
      </c>
      <c r="J109" s="2">
        <v>449</v>
      </c>
    </row>
    <row r="110" spans="1:10" hidden="1" x14ac:dyDescent="0.2">
      <c r="A110" s="12" t="s">
        <v>770</v>
      </c>
      <c r="B110" s="2">
        <v>1</v>
      </c>
      <c r="C110" s="2">
        <v>20</v>
      </c>
      <c r="D110" s="2">
        <f>+B110*C110</f>
        <v>20</v>
      </c>
      <c r="E110" s="2"/>
      <c r="F110" s="2"/>
      <c r="G110" s="2"/>
      <c r="I110" s="2"/>
      <c r="J110" s="2"/>
    </row>
    <row r="111" spans="1:10" hidden="1" x14ac:dyDescent="0.2">
      <c r="A111" s="12" t="s">
        <v>1290</v>
      </c>
      <c r="B111" s="2">
        <v>7</v>
      </c>
      <c r="C111" s="2">
        <v>20</v>
      </c>
      <c r="D111" s="2">
        <f>+B111*C111</f>
        <v>140</v>
      </c>
      <c r="E111" s="2"/>
      <c r="F111" s="2"/>
      <c r="G111" s="42"/>
      <c r="H111" s="42"/>
      <c r="I111" s="42"/>
      <c r="J111" s="42"/>
    </row>
    <row r="112" spans="1:10" hidden="1" x14ac:dyDescent="0.2">
      <c r="A112" s="12" t="s">
        <v>695</v>
      </c>
      <c r="B112" s="2">
        <v>13</v>
      </c>
      <c r="C112" s="2">
        <v>20</v>
      </c>
      <c r="D112" s="2">
        <f>+B112*C112</f>
        <v>260</v>
      </c>
      <c r="E112" s="2"/>
      <c r="F112" s="2"/>
      <c r="G112" s="42"/>
      <c r="H112" s="42"/>
      <c r="I112" s="42"/>
      <c r="J112" s="42"/>
    </row>
    <row r="113" spans="1:10" hidden="1" x14ac:dyDescent="0.2">
      <c r="A113" s="12" t="s">
        <v>158</v>
      </c>
      <c r="B113" s="2">
        <v>1</v>
      </c>
      <c r="C113" s="2">
        <v>20</v>
      </c>
      <c r="D113" s="2">
        <f>+B113*C113</f>
        <v>20</v>
      </c>
      <c r="E113" s="2"/>
      <c r="F113" s="2"/>
      <c r="G113" s="42"/>
      <c r="H113" s="42"/>
      <c r="I113" s="42"/>
      <c r="J113" s="42"/>
    </row>
    <row r="114" spans="1:10" ht="15" hidden="1" x14ac:dyDescent="0.35">
      <c r="A114" s="12" t="s">
        <v>158</v>
      </c>
      <c r="B114" s="2">
        <v>6080</v>
      </c>
      <c r="C114" s="13">
        <v>1.4E-3</v>
      </c>
      <c r="D114" s="10">
        <f>+B114*C114</f>
        <v>8.5120000000000005</v>
      </c>
      <c r="E114" s="2"/>
      <c r="F114" s="2"/>
      <c r="G114" s="42"/>
      <c r="H114" s="42"/>
      <c r="I114" s="42"/>
      <c r="J114" s="42"/>
    </row>
    <row r="115" spans="1:10" hidden="1" x14ac:dyDescent="0.2">
      <c r="A115" s="220" t="s">
        <v>1086</v>
      </c>
      <c r="D115" s="2">
        <f>SUM(D110:D114)</f>
        <v>448.512</v>
      </c>
      <c r="E115" s="2"/>
      <c r="F115" s="2"/>
      <c r="G115" s="42"/>
      <c r="H115" s="42"/>
      <c r="I115" s="42"/>
      <c r="J115" s="42"/>
    </row>
    <row r="116" spans="1:10" x14ac:dyDescent="0.2">
      <c r="D116" s="2"/>
      <c r="E116" s="2"/>
      <c r="F116" s="2"/>
      <c r="G116" s="42"/>
      <c r="H116" s="42"/>
      <c r="I116" s="42"/>
      <c r="J116" s="42"/>
    </row>
    <row r="117" spans="1:10" ht="13.5" x14ac:dyDescent="0.25">
      <c r="A117" s="48" t="s">
        <v>78</v>
      </c>
      <c r="B117" s="2" t="s">
        <v>349</v>
      </c>
      <c r="C117" s="2"/>
      <c r="D117" s="2"/>
      <c r="E117" s="2">
        <v>17530</v>
      </c>
      <c r="F117" s="2">
        <v>9170</v>
      </c>
      <c r="G117" s="42">
        <v>4870</v>
      </c>
      <c r="H117" s="42">
        <v>4870</v>
      </c>
      <c r="I117" s="42">
        <v>4870</v>
      </c>
      <c r="J117" s="42">
        <v>4870</v>
      </c>
    </row>
    <row r="118" spans="1:10" hidden="1" x14ac:dyDescent="0.2">
      <c r="A118" s="2" t="s">
        <v>261</v>
      </c>
      <c r="B118" s="2"/>
      <c r="C118" s="2"/>
      <c r="D118" s="2"/>
      <c r="E118" s="2"/>
      <c r="F118" s="2"/>
      <c r="G118" s="42"/>
      <c r="H118" s="42"/>
      <c r="I118" s="42"/>
      <c r="J118" s="42"/>
    </row>
    <row r="119" spans="1:10" hidden="1" x14ac:dyDescent="0.2">
      <c r="A119" s="2" t="s">
        <v>1609</v>
      </c>
      <c r="B119" s="2"/>
      <c r="C119" s="2"/>
      <c r="D119" s="2">
        <v>0</v>
      </c>
      <c r="E119" s="2"/>
      <c r="F119" s="2"/>
      <c r="G119" s="42"/>
      <c r="H119" s="42"/>
      <c r="I119" s="42"/>
      <c r="J119" s="42"/>
    </row>
    <row r="120" spans="1:10" ht="15" hidden="1" x14ac:dyDescent="0.35">
      <c r="A120" s="2" t="s">
        <v>1960</v>
      </c>
      <c r="B120" s="2"/>
      <c r="C120" s="2"/>
      <c r="D120" s="10">
        <v>4870</v>
      </c>
      <c r="E120" s="2"/>
      <c r="F120" s="2"/>
      <c r="G120" s="42"/>
      <c r="H120" s="42"/>
      <c r="I120" s="42"/>
      <c r="J120" s="42"/>
    </row>
    <row r="121" spans="1:10" hidden="1" x14ac:dyDescent="0.2">
      <c r="A121" s="2" t="s">
        <v>224</v>
      </c>
      <c r="B121" s="2"/>
      <c r="C121" s="2"/>
      <c r="D121" s="2">
        <f>SUM(D119:D120)</f>
        <v>4870</v>
      </c>
      <c r="E121" s="2"/>
      <c r="F121" s="2"/>
      <c r="G121" s="42"/>
      <c r="H121" s="42"/>
      <c r="I121" s="42"/>
      <c r="J121" s="42"/>
    </row>
    <row r="122" spans="1:10" x14ac:dyDescent="0.2">
      <c r="D122" s="2"/>
      <c r="E122" s="2"/>
      <c r="F122" s="2"/>
      <c r="G122" s="42"/>
      <c r="H122" s="42"/>
      <c r="I122" s="42"/>
      <c r="J122" s="42"/>
    </row>
    <row r="123" spans="1:10" ht="13.5" x14ac:dyDescent="0.25">
      <c r="A123" s="48" t="s">
        <v>1542</v>
      </c>
      <c r="D123" s="2">
        <v>0</v>
      </c>
      <c r="E123" s="2">
        <v>2000</v>
      </c>
      <c r="F123" s="2">
        <v>0</v>
      </c>
      <c r="G123" s="2">
        <v>0</v>
      </c>
      <c r="H123" s="2">
        <v>0</v>
      </c>
      <c r="I123" s="2">
        <v>0</v>
      </c>
      <c r="J123" s="2">
        <v>0</v>
      </c>
    </row>
    <row r="124" spans="1:10" ht="13.5" x14ac:dyDescent="0.25">
      <c r="A124" s="48"/>
      <c r="D124" s="2"/>
      <c r="E124" s="2"/>
      <c r="F124" s="2"/>
      <c r="G124" s="2"/>
      <c r="I124" s="2"/>
      <c r="J124" s="2"/>
    </row>
    <row r="125" spans="1:10" ht="13.5" x14ac:dyDescent="0.25">
      <c r="A125" s="225" t="s">
        <v>1266</v>
      </c>
      <c r="D125" s="2"/>
      <c r="E125" s="2">
        <v>2659</v>
      </c>
      <c r="F125" s="2">
        <v>2500</v>
      </c>
      <c r="G125" s="42">
        <f>+F125</f>
        <v>2500</v>
      </c>
      <c r="H125" s="42">
        <v>2500</v>
      </c>
      <c r="I125" s="42">
        <v>2500</v>
      </c>
      <c r="J125" s="42">
        <v>2500</v>
      </c>
    </row>
    <row r="126" spans="1:10" x14ac:dyDescent="0.2">
      <c r="A126" s="220" t="s">
        <v>1267</v>
      </c>
      <c r="D126" s="2" t="s">
        <v>349</v>
      </c>
      <c r="E126" s="2"/>
      <c r="F126" s="2"/>
      <c r="G126" s="42"/>
      <c r="H126" s="42"/>
      <c r="I126" s="42"/>
      <c r="J126" s="42"/>
    </row>
    <row r="127" spans="1:10" x14ac:dyDescent="0.2">
      <c r="A127" s="220" t="s">
        <v>1469</v>
      </c>
      <c r="C127" s="2"/>
      <c r="D127" s="2"/>
      <c r="E127" s="2"/>
      <c r="F127" s="2"/>
      <c r="G127" s="42"/>
      <c r="H127" s="42"/>
      <c r="I127" s="42"/>
      <c r="J127" s="42"/>
    </row>
    <row r="128" spans="1:10" x14ac:dyDescent="0.2">
      <c r="A128" s="220" t="s">
        <v>1086</v>
      </c>
      <c r="B128" s="2"/>
      <c r="C128" s="2"/>
      <c r="D128" s="2">
        <v>2500</v>
      </c>
      <c r="E128" s="2"/>
      <c r="F128" s="2"/>
      <c r="G128" s="42"/>
      <c r="H128" s="42"/>
      <c r="I128" s="42"/>
      <c r="J128" s="42"/>
    </row>
    <row r="129" spans="1:10" x14ac:dyDescent="0.2">
      <c r="C129" s="2" t="s">
        <v>349</v>
      </c>
      <c r="D129" s="2" t="s">
        <v>349</v>
      </c>
      <c r="E129" s="2"/>
      <c r="F129" s="2"/>
      <c r="G129" s="42"/>
      <c r="H129" s="42"/>
      <c r="I129" s="42"/>
      <c r="J129" s="42"/>
    </row>
    <row r="130" spans="1:10" ht="13.5" x14ac:dyDescent="0.25">
      <c r="A130" s="225" t="s">
        <v>300</v>
      </c>
      <c r="C130" s="2"/>
      <c r="D130" s="2"/>
      <c r="E130" s="2">
        <v>10558</v>
      </c>
      <c r="F130" s="2">
        <v>7900</v>
      </c>
      <c r="G130" s="42">
        <f>+F130</f>
        <v>7900</v>
      </c>
      <c r="H130" s="42">
        <v>7900</v>
      </c>
      <c r="I130" s="42">
        <v>7900</v>
      </c>
      <c r="J130" s="42">
        <v>7900</v>
      </c>
    </row>
    <row r="131" spans="1:10" x14ac:dyDescent="0.2">
      <c r="A131" s="220" t="s">
        <v>720</v>
      </c>
      <c r="C131" s="2"/>
      <c r="D131" s="2">
        <v>2500</v>
      </c>
      <c r="E131" s="2"/>
      <c r="F131" s="2"/>
      <c r="G131" s="42"/>
      <c r="H131" s="42"/>
      <c r="I131" s="42"/>
      <c r="J131" s="42"/>
    </row>
    <row r="132" spans="1:10" ht="15" x14ac:dyDescent="0.35">
      <c r="A132" s="220" t="s">
        <v>301</v>
      </c>
      <c r="C132" s="10"/>
      <c r="D132" s="10">
        <v>5400</v>
      </c>
      <c r="E132" s="2"/>
      <c r="F132" s="2"/>
      <c r="G132" s="42"/>
      <c r="H132" s="42"/>
      <c r="I132" s="42"/>
      <c r="J132" s="42"/>
    </row>
    <row r="133" spans="1:10" x14ac:dyDescent="0.2">
      <c r="A133" s="220" t="s">
        <v>1086</v>
      </c>
      <c r="C133" s="2"/>
      <c r="D133" s="2">
        <v>7900</v>
      </c>
      <c r="E133" s="2"/>
      <c r="F133" s="2"/>
      <c r="G133" s="42"/>
      <c r="H133" s="42"/>
      <c r="I133" s="42"/>
      <c r="J133" s="42"/>
    </row>
    <row r="134" spans="1:10" x14ac:dyDescent="0.2">
      <c r="C134" s="17"/>
      <c r="D134" s="17"/>
      <c r="E134" s="2"/>
      <c r="F134" s="2"/>
      <c r="G134" s="42"/>
      <c r="H134" s="42"/>
      <c r="I134" s="42"/>
      <c r="J134" s="42"/>
    </row>
    <row r="135" spans="1:10" ht="13.5" x14ac:dyDescent="0.25">
      <c r="A135" s="225" t="s">
        <v>302</v>
      </c>
      <c r="C135" s="2"/>
      <c r="D135" s="2"/>
      <c r="E135" s="2">
        <v>8209</v>
      </c>
      <c r="F135" s="2">
        <v>5300</v>
      </c>
      <c r="G135" s="42">
        <v>5300</v>
      </c>
      <c r="H135" s="42">
        <v>5300</v>
      </c>
      <c r="I135" s="42">
        <v>5300</v>
      </c>
      <c r="J135" s="42">
        <v>5300</v>
      </c>
    </row>
    <row r="136" spans="1:10" x14ac:dyDescent="0.2">
      <c r="A136" s="5" t="s">
        <v>0</v>
      </c>
      <c r="B136" s="5"/>
      <c r="C136" s="2"/>
      <c r="D136" s="2">
        <v>600</v>
      </c>
      <c r="E136" s="2"/>
      <c r="F136" s="2"/>
      <c r="G136" s="42"/>
      <c r="H136" s="42"/>
      <c r="I136" s="42"/>
      <c r="J136" s="42"/>
    </row>
    <row r="137" spans="1:10" x14ac:dyDescent="0.2">
      <c r="A137" s="5" t="s">
        <v>1531</v>
      </c>
      <c r="B137" s="5"/>
      <c r="C137" s="2"/>
      <c r="D137" s="2">
        <v>1300</v>
      </c>
      <c r="E137" s="2"/>
      <c r="F137" s="2"/>
      <c r="G137" s="42"/>
      <c r="H137" s="42"/>
      <c r="I137" s="42"/>
      <c r="J137" s="42"/>
    </row>
    <row r="138" spans="1:10" x14ac:dyDescent="0.2">
      <c r="A138" s="5" t="s">
        <v>2129</v>
      </c>
      <c r="B138" s="5"/>
      <c r="C138" s="46" t="s">
        <v>1790</v>
      </c>
      <c r="D138" s="2">
        <v>1900</v>
      </c>
      <c r="E138" s="2"/>
      <c r="F138" s="2"/>
      <c r="G138" s="42"/>
      <c r="H138" s="42"/>
      <c r="I138" s="42"/>
      <c r="J138" s="42"/>
    </row>
    <row r="139" spans="1:10" x14ac:dyDescent="0.2">
      <c r="A139" s="5" t="s">
        <v>1</v>
      </c>
      <c r="B139" s="5"/>
      <c r="C139" s="2"/>
      <c r="D139" s="2">
        <v>700</v>
      </c>
      <c r="E139" s="2"/>
      <c r="F139" s="2"/>
      <c r="G139" s="42"/>
      <c r="H139" s="42"/>
      <c r="I139" s="42"/>
      <c r="J139" s="42"/>
    </row>
    <row r="140" spans="1:10" ht="15" x14ac:dyDescent="0.35">
      <c r="A140" s="5" t="s">
        <v>973</v>
      </c>
      <c r="B140" s="5"/>
      <c r="C140" s="10"/>
      <c r="D140" s="10">
        <v>800</v>
      </c>
      <c r="E140" s="2"/>
      <c r="F140" s="2"/>
      <c r="G140" s="42"/>
      <c r="H140" s="42"/>
      <c r="I140" s="42"/>
      <c r="J140" s="42"/>
    </row>
    <row r="141" spans="1:10" x14ac:dyDescent="0.2">
      <c r="A141" s="5" t="s">
        <v>1086</v>
      </c>
      <c r="B141" s="5"/>
      <c r="C141" s="2"/>
      <c r="D141" s="2">
        <f>SUM(D136:D140)</f>
        <v>5300</v>
      </c>
      <c r="E141" s="2"/>
      <c r="F141" s="2"/>
      <c r="G141" s="42"/>
      <c r="H141" s="42"/>
      <c r="I141" s="42"/>
      <c r="J141" s="42"/>
    </row>
    <row r="142" spans="1:10" x14ac:dyDescent="0.2">
      <c r="B142" s="2"/>
      <c r="C142" s="17"/>
      <c r="D142" s="17"/>
      <c r="E142" s="2"/>
      <c r="F142" s="2"/>
      <c r="G142" s="42"/>
      <c r="H142" s="42"/>
      <c r="I142" s="42"/>
      <c r="J142" s="42"/>
    </row>
    <row r="143" spans="1:10" ht="13.5" x14ac:dyDescent="0.25">
      <c r="A143" s="225" t="s">
        <v>1016</v>
      </c>
      <c r="D143" s="2" t="s">
        <v>349</v>
      </c>
      <c r="E143" s="2">
        <v>9831</v>
      </c>
      <c r="F143" s="2">
        <v>11212</v>
      </c>
      <c r="G143" s="42">
        <f>+F143</f>
        <v>11212</v>
      </c>
      <c r="H143" s="42">
        <v>11212</v>
      </c>
      <c r="I143" s="42">
        <v>11212</v>
      </c>
      <c r="J143" s="42">
        <v>11212</v>
      </c>
    </row>
    <row r="144" spans="1:10" x14ac:dyDescent="0.2">
      <c r="A144" s="220" t="s">
        <v>40</v>
      </c>
      <c r="B144" s="2">
        <v>3</v>
      </c>
      <c r="C144" s="2">
        <v>255</v>
      </c>
      <c r="D144" s="2">
        <v>765</v>
      </c>
      <c r="E144" s="2"/>
      <c r="F144" s="2"/>
      <c r="G144" s="42"/>
      <c r="H144" s="42"/>
      <c r="I144" s="42"/>
      <c r="J144" s="42"/>
    </row>
    <row r="145" spans="1:10" x14ac:dyDescent="0.2">
      <c r="A145" s="220" t="s">
        <v>922</v>
      </c>
      <c r="B145" s="2">
        <v>4</v>
      </c>
      <c r="C145" s="2">
        <v>200</v>
      </c>
      <c r="D145" s="2">
        <f>+C145*B145</f>
        <v>800</v>
      </c>
      <c r="E145" s="2"/>
      <c r="F145" s="2"/>
      <c r="G145" s="42"/>
      <c r="H145" s="42"/>
      <c r="I145" s="42"/>
      <c r="J145" s="42"/>
    </row>
    <row r="146" spans="1:10" x14ac:dyDescent="0.2">
      <c r="A146" s="220" t="s">
        <v>1017</v>
      </c>
      <c r="B146" s="2">
        <v>2</v>
      </c>
      <c r="C146" s="2">
        <v>350</v>
      </c>
      <c r="D146" s="2">
        <v>700</v>
      </c>
      <c r="E146" s="2"/>
      <c r="F146" s="2"/>
      <c r="G146" s="42"/>
      <c r="H146" s="42"/>
      <c r="I146" s="42"/>
      <c r="J146" s="42"/>
    </row>
    <row r="147" spans="1:10" x14ac:dyDescent="0.2">
      <c r="A147" s="220" t="s">
        <v>855</v>
      </c>
      <c r="B147" s="2">
        <v>2</v>
      </c>
      <c r="C147" s="2">
        <v>75</v>
      </c>
      <c r="D147" s="2">
        <v>150</v>
      </c>
      <c r="E147" s="2"/>
      <c r="F147" s="2"/>
      <c r="G147" s="118"/>
      <c r="H147" s="118"/>
      <c r="I147" s="118"/>
      <c r="J147" s="118"/>
    </row>
    <row r="148" spans="1:10" x14ac:dyDescent="0.2">
      <c r="A148" s="31" t="s">
        <v>1907</v>
      </c>
      <c r="B148" s="2">
        <v>18</v>
      </c>
      <c r="C148" s="2">
        <v>260</v>
      </c>
      <c r="D148" s="2">
        <f>+C148*B148</f>
        <v>4680</v>
      </c>
      <c r="E148" s="2"/>
      <c r="F148" s="2"/>
      <c r="G148" s="118"/>
      <c r="H148" s="118"/>
      <c r="I148" s="118"/>
      <c r="J148" s="118"/>
    </row>
    <row r="149" spans="1:10" x14ac:dyDescent="0.2">
      <c r="A149" s="220" t="s">
        <v>1470</v>
      </c>
      <c r="B149" s="2">
        <v>1</v>
      </c>
      <c r="C149" s="87">
        <v>2.25</v>
      </c>
      <c r="D149" s="2">
        <v>117</v>
      </c>
      <c r="E149" s="2"/>
      <c r="F149" s="2"/>
      <c r="G149" s="118"/>
      <c r="H149" s="118"/>
      <c r="I149" s="118"/>
      <c r="J149" s="118"/>
    </row>
    <row r="150" spans="1:10" x14ac:dyDescent="0.2">
      <c r="A150" s="220" t="s">
        <v>856</v>
      </c>
      <c r="B150" s="2">
        <v>2</v>
      </c>
      <c r="C150" s="2">
        <v>75</v>
      </c>
      <c r="D150" s="2">
        <v>150</v>
      </c>
      <c r="E150" s="2"/>
      <c r="F150" s="2"/>
      <c r="G150" s="118"/>
      <c r="H150" s="118"/>
      <c r="I150" s="118"/>
      <c r="J150" s="118"/>
    </row>
    <row r="151" spans="1:10" x14ac:dyDescent="0.2">
      <c r="A151" s="220" t="s">
        <v>779</v>
      </c>
      <c r="B151" s="2">
        <v>14</v>
      </c>
      <c r="C151" s="2">
        <v>275</v>
      </c>
      <c r="D151" s="33">
        <f>+B151*C151</f>
        <v>3850</v>
      </c>
      <c r="E151" s="2"/>
      <c r="F151" s="2"/>
      <c r="G151" s="42"/>
      <c r="H151" s="42"/>
      <c r="I151" s="42"/>
      <c r="J151" s="42"/>
    </row>
    <row r="152" spans="1:10" x14ac:dyDescent="0.2">
      <c r="A152" s="220" t="s">
        <v>1086</v>
      </c>
      <c r="D152" s="2">
        <f>SUM(D144:D151)</f>
        <v>11212</v>
      </c>
      <c r="E152" s="2"/>
      <c r="F152" s="2"/>
      <c r="H152" s="220"/>
      <c r="I152" s="251"/>
      <c r="J152" s="256"/>
    </row>
    <row r="153" spans="1:10" x14ac:dyDescent="0.2">
      <c r="D153" s="2"/>
      <c r="E153" s="2"/>
      <c r="F153" s="2"/>
      <c r="H153" s="220"/>
      <c r="I153" s="251"/>
      <c r="J153" s="256"/>
    </row>
    <row r="154" spans="1:10" ht="13.5" x14ac:dyDescent="0.25">
      <c r="A154" s="225" t="s">
        <v>323</v>
      </c>
      <c r="D154" s="2"/>
      <c r="E154" s="2">
        <v>25431</v>
      </c>
      <c r="F154" s="2">
        <v>28000</v>
      </c>
      <c r="G154" s="42">
        <f>+F154</f>
        <v>28000</v>
      </c>
      <c r="H154" s="42">
        <v>28000</v>
      </c>
      <c r="I154" s="42">
        <v>28000</v>
      </c>
      <c r="J154" s="42">
        <v>28000</v>
      </c>
    </row>
    <row r="155" spans="1:10" ht="25.5" x14ac:dyDescent="0.2">
      <c r="A155" s="31" t="s">
        <v>1471</v>
      </c>
      <c r="D155" s="2"/>
      <c r="E155" s="2"/>
      <c r="F155" s="2"/>
      <c r="G155" s="42"/>
      <c r="H155" s="42"/>
      <c r="I155" s="42"/>
      <c r="J155" s="42"/>
    </row>
    <row r="156" spans="1:10" x14ac:dyDescent="0.2">
      <c r="A156" s="220" t="s">
        <v>54</v>
      </c>
      <c r="C156" s="2"/>
      <c r="D156" s="2">
        <v>28000</v>
      </c>
      <c r="E156" s="2"/>
      <c r="F156" s="2"/>
      <c r="G156" s="42"/>
      <c r="H156" s="42"/>
      <c r="I156" s="42"/>
      <c r="J156" s="42"/>
    </row>
    <row r="157" spans="1:10" x14ac:dyDescent="0.2">
      <c r="C157" s="2"/>
      <c r="D157" s="2"/>
      <c r="E157" s="2"/>
      <c r="F157" s="2"/>
      <c r="G157" s="42"/>
      <c r="H157" s="42"/>
      <c r="I157" s="42"/>
      <c r="J157" s="42"/>
    </row>
    <row r="158" spans="1:10" ht="13.5" x14ac:dyDescent="0.25">
      <c r="A158" s="225" t="s">
        <v>324</v>
      </c>
      <c r="C158" s="2"/>
      <c r="D158" s="2"/>
      <c r="E158" s="2">
        <v>2203</v>
      </c>
      <c r="F158" s="2">
        <v>3000</v>
      </c>
      <c r="G158" s="42">
        <f>+F158</f>
        <v>3000</v>
      </c>
      <c r="H158" s="42">
        <v>3000</v>
      </c>
      <c r="I158" s="42">
        <v>3000</v>
      </c>
      <c r="J158" s="42">
        <v>3000</v>
      </c>
    </row>
    <row r="159" spans="1:10" x14ac:dyDescent="0.2">
      <c r="A159" s="220" t="s">
        <v>1188</v>
      </c>
      <c r="C159" s="2"/>
      <c r="D159" s="2">
        <v>3000</v>
      </c>
      <c r="E159" s="2"/>
      <c r="F159" s="2"/>
      <c r="G159" s="42"/>
      <c r="H159" s="42"/>
      <c r="I159" s="42"/>
      <c r="J159" s="42"/>
    </row>
    <row r="160" spans="1:10" x14ac:dyDescent="0.2">
      <c r="C160" s="2"/>
      <c r="D160" s="2"/>
      <c r="E160" s="2"/>
      <c r="F160" s="2"/>
      <c r="G160" s="42"/>
      <c r="H160" s="42"/>
      <c r="I160" s="42"/>
      <c r="J160" s="42"/>
    </row>
    <row r="161" spans="1:10" ht="13.5" x14ac:dyDescent="0.25">
      <c r="A161" s="225" t="s">
        <v>1765</v>
      </c>
      <c r="C161" s="2"/>
      <c r="D161" s="2"/>
      <c r="E161" s="2">
        <v>190</v>
      </c>
      <c r="F161" s="2">
        <v>0</v>
      </c>
      <c r="G161" s="2">
        <v>0</v>
      </c>
      <c r="H161" s="2">
        <v>0</v>
      </c>
      <c r="I161" s="2">
        <v>0</v>
      </c>
      <c r="J161" s="2">
        <v>0</v>
      </c>
    </row>
    <row r="162" spans="1:10" x14ac:dyDescent="0.2">
      <c r="C162" s="2"/>
      <c r="D162" s="2"/>
      <c r="E162" s="2"/>
      <c r="F162" s="2"/>
      <c r="G162" s="42"/>
      <c r="H162" s="42"/>
      <c r="I162" s="42"/>
      <c r="J162" s="42"/>
    </row>
    <row r="163" spans="1:10" ht="13.5" x14ac:dyDescent="0.25">
      <c r="A163" s="225" t="s">
        <v>741</v>
      </c>
      <c r="C163" s="2"/>
      <c r="D163" s="2"/>
      <c r="E163" s="2">
        <v>796</v>
      </c>
      <c r="F163" s="2">
        <v>2000</v>
      </c>
      <c r="G163" s="42">
        <v>1500</v>
      </c>
      <c r="H163" s="42">
        <v>1500</v>
      </c>
      <c r="I163" s="42">
        <v>1500</v>
      </c>
      <c r="J163" s="42">
        <v>1500</v>
      </c>
    </row>
    <row r="164" spans="1:10" x14ac:dyDescent="0.2">
      <c r="A164" s="220" t="s">
        <v>1472</v>
      </c>
      <c r="C164" s="2"/>
      <c r="D164" s="2">
        <v>1500</v>
      </c>
      <c r="E164" s="2"/>
      <c r="F164" s="2"/>
      <c r="G164" s="42"/>
      <c r="H164" s="42"/>
      <c r="I164" s="42"/>
      <c r="J164" s="42"/>
    </row>
    <row r="165" spans="1:10" x14ac:dyDescent="0.2">
      <c r="C165" s="2"/>
      <c r="D165" s="2"/>
      <c r="E165" s="2"/>
      <c r="F165" s="2"/>
      <c r="G165" s="42"/>
      <c r="H165" s="42"/>
      <c r="I165" s="42"/>
      <c r="J165" s="42"/>
    </row>
    <row r="166" spans="1:10" ht="13.5" x14ac:dyDescent="0.25">
      <c r="A166" s="225" t="s">
        <v>313</v>
      </c>
      <c r="C166" s="2"/>
      <c r="D166" s="2"/>
      <c r="E166" s="2">
        <v>309962</v>
      </c>
      <c r="F166" s="2">
        <v>371000</v>
      </c>
      <c r="G166" s="42">
        <v>353000</v>
      </c>
      <c r="H166" s="42">
        <v>358000</v>
      </c>
      <c r="I166" s="42">
        <v>358000</v>
      </c>
      <c r="J166" s="42">
        <v>358000</v>
      </c>
    </row>
    <row r="167" spans="1:10" x14ac:dyDescent="0.2">
      <c r="A167" s="220" t="s">
        <v>314</v>
      </c>
      <c r="C167" s="2"/>
      <c r="D167" s="2">
        <f>5000+267000</f>
        <v>272000</v>
      </c>
      <c r="E167" s="2"/>
      <c r="F167" s="118"/>
      <c r="G167" s="233"/>
      <c r="H167" s="233"/>
      <c r="I167" s="233"/>
      <c r="J167" s="233"/>
    </row>
    <row r="168" spans="1:10" x14ac:dyDescent="0.2">
      <c r="A168" s="220" t="s">
        <v>887</v>
      </c>
      <c r="C168" s="2"/>
      <c r="D168" s="2">
        <v>8500</v>
      </c>
      <c r="E168" s="2"/>
      <c r="F168" s="2"/>
      <c r="G168" s="42"/>
      <c r="H168" s="42"/>
      <c r="I168" s="42"/>
      <c r="J168" s="42"/>
    </row>
    <row r="169" spans="1:10" x14ac:dyDescent="0.2">
      <c r="A169" s="220" t="s">
        <v>888</v>
      </c>
      <c r="C169" s="2"/>
      <c r="D169" s="2">
        <v>4800</v>
      </c>
      <c r="E169" s="2"/>
      <c r="F169" s="2"/>
      <c r="G169" s="42"/>
      <c r="H169" s="42"/>
      <c r="I169" s="42"/>
      <c r="J169" s="42"/>
    </row>
    <row r="170" spans="1:10" x14ac:dyDescent="0.2">
      <c r="A170" s="220" t="s">
        <v>642</v>
      </c>
      <c r="C170" s="2"/>
      <c r="D170" s="2">
        <v>2800</v>
      </c>
      <c r="E170" s="2"/>
      <c r="F170" s="2"/>
      <c r="G170" s="42"/>
      <c r="H170" s="42"/>
      <c r="I170" s="42"/>
      <c r="J170" s="42"/>
    </row>
    <row r="171" spans="1:10" x14ac:dyDescent="0.2">
      <c r="A171" s="220" t="s">
        <v>968</v>
      </c>
      <c r="C171" s="2"/>
      <c r="D171" s="2">
        <v>1900</v>
      </c>
      <c r="E171" s="2"/>
      <c r="F171" s="2"/>
      <c r="G171" s="42"/>
      <c r="H171" s="42"/>
      <c r="I171" s="42"/>
      <c r="J171" s="42"/>
    </row>
    <row r="172" spans="1:10" x14ac:dyDescent="0.2">
      <c r="A172" s="220" t="s">
        <v>1355</v>
      </c>
      <c r="C172" s="2"/>
      <c r="D172" s="2">
        <v>1200</v>
      </c>
      <c r="E172" s="2"/>
      <c r="F172" s="2"/>
      <c r="G172" s="42"/>
      <c r="H172" s="42"/>
      <c r="I172" s="42"/>
      <c r="J172" s="42"/>
    </row>
    <row r="173" spans="1:10" x14ac:dyDescent="0.2">
      <c r="A173" s="220" t="s">
        <v>643</v>
      </c>
      <c r="C173" s="2"/>
      <c r="D173" s="2">
        <v>1200</v>
      </c>
      <c r="E173" s="2"/>
      <c r="F173" s="2"/>
      <c r="G173" s="42"/>
      <c r="H173" s="42"/>
      <c r="I173" s="42"/>
      <c r="J173" s="42"/>
    </row>
    <row r="174" spans="1:10" x14ac:dyDescent="0.2">
      <c r="A174" s="220" t="s">
        <v>1610</v>
      </c>
      <c r="C174" s="2"/>
      <c r="D174" s="2">
        <v>4100</v>
      </c>
      <c r="E174" s="2"/>
      <c r="F174" s="2"/>
      <c r="G174" s="42"/>
      <c r="H174" s="42"/>
      <c r="I174" s="42"/>
      <c r="J174" s="42"/>
    </row>
    <row r="175" spans="1:10" ht="15" x14ac:dyDescent="0.35">
      <c r="A175" s="220" t="s">
        <v>644</v>
      </c>
      <c r="C175" s="10"/>
      <c r="D175" s="10">
        <v>61500</v>
      </c>
      <c r="E175" s="2"/>
      <c r="F175" s="2"/>
      <c r="G175" s="42"/>
      <c r="H175" s="42"/>
      <c r="I175" s="42"/>
      <c r="J175" s="42"/>
    </row>
    <row r="176" spans="1:10" x14ac:dyDescent="0.2">
      <c r="A176" s="220" t="s">
        <v>1086</v>
      </c>
      <c r="C176" s="2"/>
      <c r="D176" s="2">
        <f>SUM(D167:D175)</f>
        <v>358000</v>
      </c>
      <c r="E176" s="2"/>
      <c r="F176" s="2"/>
      <c r="G176" s="42"/>
      <c r="H176" s="42"/>
      <c r="I176" s="42"/>
      <c r="J176" s="42"/>
    </row>
    <row r="177" spans="1:10" x14ac:dyDescent="0.2">
      <c r="C177" s="2"/>
      <c r="D177" s="2"/>
      <c r="E177" s="2"/>
      <c r="F177" s="2"/>
      <c r="G177" s="42"/>
      <c r="H177" s="42"/>
      <c r="I177" s="42"/>
      <c r="J177" s="42"/>
    </row>
    <row r="178" spans="1:10" ht="13.5" x14ac:dyDescent="0.25">
      <c r="A178" s="225" t="s">
        <v>339</v>
      </c>
      <c r="C178" s="2"/>
      <c r="D178" s="2"/>
      <c r="E178" s="2">
        <v>85379</v>
      </c>
      <c r="F178" s="2">
        <v>70000</v>
      </c>
      <c r="G178" s="42">
        <v>82000</v>
      </c>
      <c r="H178" s="42">
        <v>84000</v>
      </c>
      <c r="I178" s="42">
        <v>84000</v>
      </c>
      <c r="J178" s="42">
        <v>84000</v>
      </c>
    </row>
    <row r="179" spans="1:10" x14ac:dyDescent="0.2">
      <c r="A179" s="220" t="s">
        <v>1611</v>
      </c>
      <c r="C179" s="2"/>
      <c r="D179" s="2">
        <v>22000</v>
      </c>
      <c r="E179" s="2"/>
      <c r="F179" s="2"/>
      <c r="G179" s="42"/>
      <c r="H179" s="42"/>
      <c r="I179" s="42"/>
      <c r="J179" s="42"/>
    </row>
    <row r="180" spans="1:10" x14ac:dyDescent="0.2">
      <c r="A180" s="220" t="s">
        <v>1612</v>
      </c>
      <c r="C180" s="2"/>
      <c r="D180" s="2">
        <v>5500</v>
      </c>
      <c r="E180" s="2"/>
      <c r="F180" s="2"/>
      <c r="G180" s="42"/>
      <c r="H180" s="42"/>
      <c r="I180" s="42"/>
      <c r="J180" s="42"/>
    </row>
    <row r="181" spans="1:10" x14ac:dyDescent="0.2">
      <c r="A181" s="220" t="s">
        <v>1872</v>
      </c>
      <c r="C181" s="2"/>
      <c r="D181" s="2">
        <v>4500</v>
      </c>
      <c r="E181" s="2"/>
      <c r="F181" s="2"/>
      <c r="G181" s="42"/>
      <c r="H181" s="42"/>
      <c r="I181" s="42"/>
      <c r="J181" s="42"/>
    </row>
    <row r="182" spans="1:10" x14ac:dyDescent="0.2">
      <c r="A182" s="220" t="s">
        <v>1871</v>
      </c>
      <c r="C182" s="2"/>
      <c r="D182" s="2">
        <v>10000</v>
      </c>
      <c r="E182" s="2"/>
      <c r="F182" s="2"/>
      <c r="G182" s="42"/>
      <c r="H182" s="42"/>
      <c r="I182" s="42"/>
      <c r="J182" s="42"/>
    </row>
    <row r="183" spans="1:10" x14ac:dyDescent="0.2">
      <c r="A183" s="220" t="s">
        <v>961</v>
      </c>
      <c r="C183" s="2"/>
      <c r="D183" s="2">
        <v>40000</v>
      </c>
      <c r="E183" s="2"/>
      <c r="F183" s="2"/>
      <c r="G183" s="42"/>
      <c r="H183" s="42"/>
      <c r="I183" s="42"/>
      <c r="J183" s="42"/>
    </row>
    <row r="184" spans="1:10" ht="15" x14ac:dyDescent="0.35">
      <c r="A184" s="220" t="s">
        <v>1873</v>
      </c>
      <c r="C184" s="10"/>
      <c r="D184" s="10">
        <v>2000</v>
      </c>
      <c r="E184" s="2"/>
      <c r="F184" s="2"/>
      <c r="G184" s="42"/>
      <c r="H184" s="42"/>
      <c r="I184" s="42"/>
      <c r="J184" s="42"/>
    </row>
    <row r="185" spans="1:10" x14ac:dyDescent="0.2">
      <c r="A185" s="220" t="s">
        <v>1086</v>
      </c>
      <c r="C185" s="2"/>
      <c r="D185" s="2">
        <f>SUM(D179:D184)</f>
        <v>84000</v>
      </c>
      <c r="E185" s="2"/>
      <c r="F185" s="2"/>
      <c r="G185" s="42"/>
      <c r="H185" s="42"/>
      <c r="I185" s="42"/>
      <c r="J185" s="42"/>
    </row>
    <row r="186" spans="1:10" x14ac:dyDescent="0.2">
      <c r="D186" s="2"/>
      <c r="E186" s="2"/>
      <c r="F186" s="2"/>
      <c r="G186" s="42"/>
      <c r="H186" s="42"/>
      <c r="I186" s="42"/>
      <c r="J186" s="42"/>
    </row>
    <row r="187" spans="1:10" ht="13.5" x14ac:dyDescent="0.25">
      <c r="A187" s="225" t="s">
        <v>962</v>
      </c>
      <c r="D187" s="2"/>
      <c r="E187" s="2">
        <v>0</v>
      </c>
      <c r="F187" s="2">
        <v>3250</v>
      </c>
      <c r="G187" s="42">
        <v>3250</v>
      </c>
      <c r="H187" s="42">
        <v>3250</v>
      </c>
      <c r="I187" s="42">
        <v>3250</v>
      </c>
      <c r="J187" s="42">
        <v>3250</v>
      </c>
    </row>
    <row r="188" spans="1:10" x14ac:dyDescent="0.2">
      <c r="A188" s="220" t="s">
        <v>888</v>
      </c>
      <c r="B188" s="2">
        <v>400</v>
      </c>
      <c r="C188" s="11">
        <v>3.25</v>
      </c>
      <c r="D188" s="2">
        <f>+C188*B188</f>
        <v>1300</v>
      </c>
      <c r="E188" s="2"/>
      <c r="F188" s="2"/>
      <c r="G188" s="42"/>
      <c r="H188" s="42"/>
      <c r="I188" s="42"/>
      <c r="J188" s="42"/>
    </row>
    <row r="189" spans="1:10" ht="15" x14ac:dyDescent="0.35">
      <c r="A189" s="220" t="s">
        <v>963</v>
      </c>
      <c r="B189" s="2">
        <v>600</v>
      </c>
      <c r="C189" s="11">
        <v>3.25</v>
      </c>
      <c r="D189" s="10">
        <f>B189*C189</f>
        <v>1950</v>
      </c>
      <c r="E189" s="2"/>
      <c r="F189" s="2"/>
      <c r="G189" s="42"/>
      <c r="H189" s="42"/>
      <c r="I189" s="42"/>
      <c r="J189" s="42"/>
    </row>
    <row r="190" spans="1:10" x14ac:dyDescent="0.2">
      <c r="A190" s="220" t="s">
        <v>1086</v>
      </c>
      <c r="D190" s="2">
        <f>SUM(D188:D189)</f>
        <v>3250</v>
      </c>
      <c r="E190" s="2"/>
      <c r="F190" s="2"/>
      <c r="H190" s="220"/>
      <c r="I190" s="251"/>
      <c r="J190" s="256"/>
    </row>
    <row r="191" spans="1:10" x14ac:dyDescent="0.2">
      <c r="D191" s="2"/>
      <c r="E191" s="2"/>
      <c r="F191" s="2"/>
      <c r="H191" s="220"/>
      <c r="I191" s="251"/>
      <c r="J191" s="256"/>
    </row>
    <row r="192" spans="1:10" ht="13.5" x14ac:dyDescent="0.25">
      <c r="A192" s="14" t="s">
        <v>189</v>
      </c>
      <c r="D192" s="2"/>
      <c r="E192" s="2">
        <v>8812</v>
      </c>
      <c r="F192" s="2">
        <v>10900</v>
      </c>
      <c r="G192" s="42">
        <v>10000</v>
      </c>
      <c r="H192" s="42">
        <v>10000</v>
      </c>
      <c r="I192" s="42">
        <v>10000</v>
      </c>
      <c r="J192" s="42">
        <v>10000</v>
      </c>
    </row>
    <row r="193" spans="1:10" x14ac:dyDescent="0.2">
      <c r="A193" s="220" t="s">
        <v>1057</v>
      </c>
      <c r="C193" s="2"/>
      <c r="D193" s="2">
        <v>2800</v>
      </c>
      <c r="E193" s="2"/>
      <c r="F193" s="2"/>
      <c r="G193" s="42"/>
      <c r="H193" s="42"/>
      <c r="I193" s="42"/>
      <c r="J193" s="42"/>
    </row>
    <row r="194" spans="1:10" x14ac:dyDescent="0.2">
      <c r="A194" s="220" t="s">
        <v>1058</v>
      </c>
      <c r="C194" s="2"/>
      <c r="D194" s="2">
        <v>2000</v>
      </c>
      <c r="E194" s="2"/>
      <c r="F194" s="2"/>
      <c r="G194" s="42"/>
      <c r="H194" s="42"/>
      <c r="I194" s="42"/>
      <c r="J194" s="42"/>
    </row>
    <row r="195" spans="1:10" x14ac:dyDescent="0.2">
      <c r="A195" s="220" t="s">
        <v>1059</v>
      </c>
      <c r="C195" s="2"/>
      <c r="D195" s="2">
        <v>0</v>
      </c>
      <c r="E195" s="2"/>
      <c r="F195" s="2"/>
      <c r="G195" s="42"/>
      <c r="H195" s="42"/>
      <c r="I195" s="42"/>
      <c r="J195" s="42"/>
    </row>
    <row r="196" spans="1:10" x14ac:dyDescent="0.2">
      <c r="A196" s="220" t="s">
        <v>1218</v>
      </c>
      <c r="C196" s="2"/>
      <c r="D196" s="2">
        <v>0</v>
      </c>
      <c r="E196" s="2"/>
      <c r="F196" s="2"/>
      <c r="G196" s="42"/>
      <c r="H196" s="42"/>
      <c r="I196" s="42"/>
      <c r="J196" s="42"/>
    </row>
    <row r="197" spans="1:10" x14ac:dyDescent="0.2">
      <c r="A197" s="220" t="s">
        <v>1060</v>
      </c>
      <c r="C197" s="2"/>
      <c r="D197" s="2">
        <v>1700</v>
      </c>
      <c r="E197" s="2"/>
      <c r="F197" s="2"/>
      <c r="G197" s="42"/>
      <c r="H197" s="42"/>
      <c r="I197" s="42"/>
      <c r="J197" s="42"/>
    </row>
    <row r="198" spans="1:10" x14ac:dyDescent="0.2">
      <c r="A198" s="220" t="s">
        <v>1381</v>
      </c>
      <c r="C198" s="2"/>
      <c r="D198" s="2">
        <v>1500</v>
      </c>
      <c r="E198" s="2"/>
      <c r="F198" s="2"/>
      <c r="G198" s="42"/>
      <c r="H198" s="42"/>
      <c r="I198" s="42"/>
      <c r="J198" s="42"/>
    </row>
    <row r="199" spans="1:10" ht="15" x14ac:dyDescent="0.35">
      <c r="A199" s="220" t="s">
        <v>1473</v>
      </c>
      <c r="C199" s="10"/>
      <c r="D199" s="10">
        <v>2000</v>
      </c>
      <c r="E199" s="2"/>
      <c r="F199" s="2"/>
      <c r="G199" s="42"/>
      <c r="H199" s="42"/>
      <c r="I199" s="42"/>
      <c r="J199" s="42"/>
    </row>
    <row r="200" spans="1:10" x14ac:dyDescent="0.2">
      <c r="A200" s="220" t="s">
        <v>1086</v>
      </c>
      <c r="C200" s="2"/>
      <c r="D200" s="2">
        <f>SUM(D193:D199)</f>
        <v>10000</v>
      </c>
      <c r="E200" s="2"/>
      <c r="F200" s="2"/>
      <c r="G200" s="42"/>
      <c r="H200" s="42"/>
      <c r="I200" s="42"/>
      <c r="J200" s="42"/>
    </row>
    <row r="201" spans="1:10" x14ac:dyDescent="0.2">
      <c r="C201" s="2"/>
      <c r="D201" s="2"/>
      <c r="E201" s="2"/>
      <c r="F201" s="2"/>
      <c r="G201" s="42"/>
      <c r="H201" s="42"/>
      <c r="I201" s="42"/>
      <c r="J201" s="42"/>
    </row>
    <row r="202" spans="1:10" ht="13.5" x14ac:dyDescent="0.25">
      <c r="A202" s="225" t="s">
        <v>318</v>
      </c>
      <c r="C202" s="2"/>
      <c r="D202" s="2"/>
      <c r="E202" s="2">
        <v>61300</v>
      </c>
      <c r="F202" s="2">
        <v>68091</v>
      </c>
      <c r="G202" s="42">
        <v>68091</v>
      </c>
      <c r="H202" s="42">
        <v>68091</v>
      </c>
      <c r="I202" s="42">
        <v>68091</v>
      </c>
      <c r="J202" s="42">
        <v>68091</v>
      </c>
    </row>
    <row r="203" spans="1:10" x14ac:dyDescent="0.2">
      <c r="A203" s="220" t="s">
        <v>1717</v>
      </c>
      <c r="C203" s="2"/>
      <c r="D203" s="2">
        <v>68091</v>
      </c>
      <c r="E203" s="2"/>
      <c r="F203" s="2"/>
      <c r="G203" s="42"/>
      <c r="H203" s="42"/>
      <c r="I203" s="42"/>
      <c r="J203" s="42"/>
    </row>
    <row r="204" spans="1:10" x14ac:dyDescent="0.2">
      <c r="D204" s="2"/>
      <c r="E204" s="2"/>
      <c r="F204" s="2"/>
      <c r="G204" s="42"/>
      <c r="H204" s="42"/>
      <c r="I204" s="42"/>
      <c r="J204" s="42"/>
    </row>
    <row r="205" spans="1:10" ht="13.5" x14ac:dyDescent="0.25">
      <c r="A205" s="225" t="s">
        <v>551</v>
      </c>
      <c r="D205" s="2"/>
      <c r="E205" s="2">
        <v>32512</v>
      </c>
      <c r="F205" s="2">
        <v>31932</v>
      </c>
      <c r="G205" s="42">
        <v>28595</v>
      </c>
      <c r="H205" s="42">
        <v>28595</v>
      </c>
      <c r="I205" s="42">
        <v>28595</v>
      </c>
      <c r="J205" s="42">
        <v>28595</v>
      </c>
    </row>
    <row r="206" spans="1:10" x14ac:dyDescent="0.2">
      <c r="A206" s="220" t="s">
        <v>1120</v>
      </c>
      <c r="B206" s="2">
        <v>3500</v>
      </c>
      <c r="C206" s="11">
        <v>2.25</v>
      </c>
      <c r="D206" s="2">
        <f>+C206*B206</f>
        <v>7875</v>
      </c>
      <c r="E206" s="2"/>
      <c r="F206" s="2"/>
      <c r="G206" s="42"/>
      <c r="H206" s="42"/>
      <c r="I206" s="42"/>
      <c r="J206" s="42"/>
    </row>
    <row r="207" spans="1:10" x14ac:dyDescent="0.2">
      <c r="A207" s="220" t="s">
        <v>1613</v>
      </c>
      <c r="B207" s="2">
        <v>7000</v>
      </c>
      <c r="C207" s="11">
        <v>2.59</v>
      </c>
      <c r="D207" s="2">
        <f>+C207*B207</f>
        <v>18130</v>
      </c>
      <c r="E207" s="2"/>
      <c r="F207" s="2"/>
      <c r="G207" s="42"/>
      <c r="H207" s="42"/>
      <c r="I207" s="42"/>
      <c r="J207" s="42"/>
    </row>
    <row r="208" spans="1:10" ht="15" x14ac:dyDescent="0.35">
      <c r="A208" s="220" t="s">
        <v>1194</v>
      </c>
      <c r="B208" s="2">
        <v>1000</v>
      </c>
      <c r="C208" s="11">
        <v>2.59</v>
      </c>
      <c r="D208" s="10">
        <f>+C208*B208</f>
        <v>2590</v>
      </c>
      <c r="E208" s="2"/>
      <c r="F208" s="2"/>
      <c r="G208" s="42"/>
      <c r="H208" s="42"/>
      <c r="I208" s="42"/>
      <c r="J208" s="42"/>
    </row>
    <row r="209" spans="1:10" x14ac:dyDescent="0.2">
      <c r="A209" s="220" t="s">
        <v>1086</v>
      </c>
      <c r="D209" s="2">
        <f>SUM(D206:D208)</f>
        <v>28595</v>
      </c>
      <c r="E209" s="2"/>
      <c r="F209" s="2"/>
      <c r="G209" s="42"/>
      <c r="H209" s="42"/>
      <c r="I209" s="42"/>
      <c r="J209" s="42"/>
    </row>
    <row r="210" spans="1:10" x14ac:dyDescent="0.2">
      <c r="D210" s="2"/>
      <c r="E210" s="2"/>
      <c r="F210" s="2"/>
      <c r="G210" s="42"/>
      <c r="H210" s="42"/>
      <c r="I210" s="42"/>
      <c r="J210" s="42"/>
    </row>
    <row r="211" spans="1:10" ht="13.5" x14ac:dyDescent="0.25">
      <c r="A211" s="225" t="s">
        <v>1252</v>
      </c>
      <c r="D211" s="2"/>
      <c r="E211" s="2">
        <v>9531</v>
      </c>
      <c r="F211" s="2">
        <v>11600</v>
      </c>
      <c r="G211" s="42">
        <v>12400</v>
      </c>
      <c r="H211" s="42">
        <v>12400</v>
      </c>
      <c r="I211" s="42">
        <v>12400</v>
      </c>
      <c r="J211" s="42">
        <v>12400</v>
      </c>
    </row>
    <row r="212" spans="1:10" x14ac:dyDescent="0.2">
      <c r="A212" s="220" t="s">
        <v>820</v>
      </c>
      <c r="C212" s="2"/>
      <c r="D212" s="2">
        <v>3300</v>
      </c>
      <c r="E212" s="2"/>
      <c r="F212" s="2"/>
      <c r="G212" s="42"/>
      <c r="H212" s="42"/>
      <c r="I212" s="42"/>
      <c r="J212" s="42"/>
    </row>
    <row r="213" spans="1:10" x14ac:dyDescent="0.2">
      <c r="A213" s="220" t="s">
        <v>1718</v>
      </c>
      <c r="C213" s="2"/>
      <c r="D213" s="2">
        <f>5100+2000</f>
        <v>7100</v>
      </c>
      <c r="E213" s="2"/>
      <c r="F213" s="2"/>
      <c r="G213" s="42"/>
      <c r="H213" s="42"/>
      <c r="I213" s="42"/>
      <c r="J213" s="42"/>
    </row>
    <row r="214" spans="1:10" x14ac:dyDescent="0.2">
      <c r="A214" s="220" t="s">
        <v>1769</v>
      </c>
      <c r="C214" s="2"/>
      <c r="D214" s="2">
        <v>1625</v>
      </c>
      <c r="E214" s="2"/>
      <c r="F214" s="2"/>
      <c r="G214" s="42"/>
      <c r="H214" s="42"/>
      <c r="I214" s="42"/>
      <c r="J214" s="42"/>
    </row>
    <row r="215" spans="1:10" x14ac:dyDescent="0.2">
      <c r="A215" s="220" t="s">
        <v>1866</v>
      </c>
      <c r="B215" s="220">
        <v>2</v>
      </c>
      <c r="C215" s="2"/>
      <c r="D215" s="2">
        <f>+B215*125</f>
        <v>250</v>
      </c>
      <c r="E215" s="2"/>
      <c r="F215" s="2"/>
      <c r="G215" s="42"/>
      <c r="H215" s="42"/>
      <c r="I215" s="42"/>
      <c r="J215" s="42"/>
    </row>
    <row r="216" spans="1:10" ht="15" x14ac:dyDescent="0.35">
      <c r="A216" s="220" t="s">
        <v>145</v>
      </c>
      <c r="B216" s="2" t="s">
        <v>349</v>
      </c>
      <c r="C216" s="10">
        <v>125</v>
      </c>
      <c r="D216" s="10">
        <v>125</v>
      </c>
      <c r="E216" s="2"/>
      <c r="F216" s="2"/>
      <c r="G216" s="42"/>
      <c r="H216" s="42"/>
      <c r="I216" s="42"/>
      <c r="J216" s="42"/>
    </row>
    <row r="217" spans="1:10" x14ac:dyDescent="0.2">
      <c r="A217" s="220" t="s">
        <v>1086</v>
      </c>
      <c r="C217" s="2"/>
      <c r="D217" s="2">
        <f>SUM(D212:D216)</f>
        <v>12400</v>
      </c>
      <c r="E217" s="2"/>
      <c r="F217" s="2"/>
      <c r="G217" s="42"/>
      <c r="H217" s="42"/>
      <c r="I217" s="42"/>
      <c r="J217" s="42"/>
    </row>
    <row r="218" spans="1:10" x14ac:dyDescent="0.2">
      <c r="C218" s="2"/>
      <c r="D218" s="2"/>
      <c r="E218" s="2"/>
      <c r="F218" s="2"/>
      <c r="G218" s="42"/>
      <c r="H218" s="42"/>
      <c r="I218" s="42"/>
      <c r="J218" s="42"/>
    </row>
    <row r="219" spans="1:10" ht="13.5" x14ac:dyDescent="0.25">
      <c r="A219" s="225" t="s">
        <v>944</v>
      </c>
      <c r="C219" s="7" t="s">
        <v>349</v>
      </c>
      <c r="D219" s="7" t="s">
        <v>349</v>
      </c>
      <c r="E219" s="2">
        <v>7758</v>
      </c>
      <c r="F219" s="2">
        <v>7918</v>
      </c>
      <c r="G219" s="2">
        <v>9145</v>
      </c>
      <c r="H219" s="2">
        <v>9145</v>
      </c>
      <c r="I219" s="2">
        <v>9145</v>
      </c>
      <c r="J219" s="2">
        <v>9145</v>
      </c>
    </row>
    <row r="220" spans="1:10" x14ac:dyDescent="0.2">
      <c r="A220" s="220" t="s">
        <v>303</v>
      </c>
      <c r="B220" s="2" t="s">
        <v>349</v>
      </c>
      <c r="C220" s="2"/>
      <c r="D220" s="2">
        <v>375</v>
      </c>
      <c r="E220" s="2"/>
      <c r="F220" s="2"/>
      <c r="G220" s="118"/>
      <c r="H220" s="118"/>
      <c r="I220" s="118"/>
      <c r="J220" s="118"/>
    </row>
    <row r="221" spans="1:10" x14ac:dyDescent="0.2">
      <c r="A221" s="220" t="s">
        <v>2130</v>
      </c>
      <c r="B221" s="2"/>
      <c r="C221" s="2">
        <v>4273</v>
      </c>
      <c r="D221" s="2">
        <v>5500</v>
      </c>
      <c r="E221" s="2"/>
      <c r="F221" s="2"/>
      <c r="G221" s="118"/>
      <c r="H221" s="118"/>
      <c r="I221" s="118"/>
      <c r="J221" s="118"/>
    </row>
    <row r="222" spans="1:10" x14ac:dyDescent="0.2">
      <c r="A222" s="220" t="s">
        <v>146</v>
      </c>
      <c r="B222" s="2"/>
      <c r="C222" s="2"/>
      <c r="D222" s="2">
        <v>450</v>
      </c>
      <c r="E222" s="2"/>
      <c r="F222" s="2"/>
      <c r="G222" s="42"/>
      <c r="H222" s="42"/>
      <c r="I222" s="42"/>
      <c r="J222" s="42"/>
    </row>
    <row r="223" spans="1:10" x14ac:dyDescent="0.2">
      <c r="A223" s="220" t="s">
        <v>304</v>
      </c>
      <c r="B223" s="2"/>
      <c r="C223" s="2"/>
      <c r="D223" s="2">
        <v>900</v>
      </c>
      <c r="E223" s="2"/>
      <c r="F223" s="2"/>
      <c r="G223" s="42"/>
      <c r="H223" s="42"/>
      <c r="I223" s="42"/>
      <c r="J223" s="42"/>
    </row>
    <row r="224" spans="1:10" x14ac:dyDescent="0.2">
      <c r="A224" s="220" t="s">
        <v>1789</v>
      </c>
      <c r="B224" s="2"/>
      <c r="C224" s="2"/>
      <c r="D224" s="2">
        <v>1500</v>
      </c>
      <c r="E224" s="2"/>
      <c r="F224" s="2"/>
      <c r="G224" s="42"/>
      <c r="H224" s="42"/>
      <c r="I224" s="42"/>
      <c r="J224" s="42"/>
    </row>
    <row r="225" spans="1:10" ht="15" x14ac:dyDescent="0.35">
      <c r="A225" s="220" t="s">
        <v>763</v>
      </c>
      <c r="B225" s="2"/>
      <c r="C225" s="10"/>
      <c r="D225" s="10">
        <v>420</v>
      </c>
      <c r="E225" s="2"/>
      <c r="F225" s="2"/>
      <c r="G225" s="42"/>
      <c r="H225" s="42"/>
      <c r="I225" s="42"/>
      <c r="J225" s="42"/>
    </row>
    <row r="226" spans="1:10" x14ac:dyDescent="0.2">
      <c r="A226" s="220" t="s">
        <v>1086</v>
      </c>
      <c r="B226" s="2"/>
      <c r="C226" s="2"/>
      <c r="D226" s="2">
        <f>SUM(D220:D225)</f>
        <v>9145</v>
      </c>
      <c r="E226" s="2"/>
      <c r="F226" s="2"/>
      <c r="H226" s="220"/>
      <c r="I226" s="251"/>
      <c r="J226" s="256"/>
    </row>
    <row r="227" spans="1:10" x14ac:dyDescent="0.2">
      <c r="A227" s="220" t="s">
        <v>349</v>
      </c>
      <c r="C227" s="2" t="s">
        <v>349</v>
      </c>
      <c r="D227" s="2" t="s">
        <v>349</v>
      </c>
      <c r="E227" s="2"/>
      <c r="F227" s="2"/>
      <c r="H227" s="220"/>
      <c r="I227" s="251"/>
      <c r="J227" s="256"/>
    </row>
    <row r="228" spans="1:10" ht="13.5" x14ac:dyDescent="0.25">
      <c r="A228" s="16" t="s">
        <v>759</v>
      </c>
      <c r="C228" s="2"/>
      <c r="D228" s="2"/>
      <c r="E228" s="2">
        <v>55615</v>
      </c>
      <c r="F228" s="2">
        <v>59154</v>
      </c>
      <c r="G228" s="42">
        <v>63295</v>
      </c>
      <c r="H228" s="42">
        <v>63295</v>
      </c>
      <c r="I228" s="42">
        <v>63295</v>
      </c>
      <c r="J228" s="42">
        <v>63295</v>
      </c>
    </row>
    <row r="229" spans="1:10" x14ac:dyDescent="0.2">
      <c r="A229" s="220" t="s">
        <v>1450</v>
      </c>
      <c r="C229" s="2"/>
      <c r="D229" s="2">
        <v>63295</v>
      </c>
      <c r="E229" s="2"/>
      <c r="F229" s="2"/>
      <c r="H229" s="220"/>
      <c r="I229" s="251"/>
      <c r="J229" s="256"/>
    </row>
    <row r="230" spans="1:10" x14ac:dyDescent="0.2">
      <c r="C230" s="2"/>
      <c r="D230" s="2"/>
      <c r="E230" s="2"/>
      <c r="F230" s="2"/>
      <c r="G230" s="42"/>
      <c r="H230" s="42"/>
      <c r="I230" s="42"/>
      <c r="J230" s="42"/>
    </row>
    <row r="231" spans="1:10" x14ac:dyDescent="0.2">
      <c r="C231" s="2"/>
      <c r="D231" s="2"/>
      <c r="E231" s="2"/>
      <c r="F231" s="2"/>
      <c r="G231" s="42"/>
      <c r="H231" s="42"/>
      <c r="I231" s="42"/>
      <c r="J231" s="42"/>
    </row>
    <row r="232" spans="1:10" ht="13.5" x14ac:dyDescent="0.25">
      <c r="A232" s="225" t="s">
        <v>909</v>
      </c>
      <c r="C232" s="2"/>
      <c r="D232" s="2"/>
      <c r="E232" s="2">
        <v>2562</v>
      </c>
      <c r="F232" s="2">
        <v>2500</v>
      </c>
      <c r="G232" s="42">
        <v>2500</v>
      </c>
      <c r="H232" s="42">
        <v>2500</v>
      </c>
      <c r="I232" s="42">
        <v>2500</v>
      </c>
      <c r="J232" s="42">
        <v>2500</v>
      </c>
    </row>
    <row r="233" spans="1:10" x14ac:dyDescent="0.2">
      <c r="A233" s="220" t="s">
        <v>1614</v>
      </c>
      <c r="C233" s="2" t="s">
        <v>349</v>
      </c>
      <c r="D233" s="2" t="s">
        <v>349</v>
      </c>
      <c r="E233" s="2"/>
      <c r="F233" s="2"/>
      <c r="G233" s="42"/>
      <c r="H233" s="42"/>
      <c r="I233" s="42"/>
      <c r="J233" s="42"/>
    </row>
    <row r="234" spans="1:10" x14ac:dyDescent="0.2">
      <c r="A234" s="220" t="s">
        <v>1474</v>
      </c>
      <c r="C234" s="2"/>
      <c r="D234" s="2">
        <v>2500</v>
      </c>
      <c r="E234" s="2"/>
      <c r="F234" s="2"/>
      <c r="G234" s="42"/>
      <c r="H234" s="42"/>
      <c r="I234" s="42"/>
      <c r="J234" s="42"/>
    </row>
    <row r="235" spans="1:10" x14ac:dyDescent="0.2">
      <c r="C235" s="2"/>
      <c r="D235" s="2"/>
      <c r="E235" s="2"/>
      <c r="F235" s="2"/>
      <c r="G235" s="42"/>
      <c r="H235" s="42"/>
      <c r="I235" s="42"/>
      <c r="J235" s="42"/>
    </row>
    <row r="236" spans="1:10" ht="13.5" x14ac:dyDescent="0.25">
      <c r="A236" s="225" t="s">
        <v>576</v>
      </c>
      <c r="B236" s="220" t="s">
        <v>55</v>
      </c>
      <c r="C236" s="2" t="s">
        <v>56</v>
      </c>
      <c r="D236" s="2" t="s">
        <v>57</v>
      </c>
      <c r="E236" s="2">
        <v>97436</v>
      </c>
      <c r="F236" s="2">
        <v>99250</v>
      </c>
      <c r="G236" s="42">
        <v>99250</v>
      </c>
      <c r="H236" s="42">
        <v>99250</v>
      </c>
      <c r="I236" s="42">
        <v>99250</v>
      </c>
      <c r="J236" s="42">
        <v>99250</v>
      </c>
    </row>
    <row r="237" spans="1:10" x14ac:dyDescent="0.2">
      <c r="A237" s="220" t="s">
        <v>58</v>
      </c>
      <c r="B237" s="220">
        <v>0.8</v>
      </c>
      <c r="C237" s="2">
        <v>30000</v>
      </c>
      <c r="D237" s="2">
        <f>+B237*C237</f>
        <v>24000</v>
      </c>
      <c r="E237" s="2"/>
      <c r="F237" s="2"/>
      <c r="H237" s="220"/>
      <c r="I237" s="251"/>
      <c r="J237" s="256"/>
    </row>
    <row r="238" spans="1:10" x14ac:dyDescent="0.2">
      <c r="A238" s="220" t="s">
        <v>59</v>
      </c>
      <c r="B238" s="220">
        <v>0.3</v>
      </c>
      <c r="C238" s="2">
        <v>15000</v>
      </c>
      <c r="D238" s="2">
        <f>+B238*C238</f>
        <v>4500</v>
      </c>
      <c r="E238" s="2"/>
      <c r="F238" s="2"/>
      <c r="G238" s="42"/>
      <c r="H238" s="42"/>
      <c r="I238" s="42"/>
      <c r="J238" s="42"/>
    </row>
    <row r="239" spans="1:10" x14ac:dyDescent="0.2">
      <c r="A239" s="220" t="s">
        <v>903</v>
      </c>
      <c r="B239" s="220">
        <v>0.95</v>
      </c>
      <c r="C239" s="2">
        <v>14000</v>
      </c>
      <c r="D239" s="2">
        <f>+B239*C239</f>
        <v>13300</v>
      </c>
      <c r="E239" s="2"/>
      <c r="F239" s="2"/>
      <c r="G239" s="42"/>
      <c r="H239" s="42"/>
      <c r="I239" s="42"/>
      <c r="J239" s="42"/>
    </row>
    <row r="240" spans="1:10" x14ac:dyDescent="0.2">
      <c r="A240" s="220" t="s">
        <v>2131</v>
      </c>
      <c r="B240" s="220">
        <v>0.15</v>
      </c>
      <c r="C240" s="2">
        <v>383000</v>
      </c>
      <c r="D240" s="2">
        <f>+B240*C240</f>
        <v>57450</v>
      </c>
      <c r="E240" s="2"/>
      <c r="F240" s="2"/>
      <c r="G240" s="42"/>
      <c r="H240" s="42"/>
      <c r="I240" s="42"/>
      <c r="J240" s="42"/>
    </row>
    <row r="241" spans="1:10" ht="15" x14ac:dyDescent="0.35">
      <c r="C241" s="10"/>
      <c r="D241" s="10">
        <f>B241*C241</f>
        <v>0</v>
      </c>
      <c r="E241" s="2"/>
      <c r="F241" s="2"/>
      <c r="G241" s="42"/>
      <c r="H241" s="42"/>
      <c r="I241" s="42"/>
      <c r="J241" s="42"/>
    </row>
    <row r="242" spans="1:10" x14ac:dyDescent="0.2">
      <c r="A242" s="220" t="s">
        <v>1086</v>
      </c>
      <c r="C242" s="2"/>
      <c r="D242" s="2">
        <f>SUM(D237:D241)</f>
        <v>99250</v>
      </c>
      <c r="E242" s="2"/>
      <c r="F242" s="2"/>
      <c r="G242" s="42"/>
      <c r="H242" s="42"/>
      <c r="I242" s="42"/>
      <c r="J242" s="42"/>
    </row>
    <row r="243" spans="1:10" x14ac:dyDescent="0.2">
      <c r="F243" s="2"/>
      <c r="H243" s="220"/>
      <c r="I243" s="251"/>
      <c r="J243" s="256"/>
    </row>
    <row r="244" spans="1:10" ht="15" x14ac:dyDescent="0.35">
      <c r="A244" s="225" t="s">
        <v>1035</v>
      </c>
      <c r="B244" s="220" t="s">
        <v>55</v>
      </c>
      <c r="C244" s="10" t="s">
        <v>1061</v>
      </c>
      <c r="D244" s="10"/>
      <c r="E244" s="2">
        <v>293625</v>
      </c>
      <c r="F244" s="2">
        <v>260402</v>
      </c>
      <c r="G244" s="42">
        <v>275000</v>
      </c>
      <c r="H244" s="42">
        <v>275000</v>
      </c>
      <c r="I244" s="42">
        <v>275000</v>
      </c>
      <c r="J244" s="42">
        <v>275000</v>
      </c>
    </row>
    <row r="245" spans="1:10" x14ac:dyDescent="0.2">
      <c r="A245" s="220" t="s">
        <v>1615</v>
      </c>
      <c r="B245" s="220">
        <v>12.5</v>
      </c>
      <c r="C245" s="2">
        <v>22000</v>
      </c>
      <c r="D245" s="2">
        <f>+C245*B245</f>
        <v>275000</v>
      </c>
      <c r="E245" s="2"/>
      <c r="F245" s="2"/>
      <c r="G245" s="42"/>
      <c r="H245" s="42"/>
      <c r="I245" s="42"/>
      <c r="J245" s="42"/>
    </row>
    <row r="246" spans="1:10" x14ac:dyDescent="0.2">
      <c r="B246" s="220" t="s">
        <v>2132</v>
      </c>
      <c r="C246" s="2"/>
      <c r="D246" s="2"/>
      <c r="E246" s="2"/>
      <c r="F246" s="2"/>
      <c r="G246" s="42"/>
      <c r="H246" s="42"/>
      <c r="I246" s="42"/>
      <c r="J246" s="42"/>
    </row>
    <row r="247" spans="1:10" s="226" customFormat="1" x14ac:dyDescent="0.2">
      <c r="C247" s="2"/>
      <c r="D247" s="2"/>
      <c r="E247" s="2"/>
      <c r="F247" s="2"/>
      <c r="G247" s="42"/>
      <c r="H247" s="42"/>
      <c r="I247" s="42"/>
      <c r="J247" s="42"/>
    </row>
    <row r="248" spans="1:10" ht="13.5" x14ac:dyDescent="0.25">
      <c r="A248" s="225" t="s">
        <v>1036</v>
      </c>
      <c r="C248" s="2"/>
      <c r="D248" s="2"/>
      <c r="E248" s="2">
        <v>24506</v>
      </c>
      <c r="F248" s="2">
        <v>12600</v>
      </c>
      <c r="G248" s="42">
        <v>12600</v>
      </c>
      <c r="H248" s="42">
        <v>12600</v>
      </c>
      <c r="I248" s="42">
        <v>12600</v>
      </c>
      <c r="J248" s="42">
        <v>12600</v>
      </c>
    </row>
    <row r="249" spans="1:10" x14ac:dyDescent="0.2">
      <c r="A249" s="220" t="s">
        <v>1122</v>
      </c>
      <c r="C249" s="2"/>
      <c r="D249" s="2">
        <v>2000</v>
      </c>
      <c r="E249" s="2"/>
      <c r="F249" s="118"/>
      <c r="G249" s="118"/>
      <c r="H249" s="118"/>
      <c r="I249" s="118"/>
      <c r="J249" s="118"/>
    </row>
    <row r="250" spans="1:10" x14ac:dyDescent="0.2">
      <c r="A250" s="220" t="s">
        <v>1123</v>
      </c>
      <c r="C250" s="2"/>
      <c r="D250" s="2">
        <v>3000</v>
      </c>
      <c r="E250" s="2"/>
      <c r="F250" s="2"/>
      <c r="G250" s="42"/>
      <c r="H250" s="42"/>
      <c r="I250" s="42"/>
      <c r="J250" s="42"/>
    </row>
    <row r="251" spans="1:10" ht="15" x14ac:dyDescent="0.35">
      <c r="A251" s="220" t="s">
        <v>1124</v>
      </c>
      <c r="C251" s="10"/>
      <c r="D251" s="2">
        <v>7600</v>
      </c>
      <c r="E251" s="2"/>
      <c r="F251" s="2"/>
      <c r="G251" s="42"/>
      <c r="H251" s="42"/>
      <c r="I251" s="42"/>
      <c r="J251" s="42"/>
    </row>
    <row r="252" spans="1:10" ht="15" x14ac:dyDescent="0.35">
      <c r="A252" s="12" t="s">
        <v>1790</v>
      </c>
      <c r="C252" s="10"/>
      <c r="D252" s="126" t="s">
        <v>1790</v>
      </c>
      <c r="E252" s="2"/>
      <c r="F252" s="2"/>
      <c r="G252" s="42"/>
      <c r="H252" s="42"/>
      <c r="I252" s="42"/>
      <c r="J252" s="42"/>
    </row>
    <row r="253" spans="1:10" x14ac:dyDescent="0.2">
      <c r="A253" s="220" t="s">
        <v>1086</v>
      </c>
      <c r="C253" s="2"/>
      <c r="D253" s="2">
        <f>SUM(D249:D252)</f>
        <v>12600</v>
      </c>
      <c r="E253" s="2"/>
      <c r="F253" s="2"/>
      <c r="G253" s="42"/>
      <c r="H253" s="42"/>
      <c r="I253" s="42"/>
      <c r="J253" s="42"/>
    </row>
    <row r="254" spans="1:10" x14ac:dyDescent="0.2">
      <c r="C254" s="2"/>
      <c r="D254" s="2"/>
      <c r="E254" s="2"/>
      <c r="F254" s="2"/>
      <c r="G254" s="42"/>
      <c r="H254" s="42"/>
      <c r="I254" s="42"/>
      <c r="J254" s="42"/>
    </row>
    <row r="255" spans="1:10" ht="13.5" x14ac:dyDescent="0.25">
      <c r="A255" s="225" t="s">
        <v>1125</v>
      </c>
      <c r="C255" s="2"/>
      <c r="D255" s="2"/>
      <c r="E255" s="2">
        <v>4720</v>
      </c>
      <c r="F255" s="2">
        <v>1200</v>
      </c>
      <c r="G255" s="42">
        <v>1200</v>
      </c>
      <c r="H255" s="42">
        <v>1200</v>
      </c>
      <c r="I255" s="42">
        <v>1200</v>
      </c>
      <c r="J255" s="42">
        <v>1200</v>
      </c>
    </row>
    <row r="256" spans="1:10" x14ac:dyDescent="0.2">
      <c r="A256" s="220" t="s">
        <v>1126</v>
      </c>
      <c r="C256" s="2"/>
      <c r="D256" s="2">
        <v>1200</v>
      </c>
      <c r="E256" s="2"/>
      <c r="F256" s="2"/>
      <c r="G256" s="42"/>
      <c r="H256" s="42"/>
      <c r="I256" s="42"/>
      <c r="J256" s="42"/>
    </row>
    <row r="257" spans="1:10" x14ac:dyDescent="0.2">
      <c r="C257" s="2"/>
      <c r="D257" s="2"/>
      <c r="E257" s="2"/>
      <c r="F257" s="2"/>
      <c r="G257" s="42"/>
      <c r="H257" s="42"/>
      <c r="I257" s="42"/>
      <c r="J257" s="42"/>
    </row>
    <row r="258" spans="1:10" ht="13.5" x14ac:dyDescent="0.25">
      <c r="A258" s="225" t="s">
        <v>592</v>
      </c>
      <c r="C258" s="118"/>
      <c r="D258" s="2"/>
      <c r="E258" s="2">
        <v>148886</v>
      </c>
      <c r="F258" s="2">
        <v>170000</v>
      </c>
      <c r="G258" s="42">
        <v>146000</v>
      </c>
      <c r="H258" s="42">
        <v>146000</v>
      </c>
      <c r="I258" s="42">
        <v>146000</v>
      </c>
      <c r="J258" s="42">
        <v>146000</v>
      </c>
    </row>
    <row r="259" spans="1:10" x14ac:dyDescent="0.2">
      <c r="A259" s="220" t="s">
        <v>2133</v>
      </c>
      <c r="C259" s="215" t="s">
        <v>1790</v>
      </c>
      <c r="D259" s="2">
        <v>20000</v>
      </c>
      <c r="E259" s="133" t="s">
        <v>1790</v>
      </c>
      <c r="F259" s="133"/>
      <c r="G259" s="42"/>
      <c r="H259" s="42"/>
      <c r="I259" s="42"/>
      <c r="J259" s="42"/>
    </row>
    <row r="260" spans="1:10" x14ac:dyDescent="0.2">
      <c r="A260" s="220" t="s">
        <v>1062</v>
      </c>
      <c r="C260" s="118"/>
      <c r="D260" s="2">
        <v>25000</v>
      </c>
      <c r="E260" s="133" t="s">
        <v>1790</v>
      </c>
      <c r="F260" s="2"/>
      <c r="G260" s="42"/>
      <c r="H260" s="42"/>
      <c r="I260" s="42"/>
      <c r="J260" s="42"/>
    </row>
    <row r="261" spans="1:10" x14ac:dyDescent="0.2">
      <c r="A261" s="220" t="s">
        <v>1063</v>
      </c>
      <c r="C261" s="118"/>
      <c r="D261" s="2">
        <v>6000</v>
      </c>
      <c r="E261" s="2"/>
      <c r="F261" s="2"/>
      <c r="G261" s="42"/>
      <c r="H261" s="42"/>
      <c r="I261" s="42"/>
      <c r="J261" s="42"/>
    </row>
    <row r="262" spans="1:10" x14ac:dyDescent="0.2">
      <c r="A262" s="220" t="s">
        <v>831</v>
      </c>
      <c r="C262" s="118"/>
      <c r="D262" s="2">
        <v>5000</v>
      </c>
      <c r="E262" s="133" t="s">
        <v>1790</v>
      </c>
      <c r="F262" s="2"/>
      <c r="G262" s="42"/>
      <c r="H262" s="42"/>
      <c r="I262" s="42"/>
      <c r="J262" s="42"/>
    </row>
    <row r="263" spans="1:10" x14ac:dyDescent="0.2">
      <c r="A263" s="220" t="s">
        <v>60</v>
      </c>
      <c r="C263" s="118"/>
      <c r="D263" s="2">
        <v>15000</v>
      </c>
      <c r="E263" s="133" t="s">
        <v>1790</v>
      </c>
      <c r="F263" s="2"/>
      <c r="G263" s="42"/>
      <c r="H263" s="42"/>
      <c r="I263" s="42"/>
      <c r="J263" s="42"/>
    </row>
    <row r="264" spans="1:10" x14ac:dyDescent="0.2">
      <c r="A264" s="220" t="s">
        <v>2134</v>
      </c>
      <c r="C264" s="118"/>
      <c r="D264" s="2">
        <v>15000</v>
      </c>
      <c r="E264" s="133" t="s">
        <v>1790</v>
      </c>
      <c r="F264" s="2"/>
      <c r="G264" s="42"/>
      <c r="H264" s="42"/>
      <c r="I264" s="42"/>
      <c r="J264" s="42"/>
    </row>
    <row r="265" spans="1:10" x14ac:dyDescent="0.2">
      <c r="A265" s="220" t="s">
        <v>2135</v>
      </c>
      <c r="C265" s="118"/>
      <c r="D265" s="2">
        <v>15000</v>
      </c>
      <c r="E265" s="1"/>
      <c r="F265" s="2"/>
      <c r="G265" s="42"/>
      <c r="H265" s="42"/>
      <c r="I265" s="42"/>
      <c r="J265" s="42"/>
    </row>
    <row r="266" spans="1:10" x14ac:dyDescent="0.2">
      <c r="A266" s="220" t="s">
        <v>1908</v>
      </c>
      <c r="C266" s="118"/>
      <c r="D266" s="2">
        <v>10000</v>
      </c>
      <c r="E266" s="1"/>
      <c r="F266" s="2"/>
      <c r="G266" s="42"/>
      <c r="H266" s="42"/>
      <c r="I266" s="42"/>
      <c r="J266" s="42"/>
    </row>
    <row r="267" spans="1:10" x14ac:dyDescent="0.2">
      <c r="A267" s="220" t="s">
        <v>1949</v>
      </c>
      <c r="C267" s="118"/>
      <c r="D267" s="2">
        <v>8000</v>
      </c>
      <c r="E267" s="1"/>
      <c r="F267" s="2"/>
      <c r="G267" s="42"/>
      <c r="H267" s="42"/>
      <c r="I267" s="42"/>
      <c r="J267" s="42"/>
    </row>
    <row r="268" spans="1:10" x14ac:dyDescent="0.2">
      <c r="A268" s="220" t="s">
        <v>2136</v>
      </c>
      <c r="C268" s="118"/>
      <c r="D268" s="2">
        <v>25000</v>
      </c>
      <c r="E268" s="1"/>
      <c r="F268" s="2"/>
      <c r="G268" s="42"/>
      <c r="H268" s="42"/>
      <c r="I268" s="42"/>
      <c r="J268" s="42"/>
    </row>
    <row r="269" spans="1:10" ht="15" x14ac:dyDescent="0.35">
      <c r="A269" s="220" t="s">
        <v>1064</v>
      </c>
      <c r="C269" s="118"/>
      <c r="D269" s="10">
        <v>2000</v>
      </c>
      <c r="E269" s="2"/>
      <c r="F269" s="2"/>
      <c r="G269" s="42"/>
      <c r="H269" s="42"/>
      <c r="I269" s="42"/>
      <c r="J269" s="42"/>
    </row>
    <row r="270" spans="1:10" x14ac:dyDescent="0.2">
      <c r="A270" s="220" t="s">
        <v>1086</v>
      </c>
      <c r="C270" s="118"/>
      <c r="D270" s="2">
        <f>SUM(D259:D269)</f>
        <v>146000</v>
      </c>
      <c r="E270" s="2"/>
      <c r="F270" s="2"/>
      <c r="G270" s="42"/>
      <c r="H270" s="42"/>
      <c r="I270" s="42"/>
      <c r="J270" s="42"/>
    </row>
    <row r="271" spans="1:10" x14ac:dyDescent="0.2">
      <c r="C271" s="118"/>
      <c r="D271" s="2"/>
      <c r="E271" s="2"/>
      <c r="F271" s="2"/>
      <c r="G271" s="42"/>
      <c r="H271" s="42"/>
      <c r="I271" s="42"/>
      <c r="J271" s="42"/>
    </row>
    <row r="272" spans="1:10" ht="13.5" x14ac:dyDescent="0.25">
      <c r="A272" s="225" t="s">
        <v>844</v>
      </c>
      <c r="C272" s="2"/>
      <c r="D272" s="2"/>
      <c r="E272" s="2">
        <v>18381</v>
      </c>
      <c r="F272" s="2">
        <v>40000</v>
      </c>
      <c r="G272" s="2">
        <v>30000</v>
      </c>
      <c r="H272" s="2">
        <v>30000</v>
      </c>
      <c r="I272" s="2">
        <v>30000</v>
      </c>
      <c r="J272" s="2">
        <v>30000</v>
      </c>
    </row>
    <row r="273" spans="1:10" x14ac:dyDescent="0.2">
      <c r="A273" s="220" t="s">
        <v>1719</v>
      </c>
      <c r="C273" s="2"/>
      <c r="D273" s="2">
        <v>30000</v>
      </c>
      <c r="E273" s="2"/>
      <c r="F273" s="2"/>
      <c r="H273" s="220"/>
      <c r="I273" s="251"/>
      <c r="J273" s="256"/>
    </row>
    <row r="274" spans="1:10" x14ac:dyDescent="0.2">
      <c r="C274" s="2"/>
      <c r="D274" s="2"/>
      <c r="E274" s="2"/>
      <c r="F274" s="2"/>
      <c r="H274" s="220"/>
      <c r="I274" s="251"/>
      <c r="J274" s="256"/>
    </row>
    <row r="275" spans="1:10" ht="13.5" x14ac:dyDescent="0.25">
      <c r="A275" s="225" t="s">
        <v>845</v>
      </c>
      <c r="C275" s="118"/>
      <c r="D275" s="7" t="s">
        <v>349</v>
      </c>
      <c r="E275" s="2">
        <v>29028</v>
      </c>
      <c r="F275" s="2">
        <v>26219</v>
      </c>
      <c r="G275" s="125">
        <v>101469</v>
      </c>
      <c r="H275" s="125">
        <v>26469</v>
      </c>
      <c r="I275" s="125">
        <v>26469</v>
      </c>
      <c r="J275" s="125">
        <v>26469</v>
      </c>
    </row>
    <row r="276" spans="1:10" x14ac:dyDescent="0.2">
      <c r="A276" s="220" t="s">
        <v>846</v>
      </c>
      <c r="C276" s="118"/>
      <c r="D276" s="2">
        <v>650</v>
      </c>
      <c r="E276" s="2"/>
      <c r="F276" s="2"/>
      <c r="G276" s="42"/>
      <c r="H276" s="42"/>
      <c r="I276" s="42"/>
      <c r="J276" s="42"/>
    </row>
    <row r="277" spans="1:10" x14ac:dyDescent="0.2">
      <c r="A277" s="220" t="s">
        <v>2137</v>
      </c>
      <c r="C277" s="118"/>
      <c r="D277" s="2">
        <v>1750</v>
      </c>
      <c r="E277" s="2"/>
      <c r="F277" s="2"/>
      <c r="G277" s="42"/>
      <c r="H277" s="42"/>
      <c r="I277" s="42"/>
      <c r="J277" s="42"/>
    </row>
    <row r="278" spans="1:10" x14ac:dyDescent="0.2">
      <c r="A278" s="220" t="s">
        <v>147</v>
      </c>
      <c r="C278" s="118"/>
      <c r="D278" s="2">
        <v>500</v>
      </c>
      <c r="E278" s="133" t="s">
        <v>1790</v>
      </c>
      <c r="F278" s="2"/>
      <c r="G278" s="42"/>
      <c r="H278" s="42"/>
      <c r="I278" s="42"/>
      <c r="J278" s="42"/>
    </row>
    <row r="279" spans="1:10" x14ac:dyDescent="0.2">
      <c r="A279" s="220" t="s">
        <v>1475</v>
      </c>
      <c r="C279" s="118"/>
      <c r="D279" s="2">
        <v>17100</v>
      </c>
      <c r="E279" s="133" t="s">
        <v>1790</v>
      </c>
      <c r="F279" s="2"/>
      <c r="G279" s="42"/>
      <c r="H279" s="42"/>
      <c r="I279" s="42"/>
      <c r="J279" s="42"/>
    </row>
    <row r="280" spans="1:10" x14ac:dyDescent="0.2">
      <c r="A280" s="220" t="s">
        <v>1476</v>
      </c>
      <c r="C280" s="118"/>
      <c r="D280" s="2">
        <v>2584</v>
      </c>
      <c r="E280" s="2"/>
      <c r="F280" s="2"/>
      <c r="G280" s="42"/>
      <c r="H280" s="42"/>
      <c r="I280" s="42"/>
      <c r="J280" s="42"/>
    </row>
    <row r="281" spans="1:10" x14ac:dyDescent="0.2">
      <c r="A281" s="220" t="s">
        <v>738</v>
      </c>
      <c r="C281" s="118"/>
      <c r="D281" s="2">
        <v>885</v>
      </c>
      <c r="E281" s="2"/>
      <c r="F281" s="2"/>
      <c r="G281" s="42"/>
      <c r="H281" s="42"/>
      <c r="I281" s="42"/>
      <c r="J281" s="42"/>
    </row>
    <row r="282" spans="1:10" x14ac:dyDescent="0.2">
      <c r="A282" s="220" t="s">
        <v>99</v>
      </c>
      <c r="C282" s="118"/>
      <c r="D282" s="3">
        <v>500</v>
      </c>
      <c r="E282" s="2"/>
      <c r="F282" s="2"/>
      <c r="G282" s="42"/>
      <c r="H282" s="42"/>
      <c r="I282" s="42"/>
      <c r="J282" s="42"/>
    </row>
    <row r="283" spans="1:10" ht="15" x14ac:dyDescent="0.35">
      <c r="A283" s="220" t="s">
        <v>1065</v>
      </c>
      <c r="C283" s="118"/>
      <c r="D283" s="10">
        <v>2500</v>
      </c>
      <c r="E283" s="2"/>
      <c r="F283" s="2"/>
      <c r="G283" s="42"/>
      <c r="H283" s="42"/>
      <c r="I283" s="42"/>
      <c r="J283" s="42"/>
    </row>
    <row r="284" spans="1:10" x14ac:dyDescent="0.2">
      <c r="A284" s="220" t="s">
        <v>1086</v>
      </c>
      <c r="C284" s="118"/>
      <c r="D284" s="2">
        <f>SUM(D276:D283)</f>
        <v>26469</v>
      </c>
      <c r="E284" s="2"/>
      <c r="F284" s="2"/>
      <c r="G284" s="42"/>
      <c r="H284" s="42"/>
      <c r="I284" s="42"/>
      <c r="J284" s="42"/>
    </row>
    <row r="285" spans="1:10" x14ac:dyDescent="0.2">
      <c r="C285" s="2"/>
      <c r="D285" s="2"/>
      <c r="E285" s="2"/>
      <c r="F285" s="2"/>
      <c r="G285" s="42"/>
      <c r="H285" s="42"/>
      <c r="I285" s="42"/>
      <c r="J285" s="42"/>
    </row>
    <row r="286" spans="1:10" ht="13.5" x14ac:dyDescent="0.25">
      <c r="A286" s="225" t="s">
        <v>409</v>
      </c>
      <c r="C286" s="2"/>
      <c r="D286" s="2"/>
      <c r="E286" s="2">
        <v>56333</v>
      </c>
      <c r="F286" s="2">
        <v>38920</v>
      </c>
      <c r="G286" s="42">
        <v>38920</v>
      </c>
      <c r="H286" s="42">
        <v>38920</v>
      </c>
      <c r="I286" s="42">
        <v>38920</v>
      </c>
      <c r="J286" s="42">
        <v>38920</v>
      </c>
    </row>
    <row r="287" spans="1:10" x14ac:dyDescent="0.2">
      <c r="A287" s="220" t="s">
        <v>1791</v>
      </c>
      <c r="C287" s="46" t="s">
        <v>1790</v>
      </c>
      <c r="D287" s="2">
        <v>25000</v>
      </c>
      <c r="E287" s="1"/>
      <c r="F287" s="1"/>
      <c r="G287" s="42"/>
      <c r="H287" s="42"/>
      <c r="I287" s="42"/>
      <c r="J287" s="42"/>
    </row>
    <row r="288" spans="1:10" ht="15" x14ac:dyDescent="0.35">
      <c r="A288" s="37" t="s">
        <v>1616</v>
      </c>
      <c r="C288" s="12" t="s">
        <v>1790</v>
      </c>
      <c r="D288" s="30">
        <v>13920</v>
      </c>
      <c r="E288" s="1"/>
      <c r="F288" s="129"/>
      <c r="G288" s="42"/>
      <c r="H288" s="42"/>
      <c r="I288" s="42"/>
      <c r="J288" s="42"/>
    </row>
    <row r="289" spans="1:10" x14ac:dyDescent="0.2">
      <c r="A289" s="37"/>
      <c r="C289" s="46" t="s">
        <v>1790</v>
      </c>
      <c r="D289" s="3">
        <f>SUM(D287:D288)</f>
        <v>38920</v>
      </c>
      <c r="E289" s="2"/>
      <c r="F289" s="42"/>
      <c r="G289" s="42"/>
      <c r="H289" s="42"/>
      <c r="I289" s="42"/>
      <c r="J289" s="42"/>
    </row>
    <row r="290" spans="1:10" x14ac:dyDescent="0.2">
      <c r="A290" s="37"/>
      <c r="C290" s="46"/>
      <c r="D290" s="3"/>
      <c r="E290" s="2"/>
      <c r="F290" s="42"/>
      <c r="G290" s="42"/>
      <c r="H290" s="42"/>
      <c r="I290" s="42"/>
      <c r="J290" s="42"/>
    </row>
    <row r="291" spans="1:10" ht="13.5" x14ac:dyDescent="0.25">
      <c r="A291" s="225" t="s">
        <v>768</v>
      </c>
      <c r="C291" s="7" t="s">
        <v>349</v>
      </c>
      <c r="D291" s="7" t="s">
        <v>349</v>
      </c>
      <c r="E291" s="2">
        <v>2331</v>
      </c>
      <c r="F291" s="2">
        <v>5000</v>
      </c>
      <c r="G291" s="42">
        <v>5000</v>
      </c>
      <c r="H291" s="42">
        <v>5000</v>
      </c>
      <c r="I291" s="42">
        <v>5000</v>
      </c>
      <c r="J291" s="42">
        <v>5000</v>
      </c>
    </row>
    <row r="292" spans="1:10" x14ac:dyDescent="0.2">
      <c r="A292" s="220" t="s">
        <v>1477</v>
      </c>
      <c r="C292" s="2"/>
      <c r="D292" s="2">
        <v>4000</v>
      </c>
      <c r="E292" s="2"/>
      <c r="F292" s="2"/>
      <c r="G292" s="42"/>
      <c r="H292" s="42"/>
      <c r="I292" s="42"/>
      <c r="J292" s="42"/>
    </row>
    <row r="293" spans="1:10" ht="15" x14ac:dyDescent="0.35">
      <c r="A293" s="220" t="s">
        <v>1115</v>
      </c>
      <c r="C293" s="10"/>
      <c r="D293" s="10">
        <v>1000</v>
      </c>
      <c r="E293" s="2"/>
      <c r="F293" s="2"/>
      <c r="G293" s="42"/>
      <c r="H293" s="42"/>
      <c r="I293" s="42"/>
      <c r="J293" s="42"/>
    </row>
    <row r="294" spans="1:10" x14ac:dyDescent="0.2">
      <c r="A294" s="220" t="s">
        <v>1086</v>
      </c>
      <c r="C294" s="2"/>
      <c r="D294" s="2">
        <v>5000</v>
      </c>
      <c r="E294" s="2"/>
      <c r="F294" s="2"/>
      <c r="G294" s="42"/>
      <c r="H294" s="42"/>
      <c r="I294" s="42"/>
      <c r="J294" s="42"/>
    </row>
    <row r="295" spans="1:10" x14ac:dyDescent="0.2">
      <c r="C295" s="2"/>
      <c r="D295" s="2"/>
      <c r="E295" s="2"/>
      <c r="F295" s="2"/>
      <c r="G295" s="42"/>
      <c r="H295" s="42"/>
      <c r="I295" s="42"/>
      <c r="J295" s="42"/>
    </row>
    <row r="296" spans="1:10" ht="13.5" x14ac:dyDescent="0.25">
      <c r="A296" s="225" t="s">
        <v>384</v>
      </c>
      <c r="C296" s="18"/>
      <c r="D296" s="18"/>
      <c r="E296" s="2">
        <v>357735</v>
      </c>
      <c r="F296" s="2">
        <v>363750</v>
      </c>
      <c r="G296" s="2">
        <v>401313</v>
      </c>
      <c r="H296" s="2">
        <v>401175</v>
      </c>
      <c r="I296" s="2">
        <v>401175</v>
      </c>
      <c r="J296" s="2">
        <v>401175</v>
      </c>
    </row>
    <row r="297" spans="1:10" x14ac:dyDescent="0.2">
      <c r="A297" s="220" t="s">
        <v>1478</v>
      </c>
      <c r="C297" s="2">
        <v>355250</v>
      </c>
      <c r="D297" s="2"/>
      <c r="E297" s="2"/>
      <c r="F297" s="2"/>
      <c r="G297" s="42"/>
      <c r="H297" s="42"/>
      <c r="I297" s="42"/>
      <c r="J297" s="42"/>
    </row>
    <row r="298" spans="1:10" x14ac:dyDescent="0.2">
      <c r="A298" s="220" t="s">
        <v>1846</v>
      </c>
      <c r="C298" s="2">
        <v>30000</v>
      </c>
      <c r="D298" s="2"/>
      <c r="E298" s="2"/>
      <c r="F298" s="2"/>
      <c r="G298" s="42"/>
      <c r="H298" s="42"/>
      <c r="I298" s="42"/>
      <c r="J298" s="42"/>
    </row>
    <row r="299" spans="1:10" x14ac:dyDescent="0.2">
      <c r="A299" s="220" t="s">
        <v>385</v>
      </c>
      <c r="C299" s="2">
        <v>10000</v>
      </c>
      <c r="D299" s="2"/>
      <c r="E299" s="2"/>
      <c r="F299" s="2"/>
      <c r="G299" s="42"/>
      <c r="H299" s="42"/>
      <c r="I299" s="42"/>
      <c r="J299" s="42"/>
    </row>
    <row r="300" spans="1:10" x14ac:dyDescent="0.2">
      <c r="A300" s="220" t="s">
        <v>1479</v>
      </c>
      <c r="C300" s="2">
        <v>1100</v>
      </c>
      <c r="D300" s="2"/>
      <c r="E300" s="2"/>
      <c r="F300" s="2"/>
      <c r="G300" s="42"/>
      <c r="H300" s="42"/>
      <c r="I300" s="42"/>
      <c r="J300" s="42"/>
    </row>
    <row r="301" spans="1:10" x14ac:dyDescent="0.2">
      <c r="A301" s="220" t="s">
        <v>1480</v>
      </c>
      <c r="C301" s="2">
        <v>175</v>
      </c>
      <c r="D301" s="2"/>
      <c r="E301" s="2"/>
      <c r="F301" s="2"/>
      <c r="G301" s="42"/>
      <c r="H301" s="42"/>
      <c r="I301" s="42"/>
      <c r="J301" s="42"/>
    </row>
    <row r="302" spans="1:10" x14ac:dyDescent="0.2">
      <c r="A302" s="220" t="s">
        <v>1532</v>
      </c>
      <c r="C302" s="2">
        <v>3000</v>
      </c>
      <c r="D302" s="2"/>
      <c r="E302" s="2"/>
      <c r="F302" s="2"/>
      <c r="G302" s="42"/>
      <c r="H302" s="42"/>
      <c r="I302" s="42"/>
      <c r="J302" s="42"/>
    </row>
    <row r="303" spans="1:10" ht="15" x14ac:dyDescent="0.35">
      <c r="A303" s="220" t="s">
        <v>521</v>
      </c>
      <c r="C303" s="10">
        <v>1650</v>
      </c>
      <c r="D303" s="10"/>
      <c r="E303" s="2"/>
      <c r="F303" s="2"/>
      <c r="G303" s="42"/>
      <c r="H303" s="42"/>
      <c r="I303" s="42"/>
      <c r="J303" s="42"/>
    </row>
    <row r="304" spans="1:10" x14ac:dyDescent="0.2">
      <c r="A304" s="220" t="s">
        <v>1086</v>
      </c>
      <c r="C304" s="2">
        <f>SUM(C297:C303)</f>
        <v>401175</v>
      </c>
      <c r="D304" s="2">
        <f>SUM(D297:D303)</f>
        <v>0</v>
      </c>
      <c r="E304" s="2"/>
      <c r="F304" s="2"/>
      <c r="G304" s="42"/>
      <c r="H304" s="42"/>
      <c r="I304" s="42"/>
      <c r="J304" s="42"/>
    </row>
    <row r="305" spans="1:10" x14ac:dyDescent="0.2">
      <c r="C305" s="2"/>
      <c r="D305" s="2"/>
      <c r="E305" s="2"/>
      <c r="F305" s="2"/>
      <c r="G305" s="42"/>
      <c r="H305" s="42"/>
      <c r="I305" s="42"/>
      <c r="J305" s="42"/>
    </row>
    <row r="306" spans="1:10" ht="13.5" x14ac:dyDescent="0.25">
      <c r="A306" s="225" t="s">
        <v>386</v>
      </c>
      <c r="C306" s="2"/>
      <c r="D306" s="2"/>
      <c r="E306" s="2">
        <v>4349</v>
      </c>
      <c r="F306" s="2">
        <v>8000</v>
      </c>
      <c r="G306" s="2">
        <v>8000</v>
      </c>
      <c r="H306" s="2">
        <v>8000</v>
      </c>
      <c r="I306" s="2">
        <v>8000</v>
      </c>
      <c r="J306" s="2">
        <v>8000</v>
      </c>
    </row>
    <row r="307" spans="1:10" x14ac:dyDescent="0.2">
      <c r="A307" s="22" t="s">
        <v>148</v>
      </c>
      <c r="C307" s="2">
        <v>1000</v>
      </c>
      <c r="D307" s="2"/>
      <c r="E307" s="2"/>
      <c r="F307" s="2"/>
      <c r="H307" s="220"/>
      <c r="I307" s="251"/>
      <c r="J307" s="256"/>
    </row>
    <row r="308" spans="1:10" x14ac:dyDescent="0.2">
      <c r="A308" s="220" t="s">
        <v>387</v>
      </c>
      <c r="C308" s="2">
        <v>2000</v>
      </c>
      <c r="D308" s="2"/>
      <c r="E308" s="2"/>
      <c r="F308" s="2"/>
      <c r="H308" s="220"/>
      <c r="I308" s="251"/>
      <c r="J308" s="256"/>
    </row>
    <row r="309" spans="1:10" ht="15" x14ac:dyDescent="0.35">
      <c r="A309" s="220" t="s">
        <v>1533</v>
      </c>
      <c r="C309" s="10">
        <v>5000</v>
      </c>
      <c r="D309" s="10"/>
      <c r="E309" s="2"/>
      <c r="F309" s="2"/>
      <c r="G309" s="42"/>
      <c r="H309" s="42"/>
      <c r="I309" s="42"/>
      <c r="J309" s="42"/>
    </row>
    <row r="310" spans="1:10" x14ac:dyDescent="0.2">
      <c r="A310" s="220" t="s">
        <v>1086</v>
      </c>
      <c r="C310" s="2">
        <f>SUM(C307:C309)</f>
        <v>8000</v>
      </c>
      <c r="D310" s="2">
        <f>SUM(D307:D309)</f>
        <v>0</v>
      </c>
      <c r="E310" s="2"/>
      <c r="F310" s="2"/>
      <c r="G310" s="42"/>
      <c r="H310" s="42"/>
      <c r="I310" s="42"/>
      <c r="J310" s="42"/>
    </row>
    <row r="311" spans="1:10" x14ac:dyDescent="0.2">
      <c r="C311" s="2"/>
      <c r="D311" s="2"/>
      <c r="E311" s="2"/>
      <c r="F311" s="2"/>
      <c r="G311" s="42"/>
      <c r="H311" s="42"/>
      <c r="I311" s="42"/>
      <c r="J311" s="42"/>
    </row>
    <row r="312" spans="1:10" ht="13.5" x14ac:dyDescent="0.25">
      <c r="A312" s="225" t="s">
        <v>348</v>
      </c>
      <c r="C312" s="2"/>
      <c r="D312" s="2"/>
      <c r="E312" s="2">
        <v>495</v>
      </c>
      <c r="F312" s="2">
        <v>500</v>
      </c>
      <c r="G312" s="42">
        <v>500</v>
      </c>
      <c r="H312" s="42">
        <v>500</v>
      </c>
      <c r="I312" s="42">
        <v>500</v>
      </c>
      <c r="J312" s="42">
        <v>500</v>
      </c>
    </row>
    <row r="313" spans="1:10" x14ac:dyDescent="0.2">
      <c r="A313" s="220" t="s">
        <v>678</v>
      </c>
      <c r="C313" s="2">
        <v>500</v>
      </c>
      <c r="D313" s="2">
        <v>0</v>
      </c>
      <c r="E313" s="2"/>
      <c r="F313" s="2"/>
      <c r="G313" s="42"/>
      <c r="H313" s="42"/>
      <c r="I313" s="42"/>
      <c r="J313" s="42"/>
    </row>
    <row r="314" spans="1:10" x14ac:dyDescent="0.2">
      <c r="C314" s="2"/>
      <c r="D314" s="2"/>
      <c r="E314" s="2"/>
      <c r="F314" s="2"/>
      <c r="G314" s="42"/>
      <c r="H314" s="42"/>
      <c r="I314" s="42"/>
      <c r="J314" s="42"/>
    </row>
    <row r="315" spans="1:10" ht="13.5" x14ac:dyDescent="0.25">
      <c r="A315" s="225" t="s">
        <v>679</v>
      </c>
      <c r="C315" s="2"/>
      <c r="D315" s="2"/>
      <c r="E315" s="2">
        <v>493</v>
      </c>
      <c r="F315" s="2">
        <v>500</v>
      </c>
      <c r="G315" s="42">
        <v>500</v>
      </c>
      <c r="H315" s="42">
        <v>500</v>
      </c>
      <c r="I315" s="42">
        <v>500</v>
      </c>
      <c r="J315" s="42">
        <v>500</v>
      </c>
    </row>
    <row r="316" spans="1:10" x14ac:dyDescent="0.2">
      <c r="A316" s="220" t="s">
        <v>1950</v>
      </c>
      <c r="C316" s="2">
        <v>500</v>
      </c>
      <c r="D316" s="2">
        <v>0</v>
      </c>
      <c r="E316" s="2"/>
      <c r="F316" s="2"/>
      <c r="G316" s="42"/>
      <c r="H316" s="42"/>
      <c r="I316" s="42"/>
      <c r="J316" s="42"/>
    </row>
    <row r="317" spans="1:10" x14ac:dyDescent="0.2">
      <c r="C317" s="2"/>
      <c r="D317" s="2"/>
      <c r="E317" s="2"/>
      <c r="F317" s="118"/>
      <c r="G317" s="118"/>
      <c r="H317" s="118"/>
      <c r="I317" s="118"/>
      <c r="J317" s="118"/>
    </row>
    <row r="318" spans="1:10" ht="13.5" x14ac:dyDescent="0.25">
      <c r="A318" s="225" t="s">
        <v>1664</v>
      </c>
      <c r="C318" s="18"/>
      <c r="D318" s="18"/>
      <c r="E318" s="2">
        <v>10670</v>
      </c>
      <c r="F318" s="2">
        <v>15000</v>
      </c>
      <c r="G318" s="2">
        <v>15000</v>
      </c>
      <c r="H318" s="2">
        <v>0</v>
      </c>
      <c r="I318" s="2">
        <v>0</v>
      </c>
      <c r="J318" s="2">
        <v>0</v>
      </c>
    </row>
    <row r="319" spans="1:10" x14ac:dyDescent="0.2">
      <c r="A319" s="22" t="s">
        <v>1951</v>
      </c>
      <c r="B319" s="146"/>
      <c r="C319" s="18">
        <v>0</v>
      </c>
      <c r="D319" s="18"/>
      <c r="E319" s="2"/>
      <c r="F319" s="118"/>
      <c r="G319" s="118"/>
      <c r="H319" s="118"/>
      <c r="I319" s="118"/>
      <c r="J319" s="118"/>
    </row>
    <row r="320" spans="1:10" ht="13.5" x14ac:dyDescent="0.25">
      <c r="A320" s="225"/>
      <c r="C320" s="18"/>
      <c r="D320" s="18"/>
      <c r="E320" s="2"/>
      <c r="F320" s="118"/>
      <c r="G320" s="118"/>
      <c r="H320" s="118"/>
      <c r="I320" s="118"/>
      <c r="J320" s="118"/>
    </row>
    <row r="321" spans="1:10" x14ac:dyDescent="0.2">
      <c r="C321" s="2"/>
      <c r="D321" s="2"/>
      <c r="E321" s="2"/>
      <c r="F321" s="2"/>
      <c r="G321" s="42"/>
      <c r="H321" s="42"/>
      <c r="I321" s="42"/>
      <c r="J321" s="42"/>
    </row>
    <row r="322" spans="1:10" ht="13.5" x14ac:dyDescent="0.25">
      <c r="A322" s="225" t="s">
        <v>216</v>
      </c>
      <c r="C322" s="18"/>
      <c r="D322" s="18"/>
      <c r="E322" s="2">
        <v>5867</v>
      </c>
      <c r="F322" s="2">
        <v>5000</v>
      </c>
      <c r="G322" s="42">
        <v>5000</v>
      </c>
      <c r="H322" s="42">
        <v>5000</v>
      </c>
      <c r="I322" s="42">
        <v>5000</v>
      </c>
      <c r="J322" s="42">
        <v>5000</v>
      </c>
    </row>
    <row r="323" spans="1:10" ht="15" x14ac:dyDescent="0.35">
      <c r="A323" s="22" t="s">
        <v>1481</v>
      </c>
      <c r="C323" s="2">
        <v>5000</v>
      </c>
      <c r="D323" s="10">
        <v>5000</v>
      </c>
      <c r="E323" s="2"/>
      <c r="F323" s="2"/>
      <c r="G323" s="42"/>
      <c r="H323" s="42"/>
      <c r="I323" s="42"/>
      <c r="J323" s="42"/>
    </row>
    <row r="324" spans="1:10" ht="15" x14ac:dyDescent="0.35">
      <c r="A324" s="22"/>
      <c r="C324" s="30"/>
      <c r="D324" s="3">
        <f>SUM(D323:D323)</f>
        <v>5000</v>
      </c>
      <c r="E324" s="2"/>
      <c r="F324" s="2"/>
      <c r="G324" s="42"/>
      <c r="H324" s="42"/>
      <c r="I324" s="42"/>
      <c r="J324" s="42"/>
    </row>
    <row r="325" spans="1:10" ht="13.5" x14ac:dyDescent="0.25">
      <c r="A325" s="225" t="s">
        <v>1665</v>
      </c>
      <c r="C325" s="2"/>
      <c r="D325" s="2"/>
      <c r="E325" s="3">
        <v>0</v>
      </c>
      <c r="F325" s="3">
        <v>28656</v>
      </c>
      <c r="G325" s="42">
        <v>28656</v>
      </c>
      <c r="H325" s="42">
        <v>0</v>
      </c>
      <c r="I325" s="42">
        <v>0</v>
      </c>
      <c r="J325" s="42">
        <v>0</v>
      </c>
    </row>
    <row r="326" spans="1:10" ht="15" x14ac:dyDescent="0.35">
      <c r="A326" s="22"/>
      <c r="C326" s="30"/>
      <c r="D326" s="30"/>
      <c r="E326" s="2"/>
      <c r="F326" s="2"/>
      <c r="G326" s="42"/>
      <c r="H326" s="42"/>
      <c r="I326" s="42"/>
      <c r="J326" s="42"/>
    </row>
    <row r="327" spans="1:10" ht="13.5" x14ac:dyDescent="0.25">
      <c r="A327" s="225" t="s">
        <v>866</v>
      </c>
      <c r="C327" s="2"/>
      <c r="D327" s="2"/>
      <c r="E327" s="3">
        <v>8586</v>
      </c>
      <c r="F327" s="3">
        <v>6000</v>
      </c>
      <c r="G327" s="42">
        <v>0</v>
      </c>
      <c r="H327" s="42">
        <v>0</v>
      </c>
      <c r="I327" s="42">
        <v>0</v>
      </c>
      <c r="J327" s="42">
        <v>0</v>
      </c>
    </row>
    <row r="328" spans="1:10" x14ac:dyDescent="0.2">
      <c r="A328" s="22" t="s">
        <v>1909</v>
      </c>
      <c r="C328" s="123">
        <v>6000</v>
      </c>
      <c r="D328" s="59">
        <v>0</v>
      </c>
      <c r="E328" s="3"/>
      <c r="F328" s="3"/>
      <c r="G328" s="42"/>
      <c r="H328" s="42"/>
      <c r="I328" s="42"/>
      <c r="J328" s="42"/>
    </row>
    <row r="329" spans="1:10" ht="15" x14ac:dyDescent="0.35">
      <c r="C329" s="2"/>
      <c r="D329" s="2"/>
      <c r="E329" s="3"/>
      <c r="F329" s="10"/>
      <c r="H329" s="220"/>
      <c r="I329" s="251"/>
      <c r="J329" s="256"/>
    </row>
    <row r="330" spans="1:10" ht="13.5" x14ac:dyDescent="0.25">
      <c r="A330" s="225" t="s">
        <v>100</v>
      </c>
      <c r="E330" s="3">
        <v>350000</v>
      </c>
      <c r="F330" s="2">
        <v>500000</v>
      </c>
      <c r="G330" s="70">
        <v>500000</v>
      </c>
      <c r="H330" s="70">
        <v>500000</v>
      </c>
      <c r="I330" s="70">
        <v>500000</v>
      </c>
      <c r="J330" s="70">
        <v>500000</v>
      </c>
    </row>
    <row r="331" spans="1:10" x14ac:dyDescent="0.2">
      <c r="A331" s="220" t="s">
        <v>1482</v>
      </c>
      <c r="B331" s="2">
        <v>350000</v>
      </c>
      <c r="C331" s="2">
        <v>500000</v>
      </c>
      <c r="D331" s="123">
        <v>200000</v>
      </c>
      <c r="E331" s="2"/>
      <c r="F331" s="2"/>
      <c r="G331" s="42"/>
      <c r="H331" s="42"/>
      <c r="I331" s="42"/>
      <c r="J331" s="42"/>
    </row>
    <row r="332" spans="1:10" x14ac:dyDescent="0.2">
      <c r="C332" s="2"/>
      <c r="D332" s="2"/>
      <c r="E332" s="2"/>
      <c r="F332" s="2"/>
      <c r="G332" s="42"/>
      <c r="H332" s="42"/>
      <c r="I332" s="42"/>
      <c r="J332" s="42"/>
    </row>
    <row r="333" spans="1:10" ht="15" x14ac:dyDescent="0.35">
      <c r="A333" s="225" t="s">
        <v>1159</v>
      </c>
      <c r="C333" s="2"/>
      <c r="D333" s="2"/>
      <c r="E333" s="10">
        <v>370464</v>
      </c>
      <c r="F333" s="17">
        <v>0</v>
      </c>
      <c r="G333" s="10">
        <v>0</v>
      </c>
      <c r="H333" s="10">
        <v>0</v>
      </c>
      <c r="I333" s="93">
        <v>0</v>
      </c>
      <c r="J333" s="93">
        <v>0</v>
      </c>
    </row>
    <row r="334" spans="1:10" x14ac:dyDescent="0.2">
      <c r="A334" s="220" t="s">
        <v>1167</v>
      </c>
      <c r="D334" s="2"/>
      <c r="E334" s="2">
        <f t="shared" ref="E334:J334" si="5">SUM(E6:E333)</f>
        <v>4204156</v>
      </c>
      <c r="F334" s="2">
        <f t="shared" si="5"/>
        <v>4457747</v>
      </c>
      <c r="G334" s="2">
        <f t="shared" si="5"/>
        <v>4659510</v>
      </c>
      <c r="H334" s="2">
        <f t="shared" si="5"/>
        <v>4560266</v>
      </c>
      <c r="I334" s="2">
        <f t="shared" si="5"/>
        <v>4564567</v>
      </c>
      <c r="J334" s="2">
        <f t="shared" si="5"/>
        <v>4564567</v>
      </c>
    </row>
    <row r="335" spans="1:10" x14ac:dyDescent="0.2">
      <c r="E335" s="2" t="s">
        <v>349</v>
      </c>
      <c r="F335" s="2" t="s">
        <v>349</v>
      </c>
      <c r="G335" s="2" t="s">
        <v>349</v>
      </c>
      <c r="H335" s="2" t="s">
        <v>349</v>
      </c>
      <c r="I335" s="2" t="s">
        <v>349</v>
      </c>
      <c r="J335" s="2" t="s">
        <v>349</v>
      </c>
    </row>
    <row r="336" spans="1:10" x14ac:dyDescent="0.2">
      <c r="A336" s="220" t="s">
        <v>523</v>
      </c>
      <c r="E336" s="2">
        <f t="shared" ref="E336:J336" si="6">SUM(E5:E124)</f>
        <v>1786943</v>
      </c>
      <c r="F336" s="2">
        <f t="shared" si="6"/>
        <v>2180493</v>
      </c>
      <c r="G336" s="2">
        <f t="shared" si="6"/>
        <v>2299414</v>
      </c>
      <c r="H336" s="2">
        <f t="shared" si="6"/>
        <v>2311964</v>
      </c>
      <c r="I336" s="2">
        <f t="shared" si="6"/>
        <v>2316265</v>
      </c>
      <c r="J336" s="2">
        <f t="shared" si="6"/>
        <v>2316265</v>
      </c>
    </row>
    <row r="337" spans="1:10" x14ac:dyDescent="0.2">
      <c r="A337" s="220" t="s">
        <v>818</v>
      </c>
      <c r="E337" s="2">
        <f>SUM(E125:E314)</f>
        <v>1671133</v>
      </c>
      <c r="F337" s="2">
        <f>SUM(F125:F315)</f>
        <v>1722598</v>
      </c>
      <c r="G337" s="2">
        <f>SUM(G125:G315)</f>
        <v>1811440</v>
      </c>
      <c r="H337" s="2">
        <f>SUM(H125:H315)</f>
        <v>1743302</v>
      </c>
      <c r="I337" s="2">
        <f>SUM(I125:I315)</f>
        <v>1743302</v>
      </c>
      <c r="J337" s="2">
        <f>SUM(J125:J314)</f>
        <v>1742802</v>
      </c>
    </row>
    <row r="338" spans="1:10" ht="15" x14ac:dyDescent="0.35">
      <c r="A338" s="220" t="s">
        <v>819</v>
      </c>
      <c r="E338" s="10">
        <f t="shared" ref="E338:J338" si="7">SUM(E317:E333)</f>
        <v>745587</v>
      </c>
      <c r="F338" s="10">
        <f t="shared" si="7"/>
        <v>554656</v>
      </c>
      <c r="G338" s="10">
        <f t="shared" si="7"/>
        <v>548656</v>
      </c>
      <c r="H338" s="10">
        <f t="shared" si="7"/>
        <v>505000</v>
      </c>
      <c r="I338" s="10">
        <f t="shared" si="7"/>
        <v>505000</v>
      </c>
      <c r="J338" s="10">
        <f t="shared" si="7"/>
        <v>505000</v>
      </c>
    </row>
    <row r="339" spans="1:10" x14ac:dyDescent="0.2">
      <c r="A339" s="220" t="s">
        <v>1086</v>
      </c>
      <c r="E339" s="2">
        <f t="shared" ref="E339:F339" si="8">SUM(E336:E338)</f>
        <v>4203663</v>
      </c>
      <c r="F339" s="2">
        <f t="shared" si="8"/>
        <v>4457747</v>
      </c>
      <c r="G339" s="2">
        <f t="shared" ref="G339:J339" si="9">SUM(G336:G338)</f>
        <v>4659510</v>
      </c>
      <c r="H339" s="2">
        <f t="shared" si="9"/>
        <v>4560266</v>
      </c>
      <c r="I339" s="2">
        <f t="shared" si="9"/>
        <v>4564567</v>
      </c>
      <c r="J339" s="2">
        <f t="shared" si="9"/>
        <v>4564067</v>
      </c>
    </row>
    <row r="340" spans="1:10" x14ac:dyDescent="0.2">
      <c r="H340" s="220"/>
      <c r="J340" s="2"/>
    </row>
    <row r="341" spans="1:10" x14ac:dyDescent="0.2">
      <c r="I341" s="2"/>
      <c r="J341" s="2">
        <f>+I339-H339</f>
        <v>4301</v>
      </c>
    </row>
    <row r="342" spans="1:10" x14ac:dyDescent="0.2">
      <c r="I342" s="2"/>
      <c r="J342" s="2">
        <v>4301</v>
      </c>
    </row>
    <row r="343" spans="1:10" x14ac:dyDescent="0.2">
      <c r="I343" s="2">
        <f>4932531</f>
        <v>4932531</v>
      </c>
      <c r="J343" s="2">
        <f>+J342-J341</f>
        <v>0</v>
      </c>
    </row>
    <row r="344" spans="1:10" x14ac:dyDescent="0.2">
      <c r="I344" s="2">
        <f>+I339-I343</f>
        <v>-367964</v>
      </c>
      <c r="J344" s="2"/>
    </row>
    <row r="345" spans="1:10" x14ac:dyDescent="0.2">
      <c r="I345" s="2"/>
      <c r="J345" s="2"/>
    </row>
    <row r="346" spans="1:10" x14ac:dyDescent="0.2">
      <c r="I346" s="2"/>
      <c r="J346" s="2"/>
    </row>
    <row r="347" spans="1:10" x14ac:dyDescent="0.2">
      <c r="I347" s="2"/>
      <c r="J347" s="2"/>
    </row>
    <row r="348" spans="1:10" x14ac:dyDescent="0.2">
      <c r="I348" s="2"/>
      <c r="J348" s="2"/>
    </row>
    <row r="349" spans="1:10" x14ac:dyDescent="0.2">
      <c r="I349" s="2"/>
      <c r="J349" s="2"/>
    </row>
    <row r="350" spans="1:10" x14ac:dyDescent="0.2">
      <c r="I350" s="2"/>
      <c r="J350" s="2"/>
    </row>
    <row r="351" spans="1:10" x14ac:dyDescent="0.2">
      <c r="I351" s="2"/>
    </row>
    <row r="352" spans="1:10" x14ac:dyDescent="0.2">
      <c r="I352" s="2"/>
    </row>
    <row r="353" spans="9:9" x14ac:dyDescent="0.2">
      <c r="I353" s="2"/>
    </row>
    <row r="354" spans="9:9" x14ac:dyDescent="0.2">
      <c r="I354" s="2"/>
    </row>
    <row r="355" spans="9:9" x14ac:dyDescent="0.2">
      <c r="I355" s="2"/>
    </row>
    <row r="356" spans="9:9" x14ac:dyDescent="0.2">
      <c r="I356" s="2"/>
    </row>
  </sheetData>
  <mergeCells count="1">
    <mergeCell ref="A1:J1"/>
  </mergeCells>
  <phoneticPr fontId="0" type="noConversion"/>
  <printOptions gridLines="1"/>
  <pageMargins left="0.75" right="0" top="0.51" bottom="0.22" header="0.5" footer="0"/>
  <pageSetup scale="85" fitToHeight="17" orientation="landscape" r:id="rId1"/>
  <headerFooter alignWithMargins="0"/>
  <rowBreaks count="5" manualBreakCount="5">
    <brk id="48" max="9" man="1"/>
    <brk id="124" max="9" man="1"/>
    <brk id="165" max="9" man="1"/>
    <brk id="209" max="9" man="1"/>
    <brk id="295" max="9"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159"/>
  <sheetViews>
    <sheetView tabSelected="1" view="pageBreakPreview" zoomScaleNormal="100" zoomScaleSheetLayoutView="100" workbookViewId="0">
      <pane ySplit="5" topLeftCell="A84" activePane="bottomLeft" state="frozen"/>
      <selection pane="bottomLeft" activeCell="A134" sqref="A134"/>
    </sheetView>
  </sheetViews>
  <sheetFormatPr defaultColWidth="8.85546875" defaultRowHeight="12.75" x14ac:dyDescent="0.2"/>
  <cols>
    <col min="1" max="1" width="41.5703125" style="220" bestFit="1" customWidth="1"/>
    <col min="2" max="2" width="9.85546875" style="220" customWidth="1"/>
    <col min="3" max="3" width="10.28515625" style="220" customWidth="1"/>
    <col min="4" max="4" width="10.5703125" style="220" customWidth="1"/>
    <col min="5" max="6" width="10.85546875" style="220" customWidth="1"/>
    <col min="7" max="7" width="10.85546875" style="2" customWidth="1"/>
    <col min="8" max="8" width="14" style="220" bestFit="1" customWidth="1"/>
    <col min="9" max="10" width="10.85546875" style="220" customWidth="1"/>
    <col min="11" max="16384" width="8.85546875" style="220"/>
  </cols>
  <sheetData>
    <row r="1" spans="1:10" x14ac:dyDescent="0.2">
      <c r="A1" s="261" t="s">
        <v>1965</v>
      </c>
      <c r="B1" s="262"/>
      <c r="C1" s="262"/>
      <c r="D1" s="262"/>
      <c r="E1" s="262"/>
      <c r="F1" s="262"/>
      <c r="G1" s="262"/>
      <c r="H1" s="262"/>
      <c r="I1" s="262"/>
      <c r="J1" s="262"/>
    </row>
    <row r="2" spans="1:10" ht="18.75" x14ac:dyDescent="0.3">
      <c r="A2" s="107" t="s">
        <v>1650</v>
      </c>
      <c r="B2" s="107"/>
      <c r="C2" s="107"/>
      <c r="D2" s="107"/>
      <c r="E2" s="107"/>
      <c r="F2" s="107"/>
      <c r="G2" s="107"/>
      <c r="H2" s="107"/>
      <c r="I2" s="107"/>
      <c r="J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649</v>
      </c>
      <c r="B6" s="2"/>
      <c r="C6" s="2"/>
      <c r="D6" s="2"/>
      <c r="E6" s="2">
        <v>69204</v>
      </c>
      <c r="F6" s="2">
        <v>70499</v>
      </c>
      <c r="G6" s="2">
        <v>71838</v>
      </c>
      <c r="H6" s="2">
        <v>71838</v>
      </c>
      <c r="I6" s="2">
        <v>73269</v>
      </c>
      <c r="J6" s="2">
        <v>73269</v>
      </c>
    </row>
    <row r="7" spans="1:10" x14ac:dyDescent="0.2">
      <c r="A7" s="220" t="s">
        <v>647</v>
      </c>
      <c r="B7" s="2">
        <v>52</v>
      </c>
      <c r="C7" s="2">
        <v>1366</v>
      </c>
      <c r="D7" s="2">
        <f>ROUND(B7*C7,0)</f>
        <v>71032</v>
      </c>
      <c r="E7" s="2"/>
      <c r="F7" s="2"/>
      <c r="H7" s="2"/>
      <c r="I7" s="2"/>
      <c r="J7" s="2"/>
    </row>
    <row r="8" spans="1:10" x14ac:dyDescent="0.2">
      <c r="A8" s="220" t="s">
        <v>2138</v>
      </c>
      <c r="B8" s="2">
        <v>1</v>
      </c>
      <c r="C8" s="2">
        <v>1366</v>
      </c>
      <c r="D8" s="2">
        <f>ROUND(B8*C8,0)</f>
        <v>1366</v>
      </c>
      <c r="E8" s="2"/>
      <c r="F8" s="2"/>
      <c r="H8" s="2"/>
      <c r="I8" s="2"/>
      <c r="J8" s="2"/>
    </row>
    <row r="9" spans="1:10" x14ac:dyDescent="0.2">
      <c r="A9" s="220" t="s">
        <v>833</v>
      </c>
      <c r="B9" s="2"/>
      <c r="C9" s="2"/>
      <c r="D9" s="17">
        <f>38+833</f>
        <v>871</v>
      </c>
      <c r="E9" s="2"/>
      <c r="F9" s="2"/>
      <c r="H9" s="2"/>
      <c r="I9" s="2"/>
      <c r="J9" s="2"/>
    </row>
    <row r="10" spans="1:10" x14ac:dyDescent="0.2">
      <c r="A10" s="220" t="s">
        <v>1086</v>
      </c>
      <c r="B10" s="2"/>
      <c r="C10" s="2"/>
      <c r="D10" s="2">
        <f>SUM(D7:D9)</f>
        <v>73269</v>
      </c>
      <c r="E10" s="2"/>
      <c r="F10" s="2"/>
      <c r="H10" s="2"/>
      <c r="I10" s="2"/>
      <c r="J10" s="2"/>
    </row>
    <row r="11" spans="1:10" x14ac:dyDescent="0.2">
      <c r="B11" s="2"/>
      <c r="C11" s="2"/>
      <c r="D11" s="2"/>
      <c r="E11" s="2"/>
      <c r="F11" s="2"/>
      <c r="H11" s="2"/>
      <c r="I11" s="2"/>
      <c r="J11" s="2"/>
    </row>
    <row r="12" spans="1:10" ht="13.5" x14ac:dyDescent="0.25">
      <c r="A12" s="225" t="s">
        <v>698</v>
      </c>
      <c r="E12" s="2">
        <v>44384</v>
      </c>
      <c r="F12" s="2">
        <v>44616</v>
      </c>
      <c r="G12" s="2">
        <v>45474</v>
      </c>
      <c r="H12" s="2">
        <v>50032</v>
      </c>
      <c r="I12" s="2">
        <v>50827</v>
      </c>
      <c r="J12" s="2">
        <v>50827</v>
      </c>
    </row>
    <row r="13" spans="1:10" x14ac:dyDescent="0.2">
      <c r="A13" s="220" t="s">
        <v>648</v>
      </c>
      <c r="B13" s="2">
        <v>52</v>
      </c>
      <c r="C13" s="2">
        <v>959</v>
      </c>
      <c r="D13" s="2">
        <f>ROUND(B13*C13,0)</f>
        <v>49868</v>
      </c>
      <c r="F13" s="2"/>
      <c r="H13" s="2"/>
      <c r="I13" s="2"/>
      <c r="J13" s="2"/>
    </row>
    <row r="14" spans="1:10" ht="15" x14ac:dyDescent="0.35">
      <c r="A14" s="220" t="s">
        <v>2138</v>
      </c>
      <c r="B14" s="2">
        <v>1</v>
      </c>
      <c r="C14" s="2">
        <v>959</v>
      </c>
      <c r="D14" s="10">
        <f>ROUND(B14*C14,0)</f>
        <v>959</v>
      </c>
      <c r="F14" s="2"/>
      <c r="H14" s="2"/>
      <c r="I14" s="2"/>
      <c r="J14" s="2"/>
    </row>
    <row r="15" spans="1:10" x14ac:dyDescent="0.2">
      <c r="A15" s="220" t="s">
        <v>1086</v>
      </c>
      <c r="B15" s="2"/>
      <c r="C15" s="2"/>
      <c r="D15" s="2">
        <f>SUM(D13:D14)</f>
        <v>50827</v>
      </c>
      <c r="F15" s="2"/>
      <c r="H15" s="2"/>
      <c r="I15" s="2"/>
      <c r="J15" s="2"/>
    </row>
    <row r="16" spans="1:10" x14ac:dyDescent="0.2">
      <c r="D16" s="2"/>
      <c r="E16" s="2"/>
      <c r="F16" s="2"/>
      <c r="H16" s="2"/>
      <c r="I16" s="2"/>
      <c r="J16" s="2"/>
    </row>
    <row r="17" spans="1:10" ht="13.5" x14ac:dyDescent="0.25">
      <c r="A17" s="225" t="s">
        <v>650</v>
      </c>
      <c r="D17" s="2"/>
      <c r="E17" s="2">
        <v>19028</v>
      </c>
      <c r="F17" s="2">
        <v>24551</v>
      </c>
      <c r="G17" s="2">
        <v>25293</v>
      </c>
      <c r="H17" s="2">
        <v>28135</v>
      </c>
      <c r="I17" s="2">
        <v>28673</v>
      </c>
      <c r="J17" s="2">
        <v>28673</v>
      </c>
    </row>
    <row r="18" spans="1:10" x14ac:dyDescent="0.2">
      <c r="A18" s="220" t="s">
        <v>162</v>
      </c>
      <c r="B18" s="2">
        <v>1456</v>
      </c>
      <c r="C18" s="11">
        <v>18.260000000000002</v>
      </c>
      <c r="D18" s="2">
        <f>ROUND(B18*C18,0)</f>
        <v>26587</v>
      </c>
      <c r="E18" s="2"/>
      <c r="F18" s="2"/>
      <c r="H18" s="2"/>
      <c r="I18" s="2"/>
      <c r="J18" s="2"/>
    </row>
    <row r="19" spans="1:10" x14ac:dyDescent="0.2">
      <c r="A19" s="220" t="s">
        <v>161</v>
      </c>
      <c r="B19" s="2">
        <v>0</v>
      </c>
      <c r="C19" s="11">
        <v>0</v>
      </c>
      <c r="D19" s="2">
        <v>1575</v>
      </c>
      <c r="E19" s="2"/>
      <c r="F19" s="2"/>
      <c r="H19" s="2"/>
      <c r="I19" s="2"/>
      <c r="J19" s="2"/>
    </row>
    <row r="20" spans="1:10" ht="15" x14ac:dyDescent="0.35">
      <c r="A20" s="220" t="s">
        <v>2138</v>
      </c>
      <c r="B20" s="2">
        <v>28</v>
      </c>
      <c r="C20" s="11">
        <v>18.260000000000002</v>
      </c>
      <c r="D20" s="10">
        <f>ROUND(B20*C20,0)</f>
        <v>511</v>
      </c>
      <c r="E20" s="2"/>
      <c r="F20" s="2"/>
      <c r="H20" s="2"/>
      <c r="I20" s="2"/>
      <c r="J20" s="2"/>
    </row>
    <row r="21" spans="1:10" x14ac:dyDescent="0.2">
      <c r="A21" s="220" t="s">
        <v>1086</v>
      </c>
      <c r="B21" s="2"/>
      <c r="C21" s="11"/>
      <c r="D21" s="2">
        <f>SUM(D18:D20)</f>
        <v>28673</v>
      </c>
      <c r="E21" s="2"/>
      <c r="F21" s="2"/>
      <c r="H21" s="2"/>
      <c r="I21" s="2"/>
      <c r="J21" s="2"/>
    </row>
    <row r="22" spans="1:10" x14ac:dyDescent="0.2">
      <c r="B22" s="2"/>
      <c r="C22" s="11"/>
      <c r="D22" s="2"/>
      <c r="E22" s="2"/>
      <c r="F22" s="2"/>
      <c r="H22" s="2"/>
      <c r="I22" s="2"/>
      <c r="J22" s="2"/>
    </row>
    <row r="23" spans="1:10" ht="13.5" x14ac:dyDescent="0.25">
      <c r="A23" s="225" t="s">
        <v>1861</v>
      </c>
      <c r="B23" s="2"/>
      <c r="C23" s="11"/>
      <c r="D23" s="2"/>
      <c r="E23" s="2">
        <v>867</v>
      </c>
      <c r="F23" s="2">
        <v>0</v>
      </c>
      <c r="G23" s="2">
        <v>0</v>
      </c>
      <c r="H23" s="2">
        <v>0</v>
      </c>
      <c r="I23" s="2">
        <v>0</v>
      </c>
      <c r="J23" s="2">
        <v>0</v>
      </c>
    </row>
    <row r="24" spans="1:10" x14ac:dyDescent="0.2">
      <c r="B24" s="2"/>
      <c r="C24" s="11"/>
      <c r="D24" s="2">
        <v>0</v>
      </c>
      <c r="E24" s="2"/>
      <c r="F24" s="2"/>
      <c r="H24" s="2"/>
      <c r="I24" s="2"/>
      <c r="J24" s="2"/>
    </row>
    <row r="25" spans="1:10" ht="13.5" x14ac:dyDescent="0.25">
      <c r="A25" s="225" t="s">
        <v>651</v>
      </c>
      <c r="D25" s="2"/>
      <c r="E25" s="2">
        <v>10205</v>
      </c>
      <c r="F25" s="2">
        <v>10684</v>
      </c>
      <c r="G25" s="2">
        <v>10910</v>
      </c>
      <c r="H25" s="2">
        <v>11475</v>
      </c>
      <c r="I25" s="2">
        <v>11686</v>
      </c>
      <c r="J25" s="2">
        <v>11686</v>
      </c>
    </row>
    <row r="26" spans="1:10" hidden="1" x14ac:dyDescent="0.2">
      <c r="A26" s="12" t="s">
        <v>1290</v>
      </c>
      <c r="B26" s="2">
        <f>+D10</f>
        <v>73269</v>
      </c>
      <c r="C26" s="13">
        <v>7.6499999999999999E-2</v>
      </c>
      <c r="D26" s="2">
        <f>ROUND(B26*C26,0)</f>
        <v>5605</v>
      </c>
      <c r="E26" s="2"/>
      <c r="F26" s="2"/>
      <c r="H26" s="2"/>
      <c r="I26" s="2"/>
      <c r="J26" s="2"/>
    </row>
    <row r="27" spans="1:10" hidden="1" x14ac:dyDescent="0.2">
      <c r="A27" s="12" t="s">
        <v>695</v>
      </c>
      <c r="B27" s="2">
        <f>+D15</f>
        <v>50827</v>
      </c>
      <c r="C27" s="13">
        <v>7.6499999999999999E-2</v>
      </c>
      <c r="D27" s="2">
        <f>ROUND(B27*C27,0)</f>
        <v>3888</v>
      </c>
      <c r="E27" s="2"/>
      <c r="F27" s="2"/>
      <c r="H27" s="2"/>
      <c r="I27" s="2"/>
      <c r="J27" s="2"/>
    </row>
    <row r="28" spans="1:10" ht="15" hidden="1" x14ac:dyDescent="0.35">
      <c r="A28" s="12" t="s">
        <v>158</v>
      </c>
      <c r="B28" s="2">
        <f>+D21</f>
        <v>28673</v>
      </c>
      <c r="C28" s="13">
        <v>7.6499999999999999E-2</v>
      </c>
      <c r="D28" s="10">
        <f>ROUND(B28*C28,0)</f>
        <v>2193</v>
      </c>
      <c r="E28" s="2"/>
      <c r="F28" s="2"/>
      <c r="H28" s="2"/>
      <c r="I28" s="2"/>
      <c r="J28" s="2"/>
    </row>
    <row r="29" spans="1:10" hidden="1" x14ac:dyDescent="0.2">
      <c r="A29" s="220" t="s">
        <v>369</v>
      </c>
      <c r="B29" s="2" t="s">
        <v>349</v>
      </c>
      <c r="D29" s="2">
        <f>SUM(D26:D28)</f>
        <v>11686</v>
      </c>
      <c r="E29" s="2"/>
      <c r="F29" s="2"/>
      <c r="H29" s="2"/>
      <c r="I29" s="2"/>
      <c r="J29" s="2"/>
    </row>
    <row r="30" spans="1:10" x14ac:dyDescent="0.2">
      <c r="D30" s="2"/>
      <c r="E30" s="2"/>
      <c r="F30" s="2"/>
      <c r="H30" s="2"/>
      <c r="I30" s="2"/>
      <c r="J30" s="2"/>
    </row>
    <row r="31" spans="1:10" ht="13.5" x14ac:dyDescent="0.25">
      <c r="A31" s="14" t="s">
        <v>1316</v>
      </c>
      <c r="D31" s="2"/>
      <c r="E31" s="2">
        <v>12604</v>
      </c>
      <c r="F31" s="2">
        <v>12858</v>
      </c>
      <c r="G31" s="2">
        <v>16494</v>
      </c>
      <c r="H31" s="2">
        <v>17135</v>
      </c>
      <c r="I31" s="2">
        <v>17448</v>
      </c>
      <c r="J31" s="2">
        <v>17448</v>
      </c>
    </row>
    <row r="32" spans="1:10" hidden="1" x14ac:dyDescent="0.2">
      <c r="A32" s="220" t="s">
        <v>369</v>
      </c>
      <c r="B32" s="2">
        <f>+D10+D15</f>
        <v>124096</v>
      </c>
      <c r="C32" s="228">
        <v>0.1406</v>
      </c>
      <c r="D32" s="2">
        <f>ROUND(B32*C32,0)</f>
        <v>17448</v>
      </c>
      <c r="E32" s="2"/>
      <c r="F32" s="2"/>
      <c r="H32" s="2"/>
      <c r="I32" s="2"/>
      <c r="J32" s="2"/>
    </row>
    <row r="33" spans="1:10" x14ac:dyDescent="0.2">
      <c r="D33" s="2"/>
      <c r="E33" s="2"/>
      <c r="F33" s="2"/>
      <c r="H33" s="2"/>
      <c r="I33" s="2"/>
      <c r="J33" s="2"/>
    </row>
    <row r="34" spans="1:10" ht="13.5" x14ac:dyDescent="0.25">
      <c r="A34" s="225" t="s">
        <v>1317</v>
      </c>
      <c r="D34" s="2"/>
      <c r="E34" s="2">
        <v>38474</v>
      </c>
      <c r="F34" s="2">
        <v>39150</v>
      </c>
      <c r="G34" s="2">
        <v>39900</v>
      </c>
      <c r="H34" s="2">
        <v>39500</v>
      </c>
      <c r="I34" s="2">
        <v>39500</v>
      </c>
      <c r="J34" s="2">
        <v>39500</v>
      </c>
    </row>
    <row r="35" spans="1:10" x14ac:dyDescent="0.2">
      <c r="A35" s="220" t="s">
        <v>369</v>
      </c>
      <c r="B35" s="2">
        <v>2</v>
      </c>
      <c r="C35" s="2">
        <v>19750</v>
      </c>
      <c r="D35" s="2">
        <f>ROUND(B35*C35,0)</f>
        <v>39500</v>
      </c>
      <c r="E35" s="2"/>
      <c r="F35" s="2"/>
      <c r="H35" s="2"/>
      <c r="I35" s="2"/>
      <c r="J35" s="2"/>
    </row>
    <row r="36" spans="1:10" x14ac:dyDescent="0.2">
      <c r="D36" s="2"/>
      <c r="E36" s="2"/>
      <c r="F36" s="2"/>
      <c r="H36" s="2"/>
      <c r="I36" s="2"/>
      <c r="J36" s="2"/>
    </row>
    <row r="37" spans="1:10" ht="13.5" x14ac:dyDescent="0.25">
      <c r="A37" s="225" t="s">
        <v>1318</v>
      </c>
      <c r="D37" s="2"/>
      <c r="E37" s="2">
        <v>2390</v>
      </c>
      <c r="F37" s="2">
        <v>2520</v>
      </c>
      <c r="G37" s="2">
        <v>2520</v>
      </c>
      <c r="H37" s="2">
        <v>2520</v>
      </c>
      <c r="I37" s="2">
        <v>2520</v>
      </c>
      <c r="J37" s="2">
        <v>2520</v>
      </c>
    </row>
    <row r="38" spans="1:10" x14ac:dyDescent="0.2">
      <c r="A38" s="220" t="s">
        <v>369</v>
      </c>
      <c r="B38" s="2">
        <v>2</v>
      </c>
      <c r="C38" s="2">
        <v>1400</v>
      </c>
      <c r="D38" s="2">
        <f>ROUND(B38*C38,0)</f>
        <v>2800</v>
      </c>
      <c r="E38" s="2"/>
      <c r="F38" s="2"/>
      <c r="H38" s="2"/>
      <c r="I38" s="2"/>
      <c r="J38" s="2"/>
    </row>
    <row r="39" spans="1:10" ht="15" x14ac:dyDescent="0.35">
      <c r="A39" s="220" t="s">
        <v>201</v>
      </c>
      <c r="B39" s="2"/>
      <c r="C39" s="2"/>
      <c r="D39" s="10">
        <f>+C38*0.1*-B38</f>
        <v>-280</v>
      </c>
      <c r="E39" s="2"/>
      <c r="F39" s="2"/>
      <c r="H39" s="2"/>
      <c r="I39" s="2"/>
      <c r="J39" s="2"/>
    </row>
    <row r="40" spans="1:10" x14ac:dyDescent="0.2">
      <c r="A40" s="220" t="s">
        <v>690</v>
      </c>
      <c r="B40" s="2"/>
      <c r="C40" s="2"/>
      <c r="D40" s="2">
        <f>SUM(D38:D39)</f>
        <v>2520</v>
      </c>
      <c r="E40" s="2"/>
      <c r="F40" s="2"/>
      <c r="H40" s="2"/>
      <c r="I40" s="2"/>
      <c r="J40" s="2"/>
    </row>
    <row r="41" spans="1:10" x14ac:dyDescent="0.2">
      <c r="D41" s="2"/>
      <c r="E41" s="2"/>
      <c r="F41" s="2"/>
      <c r="H41" s="2"/>
      <c r="I41" s="2"/>
      <c r="J41" s="2"/>
    </row>
    <row r="42" spans="1:10" ht="13.5" x14ac:dyDescent="0.25">
      <c r="A42" s="225" t="s">
        <v>1319</v>
      </c>
      <c r="D42" s="2"/>
      <c r="E42" s="2">
        <v>244</v>
      </c>
      <c r="F42" s="2">
        <v>270</v>
      </c>
      <c r="G42" s="2">
        <v>270</v>
      </c>
      <c r="H42" s="2">
        <v>270</v>
      </c>
      <c r="I42" s="2">
        <v>270</v>
      </c>
      <c r="J42" s="2">
        <v>270</v>
      </c>
    </row>
    <row r="43" spans="1:10" hidden="1" x14ac:dyDescent="0.2">
      <c r="A43" s="220" t="s">
        <v>369</v>
      </c>
      <c r="B43" s="2">
        <v>2</v>
      </c>
      <c r="C43" s="2">
        <v>135</v>
      </c>
      <c r="D43" s="2">
        <f>ROUND(B43*C43,0)</f>
        <v>270</v>
      </c>
      <c r="E43" s="2"/>
      <c r="F43" s="2"/>
      <c r="H43" s="2"/>
      <c r="I43" s="2"/>
      <c r="J43" s="2"/>
    </row>
    <row r="44" spans="1:10" x14ac:dyDescent="0.2">
      <c r="D44" s="2"/>
      <c r="E44" s="2"/>
      <c r="F44" s="2"/>
      <c r="H44" s="2"/>
      <c r="I44" s="2"/>
      <c r="J44" s="2"/>
    </row>
    <row r="45" spans="1:10" ht="13.5" x14ac:dyDescent="0.25">
      <c r="A45" s="225" t="s">
        <v>1245</v>
      </c>
      <c r="D45" s="2"/>
      <c r="E45" s="2">
        <v>1285</v>
      </c>
      <c r="F45" s="2">
        <v>1250</v>
      </c>
      <c r="G45" s="2">
        <v>1100</v>
      </c>
      <c r="H45" s="2">
        <v>1100</v>
      </c>
      <c r="I45" s="2">
        <v>1100</v>
      </c>
      <c r="J45" s="2">
        <v>1100</v>
      </c>
    </row>
    <row r="46" spans="1:10" hidden="1" x14ac:dyDescent="0.2">
      <c r="A46" s="220" t="s">
        <v>369</v>
      </c>
      <c r="B46" s="2">
        <v>2</v>
      </c>
      <c r="C46" s="2">
        <v>550</v>
      </c>
      <c r="D46" s="2">
        <f>ROUND(B46*C46,0)</f>
        <v>1100</v>
      </c>
      <c r="E46" s="2"/>
      <c r="F46" s="2"/>
      <c r="H46" s="2"/>
      <c r="I46" s="2"/>
      <c r="J46" s="2"/>
    </row>
    <row r="47" spans="1:10" x14ac:dyDescent="0.2">
      <c r="D47" s="2"/>
      <c r="E47" s="2"/>
      <c r="F47" s="2"/>
      <c r="H47" s="2"/>
      <c r="I47" s="2"/>
      <c r="J47" s="2"/>
    </row>
    <row r="48" spans="1:10" ht="13.5" x14ac:dyDescent="0.25">
      <c r="A48" s="225" t="s">
        <v>134</v>
      </c>
      <c r="D48" s="2"/>
      <c r="E48" s="2">
        <v>837</v>
      </c>
      <c r="F48" s="2">
        <v>1094</v>
      </c>
      <c r="G48" s="2">
        <v>1188</v>
      </c>
      <c r="H48" s="2">
        <v>1250</v>
      </c>
      <c r="I48" s="2">
        <v>1282</v>
      </c>
      <c r="J48" s="2">
        <v>1282</v>
      </c>
    </row>
    <row r="49" spans="1:10" hidden="1" x14ac:dyDescent="0.2">
      <c r="A49" s="12" t="s">
        <v>1290</v>
      </c>
      <c r="B49" s="2">
        <f>+D10</f>
        <v>73269</v>
      </c>
      <c r="C49" s="13">
        <v>8.3999999999999995E-3</v>
      </c>
      <c r="D49" s="2">
        <f>ROUND(B49*C49,0)-1</f>
        <v>614</v>
      </c>
      <c r="E49" s="2"/>
      <c r="F49" s="2"/>
      <c r="H49" s="2"/>
      <c r="I49" s="2"/>
      <c r="J49" s="2"/>
    </row>
    <row r="50" spans="1:10" hidden="1" x14ac:dyDescent="0.2">
      <c r="A50" s="12" t="s">
        <v>695</v>
      </c>
      <c r="B50" s="2">
        <f>+D15</f>
        <v>50827</v>
      </c>
      <c r="C50" s="13">
        <v>8.3999999999999995E-3</v>
      </c>
      <c r="D50" s="2">
        <f>ROUND(B50*C50,0)</f>
        <v>427</v>
      </c>
      <c r="E50" s="2"/>
      <c r="F50" s="2"/>
      <c r="H50" s="2"/>
      <c r="I50" s="2"/>
      <c r="J50" s="2"/>
    </row>
    <row r="51" spans="1:10" ht="15" hidden="1" x14ac:dyDescent="0.35">
      <c r="A51" s="12" t="s">
        <v>158</v>
      </c>
      <c r="B51" s="2">
        <f>+B28</f>
        <v>28673</v>
      </c>
      <c r="C51" s="13">
        <v>8.3999999999999995E-3</v>
      </c>
      <c r="D51" s="10">
        <f>ROUND(B51*C51,0)</f>
        <v>241</v>
      </c>
      <c r="E51" s="2"/>
      <c r="F51" s="2"/>
      <c r="H51" s="2"/>
      <c r="I51" s="2"/>
      <c r="J51" s="2"/>
    </row>
    <row r="52" spans="1:10" hidden="1" x14ac:dyDescent="0.2">
      <c r="A52" s="220" t="s">
        <v>1086</v>
      </c>
      <c r="D52" s="2">
        <f>SUM(D49:D51)</f>
        <v>1282</v>
      </c>
      <c r="E52" s="2"/>
      <c r="F52" s="2"/>
      <c r="H52" s="2"/>
      <c r="I52" s="2"/>
      <c r="J52" s="2"/>
    </row>
    <row r="53" spans="1:10" x14ac:dyDescent="0.2">
      <c r="D53" s="2"/>
      <c r="E53" s="2"/>
      <c r="F53" s="2"/>
      <c r="H53" s="2"/>
      <c r="I53" s="2"/>
      <c r="J53" s="2"/>
    </row>
    <row r="54" spans="1:10" ht="13.5" x14ac:dyDescent="0.25">
      <c r="A54" s="225" t="s">
        <v>135</v>
      </c>
      <c r="D54" s="2"/>
      <c r="E54" s="2">
        <v>53</v>
      </c>
      <c r="F54" s="2">
        <v>62</v>
      </c>
      <c r="G54" s="2">
        <v>62</v>
      </c>
      <c r="H54" s="2">
        <v>62</v>
      </c>
      <c r="I54" s="2">
        <v>62</v>
      </c>
      <c r="J54" s="2">
        <v>62</v>
      </c>
    </row>
    <row r="55" spans="1:10" hidden="1" x14ac:dyDescent="0.2">
      <c r="A55" s="12" t="s">
        <v>1290</v>
      </c>
      <c r="B55" s="2">
        <v>1</v>
      </c>
      <c r="C55" s="2">
        <v>20</v>
      </c>
      <c r="D55" s="2">
        <f>ROUND(B55*C55,0)</f>
        <v>20</v>
      </c>
      <c r="E55" s="2"/>
      <c r="F55" s="2"/>
      <c r="H55" s="2"/>
      <c r="I55" s="2"/>
      <c r="J55" s="2"/>
    </row>
    <row r="56" spans="1:10" hidden="1" x14ac:dyDescent="0.2">
      <c r="A56" s="12" t="s">
        <v>695</v>
      </c>
      <c r="B56" s="2">
        <v>1</v>
      </c>
      <c r="C56" s="2">
        <v>20</v>
      </c>
      <c r="D56" s="2">
        <f>ROUND(B56*C56,0)</f>
        <v>20</v>
      </c>
      <c r="E56" s="2"/>
      <c r="F56" s="2"/>
      <c r="H56" s="2"/>
      <c r="I56" s="2"/>
      <c r="J56" s="2"/>
    </row>
    <row r="57" spans="1:10" hidden="1" x14ac:dyDescent="0.2">
      <c r="A57" s="220" t="s">
        <v>1285</v>
      </c>
      <c r="B57" s="2">
        <f>+D19</f>
        <v>1575</v>
      </c>
      <c r="C57" s="13">
        <v>1.4E-3</v>
      </c>
      <c r="D57" s="2">
        <f>ROUND(B57*C57,0)</f>
        <v>2</v>
      </c>
      <c r="E57" s="2"/>
      <c r="F57" s="2"/>
      <c r="H57" s="2"/>
      <c r="I57" s="2"/>
      <c r="J57" s="2"/>
    </row>
    <row r="58" spans="1:10" hidden="1" x14ac:dyDescent="0.2">
      <c r="A58" s="12" t="s">
        <v>158</v>
      </c>
      <c r="B58" s="2">
        <v>1</v>
      </c>
      <c r="C58" s="2">
        <v>20</v>
      </c>
      <c r="D58" s="17">
        <f>ROUND(B58*C58,0)</f>
        <v>20</v>
      </c>
      <c r="E58" s="2"/>
      <c r="F58" s="2"/>
      <c r="H58" s="2"/>
      <c r="I58" s="2"/>
      <c r="J58" s="2"/>
    </row>
    <row r="59" spans="1:10" hidden="1" x14ac:dyDescent="0.2">
      <c r="A59" s="220" t="s">
        <v>1086</v>
      </c>
      <c r="D59" s="2">
        <f>SUM(D55:D58)</f>
        <v>62</v>
      </c>
      <c r="E59" s="2"/>
      <c r="F59" s="2"/>
      <c r="H59" s="2"/>
      <c r="I59" s="2"/>
      <c r="J59" s="2"/>
    </row>
    <row r="60" spans="1:10" x14ac:dyDescent="0.2">
      <c r="D60" s="2"/>
      <c r="E60" s="2"/>
      <c r="F60" s="2"/>
      <c r="H60" s="2"/>
      <c r="I60" s="2"/>
      <c r="J60" s="2"/>
    </row>
    <row r="61" spans="1:10" x14ac:dyDescent="0.2">
      <c r="A61" s="223" t="s">
        <v>136</v>
      </c>
      <c r="B61" s="55"/>
      <c r="C61" s="55"/>
      <c r="D61" s="3"/>
      <c r="E61" s="3">
        <v>25573</v>
      </c>
      <c r="F61" s="3">
        <v>2500</v>
      </c>
      <c r="G61" s="3">
        <v>2500</v>
      </c>
      <c r="H61" s="3">
        <v>2500</v>
      </c>
      <c r="I61" s="3">
        <v>2500</v>
      </c>
      <c r="J61" s="3">
        <v>2500</v>
      </c>
    </row>
    <row r="62" spans="1:10" x14ac:dyDescent="0.2">
      <c r="A62" s="55"/>
      <c r="B62" s="55"/>
      <c r="C62" s="3"/>
      <c r="D62" s="3"/>
      <c r="E62" s="3"/>
      <c r="F62" s="3"/>
      <c r="G62" s="3"/>
      <c r="H62" s="3"/>
      <c r="I62" s="3"/>
      <c r="J62" s="3"/>
    </row>
    <row r="63" spans="1:10" x14ac:dyDescent="0.2">
      <c r="A63" s="223" t="s">
        <v>1074</v>
      </c>
      <c r="B63" s="55"/>
      <c r="C63" s="3"/>
      <c r="D63" s="3">
        <v>0</v>
      </c>
      <c r="E63" s="3">
        <v>55</v>
      </c>
      <c r="F63" s="3">
        <v>0</v>
      </c>
      <c r="G63" s="3">
        <v>0</v>
      </c>
      <c r="H63" s="3">
        <v>0</v>
      </c>
      <c r="I63" s="3">
        <v>0</v>
      </c>
      <c r="J63" s="3">
        <v>0</v>
      </c>
    </row>
    <row r="64" spans="1:10" x14ac:dyDescent="0.2">
      <c r="A64" s="55"/>
      <c r="B64" s="55"/>
      <c r="C64" s="3"/>
      <c r="D64" s="3"/>
      <c r="E64" s="3"/>
      <c r="F64" s="3"/>
      <c r="G64" s="3"/>
      <c r="H64" s="3"/>
      <c r="I64" s="3"/>
      <c r="J64" s="3"/>
    </row>
    <row r="65" spans="1:10" x14ac:dyDescent="0.2">
      <c r="A65" s="223" t="s">
        <v>1075</v>
      </c>
      <c r="B65" s="3"/>
      <c r="C65" s="66" t="s">
        <v>349</v>
      </c>
      <c r="D65" s="66"/>
      <c r="E65" s="3">
        <v>6034</v>
      </c>
      <c r="F65" s="3">
        <v>5790</v>
      </c>
      <c r="G65" s="3">
        <v>6340</v>
      </c>
      <c r="H65" s="3">
        <v>6340</v>
      </c>
      <c r="I65" s="3">
        <v>6340</v>
      </c>
      <c r="J65" s="3">
        <v>6340</v>
      </c>
    </row>
    <row r="66" spans="1:10" x14ac:dyDescent="0.2">
      <c r="A66" s="220" t="s">
        <v>820</v>
      </c>
      <c r="B66" s="2"/>
      <c r="D66" s="2">
        <v>800</v>
      </c>
      <c r="E66" s="3"/>
      <c r="F66" s="3"/>
      <c r="G66" s="3"/>
      <c r="H66" s="3"/>
      <c r="I66" s="3"/>
      <c r="J66" s="3"/>
    </row>
    <row r="67" spans="1:10" x14ac:dyDescent="0.2">
      <c r="A67" s="220" t="s">
        <v>1967</v>
      </c>
      <c r="B67" s="2"/>
      <c r="D67" s="2">
        <v>500</v>
      </c>
      <c r="E67" s="3"/>
      <c r="F67" s="3"/>
      <c r="G67" s="3"/>
      <c r="H67" s="3"/>
      <c r="I67" s="3"/>
      <c r="J67" s="3"/>
    </row>
    <row r="68" spans="1:10" x14ac:dyDescent="0.2">
      <c r="A68" s="220" t="s">
        <v>1770</v>
      </c>
      <c r="B68" s="2"/>
      <c r="D68" s="2">
        <v>3000</v>
      </c>
      <c r="E68" s="3"/>
      <c r="F68" s="3"/>
      <c r="G68" s="3"/>
      <c r="H68" s="3"/>
      <c r="I68" s="3"/>
      <c r="J68" s="3"/>
    </row>
    <row r="69" spans="1:10" ht="15" x14ac:dyDescent="0.35">
      <c r="A69" s="220" t="s">
        <v>188</v>
      </c>
      <c r="B69" s="2"/>
      <c r="D69" s="10">
        <f>(85*12)+(85*12)</f>
        <v>2040</v>
      </c>
      <c r="E69" s="3"/>
      <c r="F69" s="3"/>
      <c r="G69" s="3"/>
      <c r="H69" s="3"/>
      <c r="I69" s="3"/>
      <c r="J69" s="3"/>
    </row>
    <row r="70" spans="1:10" x14ac:dyDescent="0.2">
      <c r="A70" s="220" t="s">
        <v>1086</v>
      </c>
      <c r="B70" s="2"/>
      <c r="D70" s="2">
        <f>SUM(D66:D69)</f>
        <v>6340</v>
      </c>
      <c r="E70" s="3"/>
      <c r="F70" s="3"/>
      <c r="G70" s="3"/>
      <c r="H70" s="3"/>
      <c r="I70" s="3"/>
      <c r="J70" s="3"/>
    </row>
    <row r="71" spans="1:10" x14ac:dyDescent="0.2">
      <c r="A71" s="55"/>
      <c r="B71" s="55"/>
      <c r="C71" s="3"/>
      <c r="D71" s="3"/>
      <c r="E71" s="3"/>
      <c r="F71" s="3"/>
      <c r="G71" s="3"/>
      <c r="H71" s="3"/>
      <c r="I71" s="3"/>
      <c r="J71" s="3"/>
    </row>
    <row r="72" spans="1:10" x14ac:dyDescent="0.2">
      <c r="A72" s="223" t="s">
        <v>1076</v>
      </c>
      <c r="B72" s="55"/>
      <c r="C72" s="3"/>
      <c r="D72" s="3"/>
      <c r="E72" s="3">
        <v>828</v>
      </c>
      <c r="F72" s="3">
        <v>3500</v>
      </c>
      <c r="G72" s="3">
        <v>3500</v>
      </c>
      <c r="H72" s="3">
        <v>3500</v>
      </c>
      <c r="I72" s="3">
        <v>3500</v>
      </c>
      <c r="J72" s="3">
        <v>3500</v>
      </c>
    </row>
    <row r="73" spans="1:10" x14ac:dyDescent="0.2">
      <c r="A73" s="55"/>
      <c r="B73" s="55"/>
      <c r="C73" s="3"/>
      <c r="D73" s="3"/>
      <c r="E73" s="3"/>
      <c r="F73" s="3"/>
      <c r="G73" s="3"/>
      <c r="H73" s="3"/>
      <c r="I73" s="3"/>
      <c r="J73" s="3"/>
    </row>
    <row r="74" spans="1:10" x14ac:dyDescent="0.2">
      <c r="A74" s="223" t="s">
        <v>1174</v>
      </c>
      <c r="B74" s="55"/>
      <c r="C74" s="3"/>
      <c r="D74" s="3">
        <v>0</v>
      </c>
      <c r="E74" s="3">
        <v>0</v>
      </c>
      <c r="F74" s="3">
        <v>0</v>
      </c>
      <c r="G74" s="3">
        <v>0</v>
      </c>
      <c r="H74" s="3">
        <v>0</v>
      </c>
      <c r="I74" s="3">
        <v>0</v>
      </c>
      <c r="J74" s="3">
        <v>0</v>
      </c>
    </row>
    <row r="75" spans="1:10" x14ac:dyDescent="0.2">
      <c r="A75" s="55"/>
      <c r="B75" s="55"/>
      <c r="C75" s="3"/>
      <c r="D75" s="3"/>
      <c r="E75" s="3"/>
      <c r="F75" s="3"/>
      <c r="G75" s="3"/>
      <c r="H75" s="3"/>
      <c r="I75" s="3"/>
      <c r="J75" s="3"/>
    </row>
    <row r="76" spans="1:10" x14ac:dyDescent="0.2">
      <c r="A76" s="72" t="s">
        <v>1077</v>
      </c>
      <c r="B76" s="55"/>
      <c r="C76" s="3"/>
      <c r="D76" s="3"/>
      <c r="E76" s="3">
        <v>1517</v>
      </c>
      <c r="F76" s="3">
        <v>1578</v>
      </c>
      <c r="G76" s="3">
        <v>1688</v>
      </c>
      <c r="H76" s="3">
        <v>1688</v>
      </c>
      <c r="I76" s="3">
        <v>1688</v>
      </c>
      <c r="J76" s="3">
        <v>1688</v>
      </c>
    </row>
    <row r="77" spans="1:10" x14ac:dyDescent="0.2">
      <c r="A77" s="55" t="s">
        <v>1771</v>
      </c>
      <c r="B77" s="55"/>
      <c r="C77" s="3"/>
      <c r="D77" s="234">
        <v>1688</v>
      </c>
      <c r="E77" s="3"/>
      <c r="F77" s="3"/>
      <c r="G77" s="3"/>
      <c r="H77" s="3"/>
      <c r="I77" s="3"/>
      <c r="J77" s="3"/>
    </row>
    <row r="78" spans="1:10" x14ac:dyDescent="0.2">
      <c r="A78" s="55"/>
      <c r="B78" s="55"/>
      <c r="C78" s="3"/>
      <c r="D78" s="3"/>
      <c r="E78" s="3"/>
      <c r="F78" s="3"/>
      <c r="G78" s="3"/>
      <c r="H78" s="3"/>
      <c r="I78" s="3"/>
      <c r="J78" s="3"/>
    </row>
    <row r="79" spans="1:10" x14ac:dyDescent="0.2">
      <c r="A79" s="223" t="s">
        <v>1078</v>
      </c>
      <c r="B79" s="55"/>
      <c r="C79" s="66" t="s">
        <v>349</v>
      </c>
      <c r="D79" s="66"/>
      <c r="E79" s="3">
        <v>0</v>
      </c>
      <c r="F79" s="3">
        <v>1500</v>
      </c>
      <c r="G79" s="3">
        <v>1500</v>
      </c>
      <c r="H79" s="3">
        <v>1500</v>
      </c>
      <c r="I79" s="3">
        <v>1500</v>
      </c>
      <c r="J79" s="3">
        <v>1500</v>
      </c>
    </row>
    <row r="80" spans="1:10" x14ac:dyDescent="0.2">
      <c r="A80" s="55"/>
      <c r="B80" s="55"/>
      <c r="C80" s="3"/>
      <c r="D80" s="3"/>
      <c r="E80" s="3"/>
      <c r="F80" s="3"/>
      <c r="G80" s="3"/>
      <c r="H80" s="3"/>
      <c r="I80" s="3"/>
      <c r="J80" s="3"/>
    </row>
    <row r="81" spans="1:10" x14ac:dyDescent="0.2">
      <c r="A81" s="223" t="s">
        <v>1079</v>
      </c>
      <c r="B81" s="55"/>
      <c r="C81" s="3"/>
      <c r="D81" s="3"/>
      <c r="E81" s="3">
        <v>1296</v>
      </c>
      <c r="F81" s="3">
        <v>2000</v>
      </c>
      <c r="G81" s="3">
        <v>2000</v>
      </c>
      <c r="H81" s="3">
        <v>2000</v>
      </c>
      <c r="I81" s="3">
        <v>2000</v>
      </c>
      <c r="J81" s="3">
        <v>2000</v>
      </c>
    </row>
    <row r="82" spans="1:10" x14ac:dyDescent="0.2">
      <c r="A82" s="55"/>
      <c r="B82" s="55"/>
      <c r="C82" s="3"/>
      <c r="D82" s="3"/>
      <c r="E82" s="3"/>
      <c r="F82" s="3"/>
      <c r="G82" s="3"/>
      <c r="H82" s="3"/>
      <c r="I82" s="3"/>
      <c r="J82" s="3"/>
    </row>
    <row r="83" spans="1:10" x14ac:dyDescent="0.2">
      <c r="A83" s="223" t="s">
        <v>611</v>
      </c>
      <c r="B83" s="55"/>
      <c r="C83" s="3"/>
      <c r="D83" s="3"/>
      <c r="E83" s="3">
        <v>2100</v>
      </c>
      <c r="F83" s="3">
        <v>5000</v>
      </c>
      <c r="G83" s="3">
        <v>5000</v>
      </c>
      <c r="H83" s="3">
        <v>5000</v>
      </c>
      <c r="I83" s="3">
        <v>5000</v>
      </c>
      <c r="J83" s="3">
        <v>5000</v>
      </c>
    </row>
    <row r="84" spans="1:10" x14ac:dyDescent="0.2">
      <c r="A84" s="55"/>
      <c r="B84" s="55"/>
      <c r="C84" s="3"/>
      <c r="D84" s="3"/>
      <c r="E84" s="3"/>
      <c r="F84" s="3"/>
      <c r="G84" s="3"/>
      <c r="H84" s="3"/>
      <c r="I84" s="3"/>
      <c r="J84" s="3"/>
    </row>
    <row r="85" spans="1:10" x14ac:dyDescent="0.2">
      <c r="A85" s="223" t="s">
        <v>1080</v>
      </c>
      <c r="B85" s="55"/>
      <c r="C85" s="3"/>
      <c r="D85" s="3"/>
      <c r="E85" s="3">
        <v>0</v>
      </c>
      <c r="F85" s="3">
        <v>3000</v>
      </c>
      <c r="G85" s="3">
        <v>3000</v>
      </c>
      <c r="H85" s="3">
        <v>3000</v>
      </c>
      <c r="I85" s="3">
        <v>3000</v>
      </c>
      <c r="J85" s="3">
        <v>3000</v>
      </c>
    </row>
    <row r="86" spans="1:10" x14ac:dyDescent="0.2">
      <c r="A86" s="55"/>
      <c r="B86" s="55"/>
      <c r="C86" s="3"/>
      <c r="D86" s="3"/>
      <c r="E86" s="3"/>
      <c r="F86" s="3"/>
      <c r="G86" s="3"/>
      <c r="H86" s="3"/>
      <c r="I86" s="3"/>
      <c r="J86" s="3"/>
    </row>
    <row r="87" spans="1:10" x14ac:dyDescent="0.2">
      <c r="A87" s="223" t="s">
        <v>137</v>
      </c>
      <c r="B87" s="55"/>
      <c r="C87" s="3"/>
      <c r="D87" s="3"/>
      <c r="E87" s="3">
        <v>22406</v>
      </c>
      <c r="F87" s="2">
        <v>21905</v>
      </c>
      <c r="G87" s="2">
        <v>22945</v>
      </c>
      <c r="H87" s="2">
        <v>22945</v>
      </c>
      <c r="I87" s="2">
        <v>22945</v>
      </c>
      <c r="J87" s="2">
        <v>22945</v>
      </c>
    </row>
    <row r="88" spans="1:10" x14ac:dyDescent="0.2">
      <c r="A88" s="37" t="s">
        <v>1173</v>
      </c>
      <c r="B88" s="55"/>
      <c r="C88" s="3"/>
      <c r="D88" s="3">
        <v>20945</v>
      </c>
      <c r="E88" s="3"/>
      <c r="F88" s="3"/>
      <c r="G88" s="3"/>
      <c r="H88" s="3"/>
      <c r="I88" s="3"/>
      <c r="J88" s="3"/>
    </row>
    <row r="89" spans="1:10" ht="15" x14ac:dyDescent="0.35">
      <c r="A89" s="37" t="s">
        <v>1176</v>
      </c>
      <c r="B89" s="55"/>
      <c r="C89" s="3"/>
      <c r="D89" s="30">
        <v>2000</v>
      </c>
      <c r="E89" s="3"/>
      <c r="F89" s="3"/>
      <c r="G89" s="3"/>
      <c r="H89" s="3"/>
      <c r="I89" s="3"/>
      <c r="J89" s="3"/>
    </row>
    <row r="90" spans="1:10" x14ac:dyDescent="0.2">
      <c r="A90" s="37"/>
      <c r="B90" s="55"/>
      <c r="C90" s="3"/>
      <c r="D90" s="3">
        <f>SUM(D88:D89)</f>
        <v>22945</v>
      </c>
      <c r="E90" s="3"/>
      <c r="F90" s="3"/>
      <c r="G90" s="3"/>
      <c r="H90" s="3"/>
      <c r="I90" s="3"/>
      <c r="J90" s="3"/>
    </row>
    <row r="91" spans="1:10" x14ac:dyDescent="0.2">
      <c r="A91" s="55"/>
      <c r="B91" s="55"/>
      <c r="C91" s="3"/>
      <c r="D91" s="3"/>
      <c r="E91" s="3"/>
      <c r="F91" s="3"/>
      <c r="G91" s="3"/>
      <c r="H91" s="3"/>
      <c r="I91" s="3"/>
      <c r="J91" s="3"/>
    </row>
    <row r="92" spans="1:10" x14ac:dyDescent="0.2">
      <c r="A92" s="223" t="s">
        <v>138</v>
      </c>
      <c r="B92" s="55"/>
      <c r="C92" s="3"/>
      <c r="D92" s="3"/>
      <c r="E92" s="3">
        <v>0</v>
      </c>
      <c r="F92" s="3">
        <v>250</v>
      </c>
      <c r="G92" s="3">
        <v>250</v>
      </c>
      <c r="H92" s="3">
        <v>250</v>
      </c>
      <c r="I92" s="3">
        <v>250</v>
      </c>
      <c r="J92" s="3">
        <v>250</v>
      </c>
    </row>
    <row r="93" spans="1:10" x14ac:dyDescent="0.2">
      <c r="A93" s="55"/>
      <c r="B93" s="55"/>
      <c r="C93" s="3"/>
      <c r="D93" s="3"/>
      <c r="E93" s="3"/>
      <c r="F93" s="3"/>
      <c r="G93" s="3"/>
      <c r="H93" s="3"/>
      <c r="I93" s="3"/>
      <c r="J93" s="3"/>
    </row>
    <row r="94" spans="1:10" x14ac:dyDescent="0.2">
      <c r="A94" s="223" t="s">
        <v>1175</v>
      </c>
      <c r="B94" s="55"/>
      <c r="C94" s="3"/>
      <c r="D94" s="3"/>
      <c r="E94" s="3">
        <v>0</v>
      </c>
      <c r="F94" s="3">
        <v>100</v>
      </c>
      <c r="G94" s="3">
        <v>100</v>
      </c>
      <c r="H94" s="3">
        <v>100</v>
      </c>
      <c r="I94" s="3">
        <v>100</v>
      </c>
      <c r="J94" s="3">
        <v>100</v>
      </c>
    </row>
    <row r="95" spans="1:10" x14ac:dyDescent="0.2">
      <c r="A95" s="55"/>
      <c r="B95" s="55"/>
      <c r="C95" s="3"/>
      <c r="D95" s="3"/>
      <c r="E95" s="3"/>
      <c r="F95" s="3"/>
      <c r="G95" s="3"/>
      <c r="H95" s="3"/>
      <c r="I95" s="3"/>
      <c r="J95" s="3"/>
    </row>
    <row r="96" spans="1:10" hidden="1" x14ac:dyDescent="0.2">
      <c r="A96" s="223" t="s">
        <v>1666</v>
      </c>
      <c r="B96" s="55"/>
      <c r="C96" s="3"/>
      <c r="D96" s="3"/>
      <c r="E96" s="3">
        <v>0</v>
      </c>
      <c r="F96" s="3"/>
      <c r="G96" s="3"/>
      <c r="H96" s="3"/>
      <c r="I96" s="3"/>
      <c r="J96" s="3"/>
    </row>
    <row r="97" spans="1:10" hidden="1" x14ac:dyDescent="0.2">
      <c r="A97" s="55"/>
      <c r="B97" s="55"/>
      <c r="C97" s="3"/>
      <c r="D97" s="3"/>
      <c r="E97" s="3"/>
      <c r="F97" s="3"/>
      <c r="G97" s="3"/>
      <c r="H97" s="3"/>
      <c r="I97" s="3"/>
      <c r="J97" s="3"/>
    </row>
    <row r="98" spans="1:10" ht="15" x14ac:dyDescent="0.35">
      <c r="A98" s="223" t="s">
        <v>139</v>
      </c>
      <c r="B98" s="221" t="s">
        <v>1759</v>
      </c>
      <c r="C98" s="221" t="s">
        <v>1857</v>
      </c>
      <c r="D98" s="221" t="s">
        <v>1966</v>
      </c>
      <c r="E98" s="30">
        <v>35761</v>
      </c>
      <c r="F98" s="30">
        <v>55000</v>
      </c>
      <c r="G98" s="30">
        <v>55000</v>
      </c>
      <c r="H98" s="30">
        <v>55000</v>
      </c>
      <c r="I98" s="30">
        <v>55000</v>
      </c>
      <c r="J98" s="30">
        <v>55000</v>
      </c>
    </row>
    <row r="99" spans="1:10" x14ac:dyDescent="0.2">
      <c r="A99" s="73" t="s">
        <v>979</v>
      </c>
      <c r="B99" s="85">
        <v>10000</v>
      </c>
      <c r="C99" s="85">
        <v>10000</v>
      </c>
      <c r="D99" s="85">
        <v>10000</v>
      </c>
      <c r="F99" s="2"/>
      <c r="H99" s="2"/>
      <c r="I99" s="2"/>
      <c r="J99" s="2"/>
    </row>
    <row r="100" spans="1:10" x14ac:dyDescent="0.2">
      <c r="A100" s="73" t="s">
        <v>1837</v>
      </c>
      <c r="B100" s="85">
        <v>5000</v>
      </c>
      <c r="C100" s="85">
        <v>5000</v>
      </c>
      <c r="D100" s="85">
        <v>5000</v>
      </c>
      <c r="G100" s="220"/>
    </row>
    <row r="101" spans="1:10" x14ac:dyDescent="0.2">
      <c r="A101" s="220" t="s">
        <v>1924</v>
      </c>
      <c r="B101" s="85"/>
      <c r="C101" s="85">
        <v>20000</v>
      </c>
      <c r="D101" s="85"/>
      <c r="G101" s="220"/>
    </row>
    <row r="102" spans="1:10" x14ac:dyDescent="0.2">
      <c r="A102" s="73" t="s">
        <v>1838</v>
      </c>
      <c r="B102" s="85">
        <v>80000</v>
      </c>
      <c r="C102" s="85"/>
      <c r="D102" s="85"/>
      <c r="G102" s="220"/>
    </row>
    <row r="103" spans="1:10" x14ac:dyDescent="0.2">
      <c r="A103" s="73" t="s">
        <v>1906</v>
      </c>
      <c r="B103" s="85"/>
      <c r="C103" s="85">
        <v>20000</v>
      </c>
      <c r="D103" s="85"/>
      <c r="G103" s="220"/>
    </row>
    <row r="104" spans="1:10" x14ac:dyDescent="0.2">
      <c r="A104" s="73" t="s">
        <v>1755</v>
      </c>
      <c r="B104" s="85"/>
      <c r="C104" s="85"/>
      <c r="D104" s="85">
        <v>25000</v>
      </c>
      <c r="G104" s="220"/>
    </row>
    <row r="105" spans="1:10" x14ac:dyDescent="0.2">
      <c r="A105" s="73" t="s">
        <v>2041</v>
      </c>
      <c r="B105" s="86">
        <v>0</v>
      </c>
      <c r="C105" s="86">
        <v>0</v>
      </c>
      <c r="D105" s="86">
        <v>15000</v>
      </c>
      <c r="F105" s="2"/>
      <c r="H105" s="2"/>
      <c r="I105" s="2"/>
      <c r="J105" s="2"/>
    </row>
    <row r="106" spans="1:10" x14ac:dyDescent="0.2">
      <c r="B106" s="42">
        <f>SUM(B99:B105)</f>
        <v>95000</v>
      </c>
      <c r="C106" s="42">
        <f>SUM(C99:C105)</f>
        <v>55000</v>
      </c>
      <c r="D106" s="42">
        <f>SUM(D99:D105)</f>
        <v>55000</v>
      </c>
      <c r="F106" s="2"/>
      <c r="H106" s="2"/>
      <c r="I106" s="2"/>
      <c r="J106" s="2"/>
    </row>
    <row r="107" spans="1:10" x14ac:dyDescent="0.2">
      <c r="F107" s="2"/>
      <c r="H107" s="2"/>
      <c r="I107" s="2"/>
      <c r="J107" s="2"/>
    </row>
    <row r="108" spans="1:10" x14ac:dyDescent="0.2">
      <c r="A108" s="19" t="s">
        <v>1167</v>
      </c>
      <c r="D108" s="2"/>
      <c r="E108" s="2">
        <f t="shared" ref="E108:J108" si="0">SUM(E6:E98)</f>
        <v>295145</v>
      </c>
      <c r="F108" s="2">
        <f t="shared" si="0"/>
        <v>309677</v>
      </c>
      <c r="G108" s="2">
        <f t="shared" si="0"/>
        <v>318872</v>
      </c>
      <c r="H108" s="2">
        <f t="shared" si="0"/>
        <v>327140</v>
      </c>
      <c r="I108" s="2">
        <f t="shared" si="0"/>
        <v>330460</v>
      </c>
      <c r="J108" s="2">
        <f t="shared" si="0"/>
        <v>330460</v>
      </c>
    </row>
    <row r="109" spans="1:10" x14ac:dyDescent="0.2">
      <c r="G109" s="220"/>
    </row>
    <row r="110" spans="1:10" x14ac:dyDescent="0.2">
      <c r="A110" s="220" t="s">
        <v>523</v>
      </c>
      <c r="E110" s="2">
        <f t="shared" ref="E110:J110" si="1">SUM(E6:E60)</f>
        <v>199575</v>
      </c>
      <c r="F110" s="2">
        <f t="shared" si="1"/>
        <v>207554</v>
      </c>
      <c r="G110" s="2">
        <f t="shared" si="1"/>
        <v>215049</v>
      </c>
      <c r="H110" s="2">
        <f t="shared" si="1"/>
        <v>223317</v>
      </c>
      <c r="I110" s="2">
        <f t="shared" si="1"/>
        <v>226637</v>
      </c>
      <c r="J110" s="2">
        <f t="shared" si="1"/>
        <v>226637</v>
      </c>
    </row>
    <row r="111" spans="1:10" x14ac:dyDescent="0.2">
      <c r="A111" s="220" t="s">
        <v>818</v>
      </c>
      <c r="E111" s="2">
        <f t="shared" ref="E111:J111" si="2">SUM(E61:E94)</f>
        <v>59809</v>
      </c>
      <c r="F111" s="2">
        <f t="shared" si="2"/>
        <v>47123</v>
      </c>
      <c r="G111" s="2">
        <f t="shared" si="2"/>
        <v>48823</v>
      </c>
      <c r="H111" s="2">
        <f t="shared" si="2"/>
        <v>48823</v>
      </c>
      <c r="I111" s="2">
        <f t="shared" si="2"/>
        <v>48823</v>
      </c>
      <c r="J111" s="2">
        <f t="shared" si="2"/>
        <v>48823</v>
      </c>
    </row>
    <row r="112" spans="1:10" ht="15" x14ac:dyDescent="0.35">
      <c r="A112" s="220" t="s">
        <v>819</v>
      </c>
      <c r="E112" s="10">
        <f t="shared" ref="E112:J112" si="3">SUM(E96:E106)</f>
        <v>35761</v>
      </c>
      <c r="F112" s="10">
        <f t="shared" si="3"/>
        <v>55000</v>
      </c>
      <c r="G112" s="10">
        <f t="shared" si="3"/>
        <v>55000</v>
      </c>
      <c r="H112" s="10">
        <f t="shared" si="3"/>
        <v>55000</v>
      </c>
      <c r="I112" s="10">
        <f t="shared" si="3"/>
        <v>55000</v>
      </c>
      <c r="J112" s="10">
        <f t="shared" si="3"/>
        <v>55000</v>
      </c>
    </row>
    <row r="113" spans="1:10" x14ac:dyDescent="0.2">
      <c r="A113" s="220" t="s">
        <v>1086</v>
      </c>
      <c r="E113" s="2">
        <f t="shared" ref="E113:J113" si="4">SUM(E110:E112)</f>
        <v>295145</v>
      </c>
      <c r="F113" s="2">
        <f t="shared" si="4"/>
        <v>309677</v>
      </c>
      <c r="G113" s="2">
        <f t="shared" si="4"/>
        <v>318872</v>
      </c>
      <c r="H113" s="2">
        <f t="shared" si="4"/>
        <v>327140</v>
      </c>
      <c r="I113" s="2">
        <f t="shared" si="4"/>
        <v>330460</v>
      </c>
      <c r="J113" s="2">
        <f t="shared" si="4"/>
        <v>330460</v>
      </c>
    </row>
    <row r="114" spans="1:10" x14ac:dyDescent="0.2">
      <c r="A114" s="55"/>
      <c r="E114" s="2"/>
      <c r="F114" s="2"/>
      <c r="H114" s="2"/>
      <c r="I114" s="2"/>
      <c r="J114" s="2"/>
    </row>
    <row r="115" spans="1:10" hidden="1" x14ac:dyDescent="0.2">
      <c r="A115" s="55"/>
      <c r="F115" s="2"/>
      <c r="H115" s="2"/>
      <c r="I115" s="2"/>
      <c r="J115" s="2"/>
    </row>
    <row r="116" spans="1:10" hidden="1" x14ac:dyDescent="0.2">
      <c r="A116" s="55"/>
      <c r="F116" s="2"/>
      <c r="H116" s="2"/>
      <c r="I116" s="2">
        <f>+I113-H113</f>
        <v>3320</v>
      </c>
      <c r="J116" s="2">
        <f>+J113-I113</f>
        <v>0</v>
      </c>
    </row>
    <row r="117" spans="1:10" hidden="1" x14ac:dyDescent="0.2">
      <c r="A117" s="55"/>
      <c r="F117" s="2"/>
      <c r="H117" s="2"/>
      <c r="I117" s="2"/>
      <c r="J117" s="2">
        <f>+J116-4667</f>
        <v>-4667</v>
      </c>
    </row>
    <row r="118" spans="1:10" ht="15.75" hidden="1" x14ac:dyDescent="0.2">
      <c r="A118" s="151"/>
      <c r="F118" s="2"/>
      <c r="H118" s="2"/>
      <c r="I118" s="2">
        <v>3320</v>
      </c>
      <c r="J118" s="2"/>
    </row>
    <row r="119" spans="1:10" ht="15.75" hidden="1" x14ac:dyDescent="0.2">
      <c r="A119" s="151"/>
      <c r="F119" s="2"/>
      <c r="H119" s="2"/>
      <c r="I119" s="2"/>
      <c r="J119" s="2"/>
    </row>
    <row r="120" spans="1:10" ht="15.75" hidden="1" x14ac:dyDescent="0.2">
      <c r="A120" s="151"/>
      <c r="F120" s="2"/>
      <c r="H120" s="2"/>
      <c r="I120" s="2">
        <f>+I118-I116</f>
        <v>0</v>
      </c>
      <c r="J120" s="2"/>
    </row>
    <row r="121" spans="1:10" ht="15.75" x14ac:dyDescent="0.2">
      <c r="A121" s="151"/>
      <c r="F121" s="2"/>
      <c r="H121" s="2"/>
      <c r="I121" s="2"/>
      <c r="J121" s="2"/>
    </row>
    <row r="122" spans="1:10" ht="15.75" x14ac:dyDescent="0.2">
      <c r="A122" s="151"/>
      <c r="F122" s="2"/>
      <c r="H122" s="2"/>
      <c r="I122" s="2"/>
      <c r="J122" s="2"/>
    </row>
    <row r="123" spans="1:10" ht="15.75" x14ac:dyDescent="0.2">
      <c r="A123" s="151"/>
      <c r="F123" s="2"/>
      <c r="H123" s="2"/>
      <c r="I123" s="2"/>
      <c r="J123" s="2"/>
    </row>
    <row r="124" spans="1:10" x14ac:dyDescent="0.2">
      <c r="F124" s="2"/>
      <c r="H124" s="2"/>
      <c r="I124" s="2"/>
      <c r="J124" s="2"/>
    </row>
    <row r="125" spans="1:10" x14ac:dyDescent="0.2">
      <c r="F125" s="2"/>
      <c r="H125" s="2"/>
      <c r="I125" s="2"/>
      <c r="J125" s="2"/>
    </row>
    <row r="126" spans="1:10" x14ac:dyDescent="0.2">
      <c r="F126" s="2"/>
      <c r="H126" s="2"/>
      <c r="I126" s="2"/>
      <c r="J126" s="2"/>
    </row>
    <row r="127" spans="1:10" x14ac:dyDescent="0.2">
      <c r="F127" s="2"/>
      <c r="H127" s="2"/>
      <c r="I127" s="2"/>
      <c r="J127" s="2"/>
    </row>
    <row r="128" spans="1:10" x14ac:dyDescent="0.2">
      <c r="F128" s="2"/>
      <c r="H128" s="2"/>
      <c r="I128" s="2"/>
      <c r="J128" s="2"/>
    </row>
    <row r="129" spans="6:10" x14ac:dyDescent="0.2">
      <c r="F129" s="2"/>
      <c r="H129" s="2"/>
      <c r="I129" s="2"/>
      <c r="J129" s="2"/>
    </row>
    <row r="130" spans="6:10" x14ac:dyDescent="0.2">
      <c r="F130" s="2"/>
      <c r="H130" s="2"/>
      <c r="I130" s="2"/>
      <c r="J130" s="2"/>
    </row>
    <row r="131" spans="6:10" x14ac:dyDescent="0.2">
      <c r="F131" s="2"/>
      <c r="H131" s="2"/>
      <c r="I131" s="2"/>
      <c r="J131" s="2"/>
    </row>
    <row r="132" spans="6:10" x14ac:dyDescent="0.2">
      <c r="F132" s="2"/>
      <c r="H132" s="2"/>
      <c r="I132" s="2"/>
      <c r="J132" s="2"/>
    </row>
    <row r="133" spans="6:10" x14ac:dyDescent="0.2">
      <c r="F133" s="2"/>
      <c r="H133" s="2"/>
      <c r="I133" s="2"/>
      <c r="J133" s="2"/>
    </row>
    <row r="134" spans="6:10" x14ac:dyDescent="0.2">
      <c r="F134" s="2"/>
      <c r="H134" s="2"/>
      <c r="I134" s="2"/>
      <c r="J134" s="2"/>
    </row>
    <row r="135" spans="6:10" x14ac:dyDescent="0.2">
      <c r="F135" s="2"/>
      <c r="H135" s="2"/>
      <c r="I135" s="2"/>
      <c r="J135" s="2"/>
    </row>
    <row r="136" spans="6:10" x14ac:dyDescent="0.2">
      <c r="F136" s="2"/>
      <c r="H136" s="2"/>
      <c r="I136" s="2"/>
      <c r="J136" s="2"/>
    </row>
    <row r="137" spans="6:10" x14ac:dyDescent="0.2">
      <c r="F137" s="2"/>
      <c r="H137" s="2"/>
      <c r="I137" s="2"/>
      <c r="J137" s="2"/>
    </row>
    <row r="138" spans="6:10" x14ac:dyDescent="0.2">
      <c r="F138" s="2"/>
      <c r="H138" s="2"/>
      <c r="I138" s="2"/>
      <c r="J138" s="2"/>
    </row>
    <row r="139" spans="6:10" x14ac:dyDescent="0.2">
      <c r="F139" s="2"/>
      <c r="H139" s="2"/>
      <c r="I139" s="2"/>
      <c r="J139" s="2"/>
    </row>
    <row r="140" spans="6:10" x14ac:dyDescent="0.2">
      <c r="F140" s="2"/>
      <c r="H140" s="2"/>
      <c r="I140" s="2"/>
      <c r="J140" s="2"/>
    </row>
    <row r="141" spans="6:10" x14ac:dyDescent="0.2">
      <c r="F141" s="2"/>
      <c r="H141" s="2"/>
      <c r="I141" s="2"/>
      <c r="J141" s="2"/>
    </row>
    <row r="142" spans="6:10" x14ac:dyDescent="0.2">
      <c r="F142" s="2"/>
      <c r="H142" s="2"/>
      <c r="I142" s="2"/>
      <c r="J142" s="2"/>
    </row>
    <row r="143" spans="6:10" x14ac:dyDescent="0.2">
      <c r="F143" s="2"/>
      <c r="H143" s="2"/>
      <c r="I143" s="2"/>
      <c r="J143" s="2"/>
    </row>
    <row r="144" spans="6:10" x14ac:dyDescent="0.2">
      <c r="F144" s="2"/>
      <c r="H144" s="2"/>
      <c r="I144" s="2"/>
      <c r="J144" s="2"/>
    </row>
    <row r="145" spans="6:10" x14ac:dyDescent="0.2">
      <c r="F145" s="2"/>
      <c r="H145" s="2"/>
      <c r="I145" s="2"/>
      <c r="J145" s="2"/>
    </row>
    <row r="146" spans="6:10" x14ac:dyDescent="0.2">
      <c r="F146" s="2"/>
      <c r="H146" s="2"/>
      <c r="I146" s="2"/>
      <c r="J146" s="2"/>
    </row>
    <row r="147" spans="6:10" x14ac:dyDescent="0.2">
      <c r="H147" s="2"/>
    </row>
    <row r="148" spans="6:10" x14ac:dyDescent="0.2">
      <c r="H148" s="2"/>
    </row>
    <row r="149" spans="6:10" x14ac:dyDescent="0.2">
      <c r="H149" s="2"/>
    </row>
    <row r="150" spans="6:10" x14ac:dyDescent="0.2">
      <c r="H150" s="2"/>
    </row>
    <row r="151" spans="6:10" x14ac:dyDescent="0.2">
      <c r="H151" s="2"/>
    </row>
    <row r="152" spans="6:10" x14ac:dyDescent="0.2">
      <c r="H152" s="2"/>
    </row>
    <row r="153" spans="6:10" x14ac:dyDescent="0.2">
      <c r="H153" s="2"/>
    </row>
    <row r="154" spans="6:10" x14ac:dyDescent="0.2">
      <c r="H154" s="2"/>
    </row>
    <row r="155" spans="6:10" x14ac:dyDescent="0.2">
      <c r="H155" s="2"/>
    </row>
    <row r="156" spans="6:10" x14ac:dyDescent="0.2">
      <c r="H156" s="2"/>
    </row>
    <row r="157" spans="6:10" x14ac:dyDescent="0.2">
      <c r="H157" s="2"/>
    </row>
    <row r="158" spans="6:10" x14ac:dyDescent="0.2">
      <c r="H158" s="2"/>
    </row>
    <row r="159" spans="6:10" x14ac:dyDescent="0.2">
      <c r="H159" s="2"/>
    </row>
  </sheetData>
  <mergeCells count="1">
    <mergeCell ref="A1:J1"/>
  </mergeCells>
  <phoneticPr fontId="0" type="noConversion"/>
  <printOptions gridLines="1"/>
  <pageMargins left="0.75" right="0.16" top="0.51" bottom="0.22" header="0.5" footer="0"/>
  <pageSetup scale="91" fitToHeight="16" orientation="landscape" r:id="rId1"/>
  <headerFooter alignWithMargins="0"/>
  <rowBreaks count="2" manualBreakCount="2">
    <brk id="60" max="16383" man="1"/>
    <brk id="9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32"/>
  <sheetViews>
    <sheetView view="pageBreakPreview" zoomScaleNormal="100" zoomScaleSheetLayoutView="100" workbookViewId="0">
      <pane ySplit="5" topLeftCell="A6" activePane="bottomLeft" state="frozen"/>
      <selection pane="bottomLeft" sqref="A1:J1"/>
    </sheetView>
  </sheetViews>
  <sheetFormatPr defaultColWidth="8.85546875" defaultRowHeight="12.75" x14ac:dyDescent="0.2"/>
  <cols>
    <col min="1" max="1" width="57.140625" style="220" bestFit="1" customWidth="1"/>
    <col min="2" max="3" width="8.85546875" style="220" customWidth="1"/>
    <col min="4" max="4" width="11.140625" style="220" bestFit="1" customWidth="1"/>
    <col min="5" max="5" width="11.42578125" style="220" bestFit="1" customWidth="1"/>
    <col min="6" max="6" width="9.140625" style="220" bestFit="1" customWidth="1"/>
    <col min="7" max="7" width="11" style="220" bestFit="1" customWidth="1"/>
    <col min="8" max="8" width="12.7109375" style="220" customWidth="1"/>
    <col min="9" max="9" width="9.42578125" style="220" bestFit="1" customWidth="1"/>
    <col min="10" max="10" width="9.140625" style="220" bestFit="1" customWidth="1"/>
    <col min="11" max="16384" width="8.85546875" style="220"/>
  </cols>
  <sheetData>
    <row r="1" spans="1:10" x14ac:dyDescent="0.2">
      <c r="A1" s="261" t="s">
        <v>1965</v>
      </c>
      <c r="B1" s="261"/>
      <c r="C1" s="261"/>
      <c r="D1" s="261"/>
      <c r="E1" s="261"/>
      <c r="F1" s="261"/>
      <c r="G1" s="261"/>
      <c r="H1" s="261"/>
      <c r="I1" s="261"/>
      <c r="J1" s="261"/>
    </row>
    <row r="2" spans="1:10" ht="18.75" x14ac:dyDescent="0.3">
      <c r="A2" s="107" t="s">
        <v>1633</v>
      </c>
      <c r="B2" s="107"/>
      <c r="C2" s="107"/>
      <c r="D2" s="107"/>
      <c r="E2" s="107"/>
      <c r="F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1347</v>
      </c>
      <c r="B6" s="2"/>
      <c r="C6" s="2"/>
      <c r="D6" s="2"/>
      <c r="E6" s="2">
        <v>38049</v>
      </c>
      <c r="F6" s="2">
        <v>59696</v>
      </c>
      <c r="G6" s="2">
        <v>60049</v>
      </c>
      <c r="H6" s="2">
        <v>60049</v>
      </c>
      <c r="I6" s="2">
        <v>60102</v>
      </c>
      <c r="J6" s="2">
        <v>60102</v>
      </c>
    </row>
    <row r="7" spans="1:10" x14ac:dyDescent="0.2">
      <c r="A7" s="220" t="s">
        <v>1277</v>
      </c>
      <c r="B7" s="2">
        <v>52</v>
      </c>
      <c r="C7" s="2">
        <v>1134</v>
      </c>
      <c r="D7" s="2">
        <f>ROUND(B7*C7,0)</f>
        <v>58968</v>
      </c>
      <c r="E7" s="2"/>
      <c r="F7" s="2"/>
      <c r="G7" s="2"/>
      <c r="H7" s="2"/>
      <c r="I7" s="2"/>
      <c r="J7" s="2"/>
    </row>
    <row r="8" spans="1:10" x14ac:dyDescent="0.2">
      <c r="A8" s="2" t="s">
        <v>2139</v>
      </c>
      <c r="B8" s="2">
        <v>1</v>
      </c>
      <c r="C8" s="2">
        <v>1134</v>
      </c>
      <c r="D8" s="2">
        <f>ROUND(B8*C8,0)</f>
        <v>1134</v>
      </c>
      <c r="E8" s="2"/>
      <c r="F8" s="2"/>
      <c r="G8" s="2"/>
      <c r="H8" s="2"/>
      <c r="I8" s="2"/>
      <c r="J8" s="2"/>
    </row>
    <row r="9" spans="1:10" ht="15" x14ac:dyDescent="0.35">
      <c r="A9" s="2" t="s">
        <v>833</v>
      </c>
      <c r="B9" s="2"/>
      <c r="C9" s="2"/>
      <c r="D9" s="10">
        <v>0</v>
      </c>
      <c r="E9" s="2"/>
      <c r="F9" s="2"/>
      <c r="G9" s="2"/>
      <c r="H9" s="2"/>
      <c r="I9" s="2"/>
      <c r="J9" s="2"/>
    </row>
    <row r="10" spans="1:10" x14ac:dyDescent="0.2">
      <c r="B10" s="2"/>
      <c r="C10" s="2"/>
      <c r="D10" s="2">
        <f>SUM(D7:D9)</f>
        <v>60102</v>
      </c>
      <c r="E10" s="2"/>
      <c r="F10" s="2"/>
      <c r="G10" s="2"/>
      <c r="H10" s="2"/>
      <c r="I10" s="2"/>
      <c r="J10" s="2"/>
    </row>
    <row r="11" spans="1:10" x14ac:dyDescent="0.2">
      <c r="B11" s="2"/>
      <c r="C11" s="2"/>
      <c r="D11" s="2"/>
      <c r="E11" s="2"/>
      <c r="F11" s="2"/>
      <c r="G11" s="2"/>
      <c r="H11" s="2"/>
      <c r="I11" s="2"/>
      <c r="J11" s="2"/>
    </row>
    <row r="12" spans="1:10" ht="13.5" x14ac:dyDescent="0.25">
      <c r="A12" s="225" t="s">
        <v>273</v>
      </c>
      <c r="B12" s="2"/>
      <c r="C12" s="2"/>
      <c r="D12" s="2"/>
      <c r="E12" s="2">
        <v>101770</v>
      </c>
      <c r="F12" s="2">
        <v>106496</v>
      </c>
      <c r="G12" s="2">
        <v>108544</v>
      </c>
      <c r="H12" s="2">
        <v>108544</v>
      </c>
      <c r="I12" s="2">
        <v>109922</v>
      </c>
      <c r="J12" s="2">
        <v>109922</v>
      </c>
    </row>
    <row r="13" spans="1:10" x14ac:dyDescent="0.2">
      <c r="A13" s="220" t="s">
        <v>285</v>
      </c>
      <c r="B13" s="2">
        <v>52</v>
      </c>
      <c r="C13" s="2">
        <v>1266</v>
      </c>
      <c r="D13" s="2">
        <f>ROUND(B13*C13,0)</f>
        <v>65832</v>
      </c>
      <c r="E13" s="2"/>
      <c r="F13" s="2"/>
      <c r="G13" s="2"/>
      <c r="H13" s="2"/>
      <c r="I13" s="2"/>
      <c r="J13" s="2"/>
    </row>
    <row r="14" spans="1:10" ht="15" x14ac:dyDescent="0.35">
      <c r="A14" s="220" t="s">
        <v>1348</v>
      </c>
      <c r="B14" s="2">
        <v>52</v>
      </c>
      <c r="C14" s="2">
        <v>808</v>
      </c>
      <c r="D14" s="2">
        <f>ROUND(B14*C14,0)</f>
        <v>42016</v>
      </c>
      <c r="E14" s="2"/>
      <c r="F14" s="10"/>
      <c r="G14" s="10"/>
      <c r="H14" s="10"/>
      <c r="I14" s="10"/>
      <c r="J14" s="10"/>
    </row>
    <row r="15" spans="1:10" ht="15" x14ac:dyDescent="0.35">
      <c r="A15" s="2" t="s">
        <v>2139</v>
      </c>
      <c r="B15" s="2">
        <v>1</v>
      </c>
      <c r="C15" s="2">
        <f>SUM(C13:C14)</f>
        <v>2074</v>
      </c>
      <c r="D15" s="10">
        <f>+C15*B15</f>
        <v>2074</v>
      </c>
      <c r="E15" s="2"/>
      <c r="F15" s="10"/>
      <c r="G15" s="10"/>
      <c r="H15" s="10"/>
      <c r="I15" s="10"/>
      <c r="J15" s="10"/>
    </row>
    <row r="16" spans="1:10" x14ac:dyDescent="0.2">
      <c r="A16" s="220" t="s">
        <v>1086</v>
      </c>
      <c r="B16" s="2"/>
      <c r="C16" s="2"/>
      <c r="D16" s="2">
        <f>SUM(D13:D15)</f>
        <v>109922</v>
      </c>
      <c r="E16" s="2"/>
      <c r="F16" s="2"/>
      <c r="G16" s="2"/>
      <c r="H16" s="2"/>
      <c r="I16" s="2"/>
      <c r="J16" s="2"/>
    </row>
    <row r="17" spans="1:10" x14ac:dyDescent="0.2">
      <c r="B17" s="2"/>
      <c r="C17" s="2"/>
      <c r="D17" s="2"/>
      <c r="E17" s="2"/>
      <c r="F17" s="2"/>
      <c r="G17" s="2"/>
      <c r="H17" s="2"/>
      <c r="I17" s="2"/>
      <c r="J17" s="2"/>
    </row>
    <row r="18" spans="1:10" ht="13.5" x14ac:dyDescent="0.25">
      <c r="A18" s="225" t="s">
        <v>1953</v>
      </c>
      <c r="B18" s="2"/>
      <c r="C18" s="11"/>
      <c r="D18" s="2"/>
      <c r="E18" s="2">
        <v>2183</v>
      </c>
      <c r="F18" s="2">
        <v>100</v>
      </c>
      <c r="G18" s="2">
        <v>994</v>
      </c>
      <c r="H18" s="2">
        <v>994</v>
      </c>
      <c r="I18" s="2">
        <v>1003</v>
      </c>
      <c r="J18" s="2">
        <v>1003</v>
      </c>
    </row>
    <row r="19" spans="1:10" x14ac:dyDescent="0.2">
      <c r="A19" s="220" t="s">
        <v>1858</v>
      </c>
      <c r="B19" s="2">
        <v>25</v>
      </c>
      <c r="C19" s="11">
        <f>AVERAGE(C7,C13,C14)/40*1.5</f>
        <v>40.099999999999994</v>
      </c>
      <c r="D19" s="2">
        <f>+C19*B19</f>
        <v>1002.4999999999999</v>
      </c>
      <c r="I19" s="251"/>
      <c r="J19" s="256"/>
    </row>
    <row r="20" spans="1:10" x14ac:dyDescent="0.2">
      <c r="B20" s="2"/>
      <c r="C20" s="2"/>
      <c r="D20" s="2"/>
      <c r="E20" s="2"/>
      <c r="F20" s="2"/>
      <c r="G20" s="2"/>
      <c r="H20" s="2"/>
      <c r="I20" s="2"/>
      <c r="J20" s="2"/>
    </row>
    <row r="21" spans="1:10" x14ac:dyDescent="0.2">
      <c r="B21" s="2"/>
      <c r="C21" s="2"/>
      <c r="D21" s="2"/>
      <c r="E21" s="2"/>
      <c r="F21" s="2"/>
      <c r="G21" s="2"/>
      <c r="H21" s="2"/>
      <c r="I21" s="2"/>
      <c r="J21" s="2"/>
    </row>
    <row r="22" spans="1:10" ht="13.5" x14ac:dyDescent="0.25">
      <c r="A22" s="225" t="s">
        <v>115</v>
      </c>
      <c r="D22" s="2"/>
      <c r="E22" s="2">
        <v>10814</v>
      </c>
      <c r="F22" s="2">
        <v>12714</v>
      </c>
      <c r="G22" s="2">
        <v>12974</v>
      </c>
      <c r="H22" s="2">
        <v>12974</v>
      </c>
      <c r="I22" s="2">
        <v>13084</v>
      </c>
      <c r="J22" s="2">
        <v>13084</v>
      </c>
    </row>
    <row r="23" spans="1:10" hidden="1" x14ac:dyDescent="0.2">
      <c r="A23" s="12" t="s">
        <v>1290</v>
      </c>
      <c r="B23" s="2">
        <f>+D10</f>
        <v>60102</v>
      </c>
      <c r="C23" s="13">
        <v>7.6499999999999999E-2</v>
      </c>
      <c r="D23" s="2">
        <f>ROUND(B23*C23,0)</f>
        <v>4598</v>
      </c>
      <c r="E23" s="2"/>
      <c r="I23" s="251"/>
      <c r="J23" s="256"/>
    </row>
    <row r="24" spans="1:10" hidden="1" x14ac:dyDescent="0.2">
      <c r="A24" s="12" t="s">
        <v>695</v>
      </c>
      <c r="B24" s="2">
        <f>+D16</f>
        <v>109922</v>
      </c>
      <c r="C24" s="13">
        <v>7.6499999999999999E-2</v>
      </c>
      <c r="D24" s="2">
        <f>ROUND(B24*C24,0)</f>
        <v>8409</v>
      </c>
      <c r="E24" s="2"/>
      <c r="I24" s="251"/>
      <c r="J24" s="256"/>
    </row>
    <row r="25" spans="1:10" ht="15" hidden="1" x14ac:dyDescent="0.35">
      <c r="A25" s="12" t="s">
        <v>159</v>
      </c>
      <c r="B25" s="2">
        <f>+D19</f>
        <v>1002.4999999999999</v>
      </c>
      <c r="C25" s="13">
        <v>7.6499999999999999E-2</v>
      </c>
      <c r="D25" s="10">
        <f>ROUND(B25*C25,0)</f>
        <v>77</v>
      </c>
      <c r="E25" s="10"/>
      <c r="F25" s="10"/>
      <c r="G25" s="10"/>
      <c r="H25" s="10"/>
      <c r="I25" s="10"/>
      <c r="J25" s="10"/>
    </row>
    <row r="26" spans="1:10" hidden="1" x14ac:dyDescent="0.2">
      <c r="A26" s="220" t="s">
        <v>1086</v>
      </c>
      <c r="B26" s="2"/>
      <c r="D26" s="2">
        <f>SUM(D23:D25)</f>
        <v>13084</v>
      </c>
      <c r="E26" s="2"/>
      <c r="F26" s="2"/>
      <c r="G26" s="2"/>
      <c r="H26" s="2"/>
      <c r="I26" s="2"/>
      <c r="J26" s="2"/>
    </row>
    <row r="27" spans="1:10" x14ac:dyDescent="0.2">
      <c r="B27" s="2"/>
      <c r="D27" s="2"/>
      <c r="E27" s="2"/>
      <c r="F27" s="2"/>
      <c r="G27" s="2"/>
      <c r="H27" s="2"/>
      <c r="I27" s="2"/>
      <c r="J27" s="2"/>
    </row>
    <row r="28" spans="1:10" ht="13.5" x14ac:dyDescent="0.25">
      <c r="A28" s="14" t="s">
        <v>1239</v>
      </c>
      <c r="B28" s="2"/>
      <c r="D28" s="2"/>
      <c r="E28" s="2">
        <v>15855</v>
      </c>
      <c r="F28" s="2">
        <v>18564</v>
      </c>
      <c r="G28" s="2">
        <v>23844</v>
      </c>
      <c r="H28" s="2">
        <v>23844</v>
      </c>
      <c r="I28" s="2">
        <v>24046</v>
      </c>
      <c r="J28" s="2">
        <v>24046</v>
      </c>
    </row>
    <row r="29" spans="1:10" hidden="1" x14ac:dyDescent="0.2">
      <c r="A29" s="12" t="s">
        <v>1290</v>
      </c>
      <c r="B29" s="2">
        <f>+B23</f>
        <v>60102</v>
      </c>
      <c r="C29" s="227">
        <v>0.1406</v>
      </c>
      <c r="D29" s="2">
        <f>ROUND(B29*C29,0)</f>
        <v>8450</v>
      </c>
      <c r="E29" s="2"/>
      <c r="F29" s="2"/>
      <c r="G29" s="2"/>
      <c r="H29" s="2"/>
      <c r="I29" s="2"/>
      <c r="J29" s="2"/>
    </row>
    <row r="30" spans="1:10" ht="15" hidden="1" x14ac:dyDescent="0.35">
      <c r="A30" s="12" t="s">
        <v>695</v>
      </c>
      <c r="B30" s="2">
        <f>+D16</f>
        <v>109922</v>
      </c>
      <c r="C30" s="227">
        <v>0.1406</v>
      </c>
      <c r="D30" s="2">
        <f>ROUND(B30*C30,0)</f>
        <v>15455</v>
      </c>
      <c r="E30" s="10"/>
      <c r="F30" s="10"/>
      <c r="G30" s="10"/>
      <c r="H30" s="10"/>
      <c r="I30" s="10"/>
      <c r="J30" s="10"/>
    </row>
    <row r="31" spans="1:10" ht="15" hidden="1" x14ac:dyDescent="0.35">
      <c r="A31" s="12" t="s">
        <v>159</v>
      </c>
      <c r="B31" s="2">
        <f>+B25</f>
        <v>1002.4999999999999</v>
      </c>
      <c r="C31" s="227">
        <v>0.1406</v>
      </c>
      <c r="D31" s="10">
        <f>ROUND(B31*C31,0)</f>
        <v>141</v>
      </c>
      <c r="E31" s="10"/>
      <c r="F31" s="10"/>
      <c r="G31" s="10"/>
      <c r="H31" s="10"/>
      <c r="I31" s="10"/>
      <c r="J31" s="10"/>
    </row>
    <row r="32" spans="1:10" hidden="1" x14ac:dyDescent="0.2">
      <c r="A32" s="220" t="s">
        <v>1086</v>
      </c>
      <c r="D32" s="2">
        <f>SUM(D29:D31)</f>
        <v>24046</v>
      </c>
      <c r="E32" s="2"/>
      <c r="F32" s="2"/>
      <c r="G32" s="2"/>
      <c r="H32" s="2"/>
      <c r="I32" s="2"/>
      <c r="J32" s="2"/>
    </row>
    <row r="33" spans="1:10" x14ac:dyDescent="0.2">
      <c r="D33" s="2"/>
      <c r="E33" s="2"/>
      <c r="F33" s="2"/>
      <c r="G33" s="2"/>
      <c r="H33" s="2"/>
      <c r="I33" s="2"/>
      <c r="J33" s="2"/>
    </row>
    <row r="34" spans="1:10" ht="13.5" x14ac:dyDescent="0.25">
      <c r="A34" s="225" t="s">
        <v>1331</v>
      </c>
      <c r="D34" s="2"/>
      <c r="E34" s="2">
        <v>48067</v>
      </c>
      <c r="F34" s="2">
        <v>58725</v>
      </c>
      <c r="G34" s="2">
        <v>59850</v>
      </c>
      <c r="H34" s="2">
        <v>59250</v>
      </c>
      <c r="I34" s="2">
        <v>59250</v>
      </c>
      <c r="J34" s="2">
        <v>59250</v>
      </c>
    </row>
    <row r="35" spans="1:10" x14ac:dyDescent="0.2">
      <c r="A35" s="220" t="s">
        <v>369</v>
      </c>
      <c r="B35" s="2">
        <v>3</v>
      </c>
      <c r="C35" s="2">
        <v>19750</v>
      </c>
      <c r="D35" s="2">
        <f>ROUND(B35*C35,0)</f>
        <v>59250</v>
      </c>
      <c r="E35" s="2"/>
      <c r="F35" s="2"/>
      <c r="G35" s="2"/>
      <c r="H35" s="2"/>
      <c r="I35" s="2"/>
      <c r="J35" s="2"/>
    </row>
    <row r="36" spans="1:10" x14ac:dyDescent="0.2">
      <c r="D36" s="2"/>
      <c r="E36" s="2"/>
      <c r="F36" s="2"/>
      <c r="G36" s="2"/>
      <c r="H36" s="2"/>
      <c r="I36" s="2"/>
      <c r="J36" s="2"/>
    </row>
    <row r="37" spans="1:10" ht="13.5" x14ac:dyDescent="0.25">
      <c r="A37" s="225" t="s">
        <v>294</v>
      </c>
      <c r="D37" s="2"/>
      <c r="E37" s="2">
        <v>2992</v>
      </c>
      <c r="F37" s="2">
        <v>3780</v>
      </c>
      <c r="G37" s="2">
        <v>3780</v>
      </c>
      <c r="H37" s="2">
        <v>3780</v>
      </c>
      <c r="I37" s="2">
        <v>3780</v>
      </c>
      <c r="J37" s="2">
        <v>3780</v>
      </c>
    </row>
    <row r="38" spans="1:10" x14ac:dyDescent="0.2">
      <c r="A38" s="2" t="s">
        <v>369</v>
      </c>
      <c r="B38" s="2">
        <v>3</v>
      </c>
      <c r="C38" s="2">
        <v>1400</v>
      </c>
      <c r="D38" s="2">
        <f>ROUND(B38*C38,0)</f>
        <v>4200</v>
      </c>
      <c r="E38" s="2"/>
      <c r="F38" s="2"/>
      <c r="G38" s="2"/>
      <c r="H38" s="2"/>
      <c r="I38" s="2"/>
      <c r="J38" s="2"/>
    </row>
    <row r="39" spans="1:10" ht="15" x14ac:dyDescent="0.35">
      <c r="A39" s="2" t="s">
        <v>201</v>
      </c>
      <c r="B39" s="2"/>
      <c r="C39" s="2"/>
      <c r="D39" s="10">
        <f>-C38*0.1*B38</f>
        <v>-420</v>
      </c>
      <c r="E39" s="2"/>
      <c r="F39" s="2"/>
      <c r="G39" s="2"/>
      <c r="H39" s="2"/>
      <c r="I39" s="2"/>
      <c r="J39" s="2"/>
    </row>
    <row r="40" spans="1:10" x14ac:dyDescent="0.2">
      <c r="A40" s="220" t="s">
        <v>690</v>
      </c>
      <c r="D40" s="2">
        <f>SUM(D38:D39)</f>
        <v>3780</v>
      </c>
      <c r="E40" s="2"/>
      <c r="F40" s="2"/>
      <c r="G40" s="2"/>
      <c r="H40" s="2"/>
      <c r="I40" s="2"/>
      <c r="J40" s="2"/>
    </row>
    <row r="41" spans="1:10" ht="13.5" x14ac:dyDescent="0.25">
      <c r="A41" s="225" t="s">
        <v>1146</v>
      </c>
      <c r="D41" s="2"/>
      <c r="E41" s="2">
        <v>310</v>
      </c>
      <c r="F41" s="2">
        <v>405</v>
      </c>
      <c r="G41" s="2">
        <v>405</v>
      </c>
      <c r="H41" s="2">
        <v>405</v>
      </c>
      <c r="I41" s="2">
        <v>405</v>
      </c>
      <c r="J41" s="2">
        <v>405</v>
      </c>
    </row>
    <row r="42" spans="1:10" hidden="1" x14ac:dyDescent="0.2">
      <c r="A42" s="220" t="s">
        <v>1236</v>
      </c>
      <c r="B42" s="2">
        <v>3</v>
      </c>
      <c r="C42" s="2">
        <v>135</v>
      </c>
      <c r="D42" s="2">
        <f>ROUND(B42*C42,0)</f>
        <v>405</v>
      </c>
      <c r="E42" s="2"/>
      <c r="F42" s="2"/>
      <c r="G42" s="2"/>
      <c r="H42" s="2"/>
      <c r="I42" s="2"/>
      <c r="J42" s="2"/>
    </row>
    <row r="43" spans="1:10" x14ac:dyDescent="0.2">
      <c r="D43" s="2"/>
      <c r="E43" s="2"/>
      <c r="F43" s="2"/>
      <c r="G43" s="2"/>
      <c r="H43" s="2"/>
      <c r="I43" s="2"/>
      <c r="J43" s="2"/>
    </row>
    <row r="44" spans="1:10" ht="13.5" x14ac:dyDescent="0.25">
      <c r="A44" s="225" t="s">
        <v>1147</v>
      </c>
      <c r="D44" s="2"/>
      <c r="E44" s="2">
        <v>1607</v>
      </c>
      <c r="F44" s="2">
        <v>1875</v>
      </c>
      <c r="G44" s="2">
        <v>1650</v>
      </c>
      <c r="H44" s="2">
        <v>1650</v>
      </c>
      <c r="I44" s="2">
        <v>1650</v>
      </c>
      <c r="J44" s="2">
        <v>1650</v>
      </c>
    </row>
    <row r="45" spans="1:10" hidden="1" x14ac:dyDescent="0.2">
      <c r="A45" s="220" t="s">
        <v>712</v>
      </c>
      <c r="B45" s="2">
        <v>3</v>
      </c>
      <c r="C45" s="2">
        <v>550</v>
      </c>
      <c r="D45" s="2">
        <f>ROUND(B45*C45,0)</f>
        <v>1650</v>
      </c>
      <c r="E45" s="2"/>
      <c r="F45" s="2"/>
      <c r="G45" s="2"/>
      <c r="H45" s="2"/>
      <c r="I45" s="2"/>
      <c r="J45" s="2"/>
    </row>
    <row r="46" spans="1:10" x14ac:dyDescent="0.2">
      <c r="D46" s="2"/>
      <c r="E46" s="2"/>
      <c r="F46" s="2"/>
      <c r="G46" s="2"/>
      <c r="H46" s="2"/>
      <c r="I46" s="2"/>
      <c r="J46" s="2"/>
    </row>
    <row r="47" spans="1:10" ht="13.5" x14ac:dyDescent="0.25">
      <c r="A47" s="225" t="s">
        <v>1148</v>
      </c>
      <c r="D47" s="2"/>
      <c r="E47" s="2">
        <v>1458</v>
      </c>
      <c r="F47" s="2">
        <v>2449</v>
      </c>
      <c r="G47" s="2">
        <v>2643</v>
      </c>
      <c r="H47" s="2">
        <v>2643</v>
      </c>
      <c r="I47" s="2">
        <v>2647</v>
      </c>
      <c r="J47" s="2">
        <v>2647</v>
      </c>
    </row>
    <row r="48" spans="1:10" hidden="1" x14ac:dyDescent="0.2">
      <c r="A48" s="12" t="s">
        <v>1290</v>
      </c>
      <c r="B48" s="2">
        <f>+D10</f>
        <v>60102</v>
      </c>
      <c r="C48" s="13">
        <v>4.0899999999999999E-2</v>
      </c>
      <c r="D48" s="2">
        <f>ROUND(B48*C48,0)</f>
        <v>2458</v>
      </c>
      <c r="E48" s="2"/>
      <c r="F48" s="2"/>
      <c r="G48" s="2"/>
      <c r="H48" s="2"/>
      <c r="I48" s="2"/>
      <c r="J48" s="2"/>
    </row>
    <row r="49" spans="1:10" ht="15" hidden="1" x14ac:dyDescent="0.35">
      <c r="A49" s="12" t="s">
        <v>695</v>
      </c>
      <c r="B49" s="2">
        <f>+D16</f>
        <v>109922</v>
      </c>
      <c r="C49" s="13">
        <v>1.6999999999999999E-3</v>
      </c>
      <c r="D49" s="2">
        <f>ROUND(B49*C49,0)</f>
        <v>187</v>
      </c>
      <c r="E49" s="10"/>
      <c r="F49" s="10"/>
      <c r="G49" s="10"/>
      <c r="H49" s="10"/>
      <c r="I49" s="10"/>
      <c r="J49" s="10"/>
    </row>
    <row r="50" spans="1:10" ht="15" hidden="1" x14ac:dyDescent="0.35">
      <c r="A50" s="12" t="s">
        <v>159</v>
      </c>
      <c r="B50" s="2">
        <f>+B31</f>
        <v>1002.4999999999999</v>
      </c>
      <c r="C50" s="13">
        <v>1.6999999999999999E-3</v>
      </c>
      <c r="D50" s="2">
        <f>ROUND(B50*C50,0)</f>
        <v>2</v>
      </c>
      <c r="E50" s="10"/>
      <c r="F50" s="10"/>
      <c r="G50" s="10"/>
      <c r="H50" s="10"/>
      <c r="I50" s="10"/>
      <c r="J50" s="10"/>
    </row>
    <row r="51" spans="1:10" hidden="1" x14ac:dyDescent="0.2">
      <c r="A51" s="220" t="s">
        <v>1086</v>
      </c>
      <c r="D51" s="2">
        <f>SUM(D48:D50)</f>
        <v>2647</v>
      </c>
      <c r="E51" s="2"/>
      <c r="F51" s="2"/>
      <c r="G51" s="2"/>
      <c r="H51" s="2"/>
      <c r="I51" s="2"/>
      <c r="J51" s="2"/>
    </row>
    <row r="52" spans="1:10" x14ac:dyDescent="0.2">
      <c r="D52" s="2"/>
      <c r="E52" s="2"/>
      <c r="F52" s="2"/>
      <c r="G52" s="2"/>
      <c r="H52" s="2"/>
      <c r="I52" s="2"/>
      <c r="J52" s="2"/>
    </row>
    <row r="53" spans="1:10" ht="13.5" x14ac:dyDescent="0.25">
      <c r="A53" s="225" t="s">
        <v>10</v>
      </c>
      <c r="D53" s="2"/>
      <c r="E53" s="2">
        <v>57</v>
      </c>
      <c r="F53" s="2">
        <v>60</v>
      </c>
      <c r="G53" s="2">
        <v>60</v>
      </c>
      <c r="H53" s="2">
        <v>60</v>
      </c>
      <c r="I53" s="2">
        <v>60</v>
      </c>
      <c r="J53" s="2">
        <v>60</v>
      </c>
    </row>
    <row r="54" spans="1:10" hidden="1" x14ac:dyDescent="0.2">
      <c r="A54" s="12" t="s">
        <v>1290</v>
      </c>
      <c r="B54" s="2">
        <v>1</v>
      </c>
      <c r="C54" s="2">
        <v>20</v>
      </c>
      <c r="D54" s="2">
        <f>ROUND(B54*C54,0)</f>
        <v>20</v>
      </c>
      <c r="E54" s="2"/>
      <c r="F54" s="2"/>
      <c r="G54" s="2"/>
      <c r="H54" s="2"/>
      <c r="I54" s="2"/>
      <c r="J54" s="2"/>
    </row>
    <row r="55" spans="1:10" ht="15" hidden="1" x14ac:dyDescent="0.35">
      <c r="A55" s="12" t="s">
        <v>695</v>
      </c>
      <c r="B55" s="2">
        <v>2</v>
      </c>
      <c r="C55" s="2">
        <v>20</v>
      </c>
      <c r="D55" s="10">
        <f>ROUND(B55*C55,0)</f>
        <v>40</v>
      </c>
      <c r="E55" s="10"/>
      <c r="F55" s="10"/>
      <c r="G55" s="10"/>
      <c r="H55" s="10"/>
      <c r="I55" s="10"/>
      <c r="J55" s="10"/>
    </row>
    <row r="56" spans="1:10" hidden="1" x14ac:dyDescent="0.2">
      <c r="A56" s="220" t="s">
        <v>1086</v>
      </c>
      <c r="D56" s="2">
        <f>SUM(D54:D55)</f>
        <v>60</v>
      </c>
      <c r="E56" s="2"/>
      <c r="F56" s="2"/>
      <c r="G56" s="2"/>
      <c r="H56" s="2"/>
      <c r="I56" s="2"/>
      <c r="J56" s="2"/>
    </row>
    <row r="57" spans="1:10" x14ac:dyDescent="0.2">
      <c r="D57" s="2"/>
      <c r="E57" s="2"/>
      <c r="F57" s="2"/>
      <c r="G57" s="2"/>
      <c r="H57" s="2"/>
      <c r="I57" s="2"/>
      <c r="J57" s="2"/>
    </row>
    <row r="58" spans="1:10" ht="13.5" x14ac:dyDescent="0.25">
      <c r="A58" s="225" t="s">
        <v>1055</v>
      </c>
      <c r="D58" s="2"/>
      <c r="E58" s="2">
        <v>1568</v>
      </c>
      <c r="F58" s="2">
        <v>1500</v>
      </c>
      <c r="G58" s="2">
        <v>2000</v>
      </c>
      <c r="H58" s="2">
        <v>2000</v>
      </c>
      <c r="I58" s="2">
        <v>2000</v>
      </c>
      <c r="J58" s="2">
        <v>2000</v>
      </c>
    </row>
    <row r="59" spans="1:10" x14ac:dyDescent="0.2">
      <c r="A59" s="220" t="s">
        <v>1056</v>
      </c>
      <c r="C59" s="2"/>
      <c r="D59" s="2">
        <v>2000</v>
      </c>
      <c r="E59" s="2"/>
      <c r="F59" s="2"/>
      <c r="G59" s="2"/>
      <c r="H59" s="2"/>
      <c r="I59" s="2"/>
      <c r="J59" s="2"/>
    </row>
    <row r="60" spans="1:10" x14ac:dyDescent="0.2">
      <c r="C60" s="2"/>
      <c r="D60" s="2"/>
      <c r="E60" s="2"/>
      <c r="F60" s="2"/>
      <c r="G60" s="2"/>
      <c r="H60" s="2"/>
      <c r="I60" s="2"/>
      <c r="J60" s="2"/>
    </row>
    <row r="61" spans="1:10" ht="13.5" x14ac:dyDescent="0.25">
      <c r="A61" s="225" t="s">
        <v>11</v>
      </c>
      <c r="C61" s="7"/>
      <c r="D61" s="7" t="s">
        <v>349</v>
      </c>
      <c r="E61" s="2">
        <v>135</v>
      </c>
      <c r="F61" s="2">
        <v>1000</v>
      </c>
      <c r="G61" s="2">
        <v>1000</v>
      </c>
      <c r="H61" s="2">
        <v>1000</v>
      </c>
      <c r="I61" s="2">
        <v>1000</v>
      </c>
      <c r="J61" s="2">
        <v>1000</v>
      </c>
    </row>
    <row r="62" spans="1:10" x14ac:dyDescent="0.2">
      <c r="A62" s="5" t="s">
        <v>1256</v>
      </c>
      <c r="B62" s="5"/>
      <c r="C62" s="2"/>
      <c r="D62" s="2">
        <v>1000</v>
      </c>
      <c r="E62" s="2"/>
      <c r="F62" s="2"/>
      <c r="G62" s="2"/>
      <c r="H62" s="2"/>
      <c r="I62" s="2"/>
      <c r="J62" s="2"/>
    </row>
    <row r="63" spans="1:10" ht="15" x14ac:dyDescent="0.35">
      <c r="C63" s="2"/>
      <c r="D63" s="2"/>
      <c r="E63" s="2"/>
      <c r="F63" s="2"/>
      <c r="G63" s="10"/>
      <c r="H63" s="10"/>
      <c r="I63" s="10"/>
      <c r="J63" s="10"/>
    </row>
    <row r="64" spans="1:10" ht="13.5" x14ac:dyDescent="0.25">
      <c r="A64" s="225" t="s">
        <v>12</v>
      </c>
      <c r="C64" s="2"/>
      <c r="D64" s="2">
        <v>400</v>
      </c>
      <c r="E64" s="2">
        <v>233</v>
      </c>
      <c r="F64" s="2">
        <v>400</v>
      </c>
      <c r="G64" s="2">
        <v>400</v>
      </c>
      <c r="H64" s="2">
        <v>400</v>
      </c>
      <c r="I64" s="2">
        <v>400</v>
      </c>
      <c r="J64" s="2">
        <v>400</v>
      </c>
    </row>
    <row r="65" spans="1:10" x14ac:dyDescent="0.2">
      <c r="A65" s="220" t="s">
        <v>986</v>
      </c>
      <c r="C65" s="2"/>
      <c r="D65" s="2"/>
      <c r="E65" s="2"/>
      <c r="F65" s="2"/>
      <c r="G65" s="2"/>
      <c r="H65" s="2"/>
      <c r="I65" s="2"/>
      <c r="J65" s="2"/>
    </row>
    <row r="66" spans="1:10" x14ac:dyDescent="0.2">
      <c r="C66" s="2"/>
      <c r="D66" s="2"/>
      <c r="E66" s="2"/>
      <c r="F66" s="2"/>
      <c r="G66" s="2"/>
      <c r="H66" s="2"/>
      <c r="I66" s="2"/>
      <c r="J66" s="2"/>
    </row>
    <row r="67" spans="1:10" ht="13.5" x14ac:dyDescent="0.25">
      <c r="A67" s="225" t="s">
        <v>1312</v>
      </c>
      <c r="C67" s="2"/>
      <c r="D67" s="2"/>
      <c r="E67" s="2">
        <v>459</v>
      </c>
      <c r="F67" s="2">
        <v>750</v>
      </c>
      <c r="G67" s="2">
        <v>600</v>
      </c>
      <c r="H67" s="2">
        <v>600</v>
      </c>
      <c r="I67" s="2">
        <v>600</v>
      </c>
      <c r="J67" s="2">
        <v>600</v>
      </c>
    </row>
    <row r="68" spans="1:10" x14ac:dyDescent="0.2">
      <c r="A68" s="220" t="s">
        <v>1895</v>
      </c>
      <c r="B68" s="2"/>
      <c r="C68" s="2"/>
      <c r="D68" s="2">
        <v>600</v>
      </c>
      <c r="E68" s="2"/>
      <c r="F68" s="2"/>
      <c r="G68" s="2"/>
      <c r="H68" s="2"/>
      <c r="I68" s="2"/>
      <c r="J68" s="2"/>
    </row>
    <row r="69" spans="1:10" x14ac:dyDescent="0.2">
      <c r="B69" s="2"/>
      <c r="C69" s="2"/>
      <c r="D69" s="2"/>
      <c r="E69" s="2"/>
      <c r="F69" s="2"/>
      <c r="G69" s="2"/>
      <c r="H69" s="2"/>
      <c r="I69" s="2"/>
      <c r="J69" s="2"/>
    </row>
    <row r="70" spans="1:10" ht="13.5" x14ac:dyDescent="0.25">
      <c r="A70" s="225" t="s">
        <v>633</v>
      </c>
      <c r="B70" s="2"/>
      <c r="C70" s="2"/>
      <c r="D70" s="2"/>
      <c r="E70" s="2">
        <v>149</v>
      </c>
      <c r="F70" s="2">
        <v>296</v>
      </c>
      <c r="G70" s="2">
        <v>270</v>
      </c>
      <c r="H70" s="2">
        <v>270</v>
      </c>
      <c r="I70" s="2">
        <v>270</v>
      </c>
      <c r="J70" s="2">
        <v>270</v>
      </c>
    </row>
    <row r="71" spans="1:10" x14ac:dyDescent="0.2">
      <c r="A71" s="220" t="s">
        <v>634</v>
      </c>
      <c r="B71" s="2">
        <v>120</v>
      </c>
      <c r="C71" s="11">
        <v>2.25</v>
      </c>
      <c r="D71" s="2">
        <f>+B71*C71</f>
        <v>270</v>
      </c>
      <c r="I71" s="251"/>
      <c r="J71" s="256"/>
    </row>
    <row r="72" spans="1:10" x14ac:dyDescent="0.2">
      <c r="C72" s="2"/>
      <c r="D72" s="2"/>
      <c r="E72" s="2"/>
      <c r="F72" s="2"/>
      <c r="G72" s="2"/>
      <c r="H72" s="2"/>
      <c r="I72" s="2"/>
      <c r="J72" s="2"/>
    </row>
    <row r="73" spans="1:10" ht="13.5" x14ac:dyDescent="0.25">
      <c r="A73" s="225" t="s">
        <v>635</v>
      </c>
      <c r="C73" s="2"/>
      <c r="D73" s="2"/>
      <c r="E73" s="2">
        <v>1024</v>
      </c>
      <c r="F73" s="2">
        <v>1000</v>
      </c>
      <c r="G73" s="2">
        <v>1000</v>
      </c>
      <c r="H73" s="2">
        <v>1000</v>
      </c>
      <c r="I73" s="2">
        <v>1000</v>
      </c>
      <c r="J73" s="2">
        <v>1000</v>
      </c>
    </row>
    <row r="74" spans="1:10" ht="15" x14ac:dyDescent="0.35">
      <c r="A74" s="220" t="s">
        <v>820</v>
      </c>
      <c r="C74" s="10"/>
      <c r="D74" s="2">
        <v>1000</v>
      </c>
      <c r="E74" s="10"/>
      <c r="F74" s="10"/>
      <c r="G74" s="10"/>
      <c r="H74" s="10"/>
      <c r="I74" s="10"/>
      <c r="J74" s="10"/>
    </row>
    <row r="75" spans="1:10" x14ac:dyDescent="0.2">
      <c r="C75" s="2"/>
      <c r="D75" s="2"/>
      <c r="E75" s="2"/>
      <c r="F75" s="2"/>
      <c r="G75" s="2"/>
      <c r="H75" s="2"/>
      <c r="I75" s="2"/>
      <c r="J75" s="2"/>
    </row>
    <row r="76" spans="1:10" ht="13.5" x14ac:dyDescent="0.25">
      <c r="A76" s="225" t="s">
        <v>839</v>
      </c>
      <c r="C76" s="7"/>
      <c r="D76" s="7" t="s">
        <v>349</v>
      </c>
      <c r="E76" s="2">
        <v>210</v>
      </c>
      <c r="F76" s="2">
        <v>60</v>
      </c>
      <c r="G76" s="2">
        <v>60</v>
      </c>
      <c r="H76" s="2">
        <v>60</v>
      </c>
      <c r="I76" s="2">
        <v>60</v>
      </c>
      <c r="J76" s="2">
        <v>60</v>
      </c>
    </row>
    <row r="77" spans="1:10" ht="15" x14ac:dyDescent="0.35">
      <c r="A77" s="220" t="s">
        <v>1047</v>
      </c>
      <c r="B77" s="2"/>
      <c r="C77" s="2"/>
      <c r="D77" s="10"/>
      <c r="E77" s="2"/>
      <c r="F77" s="2"/>
      <c r="G77" s="2"/>
      <c r="H77" s="2"/>
      <c r="I77" s="2"/>
      <c r="J77" s="2"/>
    </row>
    <row r="78" spans="1:10" ht="15" x14ac:dyDescent="0.35">
      <c r="C78" s="10"/>
      <c r="E78" s="10"/>
      <c r="F78" s="10"/>
      <c r="G78" s="10"/>
      <c r="H78" s="10"/>
      <c r="I78" s="10"/>
      <c r="J78" s="10"/>
    </row>
    <row r="79" spans="1:10" x14ac:dyDescent="0.2">
      <c r="A79" s="220" t="s">
        <v>1086</v>
      </c>
      <c r="C79" s="2"/>
      <c r="D79" s="2">
        <f>SUM(D77:D77)</f>
        <v>0</v>
      </c>
      <c r="E79" s="2"/>
      <c r="F79" s="2"/>
      <c r="G79" s="2"/>
      <c r="H79" s="2"/>
      <c r="I79" s="2"/>
      <c r="J79" s="2"/>
    </row>
    <row r="80" spans="1:10" x14ac:dyDescent="0.2">
      <c r="C80" s="2"/>
      <c r="D80" s="2"/>
      <c r="E80" s="2"/>
      <c r="F80" s="2"/>
      <c r="G80" s="2"/>
      <c r="H80" s="2"/>
      <c r="I80" s="2"/>
      <c r="J80" s="2"/>
    </row>
    <row r="81" spans="1:10" ht="13.5" x14ac:dyDescent="0.25">
      <c r="A81" s="16" t="s">
        <v>840</v>
      </c>
      <c r="C81" s="2"/>
      <c r="D81" s="2"/>
      <c r="E81" s="2">
        <v>2019</v>
      </c>
      <c r="F81" s="2">
        <v>2044</v>
      </c>
      <c r="G81" s="2">
        <v>2187</v>
      </c>
      <c r="H81" s="2">
        <v>2187</v>
      </c>
      <c r="I81" s="2">
        <v>2187</v>
      </c>
      <c r="J81" s="2">
        <v>2187</v>
      </c>
    </row>
    <row r="82" spans="1:10" x14ac:dyDescent="0.2">
      <c r="A82" s="220" t="s">
        <v>636</v>
      </c>
      <c r="C82" s="2"/>
      <c r="D82" s="2">
        <v>2187</v>
      </c>
      <c r="E82" s="2"/>
      <c r="F82" s="2"/>
      <c r="G82" s="2"/>
      <c r="H82" s="2"/>
      <c r="I82" s="2"/>
      <c r="J82" s="2"/>
    </row>
    <row r="83" spans="1:10" x14ac:dyDescent="0.2">
      <c r="C83" s="2"/>
      <c r="D83" s="2"/>
      <c r="E83" s="2"/>
      <c r="F83" s="2"/>
      <c r="G83" s="2"/>
      <c r="H83" s="2"/>
      <c r="I83" s="2"/>
      <c r="J83" s="2"/>
    </row>
    <row r="84" spans="1:10" ht="13.5" x14ac:dyDescent="0.25">
      <c r="A84" s="225" t="s">
        <v>516</v>
      </c>
      <c r="C84" s="2"/>
      <c r="D84" s="2"/>
      <c r="E84" s="2">
        <v>317</v>
      </c>
      <c r="F84" s="2">
        <v>150</v>
      </c>
      <c r="G84" s="2">
        <v>150</v>
      </c>
      <c r="H84" s="2">
        <v>150</v>
      </c>
      <c r="I84" s="2">
        <v>150</v>
      </c>
      <c r="J84" s="2">
        <v>150</v>
      </c>
    </row>
    <row r="85" spans="1:10" x14ac:dyDescent="0.2">
      <c r="A85" s="220" t="s">
        <v>1407</v>
      </c>
      <c r="C85" s="2"/>
      <c r="D85" s="2" t="s">
        <v>349</v>
      </c>
      <c r="E85" s="2"/>
      <c r="F85" s="2"/>
      <c r="G85" s="2"/>
      <c r="H85" s="2"/>
      <c r="I85" s="2"/>
      <c r="J85" s="2"/>
    </row>
    <row r="86" spans="1:10" x14ac:dyDescent="0.2">
      <c r="A86" s="220" t="s">
        <v>1253</v>
      </c>
      <c r="C86" s="2"/>
      <c r="D86" s="2">
        <v>150</v>
      </c>
      <c r="E86" s="2"/>
      <c r="F86" s="2"/>
      <c r="G86" s="2"/>
      <c r="H86" s="2"/>
      <c r="I86" s="2"/>
      <c r="J86" s="2"/>
    </row>
    <row r="87" spans="1:10" x14ac:dyDescent="0.2">
      <c r="C87" s="2"/>
      <c r="D87" s="2"/>
      <c r="E87" s="2"/>
      <c r="F87" s="2"/>
      <c r="G87" s="2"/>
      <c r="H87" s="2"/>
      <c r="I87" s="2"/>
      <c r="J87" s="2"/>
    </row>
    <row r="88" spans="1:10" ht="13.5" x14ac:dyDescent="0.25">
      <c r="A88" s="225" t="s">
        <v>1286</v>
      </c>
      <c r="C88" s="2"/>
      <c r="D88" s="2"/>
      <c r="E88" s="2">
        <v>214</v>
      </c>
      <c r="F88" s="2">
        <v>250</v>
      </c>
      <c r="G88" s="2">
        <v>250</v>
      </c>
      <c r="H88" s="2">
        <v>250</v>
      </c>
      <c r="I88" s="2">
        <v>250</v>
      </c>
      <c r="J88" s="2">
        <v>250</v>
      </c>
    </row>
    <row r="89" spans="1:10" x14ac:dyDescent="0.2">
      <c r="A89" s="220" t="s">
        <v>646</v>
      </c>
      <c r="C89" s="2"/>
      <c r="D89" s="2">
        <v>250</v>
      </c>
      <c r="E89" s="2"/>
      <c r="F89" s="2"/>
      <c r="G89" s="2"/>
      <c r="H89" s="2"/>
      <c r="I89" s="2"/>
      <c r="J89" s="2"/>
    </row>
    <row r="90" spans="1:10" x14ac:dyDescent="0.2">
      <c r="C90" s="2"/>
      <c r="D90" s="2"/>
      <c r="E90" s="2"/>
      <c r="F90" s="2"/>
      <c r="G90" s="2"/>
      <c r="H90" s="2"/>
      <c r="I90" s="2"/>
      <c r="J90" s="2"/>
    </row>
    <row r="91" spans="1:10" ht="15" x14ac:dyDescent="0.35">
      <c r="A91" s="225" t="s">
        <v>737</v>
      </c>
      <c r="B91" s="221" t="s">
        <v>1759</v>
      </c>
      <c r="C91" s="221" t="s">
        <v>1857</v>
      </c>
      <c r="D91" s="221" t="s">
        <v>1966</v>
      </c>
      <c r="E91" s="2">
        <v>11088</v>
      </c>
      <c r="F91" s="2">
        <v>11860</v>
      </c>
      <c r="G91" s="2">
        <v>11860</v>
      </c>
      <c r="H91" s="2">
        <v>11860</v>
      </c>
      <c r="I91" s="2">
        <v>11860</v>
      </c>
      <c r="J91" s="2">
        <v>11860</v>
      </c>
    </row>
    <row r="92" spans="1:10" x14ac:dyDescent="0.2">
      <c r="A92" s="220" t="s">
        <v>987</v>
      </c>
      <c r="B92" s="2">
        <v>300</v>
      </c>
      <c r="C92" s="2">
        <v>300</v>
      </c>
      <c r="D92" s="2">
        <v>300</v>
      </c>
      <c r="E92" s="2"/>
      <c r="F92" s="2"/>
      <c r="G92" s="2"/>
      <c r="H92" s="2"/>
      <c r="I92" s="2"/>
      <c r="J92" s="2"/>
    </row>
    <row r="93" spans="1:10" x14ac:dyDescent="0.2">
      <c r="A93" s="220" t="s">
        <v>738</v>
      </c>
      <c r="B93" s="2">
        <v>110</v>
      </c>
      <c r="C93" s="2">
        <v>110</v>
      </c>
      <c r="D93" s="2">
        <v>110</v>
      </c>
      <c r="E93" s="2"/>
      <c r="F93" s="2"/>
      <c r="G93" s="2"/>
      <c r="H93" s="2"/>
      <c r="I93" s="2"/>
      <c r="J93" s="2"/>
    </row>
    <row r="94" spans="1:10" x14ac:dyDescent="0.2">
      <c r="A94" s="220" t="s">
        <v>1048</v>
      </c>
      <c r="B94" s="2">
        <v>10981</v>
      </c>
      <c r="C94" s="2">
        <v>11450</v>
      </c>
      <c r="D94" s="2">
        <v>11450</v>
      </c>
      <c r="E94" s="2"/>
      <c r="F94" s="2"/>
      <c r="G94" s="2"/>
      <c r="H94" s="2"/>
      <c r="I94" s="2"/>
      <c r="J94" s="2"/>
    </row>
    <row r="95" spans="1:10" ht="15" x14ac:dyDescent="0.35">
      <c r="A95" s="220" t="s">
        <v>739</v>
      </c>
      <c r="B95" s="10">
        <v>0</v>
      </c>
      <c r="C95" s="10">
        <v>0</v>
      </c>
      <c r="D95" s="10">
        <v>0</v>
      </c>
      <c r="E95" s="2"/>
      <c r="F95" s="10"/>
      <c r="G95" s="10"/>
      <c r="H95" s="10"/>
      <c r="I95" s="10"/>
      <c r="J95" s="10"/>
    </row>
    <row r="96" spans="1:10" x14ac:dyDescent="0.2">
      <c r="A96" s="220" t="s">
        <v>1086</v>
      </c>
      <c r="B96" s="2">
        <f>SUM(B92:B95)</f>
        <v>11391</v>
      </c>
      <c r="C96" s="2">
        <f>SUM(C92:C95)</f>
        <v>11860</v>
      </c>
      <c r="D96" s="2">
        <f>SUM(D92:D95)</f>
        <v>11860</v>
      </c>
      <c r="E96" s="2"/>
      <c r="F96" s="2"/>
      <c r="G96" s="2"/>
      <c r="H96" s="2"/>
      <c r="I96" s="2"/>
      <c r="J96" s="2"/>
    </row>
    <row r="97" spans="1:10" x14ac:dyDescent="0.2">
      <c r="C97" s="2"/>
      <c r="D97" s="2"/>
      <c r="E97" s="2"/>
      <c r="I97" s="251"/>
      <c r="J97" s="256"/>
    </row>
    <row r="98" spans="1:10" ht="15" x14ac:dyDescent="0.35">
      <c r="A98" s="225" t="s">
        <v>740</v>
      </c>
      <c r="B98" s="221" t="s">
        <v>1759</v>
      </c>
      <c r="C98" s="221" t="s">
        <v>1857</v>
      </c>
      <c r="D98" s="221" t="s">
        <v>1966</v>
      </c>
      <c r="E98" s="2">
        <v>479</v>
      </c>
      <c r="F98" s="2">
        <v>1150</v>
      </c>
      <c r="G98" s="2">
        <v>1150</v>
      </c>
      <c r="H98" s="2">
        <v>1150</v>
      </c>
      <c r="I98" s="2">
        <v>1150</v>
      </c>
      <c r="J98" s="2">
        <v>1150</v>
      </c>
    </row>
    <row r="99" spans="1:10" x14ac:dyDescent="0.2">
      <c r="C99" s="2"/>
      <c r="D99" s="2"/>
      <c r="I99" s="251"/>
      <c r="J99" s="256"/>
    </row>
    <row r="100" spans="1:10" x14ac:dyDescent="0.2">
      <c r="A100" s="220" t="s">
        <v>1404</v>
      </c>
      <c r="B100" s="2">
        <v>175</v>
      </c>
      <c r="C100" s="2" t="s">
        <v>1382</v>
      </c>
      <c r="D100" s="2" t="s">
        <v>1382</v>
      </c>
      <c r="I100" s="251"/>
      <c r="J100" s="256"/>
    </row>
    <row r="101" spans="1:10" x14ac:dyDescent="0.2">
      <c r="A101" s="220" t="s">
        <v>1349</v>
      </c>
      <c r="B101" s="2">
        <v>200</v>
      </c>
      <c r="C101" s="2">
        <v>200</v>
      </c>
      <c r="D101" s="2">
        <v>200</v>
      </c>
      <c r="I101" s="251"/>
      <c r="J101" s="256"/>
    </row>
    <row r="102" spans="1:10" ht="15" x14ac:dyDescent="0.35">
      <c r="A102" s="220" t="s">
        <v>1033</v>
      </c>
      <c r="B102" s="10">
        <v>950</v>
      </c>
      <c r="C102" s="10">
        <v>950</v>
      </c>
      <c r="D102" s="10">
        <v>950</v>
      </c>
      <c r="I102" s="251"/>
      <c r="J102" s="256"/>
    </row>
    <row r="103" spans="1:10" x14ac:dyDescent="0.2">
      <c r="A103" s="220" t="s">
        <v>1086</v>
      </c>
      <c r="B103" s="2">
        <f>SUM(B99:B102)</f>
        <v>1325</v>
      </c>
      <c r="C103" s="2">
        <f>SUM(C99:C102)</f>
        <v>1150</v>
      </c>
      <c r="D103" s="2">
        <f>SUM(D99:D102)</f>
        <v>1150</v>
      </c>
      <c r="F103" s="2"/>
      <c r="G103" s="2"/>
      <c r="H103" s="2"/>
      <c r="I103" s="2"/>
      <c r="J103" s="2"/>
    </row>
    <row r="104" spans="1:10" x14ac:dyDescent="0.2">
      <c r="C104" s="2"/>
      <c r="D104" s="2"/>
      <c r="E104" s="2"/>
      <c r="I104" s="251"/>
      <c r="J104" s="256"/>
    </row>
    <row r="105" spans="1:10" ht="15" x14ac:dyDescent="0.35">
      <c r="A105" s="225" t="s">
        <v>315</v>
      </c>
      <c r="B105" s="221" t="s">
        <v>1759</v>
      </c>
      <c r="C105" s="221" t="s">
        <v>1857</v>
      </c>
      <c r="D105" s="221" t="s">
        <v>1966</v>
      </c>
      <c r="E105" s="2">
        <v>72838</v>
      </c>
      <c r="F105" s="2">
        <v>40000</v>
      </c>
      <c r="G105" s="2">
        <v>40000</v>
      </c>
      <c r="H105" s="2">
        <v>40000</v>
      </c>
      <c r="I105" s="2">
        <v>40000</v>
      </c>
      <c r="J105" s="2">
        <v>40000</v>
      </c>
    </row>
    <row r="106" spans="1:10" x14ac:dyDescent="0.2">
      <c r="A106" s="220" t="s">
        <v>316</v>
      </c>
      <c r="B106" s="2"/>
      <c r="C106" s="2">
        <v>3000</v>
      </c>
      <c r="D106" s="2">
        <v>3000</v>
      </c>
      <c r="E106" s="3"/>
      <c r="F106" s="3"/>
      <c r="G106" s="2"/>
      <c r="H106" s="2"/>
      <c r="I106" s="2"/>
      <c r="J106" s="2"/>
    </row>
    <row r="107" spans="1:10" ht="15" x14ac:dyDescent="0.35">
      <c r="A107" s="220" t="s">
        <v>317</v>
      </c>
      <c r="B107" s="10">
        <v>36000</v>
      </c>
      <c r="C107" s="10">
        <v>37000</v>
      </c>
      <c r="D107" s="10">
        <v>37000</v>
      </c>
      <c r="E107" s="2"/>
      <c r="F107" s="2"/>
      <c r="G107" s="2"/>
      <c r="H107" s="2"/>
      <c r="I107" s="2"/>
      <c r="J107" s="2"/>
    </row>
    <row r="108" spans="1:10" x14ac:dyDescent="0.2">
      <c r="A108" s="220" t="s">
        <v>1086</v>
      </c>
      <c r="B108" s="2">
        <f>SUM(B106:B107)</f>
        <v>36000</v>
      </c>
      <c r="C108" s="2">
        <f>SUM(C106:C107)</f>
        <v>40000</v>
      </c>
      <c r="D108" s="2">
        <f>SUM(D106:D107)</f>
        <v>40000</v>
      </c>
      <c r="E108" s="2"/>
      <c r="F108" s="2"/>
      <c r="G108" s="2"/>
      <c r="H108" s="2"/>
      <c r="I108" s="2"/>
      <c r="J108" s="2"/>
    </row>
    <row r="109" spans="1:10" x14ac:dyDescent="0.2">
      <c r="C109" s="2"/>
      <c r="D109" s="2"/>
      <c r="E109" s="2"/>
      <c r="F109" s="2"/>
      <c r="G109" s="2"/>
      <c r="H109" s="2"/>
      <c r="I109" s="2"/>
      <c r="J109" s="2"/>
    </row>
    <row r="110" spans="1:10" ht="13.5" x14ac:dyDescent="0.25">
      <c r="A110" s="225" t="s">
        <v>1020</v>
      </c>
      <c r="C110" s="2"/>
      <c r="D110" s="2"/>
      <c r="E110" s="2"/>
      <c r="F110" s="2"/>
      <c r="G110" s="2"/>
      <c r="H110" s="2"/>
      <c r="I110" s="2"/>
      <c r="J110" s="2"/>
    </row>
    <row r="111" spans="1:10" x14ac:dyDescent="0.2">
      <c r="A111" s="220" t="s">
        <v>192</v>
      </c>
      <c r="C111" s="2"/>
      <c r="D111" s="2">
        <v>0</v>
      </c>
      <c r="E111" s="2"/>
      <c r="F111" s="2"/>
      <c r="G111" s="2"/>
      <c r="H111" s="2"/>
      <c r="I111" s="2"/>
      <c r="J111" s="2"/>
    </row>
    <row r="112" spans="1:10" x14ac:dyDescent="0.2">
      <c r="C112" s="2"/>
      <c r="D112" s="2"/>
      <c r="E112" s="2"/>
      <c r="F112" s="2"/>
      <c r="G112" s="2"/>
      <c r="H112" s="2"/>
      <c r="I112" s="2"/>
      <c r="J112" s="2"/>
    </row>
    <row r="113" spans="1:10" ht="13.5" x14ac:dyDescent="0.25">
      <c r="A113" s="225" t="s">
        <v>1021</v>
      </c>
      <c r="C113" s="2"/>
      <c r="D113" s="2"/>
      <c r="E113" s="2">
        <v>3472</v>
      </c>
      <c r="F113" s="2">
        <v>3000</v>
      </c>
      <c r="G113" s="2">
        <v>3000</v>
      </c>
      <c r="H113" s="2">
        <v>3000</v>
      </c>
      <c r="I113" s="2">
        <v>3000</v>
      </c>
      <c r="J113" s="2">
        <v>3000</v>
      </c>
    </row>
    <row r="114" spans="1:10" x14ac:dyDescent="0.2">
      <c r="A114" s="5" t="s">
        <v>1896</v>
      </c>
      <c r="C114" s="2"/>
      <c r="D114" s="2">
        <v>3000</v>
      </c>
      <c r="J114" s="256"/>
    </row>
    <row r="115" spans="1:10" x14ac:dyDescent="0.2">
      <c r="A115" s="5"/>
      <c r="C115" s="2"/>
      <c r="D115" s="2"/>
      <c r="J115" s="256"/>
    </row>
    <row r="116" spans="1:10" ht="13.5" x14ac:dyDescent="0.25">
      <c r="A116" s="48" t="s">
        <v>1049</v>
      </c>
      <c r="B116" s="48"/>
      <c r="C116" s="18"/>
      <c r="D116" s="18"/>
      <c r="E116" s="7">
        <v>15000</v>
      </c>
      <c r="F116" s="2">
        <v>15000</v>
      </c>
      <c r="G116" s="2">
        <v>35000</v>
      </c>
      <c r="H116" s="2">
        <v>35000</v>
      </c>
      <c r="I116" s="2">
        <v>15000</v>
      </c>
      <c r="J116" s="2">
        <v>15000</v>
      </c>
    </row>
    <row r="117" spans="1:10" x14ac:dyDescent="0.2">
      <c r="A117" s="5" t="s">
        <v>96</v>
      </c>
      <c r="C117" s="2"/>
      <c r="D117" s="2"/>
      <c r="J117" s="256"/>
    </row>
    <row r="118" spans="1:10" x14ac:dyDescent="0.2">
      <c r="A118" s="5"/>
      <c r="C118" s="2"/>
      <c r="D118" s="2"/>
      <c r="J118" s="256"/>
    </row>
    <row r="119" spans="1:10" ht="15" x14ac:dyDescent="0.35">
      <c r="A119" s="48" t="s">
        <v>1537</v>
      </c>
      <c r="B119" s="2"/>
      <c r="C119" s="2"/>
      <c r="D119" s="2"/>
      <c r="E119" s="30">
        <v>0</v>
      </c>
      <c r="F119" s="10">
        <v>0</v>
      </c>
      <c r="G119" s="10">
        <v>0</v>
      </c>
      <c r="H119" s="10">
        <v>0</v>
      </c>
      <c r="I119" s="10">
        <v>0</v>
      </c>
      <c r="J119" s="10">
        <v>0</v>
      </c>
    </row>
    <row r="120" spans="1:10" x14ac:dyDescent="0.2">
      <c r="A120" s="5" t="s">
        <v>1538</v>
      </c>
      <c r="C120" s="2"/>
      <c r="D120" s="2">
        <v>0</v>
      </c>
    </row>
    <row r="121" spans="1:10" x14ac:dyDescent="0.2">
      <c r="D121" s="2"/>
      <c r="E121" s="2"/>
      <c r="F121" s="2"/>
      <c r="G121" s="2"/>
      <c r="H121" s="2"/>
      <c r="I121" s="2"/>
      <c r="J121" s="2"/>
    </row>
    <row r="122" spans="1:10" x14ac:dyDescent="0.2">
      <c r="A122" s="220" t="s">
        <v>1167</v>
      </c>
      <c r="D122" s="2"/>
      <c r="E122" s="2">
        <f t="shared" ref="E122:J122" si="0">SUM(E6:E119)</f>
        <v>332367</v>
      </c>
      <c r="F122" s="2">
        <f t="shared" si="0"/>
        <v>343324</v>
      </c>
      <c r="G122" s="2">
        <f t="shared" si="0"/>
        <v>373720</v>
      </c>
      <c r="H122" s="2">
        <f t="shared" ref="H122" si="1">SUM(H6:H119)</f>
        <v>373120</v>
      </c>
      <c r="I122" s="2">
        <f t="shared" si="0"/>
        <v>354876</v>
      </c>
      <c r="J122" s="2">
        <f t="shared" si="0"/>
        <v>354876</v>
      </c>
    </row>
    <row r="124" spans="1:10" x14ac:dyDescent="0.2">
      <c r="A124" s="220" t="s">
        <v>523</v>
      </c>
      <c r="E124" s="2">
        <f t="shared" ref="E124:J124" si="2">SUM(E6:E56)</f>
        <v>223162</v>
      </c>
      <c r="F124" s="2">
        <f t="shared" si="2"/>
        <v>264864</v>
      </c>
      <c r="G124" s="2">
        <f t="shared" si="2"/>
        <v>274793</v>
      </c>
      <c r="H124" s="2">
        <f t="shared" ref="H124" si="3">SUM(H6:H56)</f>
        <v>274193</v>
      </c>
      <c r="I124" s="2">
        <f t="shared" si="2"/>
        <v>275949</v>
      </c>
      <c r="J124" s="2">
        <f t="shared" si="2"/>
        <v>275949</v>
      </c>
    </row>
    <row r="125" spans="1:10" x14ac:dyDescent="0.2">
      <c r="A125" s="220" t="s">
        <v>818</v>
      </c>
      <c r="E125" s="2">
        <f t="shared" ref="E125:J125" si="4">SUM(E58:E112)</f>
        <v>90733</v>
      </c>
      <c r="F125" s="2">
        <f t="shared" si="4"/>
        <v>60460</v>
      </c>
      <c r="G125" s="2">
        <f t="shared" si="4"/>
        <v>60927</v>
      </c>
      <c r="H125" s="2">
        <f t="shared" ref="H125" si="5">SUM(H58:H112)</f>
        <v>60927</v>
      </c>
      <c r="I125" s="2">
        <f t="shared" si="4"/>
        <v>60927</v>
      </c>
      <c r="J125" s="2">
        <f t="shared" si="4"/>
        <v>60927</v>
      </c>
    </row>
    <row r="126" spans="1:10" ht="15" x14ac:dyDescent="0.35">
      <c r="A126" s="220" t="s">
        <v>819</v>
      </c>
      <c r="E126" s="10">
        <f t="shared" ref="E126:J126" si="6">SUM(E113:E119)</f>
        <v>18472</v>
      </c>
      <c r="F126" s="10">
        <f t="shared" si="6"/>
        <v>18000</v>
      </c>
      <c r="G126" s="10">
        <f>SUM(G113:G119)</f>
        <v>38000</v>
      </c>
      <c r="H126" s="10">
        <f>SUM(H113:H119)</f>
        <v>38000</v>
      </c>
      <c r="I126" s="10">
        <f t="shared" si="6"/>
        <v>18000</v>
      </c>
      <c r="J126" s="10">
        <f t="shared" si="6"/>
        <v>18000</v>
      </c>
    </row>
    <row r="127" spans="1:10" x14ac:dyDescent="0.2">
      <c r="A127" s="220" t="s">
        <v>1086</v>
      </c>
      <c r="E127" s="2">
        <f t="shared" ref="E127:J127" si="7">SUM(E124:E126)</f>
        <v>332367</v>
      </c>
      <c r="F127" s="2">
        <f t="shared" si="7"/>
        <v>343324</v>
      </c>
      <c r="G127" s="2">
        <f t="shared" si="7"/>
        <v>373720</v>
      </c>
      <c r="H127" s="2">
        <f t="shared" ref="H127" si="8">SUM(H124:H126)</f>
        <v>373120</v>
      </c>
      <c r="I127" s="2">
        <f t="shared" si="7"/>
        <v>354876</v>
      </c>
      <c r="J127" s="2">
        <f t="shared" si="7"/>
        <v>354876</v>
      </c>
    </row>
    <row r="130" spans="10:10" x14ac:dyDescent="0.2">
      <c r="J130" s="2">
        <f>+J127-I127</f>
        <v>0</v>
      </c>
    </row>
    <row r="131" spans="10:10" x14ac:dyDescent="0.2">
      <c r="J131" s="220">
        <v>5798</v>
      </c>
    </row>
    <row r="132" spans="10:10" x14ac:dyDescent="0.2">
      <c r="J132" s="2">
        <f>+J130-J131</f>
        <v>-5798</v>
      </c>
    </row>
  </sheetData>
  <mergeCells count="1">
    <mergeCell ref="A1:J1"/>
  </mergeCells>
  <phoneticPr fontId="0" type="noConversion"/>
  <printOptions gridLines="1"/>
  <pageMargins left="0.75" right="0.16" top="0.51" bottom="0.22" header="0.5" footer="0.37"/>
  <pageSetup scale="86" fitToHeight="11" orientation="landscape" r:id="rId1"/>
  <headerFooter alignWithMargins="0"/>
  <rowBreaks count="1" manualBreakCount="1">
    <brk id="108"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3"/>
  <sheetViews>
    <sheetView view="pageBreakPreview" zoomScaleNormal="100" zoomScaleSheetLayoutView="100" workbookViewId="0">
      <pane ySplit="4" topLeftCell="A5" activePane="bottomLeft" state="frozen"/>
      <selection pane="bottomLeft" sqref="A1:J1"/>
    </sheetView>
  </sheetViews>
  <sheetFormatPr defaultColWidth="8.85546875" defaultRowHeight="12.75" x14ac:dyDescent="0.2"/>
  <cols>
    <col min="1" max="1" width="44.42578125" style="6" customWidth="1"/>
    <col min="2" max="3" width="9" style="6" bestFit="1" customWidth="1"/>
    <col min="4" max="4" width="11.7109375" style="6" bestFit="1" customWidth="1"/>
    <col min="5" max="7" width="10.85546875" style="6" customWidth="1"/>
    <col min="8" max="8" width="14.28515625" style="6" customWidth="1"/>
    <col min="9" max="10" width="10.85546875" style="6" customWidth="1"/>
    <col min="11" max="11" width="14.28515625" style="6" customWidth="1"/>
    <col min="12" max="16384" width="8.85546875" style="6"/>
  </cols>
  <sheetData>
    <row r="1" spans="1:10" x14ac:dyDescent="0.2">
      <c r="A1" s="261" t="s">
        <v>1965</v>
      </c>
      <c r="B1" s="262"/>
      <c r="C1" s="262"/>
      <c r="D1" s="262"/>
      <c r="E1" s="262"/>
      <c r="F1" s="262"/>
      <c r="G1" s="262"/>
      <c r="H1" s="262"/>
      <c r="I1" s="262"/>
      <c r="J1" s="262"/>
    </row>
    <row r="2" spans="1:10" ht="18.75" x14ac:dyDescent="0.3">
      <c r="A2" s="107" t="s">
        <v>1651</v>
      </c>
      <c r="B2" s="107"/>
      <c r="C2" s="107"/>
      <c r="D2" s="107"/>
      <c r="E2" s="107"/>
      <c r="F2" s="107"/>
    </row>
    <row r="3" spans="1:10" x14ac:dyDescent="0.2">
      <c r="B3" s="7"/>
      <c r="C3" s="7"/>
      <c r="D3" s="7"/>
      <c r="E3" s="15" t="s">
        <v>207</v>
      </c>
      <c r="F3" s="15" t="s">
        <v>208</v>
      </c>
      <c r="G3" s="15" t="s">
        <v>63</v>
      </c>
      <c r="H3" s="15" t="s">
        <v>362</v>
      </c>
      <c r="I3" s="15" t="s">
        <v>274</v>
      </c>
      <c r="J3" s="15" t="s">
        <v>305</v>
      </c>
    </row>
    <row r="4" spans="1:10" ht="15" x14ac:dyDescent="0.35">
      <c r="B4" s="8"/>
      <c r="C4" s="8"/>
      <c r="D4" s="8"/>
      <c r="E4" s="153" t="s">
        <v>1759</v>
      </c>
      <c r="F4" s="153" t="s">
        <v>1857</v>
      </c>
      <c r="G4" s="153" t="s">
        <v>1966</v>
      </c>
      <c r="H4" s="153" t="s">
        <v>1966</v>
      </c>
      <c r="I4" s="153" t="s">
        <v>1966</v>
      </c>
      <c r="J4" s="153" t="s">
        <v>1966</v>
      </c>
    </row>
    <row r="6" spans="1:10" ht="15" x14ac:dyDescent="0.35">
      <c r="A6" s="9" t="s">
        <v>1508</v>
      </c>
      <c r="B6" s="153" t="s">
        <v>1759</v>
      </c>
      <c r="C6" s="153" t="s">
        <v>1857</v>
      </c>
      <c r="D6" s="153" t="s">
        <v>1966</v>
      </c>
      <c r="E6" s="2">
        <v>96214</v>
      </c>
      <c r="F6" s="2">
        <v>93263</v>
      </c>
      <c r="G6" s="2">
        <v>102589</v>
      </c>
      <c r="H6" s="2">
        <v>102589</v>
      </c>
      <c r="I6" s="2">
        <v>102589</v>
      </c>
      <c r="J6" s="2">
        <v>102589</v>
      </c>
    </row>
    <row r="7" spans="1:10" x14ac:dyDescent="0.2">
      <c r="A7" s="6" t="s">
        <v>666</v>
      </c>
      <c r="B7" s="2" t="s">
        <v>349</v>
      </c>
      <c r="C7" s="2" t="s">
        <v>349</v>
      </c>
      <c r="D7" s="2" t="s">
        <v>349</v>
      </c>
      <c r="F7" s="122"/>
      <c r="H7" s="127"/>
      <c r="I7" s="251"/>
      <c r="J7" s="256"/>
    </row>
    <row r="8" spans="1:10" x14ac:dyDescent="0.2">
      <c r="A8" s="6" t="s">
        <v>559</v>
      </c>
      <c r="B8" s="2">
        <v>88384</v>
      </c>
      <c r="C8" s="2">
        <v>93263</v>
      </c>
      <c r="D8" s="2">
        <v>102589</v>
      </c>
      <c r="F8" s="122"/>
      <c r="H8" s="127"/>
      <c r="J8" s="256"/>
    </row>
    <row r="9" spans="1:10" x14ac:dyDescent="0.2">
      <c r="F9" s="122"/>
      <c r="H9" s="127"/>
      <c r="J9" s="256"/>
    </row>
    <row r="10" spans="1:10" ht="15" x14ac:dyDescent="0.35">
      <c r="E10" s="10">
        <v>0</v>
      </c>
      <c r="F10" s="10">
        <v>0</v>
      </c>
      <c r="G10" s="10">
        <v>0</v>
      </c>
      <c r="H10" s="10">
        <v>0</v>
      </c>
      <c r="I10" s="10">
        <v>0</v>
      </c>
      <c r="J10" s="10">
        <v>0</v>
      </c>
    </row>
    <row r="11" spans="1:10" x14ac:dyDescent="0.2">
      <c r="E11" s="2"/>
      <c r="H11" s="127"/>
      <c r="J11" s="152"/>
    </row>
    <row r="12" spans="1:10" x14ac:dyDescent="0.2">
      <c r="A12" s="19" t="s">
        <v>1167</v>
      </c>
      <c r="D12" s="2"/>
      <c r="E12" s="2">
        <f t="shared" ref="E12:J12" si="0">SUM(E6:E11)</f>
        <v>96214</v>
      </c>
      <c r="F12" s="2">
        <f t="shared" si="0"/>
        <v>93263</v>
      </c>
      <c r="G12" s="2">
        <f t="shared" si="0"/>
        <v>102589</v>
      </c>
      <c r="H12" s="2">
        <f t="shared" si="0"/>
        <v>102589</v>
      </c>
      <c r="I12" s="2">
        <f t="shared" si="0"/>
        <v>102589</v>
      </c>
      <c r="J12" s="2">
        <f t="shared" si="0"/>
        <v>102589</v>
      </c>
    </row>
    <row r="13" spans="1:10" x14ac:dyDescent="0.2">
      <c r="H13" s="127"/>
      <c r="J13" s="152"/>
    </row>
    <row r="14" spans="1:10" x14ac:dyDescent="0.2">
      <c r="H14" s="127"/>
      <c r="J14" s="152"/>
    </row>
    <row r="15" spans="1:10" x14ac:dyDescent="0.2">
      <c r="A15" s="6" t="s">
        <v>523</v>
      </c>
      <c r="E15" s="2">
        <v>0</v>
      </c>
      <c r="F15" s="2">
        <v>0</v>
      </c>
      <c r="G15" s="2">
        <v>0</v>
      </c>
      <c r="H15" s="2">
        <v>0</v>
      </c>
      <c r="I15" s="2">
        <v>0</v>
      </c>
      <c r="J15" s="2">
        <v>0</v>
      </c>
    </row>
    <row r="16" spans="1:10" x14ac:dyDescent="0.2">
      <c r="A16" s="6" t="s">
        <v>818</v>
      </c>
      <c r="E16" s="2">
        <f t="shared" ref="E16:J16" si="1">+E6</f>
        <v>96214</v>
      </c>
      <c r="F16" s="2">
        <f t="shared" si="1"/>
        <v>93263</v>
      </c>
      <c r="G16" s="2">
        <f t="shared" si="1"/>
        <v>102589</v>
      </c>
      <c r="H16" s="2">
        <f t="shared" si="1"/>
        <v>102589</v>
      </c>
      <c r="I16" s="2">
        <f t="shared" si="1"/>
        <v>102589</v>
      </c>
      <c r="J16" s="2">
        <f t="shared" si="1"/>
        <v>102589</v>
      </c>
    </row>
    <row r="17" spans="1:10" ht="15" x14ac:dyDescent="0.35">
      <c r="A17" s="6" t="s">
        <v>819</v>
      </c>
      <c r="E17" s="10">
        <v>0</v>
      </c>
      <c r="F17" s="10">
        <v>0</v>
      </c>
      <c r="G17" s="10">
        <v>0</v>
      </c>
      <c r="H17" s="10">
        <v>0</v>
      </c>
      <c r="I17" s="10">
        <v>0</v>
      </c>
      <c r="J17" s="10">
        <v>0</v>
      </c>
    </row>
    <row r="18" spans="1:10" x14ac:dyDescent="0.2">
      <c r="A18" s="6" t="s">
        <v>1086</v>
      </c>
      <c r="E18" s="2">
        <f t="shared" ref="E18:J18" si="2">SUM(E15:E17)</f>
        <v>96214</v>
      </c>
      <c r="F18" s="2">
        <f t="shared" si="2"/>
        <v>93263</v>
      </c>
      <c r="G18" s="2">
        <f t="shared" si="2"/>
        <v>102589</v>
      </c>
      <c r="H18" s="2">
        <f t="shared" si="2"/>
        <v>102589</v>
      </c>
      <c r="I18" s="2">
        <f t="shared" si="2"/>
        <v>102589</v>
      </c>
      <c r="J18" s="2">
        <f t="shared" si="2"/>
        <v>102589</v>
      </c>
    </row>
    <row r="22" spans="1:10" x14ac:dyDescent="0.2">
      <c r="H22" s="2"/>
    </row>
    <row r="23" spans="1:10" x14ac:dyDescent="0.2">
      <c r="H23" s="11"/>
    </row>
  </sheetData>
  <mergeCells count="1">
    <mergeCell ref="A1:J1"/>
  </mergeCells>
  <phoneticPr fontId="5" type="noConversion"/>
  <printOptions gridLines="1"/>
  <pageMargins left="0.75" right="0.16" top="0.51" bottom="0.16" header="0.5" footer="0"/>
  <pageSetup scale="9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pane ySplit="4" topLeftCell="A5" activePane="bottomLeft" state="frozen"/>
      <selection pane="bottomLeft" sqref="A1:J1"/>
    </sheetView>
  </sheetViews>
  <sheetFormatPr defaultColWidth="8.85546875" defaultRowHeight="12.75" x14ac:dyDescent="0.2"/>
  <cols>
    <col min="1" max="1" width="44.42578125" style="134" customWidth="1"/>
    <col min="2" max="3" width="10.28515625" style="134" bestFit="1" customWidth="1"/>
    <col min="4" max="4" width="11.7109375" style="134" bestFit="1" customWidth="1"/>
    <col min="5" max="5" width="10.85546875" style="134" customWidth="1"/>
    <col min="6" max="6" width="11.28515625" style="134" bestFit="1" customWidth="1"/>
    <col min="7" max="7" width="10.85546875" style="134" customWidth="1"/>
    <col min="8" max="8" width="14.28515625" style="134" customWidth="1"/>
    <col min="9" max="9" width="10.85546875" style="134" customWidth="1"/>
    <col min="10" max="10" width="11.28515625" style="134" bestFit="1" customWidth="1"/>
    <col min="11" max="12" width="14.28515625" style="134" customWidth="1"/>
    <col min="13" max="16384" width="8.85546875" style="134"/>
  </cols>
  <sheetData>
    <row r="1" spans="1:10" x14ac:dyDescent="0.2">
      <c r="A1" s="261" t="s">
        <v>1965</v>
      </c>
      <c r="B1" s="262"/>
      <c r="C1" s="262"/>
      <c r="D1" s="262"/>
      <c r="E1" s="262"/>
      <c r="F1" s="262"/>
      <c r="G1" s="262"/>
      <c r="H1" s="262"/>
      <c r="I1" s="262"/>
      <c r="J1" s="262"/>
    </row>
    <row r="2" spans="1:10" ht="18.75" x14ac:dyDescent="0.3">
      <c r="A2" s="107" t="s">
        <v>1849</v>
      </c>
      <c r="B2" s="107"/>
      <c r="C2" s="107"/>
      <c r="D2" s="107"/>
      <c r="E2" s="107"/>
      <c r="F2" s="107"/>
    </row>
    <row r="3" spans="1:10" x14ac:dyDescent="0.2">
      <c r="B3" s="7"/>
      <c r="C3" s="7"/>
      <c r="D3" s="7"/>
      <c r="E3" s="15" t="s">
        <v>207</v>
      </c>
      <c r="F3" s="15" t="s">
        <v>208</v>
      </c>
      <c r="G3" s="15" t="s">
        <v>63</v>
      </c>
      <c r="H3" s="15" t="s">
        <v>362</v>
      </c>
      <c r="I3" s="15" t="s">
        <v>274</v>
      </c>
      <c r="J3" s="15" t="s">
        <v>305</v>
      </c>
    </row>
    <row r="4" spans="1:10" ht="15" x14ac:dyDescent="0.35">
      <c r="B4" s="8"/>
      <c r="C4" s="8"/>
      <c r="D4" s="8"/>
      <c r="E4" s="153" t="s">
        <v>1759</v>
      </c>
      <c r="F4" s="153" t="s">
        <v>1857</v>
      </c>
      <c r="G4" s="153" t="s">
        <v>1966</v>
      </c>
      <c r="H4" s="153" t="s">
        <v>1966</v>
      </c>
      <c r="I4" s="153" t="s">
        <v>1966</v>
      </c>
      <c r="J4" s="153" t="s">
        <v>1966</v>
      </c>
    </row>
    <row r="6" spans="1:10" ht="15" x14ac:dyDescent="0.35">
      <c r="A6" s="135" t="s">
        <v>1850</v>
      </c>
      <c r="B6" s="153" t="s">
        <v>1759</v>
      </c>
      <c r="C6" s="153" t="s">
        <v>1857</v>
      </c>
      <c r="D6" s="153" t="s">
        <v>1966</v>
      </c>
      <c r="E6" s="2">
        <v>804162</v>
      </c>
      <c r="F6" s="2">
        <v>9520000</v>
      </c>
      <c r="G6" s="2">
        <v>0</v>
      </c>
      <c r="H6" s="2">
        <v>0</v>
      </c>
      <c r="I6" s="2">
        <v>0</v>
      </c>
      <c r="J6" s="2">
        <v>0</v>
      </c>
    </row>
    <row r="7" spans="1:10" x14ac:dyDescent="0.2">
      <c r="B7" s="2" t="s">
        <v>349</v>
      </c>
      <c r="C7" s="2" t="s">
        <v>349</v>
      </c>
      <c r="D7" s="2" t="s">
        <v>349</v>
      </c>
      <c r="J7" s="256"/>
    </row>
    <row r="8" spans="1:10" x14ac:dyDescent="0.2">
      <c r="A8" s="112" t="s">
        <v>1856</v>
      </c>
      <c r="B8" s="2">
        <v>13100000</v>
      </c>
      <c r="C8" s="2">
        <v>9520000</v>
      </c>
      <c r="D8" s="2">
        <v>0</v>
      </c>
      <c r="E8" s="123"/>
      <c r="F8" s="2"/>
      <c r="G8" s="2">
        <v>0</v>
      </c>
      <c r="H8" s="2">
        <v>0</v>
      </c>
      <c r="I8" s="2">
        <v>0</v>
      </c>
      <c r="J8" s="2">
        <v>0</v>
      </c>
    </row>
    <row r="9" spans="1:10" x14ac:dyDescent="0.2">
      <c r="J9" s="256"/>
    </row>
    <row r="10" spans="1:10" ht="15" x14ac:dyDescent="0.35">
      <c r="E10" s="10">
        <v>0</v>
      </c>
      <c r="F10" s="10">
        <v>0</v>
      </c>
      <c r="G10" s="10">
        <v>0</v>
      </c>
      <c r="H10" s="10">
        <v>0</v>
      </c>
      <c r="I10" s="10">
        <v>0</v>
      </c>
      <c r="J10" s="10">
        <v>0</v>
      </c>
    </row>
    <row r="11" spans="1:10" x14ac:dyDescent="0.2">
      <c r="E11" s="2"/>
      <c r="J11" s="152"/>
    </row>
    <row r="12" spans="1:10" x14ac:dyDescent="0.2">
      <c r="A12" s="19" t="s">
        <v>1167</v>
      </c>
      <c r="D12" s="2"/>
      <c r="E12" s="2">
        <f t="shared" ref="E12:J12" si="0">SUM(E6:E11)</f>
        <v>804162</v>
      </c>
      <c r="F12" s="2">
        <f t="shared" si="0"/>
        <v>9520000</v>
      </c>
      <c r="G12" s="2">
        <f t="shared" si="0"/>
        <v>0</v>
      </c>
      <c r="H12" s="2">
        <f t="shared" si="0"/>
        <v>0</v>
      </c>
      <c r="I12" s="2">
        <f t="shared" si="0"/>
        <v>0</v>
      </c>
      <c r="J12" s="2">
        <f t="shared" si="0"/>
        <v>0</v>
      </c>
    </row>
    <row r="15" spans="1:10" x14ac:dyDescent="0.2">
      <c r="A15" s="134" t="s">
        <v>523</v>
      </c>
      <c r="E15" s="2">
        <v>0</v>
      </c>
      <c r="F15" s="2">
        <v>0</v>
      </c>
      <c r="G15" s="2">
        <v>0</v>
      </c>
      <c r="H15" s="2">
        <v>0</v>
      </c>
      <c r="I15" s="2">
        <v>0</v>
      </c>
      <c r="J15" s="2">
        <v>0</v>
      </c>
    </row>
    <row r="16" spans="1:10" x14ac:dyDescent="0.2">
      <c r="A16" s="134" t="s">
        <v>818</v>
      </c>
      <c r="E16" s="2">
        <f>+E6</f>
        <v>804162</v>
      </c>
      <c r="F16" s="2">
        <f>+F6</f>
        <v>9520000</v>
      </c>
      <c r="G16" s="2">
        <f>+G6</f>
        <v>0</v>
      </c>
      <c r="H16" s="2">
        <f>+H6</f>
        <v>0</v>
      </c>
      <c r="I16" s="2">
        <f>+I6</f>
        <v>0</v>
      </c>
      <c r="J16" s="2">
        <v>0</v>
      </c>
    </row>
    <row r="17" spans="1:10" ht="15" x14ac:dyDescent="0.35">
      <c r="A17" s="134" t="s">
        <v>819</v>
      </c>
      <c r="E17" s="10">
        <v>0</v>
      </c>
      <c r="F17" s="10">
        <f>+F12</f>
        <v>9520000</v>
      </c>
      <c r="G17" s="10">
        <f>+G12</f>
        <v>0</v>
      </c>
      <c r="H17" s="10">
        <f>+H12</f>
        <v>0</v>
      </c>
      <c r="I17" s="10">
        <v>0</v>
      </c>
      <c r="J17" s="10">
        <f>+J12</f>
        <v>0</v>
      </c>
    </row>
    <row r="18" spans="1:10" x14ac:dyDescent="0.2">
      <c r="A18" s="134" t="s">
        <v>1086</v>
      </c>
      <c r="E18" s="2">
        <f t="shared" ref="E18:J18" si="1">SUM(E15:E17)</f>
        <v>804162</v>
      </c>
      <c r="F18" s="2">
        <f t="shared" si="1"/>
        <v>19040000</v>
      </c>
      <c r="G18" s="2">
        <f>SUM(G15:G17)</f>
        <v>0</v>
      </c>
      <c r="H18" s="2">
        <f>SUM(H15:H17)</f>
        <v>0</v>
      </c>
      <c r="I18" s="2">
        <f t="shared" si="1"/>
        <v>0</v>
      </c>
      <c r="J18" s="2">
        <f t="shared" si="1"/>
        <v>0</v>
      </c>
    </row>
    <row r="22" spans="1:10" x14ac:dyDescent="0.2">
      <c r="H22" s="2"/>
    </row>
    <row r="23" spans="1:10" x14ac:dyDescent="0.2">
      <c r="H23" s="11"/>
    </row>
  </sheetData>
  <mergeCells count="1">
    <mergeCell ref="A1:J1"/>
  </mergeCells>
  <printOptions gridLines="1"/>
  <pageMargins left="0.75" right="0.16" top="0.51" bottom="0.16" header="0.5" footer="0"/>
  <pageSetup scale="8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pane ySplit="4" topLeftCell="A5" activePane="bottomLeft" state="frozen"/>
      <selection pane="bottomLeft" sqref="A1:J1"/>
    </sheetView>
  </sheetViews>
  <sheetFormatPr defaultColWidth="8.85546875" defaultRowHeight="12.75" x14ac:dyDescent="0.2"/>
  <cols>
    <col min="1" max="1" width="44.42578125" style="112" customWidth="1"/>
    <col min="2" max="3" width="10.28515625" style="112" bestFit="1" customWidth="1"/>
    <col min="4" max="4" width="11.7109375" style="112" bestFit="1" customWidth="1"/>
    <col min="5" max="7" width="10.85546875" style="112" customWidth="1"/>
    <col min="8" max="8" width="14.28515625" style="112" customWidth="1"/>
    <col min="9" max="9" width="10.85546875" style="112" customWidth="1"/>
    <col min="10" max="10" width="11.28515625" style="112" bestFit="1" customWidth="1"/>
    <col min="11" max="12" width="14.28515625" style="112" customWidth="1"/>
    <col min="13" max="16384" width="8.85546875" style="112"/>
  </cols>
  <sheetData>
    <row r="1" spans="1:10" x14ac:dyDescent="0.2">
      <c r="A1" s="261" t="s">
        <v>1965</v>
      </c>
      <c r="B1" s="262"/>
      <c r="C1" s="262"/>
      <c r="D1" s="262"/>
      <c r="E1" s="262"/>
      <c r="F1" s="262"/>
      <c r="G1" s="262"/>
      <c r="H1" s="262"/>
      <c r="I1" s="262"/>
      <c r="J1" s="262"/>
    </row>
    <row r="2" spans="1:10" ht="18.75" x14ac:dyDescent="0.3">
      <c r="A2" s="107" t="s">
        <v>1736</v>
      </c>
      <c r="B2" s="107"/>
      <c r="C2" s="107"/>
      <c r="D2" s="107"/>
      <c r="E2" s="107"/>
      <c r="F2" s="107"/>
    </row>
    <row r="3" spans="1:10" x14ac:dyDescent="0.2">
      <c r="B3" s="7"/>
      <c r="C3" s="7"/>
      <c r="D3" s="7"/>
      <c r="E3" s="15" t="s">
        <v>207</v>
      </c>
      <c r="F3" s="15" t="s">
        <v>208</v>
      </c>
      <c r="G3" s="15" t="s">
        <v>63</v>
      </c>
      <c r="H3" s="15" t="s">
        <v>362</v>
      </c>
      <c r="I3" s="15" t="s">
        <v>274</v>
      </c>
      <c r="J3" s="15" t="s">
        <v>305</v>
      </c>
    </row>
    <row r="4" spans="1:10" ht="15" x14ac:dyDescent="0.35">
      <c r="B4" s="8"/>
      <c r="C4" s="8"/>
      <c r="D4" s="8"/>
      <c r="E4" s="153" t="s">
        <v>1759</v>
      </c>
      <c r="F4" s="153" t="s">
        <v>1857</v>
      </c>
      <c r="G4" s="153" t="s">
        <v>1966</v>
      </c>
      <c r="H4" s="153" t="s">
        <v>1966</v>
      </c>
      <c r="I4" s="153" t="s">
        <v>1966</v>
      </c>
      <c r="J4" s="153" t="s">
        <v>1966</v>
      </c>
    </row>
    <row r="6" spans="1:10" ht="15" x14ac:dyDescent="0.35">
      <c r="A6" s="113" t="s">
        <v>1766</v>
      </c>
      <c r="B6" s="153" t="s">
        <v>1759</v>
      </c>
      <c r="C6" s="153" t="s">
        <v>1857</v>
      </c>
      <c r="D6" s="153" t="s">
        <v>1966</v>
      </c>
      <c r="E6" s="2"/>
    </row>
    <row r="7" spans="1:10" x14ac:dyDescent="0.2">
      <c r="B7" s="2" t="s">
        <v>349</v>
      </c>
      <c r="C7" s="2" t="s">
        <v>349</v>
      </c>
      <c r="D7" s="2" t="s">
        <v>349</v>
      </c>
      <c r="F7" s="114"/>
    </row>
    <row r="8" spans="1:10" x14ac:dyDescent="0.2">
      <c r="A8" s="134" t="s">
        <v>1661</v>
      </c>
      <c r="B8" s="2">
        <v>0</v>
      </c>
      <c r="C8" s="2">
        <v>0</v>
      </c>
      <c r="D8" s="2">
        <v>0</v>
      </c>
      <c r="E8" s="123">
        <v>80713</v>
      </c>
      <c r="F8" s="2">
        <v>0</v>
      </c>
      <c r="G8" s="2">
        <v>0</v>
      </c>
      <c r="H8" s="2">
        <v>0</v>
      </c>
      <c r="I8" s="2">
        <v>0</v>
      </c>
      <c r="J8" s="2">
        <v>0</v>
      </c>
    </row>
    <row r="9" spans="1:10" s="259" customFormat="1" x14ac:dyDescent="0.2">
      <c r="B9" s="2"/>
      <c r="C9" s="2"/>
      <c r="D9" s="2"/>
      <c r="E9" s="123"/>
      <c r="F9" s="2"/>
      <c r="G9" s="2"/>
      <c r="H9" s="2"/>
      <c r="I9" s="2"/>
      <c r="J9" s="2"/>
    </row>
    <row r="10" spans="1:10" s="259" customFormat="1" x14ac:dyDescent="0.2">
      <c r="B10" s="2"/>
      <c r="C10" s="2"/>
      <c r="D10" s="2"/>
      <c r="E10" s="123"/>
      <c r="F10" s="2"/>
      <c r="G10" s="2"/>
      <c r="H10" s="2"/>
      <c r="I10" s="2"/>
      <c r="J10" s="2"/>
    </row>
    <row r="11" spans="1:10" s="259" customFormat="1" ht="13.5" x14ac:dyDescent="0.25">
      <c r="A11" s="260" t="s">
        <v>2160</v>
      </c>
      <c r="B11" s="2"/>
      <c r="C11" s="2"/>
      <c r="D11" s="2"/>
      <c r="E11" s="123"/>
      <c r="F11" s="2"/>
      <c r="G11" s="2"/>
      <c r="H11" s="2"/>
      <c r="I11" s="2"/>
      <c r="J11" s="2"/>
    </row>
    <row r="13" spans="1:10" ht="15" x14ac:dyDescent="0.35">
      <c r="A13" s="256" t="s">
        <v>2140</v>
      </c>
      <c r="E13" s="10">
        <v>0</v>
      </c>
      <c r="F13" s="10">
        <v>0</v>
      </c>
      <c r="G13" s="10">
        <v>0</v>
      </c>
      <c r="H13" s="10">
        <v>0</v>
      </c>
      <c r="I13" s="10">
        <v>0</v>
      </c>
      <c r="J13" s="10">
        <v>75000</v>
      </c>
    </row>
    <row r="14" spans="1:10" x14ac:dyDescent="0.2">
      <c r="E14" s="2"/>
    </row>
    <row r="15" spans="1:10" x14ac:dyDescent="0.2">
      <c r="A15" s="19" t="s">
        <v>1167</v>
      </c>
      <c r="D15" s="2"/>
      <c r="E15" s="2">
        <f>SUM(E6:E14)</f>
        <v>80713</v>
      </c>
      <c r="F15" s="2">
        <f>SUM(F7:F14)</f>
        <v>0</v>
      </c>
      <c r="G15" s="2">
        <f>SUM(G7:G14)</f>
        <v>0</v>
      </c>
      <c r="H15" s="2">
        <f>SUM(H7:H14)</f>
        <v>0</v>
      </c>
      <c r="I15" s="2">
        <f>SUM(I7:I14)</f>
        <v>0</v>
      </c>
      <c r="J15" s="2">
        <f>SUM(J7:J14)</f>
        <v>75000</v>
      </c>
    </row>
    <row r="18" spans="1:10" x14ac:dyDescent="0.2">
      <c r="A18" s="112" t="s">
        <v>523</v>
      </c>
      <c r="E18" s="2">
        <v>0</v>
      </c>
      <c r="F18" s="2">
        <v>0</v>
      </c>
      <c r="G18" s="2">
        <v>0</v>
      </c>
      <c r="H18" s="2">
        <v>0</v>
      </c>
      <c r="I18" s="2">
        <v>0</v>
      </c>
      <c r="J18" s="2">
        <v>0</v>
      </c>
    </row>
    <row r="19" spans="1:10" x14ac:dyDescent="0.2">
      <c r="A19" s="112" t="s">
        <v>818</v>
      </c>
      <c r="E19" s="2">
        <v>0</v>
      </c>
      <c r="F19" s="2">
        <f>+F8</f>
        <v>0</v>
      </c>
      <c r="G19" s="2">
        <f>+G8</f>
        <v>0</v>
      </c>
      <c r="H19" s="2">
        <f>+H8</f>
        <v>0</v>
      </c>
      <c r="I19" s="2">
        <f>+I8</f>
        <v>0</v>
      </c>
      <c r="J19" s="2">
        <v>0</v>
      </c>
    </row>
    <row r="20" spans="1:10" ht="15" x14ac:dyDescent="0.35">
      <c r="A20" s="112" t="s">
        <v>819</v>
      </c>
      <c r="E20" s="10">
        <f>E8</f>
        <v>80713</v>
      </c>
      <c r="F20" s="10">
        <v>0</v>
      </c>
      <c r="G20" s="10">
        <v>0</v>
      </c>
      <c r="H20" s="10">
        <v>0</v>
      </c>
      <c r="I20" s="10">
        <v>0</v>
      </c>
      <c r="J20" s="10">
        <f>+J15</f>
        <v>75000</v>
      </c>
    </row>
    <row r="21" spans="1:10" x14ac:dyDescent="0.2">
      <c r="A21" s="112" t="s">
        <v>1086</v>
      </c>
      <c r="E21" s="2">
        <f t="shared" ref="E21:J21" si="0">SUM(E18:E20)</f>
        <v>80713</v>
      </c>
      <c r="F21" s="2">
        <f t="shared" si="0"/>
        <v>0</v>
      </c>
      <c r="G21" s="2">
        <f t="shared" si="0"/>
        <v>0</v>
      </c>
      <c r="H21" s="2">
        <f t="shared" si="0"/>
        <v>0</v>
      </c>
      <c r="I21" s="2">
        <f t="shared" si="0"/>
        <v>0</v>
      </c>
      <c r="J21" s="2">
        <f t="shared" si="0"/>
        <v>75000</v>
      </c>
    </row>
    <row r="25" spans="1:10" x14ac:dyDescent="0.2">
      <c r="H25" s="2"/>
    </row>
    <row r="26" spans="1:10" x14ac:dyDescent="0.2">
      <c r="H26" s="11"/>
    </row>
  </sheetData>
  <mergeCells count="1">
    <mergeCell ref="A1:J1"/>
  </mergeCells>
  <printOptions gridLines="1"/>
  <pageMargins left="0.75" right="0.16" top="0.51" bottom="0.16" header="0.5" footer="0"/>
  <pageSetup scale="8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1"/>
  <sheetViews>
    <sheetView view="pageBreakPreview" zoomScaleNormal="100" zoomScaleSheetLayoutView="100" workbookViewId="0">
      <pane ySplit="5" topLeftCell="A6" activePane="bottomLeft" state="frozen"/>
      <selection pane="bottomLeft" sqref="A1:J1"/>
    </sheetView>
  </sheetViews>
  <sheetFormatPr defaultColWidth="8.85546875" defaultRowHeight="12.75" x14ac:dyDescent="0.2"/>
  <cols>
    <col min="1" max="1" width="41.42578125" style="220" bestFit="1" customWidth="1"/>
    <col min="2" max="3" width="9" style="220" bestFit="1" customWidth="1"/>
    <col min="4" max="4" width="11.7109375" style="220" bestFit="1" customWidth="1"/>
    <col min="5" max="6" width="11.28515625" style="220" bestFit="1" customWidth="1"/>
    <col min="7" max="7" width="11.7109375" style="220" bestFit="1" customWidth="1"/>
    <col min="8" max="8" width="13.5703125" style="220" bestFit="1" customWidth="1"/>
    <col min="9" max="10" width="11.28515625" style="220" bestFit="1" customWidth="1"/>
    <col min="11" max="11" width="0" style="220" hidden="1" customWidth="1"/>
    <col min="12" max="16384" width="8.85546875" style="220"/>
  </cols>
  <sheetData>
    <row r="1" spans="1:10" x14ac:dyDescent="0.2">
      <c r="A1" s="261" t="s">
        <v>1965</v>
      </c>
      <c r="B1" s="261"/>
      <c r="C1" s="261"/>
      <c r="D1" s="261"/>
      <c r="E1" s="261"/>
      <c r="F1" s="261"/>
      <c r="G1" s="261"/>
      <c r="H1" s="261"/>
      <c r="I1" s="261"/>
      <c r="J1" s="261"/>
    </row>
    <row r="2" spans="1:10" ht="18.75" x14ac:dyDescent="0.3">
      <c r="A2" s="107" t="s">
        <v>1652</v>
      </c>
      <c r="B2" s="107"/>
      <c r="C2" s="107"/>
      <c r="D2" s="107"/>
      <c r="E2" s="107"/>
      <c r="F2" s="107"/>
    </row>
    <row r="3" spans="1:10" x14ac:dyDescent="0.2">
      <c r="B3" s="7"/>
      <c r="C3" s="7"/>
      <c r="D3" s="7"/>
      <c r="E3" s="15" t="s">
        <v>207</v>
      </c>
      <c r="F3" s="15" t="s">
        <v>208</v>
      </c>
      <c r="G3" s="15" t="s">
        <v>63</v>
      </c>
      <c r="H3" s="15" t="s">
        <v>362</v>
      </c>
      <c r="I3" s="15" t="s">
        <v>274</v>
      </c>
      <c r="J3" s="15" t="s">
        <v>305</v>
      </c>
    </row>
    <row r="4" spans="1:10" ht="15" x14ac:dyDescent="0.35">
      <c r="B4" s="8"/>
      <c r="C4" s="8"/>
      <c r="D4" s="8"/>
      <c r="E4" s="221" t="s">
        <v>1759</v>
      </c>
      <c r="F4" s="221" t="s">
        <v>1857</v>
      </c>
      <c r="G4" s="221" t="s">
        <v>1966</v>
      </c>
      <c r="H4" s="221" t="s">
        <v>1966</v>
      </c>
      <c r="I4" s="221" t="s">
        <v>1966</v>
      </c>
      <c r="J4" s="221" t="s">
        <v>1966</v>
      </c>
    </row>
    <row r="5" spans="1:10" ht="13.5" x14ac:dyDescent="0.25">
      <c r="A5" s="267"/>
      <c r="B5" s="267"/>
      <c r="C5" s="267"/>
      <c r="D5" s="267"/>
      <c r="E5" s="267"/>
      <c r="F5" s="267"/>
    </row>
    <row r="9" spans="1:10" ht="13.5" x14ac:dyDescent="0.25">
      <c r="A9" s="225" t="s">
        <v>514</v>
      </c>
      <c r="B9" s="4" t="s">
        <v>526</v>
      </c>
      <c r="C9" s="4" t="s">
        <v>527</v>
      </c>
      <c r="D9" s="4" t="s">
        <v>525</v>
      </c>
      <c r="E9" s="2">
        <v>909</v>
      </c>
      <c r="F9" s="2">
        <v>12068</v>
      </c>
      <c r="G9" s="2">
        <v>12795</v>
      </c>
      <c r="H9" s="2">
        <v>12795</v>
      </c>
      <c r="I9" s="2">
        <v>12795</v>
      </c>
      <c r="J9" s="2">
        <v>12795</v>
      </c>
    </row>
    <row r="10" spans="1:10" x14ac:dyDescent="0.2">
      <c r="A10" s="220" t="s">
        <v>65</v>
      </c>
      <c r="B10" s="220">
        <v>189</v>
      </c>
      <c r="C10" s="13">
        <v>67.7</v>
      </c>
      <c r="D10" s="2">
        <f>+B10*C10</f>
        <v>12795.300000000001</v>
      </c>
      <c r="I10" s="251"/>
      <c r="J10" s="256"/>
    </row>
    <row r="11" spans="1:10" x14ac:dyDescent="0.2">
      <c r="I11" s="251"/>
      <c r="J11" s="256"/>
    </row>
    <row r="12" spans="1:10" ht="15" x14ac:dyDescent="0.35">
      <c r="A12" s="14" t="s">
        <v>515</v>
      </c>
      <c r="B12" s="8"/>
      <c r="C12" s="8"/>
      <c r="D12" s="8"/>
      <c r="E12" s="2">
        <v>404084</v>
      </c>
      <c r="F12" s="2">
        <v>431465</v>
      </c>
      <c r="G12" s="2">
        <v>481754</v>
      </c>
      <c r="H12" s="2">
        <v>481754</v>
      </c>
      <c r="I12" s="2">
        <v>481754</v>
      </c>
      <c r="J12" s="2">
        <v>481754</v>
      </c>
    </row>
    <row r="13" spans="1:10" x14ac:dyDescent="0.2">
      <c r="A13" s="220" t="s">
        <v>65</v>
      </c>
      <c r="B13" s="2">
        <v>5700</v>
      </c>
      <c r="C13" s="11">
        <v>76.31</v>
      </c>
      <c r="D13" s="2">
        <f>ROUND(B13*C13,0)</f>
        <v>434967</v>
      </c>
    </row>
    <row r="14" spans="1:10" x14ac:dyDescent="0.2">
      <c r="A14" s="220" t="s">
        <v>847</v>
      </c>
      <c r="B14" s="2"/>
      <c r="C14" s="11"/>
      <c r="D14" s="17">
        <v>46787</v>
      </c>
    </row>
    <row r="15" spans="1:10" x14ac:dyDescent="0.2">
      <c r="A15" s="220" t="s">
        <v>1127</v>
      </c>
      <c r="C15" s="11" t="s">
        <v>349</v>
      </c>
      <c r="D15" s="2">
        <f>SUM(D13:D14)</f>
        <v>481754</v>
      </c>
    </row>
    <row r="16" spans="1:10" s="259" customFormat="1" x14ac:dyDescent="0.2">
      <c r="C16" s="11"/>
      <c r="D16" s="2"/>
    </row>
    <row r="20" spans="3:3" x14ac:dyDescent="0.2">
      <c r="C20" s="11"/>
    </row>
    <row r="21" spans="3:3" x14ac:dyDescent="0.2">
      <c r="C21" s="11"/>
    </row>
  </sheetData>
  <mergeCells count="2">
    <mergeCell ref="A5:F5"/>
    <mergeCell ref="A1:J1"/>
  </mergeCells>
  <phoneticPr fontId="5" type="noConversion"/>
  <printOptions gridLines="1"/>
  <pageMargins left="0.75" right="0.16" top="0.51" bottom="0.22" header="0.5" footer="0"/>
  <pageSetup scale="91" fitToHeight="7" orientation="landscape" r:id="rId1"/>
  <headerFooter alignWithMargins="0"/>
  <rowBreaks count="1" manualBreakCount="1">
    <brk id="11" max="16383" man="1"/>
  </rowBreaks>
  <colBreaks count="1" manualBreakCount="1">
    <brk id="10" max="1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view="pageBreakPreview" zoomScaleNormal="100" zoomScaleSheetLayoutView="100" workbookViewId="0">
      <pane ySplit="5" topLeftCell="A6" activePane="bottomLeft" state="frozen"/>
      <selection pane="bottomLeft" sqref="A1:J1"/>
    </sheetView>
  </sheetViews>
  <sheetFormatPr defaultColWidth="8.85546875" defaultRowHeight="12.75" x14ac:dyDescent="0.2"/>
  <cols>
    <col min="1" max="1" width="58.28515625" style="220" customWidth="1"/>
    <col min="2" max="2" width="13.140625" style="220" customWidth="1"/>
    <col min="3" max="3" width="7.85546875" style="220" bestFit="1" customWidth="1"/>
    <col min="4" max="4" width="11.28515625" style="42" bestFit="1" customWidth="1"/>
    <col min="5" max="6" width="9" style="220" bestFit="1" customWidth="1"/>
    <col min="7" max="7" width="9.85546875" style="220" customWidth="1"/>
    <col min="8" max="8" width="12.28515625" style="220" customWidth="1"/>
    <col min="9" max="10" width="10.85546875" style="220" customWidth="1"/>
    <col min="11" max="11" width="0" style="220" hidden="1" customWidth="1"/>
    <col min="12" max="16384" width="8.85546875" style="220"/>
  </cols>
  <sheetData>
    <row r="1" spans="1:10" x14ac:dyDescent="0.2">
      <c r="A1" s="261" t="s">
        <v>1965</v>
      </c>
      <c r="B1" s="261"/>
      <c r="C1" s="261"/>
      <c r="D1" s="261"/>
      <c r="E1" s="261"/>
      <c r="F1" s="261"/>
      <c r="G1" s="261"/>
      <c r="H1" s="261"/>
      <c r="I1" s="261"/>
      <c r="J1" s="261"/>
    </row>
    <row r="2" spans="1:10" ht="18.75" x14ac:dyDescent="0.3">
      <c r="A2" s="107" t="s">
        <v>1654</v>
      </c>
      <c r="B2" s="107"/>
      <c r="C2" s="107"/>
      <c r="D2" s="107"/>
      <c r="E2" s="107"/>
      <c r="F2" s="107"/>
      <c r="G2" s="78"/>
      <c r="H2" s="78"/>
    </row>
    <row r="3" spans="1:10" x14ac:dyDescent="0.2">
      <c r="A3" s="219"/>
      <c r="D3" s="220"/>
    </row>
    <row r="4" spans="1:10" x14ac:dyDescent="0.2">
      <c r="B4" s="7"/>
      <c r="C4" s="7"/>
      <c r="D4" s="101"/>
      <c r="E4" s="15" t="s">
        <v>207</v>
      </c>
      <c r="F4" s="15" t="s">
        <v>208</v>
      </c>
      <c r="G4" s="15" t="s">
        <v>63</v>
      </c>
      <c r="H4" s="15" t="s">
        <v>362</v>
      </c>
      <c r="I4" s="15" t="s">
        <v>274</v>
      </c>
      <c r="J4" s="15" t="s">
        <v>305</v>
      </c>
    </row>
    <row r="5" spans="1:10" ht="15" x14ac:dyDescent="0.35">
      <c r="B5" s="8"/>
      <c r="C5" s="8"/>
      <c r="D5" s="102"/>
      <c r="E5" s="221" t="s">
        <v>1759</v>
      </c>
      <c r="F5" s="221" t="s">
        <v>1857</v>
      </c>
      <c r="G5" s="221" t="s">
        <v>1966</v>
      </c>
      <c r="H5" s="221" t="s">
        <v>1966</v>
      </c>
      <c r="I5" s="221" t="s">
        <v>1966</v>
      </c>
      <c r="J5" s="221" t="s">
        <v>1966</v>
      </c>
    </row>
    <row r="6" spans="1:10" ht="13.5" x14ac:dyDescent="0.25">
      <c r="A6" s="267"/>
      <c r="B6" s="267"/>
      <c r="C6" s="267"/>
      <c r="D6" s="267"/>
      <c r="E6" s="267"/>
      <c r="F6" s="267"/>
    </row>
    <row r="7" spans="1:10" x14ac:dyDescent="0.2">
      <c r="A7" s="220" t="s">
        <v>1971</v>
      </c>
      <c r="D7" s="2"/>
    </row>
    <row r="8" spans="1:10" x14ac:dyDescent="0.2">
      <c r="D8" s="2"/>
    </row>
    <row r="9" spans="1:10" ht="13.5" x14ac:dyDescent="0.25">
      <c r="A9" s="225" t="s">
        <v>1569</v>
      </c>
      <c r="C9" s="11"/>
      <c r="D9" s="2"/>
      <c r="E9" s="2">
        <f>196479+7912+2354-260+278</f>
        <v>206763</v>
      </c>
      <c r="F9" s="2">
        <v>0</v>
      </c>
      <c r="G9" s="2">
        <v>241768</v>
      </c>
      <c r="H9" s="2">
        <v>241768</v>
      </c>
      <c r="I9" s="2">
        <v>241768</v>
      </c>
      <c r="J9" s="2">
        <v>241768</v>
      </c>
    </row>
    <row r="10" spans="1:10" ht="13.5" x14ac:dyDescent="0.25">
      <c r="A10" s="84" t="s">
        <v>1815</v>
      </c>
      <c r="C10" s="11"/>
      <c r="D10" s="2"/>
      <c r="E10" s="2"/>
      <c r="I10" s="251"/>
      <c r="J10" s="256"/>
    </row>
    <row r="11" spans="1:10" x14ac:dyDescent="0.2">
      <c r="A11" s="2" t="s">
        <v>2018</v>
      </c>
      <c r="B11" s="2">
        <v>392</v>
      </c>
      <c r="C11" s="11">
        <v>19.11</v>
      </c>
      <c r="D11" s="2">
        <f t="shared" ref="D11:D23" si="0">SUMPRODUCT(B11*C11)</f>
        <v>7491.12</v>
      </c>
      <c r="E11" s="2"/>
      <c r="F11" s="2"/>
      <c r="G11" s="2"/>
      <c r="H11" s="2"/>
      <c r="I11" s="2"/>
      <c r="J11" s="2"/>
    </row>
    <row r="12" spans="1:10" x14ac:dyDescent="0.2">
      <c r="A12" s="2" t="s">
        <v>2019</v>
      </c>
      <c r="B12" s="2">
        <v>384</v>
      </c>
      <c r="C12" s="11">
        <v>13.4</v>
      </c>
      <c r="D12" s="2">
        <f t="shared" si="0"/>
        <v>5145.6000000000004</v>
      </c>
      <c r="E12" s="2"/>
      <c r="F12" s="2"/>
      <c r="G12" s="2"/>
      <c r="H12" s="2"/>
      <c r="I12" s="2"/>
      <c r="J12" s="2"/>
    </row>
    <row r="13" spans="1:10" x14ac:dyDescent="0.2">
      <c r="A13" s="2" t="s">
        <v>2020</v>
      </c>
      <c r="B13" s="2">
        <v>384</v>
      </c>
      <c r="C13" s="11">
        <v>19.38</v>
      </c>
      <c r="D13" s="2">
        <f t="shared" si="0"/>
        <v>7441.92</v>
      </c>
      <c r="E13" s="2"/>
      <c r="F13" s="2"/>
      <c r="G13" s="2"/>
      <c r="H13" s="2"/>
      <c r="I13" s="2"/>
      <c r="J13" s="2"/>
    </row>
    <row r="14" spans="1:10" x14ac:dyDescent="0.2">
      <c r="A14" s="2" t="s">
        <v>2021</v>
      </c>
      <c r="B14" s="2">
        <v>368</v>
      </c>
      <c r="C14" s="11">
        <v>14.08</v>
      </c>
      <c r="D14" s="2">
        <f t="shared" si="0"/>
        <v>5181.4399999999996</v>
      </c>
      <c r="E14" s="2"/>
      <c r="F14" s="2"/>
      <c r="G14" s="2"/>
      <c r="H14" s="2"/>
      <c r="I14" s="2"/>
      <c r="J14" s="2"/>
    </row>
    <row r="15" spans="1:10" x14ac:dyDescent="0.2">
      <c r="A15" s="2" t="s">
        <v>2022</v>
      </c>
      <c r="B15" s="2">
        <v>368</v>
      </c>
      <c r="C15" s="11">
        <v>12.24</v>
      </c>
      <c r="D15" s="2">
        <f t="shared" si="0"/>
        <v>4504.32</v>
      </c>
      <c r="E15" s="2"/>
      <c r="F15" s="2"/>
      <c r="G15" s="2"/>
      <c r="H15" s="2"/>
      <c r="I15" s="2"/>
      <c r="J15" s="2"/>
    </row>
    <row r="16" spans="1:10" x14ac:dyDescent="0.2">
      <c r="A16" s="2" t="s">
        <v>2023</v>
      </c>
      <c r="B16" s="2">
        <v>192</v>
      </c>
      <c r="C16" s="11">
        <v>17.39</v>
      </c>
      <c r="D16" s="2">
        <f t="shared" si="0"/>
        <v>3338.88</v>
      </c>
      <c r="E16" s="2"/>
      <c r="F16" s="2"/>
      <c r="G16" s="2"/>
      <c r="H16" s="2"/>
      <c r="I16" s="2"/>
      <c r="J16" s="2"/>
    </row>
    <row r="17" spans="1:10" x14ac:dyDescent="0.2">
      <c r="A17" s="2" t="s">
        <v>2024</v>
      </c>
      <c r="B17" s="2">
        <v>1104</v>
      </c>
      <c r="C17" s="11">
        <v>11.65</v>
      </c>
      <c r="D17" s="2">
        <f t="shared" si="0"/>
        <v>12861.6</v>
      </c>
      <c r="E17" s="2"/>
      <c r="F17" s="2"/>
      <c r="G17" s="2"/>
      <c r="H17" s="2"/>
      <c r="I17" s="2"/>
      <c r="J17" s="2"/>
    </row>
    <row r="18" spans="1:10" x14ac:dyDescent="0.2">
      <c r="A18" s="2" t="s">
        <v>2025</v>
      </c>
      <c r="B18" s="2">
        <v>1104</v>
      </c>
      <c r="C18" s="11">
        <v>12.49</v>
      </c>
      <c r="D18" s="2">
        <f t="shared" si="0"/>
        <v>13788.960000000001</v>
      </c>
      <c r="E18" s="2"/>
      <c r="F18" s="2"/>
      <c r="G18" s="2"/>
      <c r="H18" s="2"/>
      <c r="I18" s="2"/>
      <c r="J18" s="2"/>
    </row>
    <row r="19" spans="1:10" x14ac:dyDescent="0.2">
      <c r="A19" s="2" t="s">
        <v>2026</v>
      </c>
      <c r="B19" s="2">
        <v>3680</v>
      </c>
      <c r="C19" s="11">
        <v>10</v>
      </c>
      <c r="D19" s="2">
        <f t="shared" si="0"/>
        <v>36800</v>
      </c>
      <c r="E19" s="2"/>
      <c r="F19" s="2"/>
      <c r="G19" s="2"/>
      <c r="H19" s="2"/>
      <c r="I19" s="2"/>
      <c r="J19" s="2"/>
    </row>
    <row r="20" spans="1:10" x14ac:dyDescent="0.2">
      <c r="A20" s="2" t="s">
        <v>2027</v>
      </c>
      <c r="B20" s="2">
        <v>2208</v>
      </c>
      <c r="C20" s="11">
        <v>8.32</v>
      </c>
      <c r="D20" s="2">
        <f t="shared" si="0"/>
        <v>18370.560000000001</v>
      </c>
      <c r="E20" s="2"/>
      <c r="F20" s="2"/>
      <c r="G20" s="2"/>
      <c r="H20" s="2"/>
      <c r="I20" s="2"/>
      <c r="J20" s="2"/>
    </row>
    <row r="21" spans="1:10" x14ac:dyDescent="0.2">
      <c r="A21" s="2" t="s">
        <v>2028</v>
      </c>
      <c r="B21" s="2">
        <v>736</v>
      </c>
      <c r="C21" s="11">
        <v>13.65</v>
      </c>
      <c r="D21" s="2">
        <f t="shared" si="0"/>
        <v>10046.4</v>
      </c>
      <c r="E21" s="2"/>
      <c r="F21" s="2"/>
      <c r="G21" s="2"/>
      <c r="H21" s="2"/>
      <c r="I21" s="2"/>
      <c r="J21" s="2"/>
    </row>
    <row r="22" spans="1:10" x14ac:dyDescent="0.2">
      <c r="A22" s="2" t="s">
        <v>2029</v>
      </c>
      <c r="B22" s="2">
        <v>1840</v>
      </c>
      <c r="C22" s="11">
        <v>10</v>
      </c>
      <c r="D22" s="2">
        <f t="shared" si="0"/>
        <v>18400</v>
      </c>
      <c r="E22" s="2"/>
      <c r="F22" s="2"/>
      <c r="G22" s="2"/>
      <c r="H22" s="2"/>
      <c r="I22" s="2"/>
      <c r="J22" s="2"/>
    </row>
    <row r="23" spans="1:10" ht="15" x14ac:dyDescent="0.35">
      <c r="A23" s="2" t="s">
        <v>1884</v>
      </c>
      <c r="B23" s="2">
        <v>440</v>
      </c>
      <c r="C23" s="11">
        <v>12.76</v>
      </c>
      <c r="D23" s="10">
        <f t="shared" si="0"/>
        <v>5614.4</v>
      </c>
      <c r="E23" s="2"/>
      <c r="F23" s="2"/>
      <c r="G23" s="2"/>
      <c r="H23" s="2"/>
      <c r="I23" s="2"/>
      <c r="J23" s="2"/>
    </row>
    <row r="24" spans="1:10" x14ac:dyDescent="0.2">
      <c r="A24" s="1" t="s">
        <v>1432</v>
      </c>
      <c r="B24" s="1"/>
      <c r="C24" s="99"/>
      <c r="D24" s="1">
        <f>SUM(D11:D23)</f>
        <v>148985.19999999998</v>
      </c>
      <c r="E24" s="2"/>
      <c r="F24" s="2"/>
      <c r="G24" s="2"/>
      <c r="H24" s="2"/>
      <c r="I24" s="2"/>
      <c r="J24" s="2"/>
    </row>
    <row r="25" spans="1:10" x14ac:dyDescent="0.2">
      <c r="A25" s="11" t="s">
        <v>560</v>
      </c>
      <c r="B25" s="11">
        <f>+D24:D24</f>
        <v>148985.19999999998</v>
      </c>
      <c r="C25" s="11">
        <v>7.6499999999999999E-2</v>
      </c>
      <c r="D25" s="190">
        <f>ROUND(B25*C25,0)</f>
        <v>11397</v>
      </c>
      <c r="E25" s="2"/>
      <c r="F25" s="2"/>
      <c r="G25" s="2"/>
      <c r="H25" s="2"/>
      <c r="I25" s="2"/>
      <c r="J25" s="2"/>
    </row>
    <row r="26" spans="1:10" x14ac:dyDescent="0.2">
      <c r="A26" s="11" t="s">
        <v>561</v>
      </c>
      <c r="B26" s="11">
        <f>+D24</f>
        <v>148985.19999999998</v>
      </c>
      <c r="C26" s="11">
        <v>2.5600000000000001E-2</v>
      </c>
      <c r="D26" s="190">
        <f>ROUND(B26*C26,0)</f>
        <v>3814</v>
      </c>
      <c r="E26" s="2"/>
      <c r="F26" s="2"/>
      <c r="G26" s="2"/>
      <c r="H26" s="2"/>
      <c r="I26" s="2"/>
      <c r="J26" s="2"/>
    </row>
    <row r="27" spans="1:10" x14ac:dyDescent="0.2">
      <c r="A27" s="11" t="s">
        <v>562</v>
      </c>
      <c r="B27" s="11">
        <f>+D24</f>
        <v>148985.19999999998</v>
      </c>
      <c r="C27" s="11">
        <v>3.3999999999999998E-3</v>
      </c>
      <c r="D27" s="190">
        <f>ROUND(B27*C27,0)</f>
        <v>507</v>
      </c>
      <c r="E27" s="2"/>
      <c r="F27" s="2"/>
      <c r="G27" s="2"/>
      <c r="H27" s="2"/>
      <c r="I27" s="2"/>
      <c r="J27" s="2"/>
    </row>
    <row r="28" spans="1:10" x14ac:dyDescent="0.2">
      <c r="A28" s="11" t="s">
        <v>1433</v>
      </c>
      <c r="B28" s="11"/>
      <c r="C28" s="11"/>
      <c r="D28" s="235">
        <v>40669.46</v>
      </c>
      <c r="E28" s="2"/>
      <c r="F28" s="2"/>
      <c r="G28" s="2"/>
      <c r="H28" s="2"/>
      <c r="I28" s="2"/>
      <c r="J28" s="2"/>
    </row>
    <row r="29" spans="1:10" x14ac:dyDescent="0.2">
      <c r="A29" s="11" t="s">
        <v>1571</v>
      </c>
      <c r="B29" s="11"/>
      <c r="C29" s="236"/>
      <c r="D29" s="190">
        <v>12500</v>
      </c>
      <c r="E29" s="2"/>
      <c r="F29" s="2"/>
      <c r="G29" s="2"/>
      <c r="H29" s="2"/>
      <c r="I29" s="2"/>
      <c r="J29" s="2"/>
    </row>
    <row r="30" spans="1:10" x14ac:dyDescent="0.2">
      <c r="A30" s="11" t="s">
        <v>1885</v>
      </c>
      <c r="B30" s="11"/>
      <c r="C30" s="11"/>
      <c r="D30" s="190">
        <v>6000</v>
      </c>
      <c r="E30" s="2"/>
      <c r="F30" s="2"/>
      <c r="G30" s="2"/>
      <c r="H30" s="2"/>
      <c r="I30" s="2"/>
      <c r="J30" s="2"/>
    </row>
    <row r="31" spans="1:10" x14ac:dyDescent="0.2">
      <c r="A31" s="11" t="s">
        <v>1886</v>
      </c>
      <c r="B31" s="11"/>
      <c r="C31" s="11"/>
      <c r="D31" s="190">
        <v>2000</v>
      </c>
      <c r="E31" s="2"/>
      <c r="F31" s="2"/>
      <c r="G31" s="2"/>
      <c r="H31" s="2"/>
      <c r="I31" s="2"/>
      <c r="J31" s="2"/>
    </row>
    <row r="32" spans="1:10" x14ac:dyDescent="0.2">
      <c r="A32" s="11" t="s">
        <v>2030</v>
      </c>
      <c r="B32" s="11"/>
      <c r="C32" s="11"/>
      <c r="D32" s="190">
        <v>1000</v>
      </c>
      <c r="E32" s="2"/>
      <c r="F32" s="2"/>
      <c r="G32" s="2"/>
      <c r="H32" s="2"/>
      <c r="I32" s="2"/>
      <c r="J32" s="2"/>
    </row>
    <row r="33" spans="1:10" x14ac:dyDescent="0.2">
      <c r="A33" s="11" t="s">
        <v>1887</v>
      </c>
      <c r="B33" s="11"/>
      <c r="C33" s="11"/>
      <c r="D33" s="190">
        <v>850</v>
      </c>
      <c r="E33" s="2"/>
      <c r="F33" s="2"/>
      <c r="G33" s="2"/>
      <c r="H33" s="2"/>
      <c r="I33" s="2"/>
      <c r="J33" s="2"/>
    </row>
    <row r="34" spans="1:10" x14ac:dyDescent="0.2">
      <c r="A34" s="11" t="s">
        <v>1572</v>
      </c>
      <c r="B34" s="11"/>
      <c r="C34" s="11"/>
      <c r="D34" s="190">
        <v>350</v>
      </c>
      <c r="E34" s="2"/>
      <c r="F34" s="2"/>
      <c r="G34" s="2"/>
      <c r="H34" s="2"/>
      <c r="I34" s="2"/>
      <c r="J34" s="2"/>
    </row>
    <row r="35" spans="1:10" x14ac:dyDescent="0.2">
      <c r="A35" s="11" t="s">
        <v>719</v>
      </c>
      <c r="B35" s="11"/>
      <c r="C35" s="11"/>
      <c r="D35" s="190">
        <v>1600</v>
      </c>
      <c r="E35" s="2"/>
      <c r="F35" s="2"/>
      <c r="G35" s="2"/>
      <c r="H35" s="2"/>
      <c r="I35" s="2"/>
      <c r="J35" s="2"/>
    </row>
    <row r="36" spans="1:10" x14ac:dyDescent="0.2">
      <c r="A36" s="11" t="s">
        <v>1816</v>
      </c>
      <c r="B36" s="11"/>
      <c r="C36" s="11"/>
      <c r="D36" s="190">
        <v>750</v>
      </c>
      <c r="E36" s="2"/>
      <c r="F36" s="2"/>
      <c r="G36" s="2"/>
      <c r="H36" s="2"/>
      <c r="I36" s="2"/>
      <c r="J36" s="2"/>
    </row>
    <row r="37" spans="1:10" x14ac:dyDescent="0.2">
      <c r="A37" s="11" t="s">
        <v>1574</v>
      </c>
      <c r="B37" s="11"/>
      <c r="C37" s="11"/>
      <c r="D37" s="190">
        <v>5000</v>
      </c>
      <c r="E37" s="2"/>
      <c r="F37" s="2"/>
      <c r="G37" s="2"/>
      <c r="H37" s="2"/>
      <c r="I37" s="2"/>
      <c r="J37" s="2"/>
    </row>
    <row r="38" spans="1:10" x14ac:dyDescent="0.2">
      <c r="A38" s="11" t="s">
        <v>1517</v>
      </c>
      <c r="B38" s="11"/>
      <c r="C38" s="11"/>
      <c r="D38" s="190">
        <v>3500</v>
      </c>
      <c r="E38" s="2"/>
      <c r="F38" s="2"/>
      <c r="G38" s="2"/>
      <c r="H38" s="2"/>
      <c r="I38" s="2"/>
      <c r="J38" s="2"/>
    </row>
    <row r="39" spans="1:10" x14ac:dyDescent="0.2">
      <c r="A39" s="11" t="s">
        <v>1888</v>
      </c>
      <c r="B39" s="11"/>
      <c r="C39" s="11"/>
      <c r="D39" s="190">
        <v>300</v>
      </c>
      <c r="E39" s="2"/>
      <c r="F39" s="2"/>
      <c r="G39" s="2"/>
      <c r="H39" s="2"/>
      <c r="I39" s="2"/>
      <c r="J39" s="2"/>
    </row>
    <row r="40" spans="1:10" ht="15" x14ac:dyDescent="0.35">
      <c r="A40" s="11" t="s">
        <v>1889</v>
      </c>
      <c r="B40" s="11"/>
      <c r="C40" s="11"/>
      <c r="D40" s="191">
        <v>2545.1999999999998</v>
      </c>
      <c r="E40" s="2"/>
      <c r="F40" s="2"/>
      <c r="G40" s="2"/>
      <c r="H40" s="2"/>
      <c r="I40" s="2"/>
      <c r="J40" s="2"/>
    </row>
    <row r="41" spans="1:10" x14ac:dyDescent="0.2">
      <c r="A41" s="99" t="s">
        <v>1817</v>
      </c>
      <c r="B41" s="99"/>
      <c r="C41" s="99"/>
      <c r="D41" s="192">
        <f>SUM(D24:D40)</f>
        <v>241767.86</v>
      </c>
      <c r="E41" s="2"/>
      <c r="F41" s="2"/>
      <c r="G41" s="2"/>
      <c r="H41" s="2"/>
      <c r="I41" s="2"/>
      <c r="J41" s="2"/>
    </row>
    <row r="42" spans="1:10" x14ac:dyDescent="0.2">
      <c r="A42" s="1"/>
      <c r="B42" s="1"/>
      <c r="C42" s="1"/>
      <c r="D42" s="2"/>
      <c r="E42" s="2"/>
      <c r="F42" s="2"/>
      <c r="I42" s="251"/>
      <c r="J42" s="256"/>
    </row>
    <row r="43" spans="1:10" ht="15" x14ac:dyDescent="0.35">
      <c r="A43" s="71" t="s">
        <v>1818</v>
      </c>
      <c r="B43" s="2"/>
      <c r="C43" s="2"/>
      <c r="D43" s="2"/>
      <c r="E43" s="2"/>
      <c r="F43" s="2">
        <v>0</v>
      </c>
      <c r="G43" s="2">
        <v>76324</v>
      </c>
      <c r="H43" s="2">
        <v>76324</v>
      </c>
      <c r="I43" s="2">
        <v>76324</v>
      </c>
      <c r="J43" s="2">
        <v>76324</v>
      </c>
    </row>
    <row r="44" spans="1:10" x14ac:dyDescent="0.2">
      <c r="A44" s="2" t="s">
        <v>2031</v>
      </c>
      <c r="B44" s="2">
        <v>360</v>
      </c>
      <c r="C44" s="100">
        <v>11</v>
      </c>
      <c r="D44" s="138">
        <f>SUMPRODUCT(B44*C44)</f>
        <v>3960</v>
      </c>
      <c r="E44" s="2"/>
      <c r="F44" s="2"/>
      <c r="G44" s="138"/>
      <c r="H44" s="138"/>
      <c r="I44" s="138"/>
      <c r="J44" s="138"/>
    </row>
    <row r="45" spans="1:10" ht="15" x14ac:dyDescent="0.35">
      <c r="A45" s="2" t="s">
        <v>2032</v>
      </c>
      <c r="B45" s="2">
        <v>1800</v>
      </c>
      <c r="C45" s="100">
        <v>10</v>
      </c>
      <c r="D45" s="193">
        <f>SUMPRODUCT(B45*C45)</f>
        <v>18000</v>
      </c>
      <c r="E45" s="2"/>
      <c r="F45" s="2"/>
      <c r="G45" s="2"/>
      <c r="H45" s="2"/>
      <c r="I45" s="2"/>
      <c r="J45" s="2"/>
    </row>
    <row r="46" spans="1:10" x14ac:dyDescent="0.2">
      <c r="A46" s="1" t="s">
        <v>1432</v>
      </c>
      <c r="B46" s="2"/>
      <c r="C46" s="2"/>
      <c r="D46" s="237">
        <f>SUM(D44:D45)</f>
        <v>21960</v>
      </c>
      <c r="E46" s="2"/>
      <c r="F46" s="2"/>
      <c r="G46" s="2"/>
      <c r="H46" s="2"/>
      <c r="I46" s="2"/>
      <c r="J46" s="2"/>
    </row>
    <row r="47" spans="1:10" x14ac:dyDescent="0.2">
      <c r="A47" s="2" t="s">
        <v>560</v>
      </c>
      <c r="B47" s="2">
        <f>+D46:D46</f>
        <v>21960</v>
      </c>
      <c r="C47" s="13">
        <v>7.6499999999999999E-2</v>
      </c>
      <c r="D47" s="138">
        <f>ROUND(B47*C47,0)</f>
        <v>1680</v>
      </c>
      <c r="E47" s="2"/>
      <c r="F47" s="2"/>
      <c r="G47" s="2"/>
      <c r="H47" s="2"/>
      <c r="I47" s="2"/>
      <c r="J47" s="2"/>
    </row>
    <row r="48" spans="1:10" x14ac:dyDescent="0.2">
      <c r="A48" s="2" t="s">
        <v>561</v>
      </c>
      <c r="B48" s="2">
        <f>+D46</f>
        <v>21960</v>
      </c>
      <c r="C48" s="13">
        <v>2.5600000000000001E-2</v>
      </c>
      <c r="D48" s="138">
        <f>ROUND(B48*C48,0)</f>
        <v>562</v>
      </c>
      <c r="E48" s="2"/>
      <c r="F48" s="2"/>
      <c r="G48" s="2"/>
      <c r="H48" s="2"/>
      <c r="I48" s="2"/>
      <c r="J48" s="2"/>
    </row>
    <row r="49" spans="1:10" x14ac:dyDescent="0.2">
      <c r="A49" s="2" t="s">
        <v>562</v>
      </c>
      <c r="B49" s="2">
        <f>+D46</f>
        <v>21960</v>
      </c>
      <c r="C49" s="13">
        <v>3.3999999999999998E-3</v>
      </c>
      <c r="D49" s="138">
        <f>ROUND(B49*C49,0)</f>
        <v>75</v>
      </c>
      <c r="E49" s="2"/>
      <c r="F49" s="2"/>
      <c r="G49" s="2"/>
      <c r="H49" s="2"/>
      <c r="I49" s="2"/>
      <c r="J49" s="2"/>
    </row>
    <row r="50" spans="1:10" x14ac:dyDescent="0.2">
      <c r="A50" s="2" t="s">
        <v>1433</v>
      </c>
      <c r="B50" s="2"/>
      <c r="C50" s="13"/>
      <c r="D50" s="238">
        <v>12885.38</v>
      </c>
      <c r="E50" s="2"/>
      <c r="F50" s="2"/>
      <c r="G50" s="2"/>
      <c r="H50" s="2"/>
      <c r="I50" s="2"/>
      <c r="J50" s="2"/>
    </row>
    <row r="51" spans="1:10" x14ac:dyDescent="0.2">
      <c r="A51" s="239" t="s">
        <v>2033</v>
      </c>
      <c r="B51" s="2"/>
      <c r="C51" s="2"/>
      <c r="D51" s="138">
        <v>22680</v>
      </c>
      <c r="E51" s="2"/>
      <c r="F51" s="2"/>
      <c r="G51" s="2"/>
      <c r="H51" s="2"/>
      <c r="I51" s="2"/>
      <c r="J51" s="2"/>
    </row>
    <row r="52" spans="1:10" x14ac:dyDescent="0.2">
      <c r="A52" s="2" t="s">
        <v>2034</v>
      </c>
      <c r="D52" s="138">
        <v>12150</v>
      </c>
      <c r="E52" s="2"/>
      <c r="F52" s="2"/>
      <c r="G52" s="2"/>
      <c r="H52" s="2"/>
      <c r="I52" s="2"/>
      <c r="J52" s="2"/>
    </row>
    <row r="53" spans="1:10" x14ac:dyDescent="0.2">
      <c r="A53" s="2" t="s">
        <v>2035</v>
      </c>
      <c r="B53" s="2"/>
      <c r="C53" s="2"/>
      <c r="D53" s="138">
        <v>500</v>
      </c>
      <c r="E53" s="2"/>
      <c r="F53" s="2"/>
      <c r="G53" s="2"/>
      <c r="H53" s="2"/>
      <c r="I53" s="2"/>
      <c r="J53" s="2"/>
    </row>
    <row r="54" spans="1:10" x14ac:dyDescent="0.2">
      <c r="A54" s="2" t="s">
        <v>1698</v>
      </c>
      <c r="B54" s="2"/>
      <c r="C54" s="2"/>
      <c r="D54" s="138">
        <v>125</v>
      </c>
      <c r="E54" s="2"/>
      <c r="F54" s="2"/>
      <c r="G54" s="2"/>
      <c r="H54" s="2"/>
      <c r="I54" s="2"/>
      <c r="J54" s="2"/>
    </row>
    <row r="55" spans="1:10" x14ac:dyDescent="0.2">
      <c r="A55" s="2" t="s">
        <v>1574</v>
      </c>
      <c r="D55" s="138">
        <v>500</v>
      </c>
      <c r="E55" s="2"/>
      <c r="F55" s="2"/>
      <c r="G55" s="2"/>
      <c r="H55" s="2"/>
      <c r="I55" s="2"/>
      <c r="J55" s="2"/>
    </row>
    <row r="56" spans="1:10" x14ac:dyDescent="0.2">
      <c r="A56" s="2" t="s">
        <v>1820</v>
      </c>
      <c r="B56" s="2"/>
      <c r="C56" s="2"/>
      <c r="D56" s="138">
        <v>1000</v>
      </c>
      <c r="E56" s="2"/>
      <c r="F56" s="2"/>
      <c r="G56" s="2"/>
      <c r="H56" s="2"/>
      <c r="I56" s="2"/>
      <c r="J56" s="2"/>
    </row>
    <row r="57" spans="1:10" x14ac:dyDescent="0.2">
      <c r="A57" s="2" t="s">
        <v>1889</v>
      </c>
      <c r="D57" s="238">
        <v>806.4</v>
      </c>
      <c r="E57" s="2"/>
      <c r="F57" s="2"/>
      <c r="G57" s="2"/>
      <c r="H57" s="2"/>
      <c r="I57" s="2"/>
      <c r="J57" s="2"/>
    </row>
    <row r="58" spans="1:10" ht="15" x14ac:dyDescent="0.35">
      <c r="A58" s="2" t="s">
        <v>1517</v>
      </c>
      <c r="B58" s="2"/>
      <c r="C58" s="2"/>
      <c r="D58" s="193">
        <v>1400</v>
      </c>
      <c r="E58" s="2"/>
      <c r="F58" s="2"/>
      <c r="G58" s="2"/>
      <c r="H58" s="2"/>
      <c r="I58" s="2"/>
      <c r="J58" s="2"/>
    </row>
    <row r="59" spans="1:10" x14ac:dyDescent="0.2">
      <c r="A59" s="19" t="s">
        <v>1817</v>
      </c>
      <c r="D59" s="237">
        <f>SUM(D46:D58)</f>
        <v>76323.78</v>
      </c>
      <c r="E59" s="2"/>
      <c r="F59" s="2"/>
      <c r="G59" s="2"/>
      <c r="H59" s="2"/>
      <c r="I59" s="2"/>
      <c r="J59" s="2"/>
    </row>
    <row r="60" spans="1:10" x14ac:dyDescent="0.2">
      <c r="A60" s="2"/>
      <c r="B60" s="2"/>
      <c r="C60" s="13"/>
      <c r="D60" s="2"/>
      <c r="E60" s="2"/>
      <c r="F60" s="2"/>
      <c r="G60" s="2"/>
      <c r="H60" s="2"/>
      <c r="I60" s="2"/>
      <c r="J60" s="2"/>
    </row>
    <row r="61" spans="1:10" ht="15" x14ac:dyDescent="0.35">
      <c r="A61" s="71" t="s">
        <v>1890</v>
      </c>
      <c r="B61" s="2"/>
      <c r="C61" s="2"/>
      <c r="D61" s="2"/>
      <c r="E61" s="2"/>
      <c r="F61" s="2">
        <v>0</v>
      </c>
      <c r="G61" s="2">
        <v>3232</v>
      </c>
      <c r="H61" s="2">
        <v>3232</v>
      </c>
      <c r="I61" s="2">
        <v>3232</v>
      </c>
      <c r="J61" s="2">
        <v>3232</v>
      </c>
    </row>
    <row r="62" spans="1:10" x14ac:dyDescent="0.2">
      <c r="A62" s="2" t="s">
        <v>1821</v>
      </c>
      <c r="B62" s="2">
        <v>50</v>
      </c>
      <c r="C62" s="100">
        <v>18.73</v>
      </c>
      <c r="D62" s="100">
        <f>SUMPRODUCT(B62*C62)</f>
        <v>936.5</v>
      </c>
      <c r="E62" s="2"/>
      <c r="F62" s="2"/>
      <c r="G62" s="138"/>
      <c r="H62" s="138"/>
      <c r="I62" s="138"/>
      <c r="J62" s="138"/>
    </row>
    <row r="63" spans="1:10" x14ac:dyDescent="0.2">
      <c r="A63" s="2" t="s">
        <v>2036</v>
      </c>
      <c r="B63" s="2">
        <v>100</v>
      </c>
      <c r="C63" s="100">
        <v>10</v>
      </c>
      <c r="D63" s="189">
        <f>SUMPRODUCT(B63*C63)</f>
        <v>1000</v>
      </c>
      <c r="E63" s="2"/>
      <c r="F63" s="2"/>
      <c r="G63" s="2"/>
      <c r="H63" s="2"/>
      <c r="I63" s="2"/>
      <c r="J63" s="2"/>
    </row>
    <row r="64" spans="1:10" x14ac:dyDescent="0.2">
      <c r="A64" s="1" t="s">
        <v>1432</v>
      </c>
      <c r="B64" s="2"/>
      <c r="C64" s="2"/>
      <c r="D64" s="240">
        <f>SUM(D62:D63)</f>
        <v>1936.5</v>
      </c>
      <c r="E64" s="2"/>
      <c r="F64" s="2"/>
      <c r="G64" s="2"/>
      <c r="H64" s="2"/>
      <c r="I64" s="2"/>
      <c r="J64" s="2"/>
    </row>
    <row r="65" spans="1:10" x14ac:dyDescent="0.2">
      <c r="A65" s="2" t="s">
        <v>560</v>
      </c>
      <c r="B65" s="2">
        <f>+D64:D64</f>
        <v>1936.5</v>
      </c>
      <c r="C65" s="13">
        <v>7.6499999999999999E-2</v>
      </c>
      <c r="D65" s="100">
        <f>ROUND(B65*C65,0)</f>
        <v>148</v>
      </c>
      <c r="E65" s="2"/>
      <c r="F65" s="2"/>
      <c r="G65" s="2"/>
      <c r="H65" s="2"/>
      <c r="I65" s="2"/>
      <c r="J65" s="2"/>
    </row>
    <row r="66" spans="1:10" x14ac:dyDescent="0.2">
      <c r="A66" s="2" t="s">
        <v>561</v>
      </c>
      <c r="B66" s="2">
        <f>+D64</f>
        <v>1936.5</v>
      </c>
      <c r="C66" s="13">
        <v>2.5600000000000001E-2</v>
      </c>
      <c r="D66" s="100">
        <f>ROUND(B66*C66,0)</f>
        <v>50</v>
      </c>
      <c r="E66" s="2"/>
      <c r="F66" s="2"/>
      <c r="G66" s="2"/>
      <c r="H66" s="2"/>
      <c r="I66" s="2"/>
      <c r="J66" s="2"/>
    </row>
    <row r="67" spans="1:10" x14ac:dyDescent="0.2">
      <c r="A67" s="2" t="s">
        <v>562</v>
      </c>
      <c r="B67" s="2">
        <f>+D64</f>
        <v>1936.5</v>
      </c>
      <c r="C67" s="13">
        <v>3.3999999999999998E-3</v>
      </c>
      <c r="D67" s="100">
        <f>ROUND(B67*C67,0)</f>
        <v>7</v>
      </c>
      <c r="E67" s="2"/>
      <c r="F67" s="2"/>
      <c r="G67" s="2"/>
      <c r="H67" s="2"/>
      <c r="I67" s="2"/>
      <c r="J67" s="2"/>
    </row>
    <row r="68" spans="1:10" x14ac:dyDescent="0.2">
      <c r="A68" s="2" t="s">
        <v>1433</v>
      </c>
      <c r="B68" s="2"/>
      <c r="C68" s="2"/>
      <c r="D68" s="241">
        <v>517.72</v>
      </c>
      <c r="E68" s="2"/>
      <c r="F68" s="2"/>
      <c r="G68" s="2"/>
      <c r="H68" s="2"/>
      <c r="I68" s="2"/>
      <c r="J68" s="2"/>
    </row>
    <row r="69" spans="1:10" x14ac:dyDescent="0.2">
      <c r="A69" s="2" t="s">
        <v>2037</v>
      </c>
      <c r="B69" s="2"/>
      <c r="C69" s="2"/>
      <c r="D69" s="100">
        <v>75</v>
      </c>
      <c r="E69" s="2"/>
      <c r="F69" s="2"/>
      <c r="G69" s="2"/>
      <c r="H69" s="2"/>
      <c r="I69" s="2"/>
      <c r="J69" s="2"/>
    </row>
    <row r="70" spans="1:10" x14ac:dyDescent="0.2">
      <c r="A70" s="242" t="s">
        <v>1819</v>
      </c>
      <c r="D70" s="100">
        <v>400</v>
      </c>
      <c r="E70" s="2"/>
      <c r="F70" s="2"/>
      <c r="G70" s="2"/>
      <c r="H70" s="2"/>
      <c r="I70" s="2"/>
      <c r="J70" s="2"/>
    </row>
    <row r="71" spans="1:10" x14ac:dyDescent="0.2">
      <c r="A71" s="2" t="s">
        <v>1517</v>
      </c>
      <c r="B71" s="2"/>
      <c r="C71" s="2"/>
      <c r="D71" s="100">
        <v>65</v>
      </c>
      <c r="E71" s="2"/>
      <c r="F71" s="2"/>
      <c r="G71" s="2"/>
      <c r="H71" s="2"/>
      <c r="I71" s="2"/>
      <c r="J71" s="2"/>
    </row>
    <row r="72" spans="1:10" x14ac:dyDescent="0.2">
      <c r="A72" s="2" t="s">
        <v>1889</v>
      </c>
      <c r="B72" s="2"/>
      <c r="C72" s="2"/>
      <c r="D72" s="100">
        <v>32.4</v>
      </c>
      <c r="E72" s="2"/>
      <c r="F72" s="2"/>
      <c r="G72" s="2"/>
      <c r="H72" s="2"/>
      <c r="I72" s="2"/>
      <c r="J72" s="2"/>
    </row>
    <row r="73" spans="1:10" x14ac:dyDescent="0.2">
      <c r="A73" s="19" t="s">
        <v>1817</v>
      </c>
      <c r="D73" s="240">
        <f>SUM(D64:D72)</f>
        <v>3231.6200000000003</v>
      </c>
      <c r="E73" s="2"/>
      <c r="F73" s="2"/>
      <c r="G73" s="2"/>
      <c r="H73" s="2"/>
      <c r="I73" s="2"/>
      <c r="J73" s="2"/>
    </row>
    <row r="74" spans="1:10" x14ac:dyDescent="0.2">
      <c r="A74" s="2"/>
      <c r="B74" s="2"/>
      <c r="C74" s="100"/>
      <c r="D74" s="2"/>
      <c r="E74" s="2"/>
      <c r="F74" s="2"/>
      <c r="G74" s="2"/>
      <c r="H74" s="2"/>
      <c r="I74" s="2"/>
      <c r="J74" s="2"/>
    </row>
    <row r="75" spans="1:10" ht="13.5" x14ac:dyDescent="0.25">
      <c r="A75" s="225" t="s">
        <v>1862</v>
      </c>
      <c r="B75" s="2"/>
      <c r="C75" s="100"/>
      <c r="D75" s="2"/>
      <c r="E75" s="2">
        <v>41490</v>
      </c>
      <c r="F75" s="2"/>
      <c r="G75" s="2"/>
      <c r="H75" s="2"/>
      <c r="I75" s="2"/>
      <c r="J75" s="2"/>
    </row>
    <row r="76" spans="1:10" x14ac:dyDescent="0.2">
      <c r="A76" s="2"/>
      <c r="B76" s="2"/>
      <c r="C76" s="100"/>
      <c r="D76" s="2"/>
      <c r="E76" s="2"/>
      <c r="F76" s="2"/>
      <c r="G76" s="2"/>
      <c r="H76" s="2"/>
      <c r="I76" s="2"/>
      <c r="J76" s="2"/>
    </row>
    <row r="77" spans="1:10" ht="15" x14ac:dyDescent="0.35">
      <c r="A77" s="71" t="s">
        <v>1575</v>
      </c>
      <c r="B77" s="2"/>
      <c r="C77" s="2"/>
      <c r="D77" s="2"/>
      <c r="E77" s="2"/>
      <c r="F77" s="2">
        <v>0</v>
      </c>
      <c r="G77" s="2">
        <v>2145</v>
      </c>
      <c r="H77" s="2">
        <v>2145</v>
      </c>
      <c r="I77" s="2">
        <v>2145</v>
      </c>
      <c r="J77" s="2">
        <v>2145</v>
      </c>
    </row>
    <row r="78" spans="1:10" x14ac:dyDescent="0.2">
      <c r="A78" s="47" t="s">
        <v>1891</v>
      </c>
      <c r="B78" s="2">
        <v>64</v>
      </c>
      <c r="C78" s="100">
        <v>12.64</v>
      </c>
      <c r="D78" s="190">
        <f>SUMPRODUCT(B78*C78)</f>
        <v>808.96</v>
      </c>
      <c r="E78" s="2"/>
      <c r="F78" s="2"/>
      <c r="G78" s="2"/>
      <c r="H78" s="2"/>
      <c r="I78" s="2"/>
      <c r="J78" s="2"/>
    </row>
    <row r="79" spans="1:10" x14ac:dyDescent="0.2">
      <c r="A79" s="47" t="s">
        <v>1892</v>
      </c>
      <c r="B79" s="2">
        <v>64</v>
      </c>
      <c r="C79" s="100">
        <v>11.22</v>
      </c>
      <c r="D79" s="194">
        <f>SUMPRODUCT(B79*C79)</f>
        <v>718.08</v>
      </c>
      <c r="E79" s="2"/>
      <c r="F79" s="2"/>
      <c r="G79" s="2"/>
      <c r="H79" s="2"/>
      <c r="I79" s="2"/>
      <c r="J79" s="2"/>
    </row>
    <row r="80" spans="1:10" x14ac:dyDescent="0.2">
      <c r="A80" s="1" t="s">
        <v>1432</v>
      </c>
      <c r="B80" s="2"/>
      <c r="C80" s="2"/>
      <c r="D80" s="192">
        <f>SUM(D78:D79)</f>
        <v>1527.04</v>
      </c>
      <c r="E80" s="2"/>
      <c r="F80" s="2"/>
      <c r="G80" s="2"/>
      <c r="H80" s="2"/>
      <c r="I80" s="2"/>
      <c r="J80" s="2"/>
    </row>
    <row r="81" spans="1:10" x14ac:dyDescent="0.2">
      <c r="A81" s="2" t="s">
        <v>560</v>
      </c>
      <c r="B81" s="2">
        <f>+D80:D80</f>
        <v>1527.04</v>
      </c>
      <c r="C81" s="13">
        <v>7.6499999999999999E-2</v>
      </c>
      <c r="D81" s="190">
        <f>ROUND(B81*C81,0)</f>
        <v>117</v>
      </c>
      <c r="E81" s="2"/>
      <c r="F81" s="2"/>
      <c r="G81" s="2"/>
      <c r="H81" s="2"/>
      <c r="I81" s="2"/>
      <c r="J81" s="2"/>
    </row>
    <row r="82" spans="1:10" x14ac:dyDescent="0.2">
      <c r="A82" s="2" t="s">
        <v>561</v>
      </c>
      <c r="B82" s="2">
        <f>+D80</f>
        <v>1527.04</v>
      </c>
      <c r="C82" s="13">
        <v>2.5600000000000001E-2</v>
      </c>
      <c r="D82" s="190">
        <f>ROUND(B82*C82,0)</f>
        <v>39</v>
      </c>
      <c r="E82" s="2"/>
      <c r="F82" s="2"/>
      <c r="G82" s="2"/>
      <c r="H82" s="2"/>
      <c r="I82" s="2"/>
      <c r="J82" s="2"/>
    </row>
    <row r="83" spans="1:10" x14ac:dyDescent="0.2">
      <c r="A83" s="2" t="s">
        <v>562</v>
      </c>
      <c r="B83" s="2">
        <f>+D80</f>
        <v>1527.04</v>
      </c>
      <c r="C83" s="13">
        <v>3.3999999999999998E-3</v>
      </c>
      <c r="D83" s="190">
        <f>ROUND(B83*C83,0)</f>
        <v>5</v>
      </c>
      <c r="E83" s="2"/>
      <c r="F83" s="2"/>
      <c r="G83" s="2"/>
      <c r="H83" s="2"/>
      <c r="I83" s="2"/>
      <c r="J83" s="2"/>
    </row>
    <row r="84" spans="1:10" x14ac:dyDescent="0.2">
      <c r="A84" s="2" t="s">
        <v>1433</v>
      </c>
      <c r="B84" s="2"/>
      <c r="C84" s="2"/>
      <c r="D84" s="235">
        <v>345.14</v>
      </c>
      <c r="E84" s="2"/>
      <c r="F84" s="2"/>
      <c r="G84" s="2"/>
      <c r="H84" s="2"/>
      <c r="I84" s="2"/>
      <c r="J84" s="2"/>
    </row>
    <row r="85" spans="1:10" x14ac:dyDescent="0.2">
      <c r="A85" s="2" t="s">
        <v>1578</v>
      </c>
      <c r="B85" s="2"/>
      <c r="C85" s="2"/>
      <c r="D85" s="190">
        <v>25</v>
      </c>
      <c r="E85" s="2"/>
      <c r="F85" s="2"/>
      <c r="G85" s="2"/>
      <c r="H85" s="2"/>
      <c r="I85" s="2"/>
      <c r="J85" s="2"/>
    </row>
    <row r="86" spans="1:10" x14ac:dyDescent="0.2">
      <c r="A86" s="2" t="s">
        <v>1572</v>
      </c>
      <c r="B86" s="2"/>
      <c r="C86" s="2"/>
      <c r="D86" s="190">
        <v>25</v>
      </c>
      <c r="E86" s="2"/>
      <c r="F86" s="2"/>
      <c r="G86" s="2"/>
      <c r="H86" s="2"/>
      <c r="I86" s="2"/>
      <c r="J86" s="2"/>
    </row>
    <row r="87" spans="1:10" x14ac:dyDescent="0.2">
      <c r="A87" s="2" t="s">
        <v>1517</v>
      </c>
      <c r="B87" s="2"/>
      <c r="C87" s="2"/>
      <c r="D87" s="190">
        <v>40</v>
      </c>
      <c r="E87" s="2"/>
      <c r="F87" s="2"/>
      <c r="G87" s="2"/>
      <c r="H87" s="2"/>
      <c r="I87" s="2"/>
      <c r="J87" s="2"/>
    </row>
    <row r="88" spans="1:10" x14ac:dyDescent="0.2">
      <c r="A88" s="2" t="s">
        <v>1889</v>
      </c>
      <c r="B88" s="2"/>
      <c r="C88" s="2"/>
      <c r="D88" s="190">
        <v>21.6</v>
      </c>
      <c r="E88" s="2"/>
      <c r="F88" s="2"/>
      <c r="G88" s="2"/>
      <c r="H88" s="2"/>
      <c r="I88" s="2"/>
      <c r="J88" s="2"/>
    </row>
    <row r="89" spans="1:10" x14ac:dyDescent="0.2">
      <c r="A89" s="19" t="s">
        <v>1817</v>
      </c>
      <c r="D89" s="192">
        <f>SUM(D80:D88)</f>
        <v>2144.7799999999997</v>
      </c>
      <c r="E89" s="2"/>
      <c r="F89" s="2"/>
      <c r="G89" s="2"/>
      <c r="H89" s="2"/>
      <c r="I89" s="2"/>
      <c r="J89" s="2"/>
    </row>
    <row r="90" spans="1:10" x14ac:dyDescent="0.2">
      <c r="A90" s="2"/>
      <c r="B90" s="2"/>
      <c r="C90" s="13"/>
      <c r="D90" s="2"/>
      <c r="E90" s="2"/>
      <c r="F90" s="2"/>
      <c r="G90" s="2"/>
      <c r="H90" s="2"/>
      <c r="I90" s="2"/>
      <c r="J90" s="2"/>
    </row>
    <row r="91" spans="1:10" ht="15" x14ac:dyDescent="0.35">
      <c r="A91" s="71" t="s">
        <v>1576</v>
      </c>
      <c r="B91" s="2"/>
      <c r="C91" s="2"/>
      <c r="D91" s="2"/>
      <c r="E91" s="2"/>
      <c r="F91" s="2">
        <v>0</v>
      </c>
      <c r="G91" s="2">
        <v>2418</v>
      </c>
      <c r="H91" s="2">
        <v>2418</v>
      </c>
      <c r="I91" s="2">
        <v>2418</v>
      </c>
      <c r="J91" s="2">
        <v>2418</v>
      </c>
    </row>
    <row r="92" spans="1:10" x14ac:dyDescent="0.2">
      <c r="A92" s="2" t="s">
        <v>1577</v>
      </c>
      <c r="B92" s="2">
        <v>160</v>
      </c>
      <c r="C92" s="100">
        <v>10</v>
      </c>
      <c r="D92" s="61">
        <f>SUMPRODUCT(B92*C92)</f>
        <v>1600</v>
      </c>
      <c r="E92" s="2"/>
      <c r="F92" s="2"/>
      <c r="G92" s="2"/>
      <c r="H92" s="2"/>
      <c r="I92" s="2"/>
      <c r="J92" s="2"/>
    </row>
    <row r="93" spans="1:10" x14ac:dyDescent="0.2">
      <c r="A93" s="1" t="s">
        <v>1432</v>
      </c>
      <c r="B93" s="2"/>
      <c r="C93" s="2"/>
      <c r="D93" s="129">
        <f>SUM(D92:D92)</f>
        <v>1600</v>
      </c>
      <c r="E93" s="2"/>
      <c r="F93" s="2"/>
      <c r="G93" s="2"/>
      <c r="H93" s="2"/>
      <c r="I93" s="2"/>
      <c r="J93" s="2"/>
    </row>
    <row r="94" spans="1:10" x14ac:dyDescent="0.2">
      <c r="A94" s="2" t="s">
        <v>560</v>
      </c>
      <c r="B94" s="2">
        <f>+D93:D93</f>
        <v>1600</v>
      </c>
      <c r="C94" s="13">
        <v>7.6499999999999999E-2</v>
      </c>
      <c r="D94" s="42">
        <f>ROUND(B94*C94,0)</f>
        <v>122</v>
      </c>
      <c r="E94" s="2"/>
      <c r="F94" s="2"/>
      <c r="G94" s="2"/>
      <c r="H94" s="2"/>
      <c r="I94" s="2"/>
      <c r="J94" s="2"/>
    </row>
    <row r="95" spans="1:10" x14ac:dyDescent="0.2">
      <c r="A95" s="2" t="s">
        <v>561</v>
      </c>
      <c r="B95" s="2">
        <f>+D93</f>
        <v>1600</v>
      </c>
      <c r="C95" s="13">
        <v>2.5600000000000001E-2</v>
      </c>
      <c r="D95" s="42">
        <f>ROUND(B95*C95,0)</f>
        <v>41</v>
      </c>
      <c r="E95" s="2"/>
      <c r="F95" s="2"/>
      <c r="G95" s="2"/>
      <c r="H95" s="2"/>
      <c r="I95" s="2"/>
      <c r="J95" s="2"/>
    </row>
    <row r="96" spans="1:10" x14ac:dyDescent="0.2">
      <c r="A96" s="2" t="s">
        <v>562</v>
      </c>
      <c r="B96" s="2">
        <f>+D93</f>
        <v>1600</v>
      </c>
      <c r="C96" s="13">
        <v>3.3999999999999998E-3</v>
      </c>
      <c r="D96" s="42">
        <f>ROUND(B96*C96,0)</f>
        <v>5</v>
      </c>
      <c r="E96" s="2"/>
      <c r="F96" s="2"/>
      <c r="G96" s="2"/>
      <c r="H96" s="2"/>
      <c r="I96" s="2"/>
      <c r="J96" s="2"/>
    </row>
    <row r="97" spans="1:10" x14ac:dyDescent="0.2">
      <c r="A97" s="2" t="s">
        <v>1433</v>
      </c>
      <c r="B97" s="2"/>
      <c r="C97" s="2"/>
      <c r="D97" s="42">
        <v>402.67</v>
      </c>
      <c r="E97" s="2"/>
      <c r="F97" s="2"/>
      <c r="G97" s="2"/>
      <c r="H97" s="2"/>
      <c r="I97" s="2"/>
      <c r="J97" s="2"/>
    </row>
    <row r="98" spans="1:10" x14ac:dyDescent="0.2">
      <c r="A98" s="2" t="s">
        <v>1573</v>
      </c>
      <c r="B98" s="2"/>
      <c r="C98" s="2"/>
      <c r="D98" s="42">
        <v>150</v>
      </c>
      <c r="E98" s="2"/>
      <c r="F98" s="2"/>
      <c r="G98" s="2"/>
      <c r="H98" s="2"/>
      <c r="I98" s="2"/>
      <c r="J98" s="2"/>
    </row>
    <row r="99" spans="1:10" x14ac:dyDescent="0.2">
      <c r="A99" s="2" t="s">
        <v>1517</v>
      </c>
      <c r="B99" s="2"/>
      <c r="C99" s="2"/>
      <c r="D99" s="42">
        <v>72</v>
      </c>
      <c r="E99" s="2"/>
      <c r="F99" s="2"/>
      <c r="G99" s="2"/>
      <c r="H99" s="2"/>
      <c r="I99" s="2"/>
      <c r="J99" s="2"/>
    </row>
    <row r="100" spans="1:10" x14ac:dyDescent="0.2">
      <c r="A100" s="2" t="s">
        <v>1889</v>
      </c>
      <c r="B100" s="243"/>
      <c r="C100" s="243"/>
      <c r="D100" s="244">
        <v>25.2</v>
      </c>
      <c r="E100" s="2"/>
      <c r="F100" s="2"/>
      <c r="G100" s="2"/>
      <c r="H100" s="2"/>
      <c r="I100" s="2"/>
      <c r="J100" s="2"/>
    </row>
    <row r="101" spans="1:10" x14ac:dyDescent="0.2">
      <c r="A101" s="19" t="s">
        <v>1817</v>
      </c>
      <c r="D101" s="129">
        <f>SUM(D93:D100)</f>
        <v>2417.87</v>
      </c>
      <c r="E101" s="2"/>
      <c r="F101" s="2"/>
      <c r="G101" s="2"/>
      <c r="H101" s="2"/>
      <c r="I101" s="2"/>
      <c r="J101" s="2"/>
    </row>
    <row r="102" spans="1:10" x14ac:dyDescent="0.2">
      <c r="A102" s="19"/>
      <c r="D102" s="1"/>
      <c r="E102" s="2"/>
      <c r="F102" s="2"/>
      <c r="G102" s="2"/>
      <c r="H102" s="2"/>
      <c r="I102" s="2"/>
      <c r="J102" s="2"/>
    </row>
    <row r="103" spans="1:10" ht="15" x14ac:dyDescent="0.35">
      <c r="A103" s="71" t="s">
        <v>1579</v>
      </c>
      <c r="B103" s="2"/>
      <c r="C103" s="2"/>
      <c r="D103" s="2"/>
      <c r="F103" s="2">
        <v>11018.97</v>
      </c>
      <c r="G103" s="2">
        <v>11019</v>
      </c>
      <c r="H103" s="2">
        <v>11019</v>
      </c>
      <c r="I103" s="2">
        <v>11019</v>
      </c>
      <c r="J103" s="2">
        <v>11019</v>
      </c>
    </row>
    <row r="104" spans="1:10" x14ac:dyDescent="0.2">
      <c r="A104" s="2" t="s">
        <v>1822</v>
      </c>
      <c r="B104" s="2">
        <v>120</v>
      </c>
      <c r="C104" s="100">
        <v>19.11</v>
      </c>
      <c r="D104" s="42">
        <f>SUMPRODUCT(B104*C104)</f>
        <v>2293.1999999999998</v>
      </c>
      <c r="E104" s="2"/>
      <c r="F104" s="2"/>
      <c r="G104" s="2"/>
      <c r="H104" s="2"/>
      <c r="I104" s="2"/>
      <c r="J104" s="2"/>
    </row>
    <row r="105" spans="1:10" x14ac:dyDescent="0.2">
      <c r="A105" s="242" t="s">
        <v>1823</v>
      </c>
      <c r="B105" s="220">
        <v>360</v>
      </c>
      <c r="C105" s="242">
        <v>10</v>
      </c>
      <c r="D105" s="42">
        <f>SUMPRODUCT(B105*C105)</f>
        <v>3600</v>
      </c>
      <c r="E105" s="2"/>
      <c r="F105" s="2"/>
      <c r="G105" s="2"/>
      <c r="H105" s="2"/>
      <c r="I105" s="2"/>
      <c r="J105" s="2"/>
    </row>
    <row r="106" spans="1:10" x14ac:dyDescent="0.2">
      <c r="A106" s="242" t="s">
        <v>1824</v>
      </c>
      <c r="B106" s="220">
        <v>60</v>
      </c>
      <c r="C106" s="242">
        <v>14.08</v>
      </c>
      <c r="D106" s="61">
        <f>SUMPRODUCT(B106*C106)</f>
        <v>844.8</v>
      </c>
      <c r="E106" s="2"/>
      <c r="F106" s="2"/>
      <c r="G106" s="2"/>
      <c r="H106" s="2"/>
      <c r="I106" s="2"/>
      <c r="J106" s="2"/>
    </row>
    <row r="107" spans="1:10" x14ac:dyDescent="0.2">
      <c r="A107" s="1" t="s">
        <v>1432</v>
      </c>
      <c r="B107" s="2"/>
      <c r="C107" s="2"/>
      <c r="D107" s="129">
        <f>SUM(D104:D106)</f>
        <v>6738</v>
      </c>
      <c r="E107" s="2"/>
      <c r="F107" s="2"/>
      <c r="G107" s="2"/>
      <c r="H107" s="2"/>
      <c r="I107" s="2"/>
      <c r="J107" s="2"/>
    </row>
    <row r="108" spans="1:10" x14ac:dyDescent="0.2">
      <c r="A108" s="2" t="s">
        <v>560</v>
      </c>
      <c r="B108" s="2">
        <f>+D107:D107</f>
        <v>6738</v>
      </c>
      <c r="C108" s="13">
        <v>7.6499999999999999E-2</v>
      </c>
      <c r="D108" s="42">
        <f>ROUND(B108*C108,0)</f>
        <v>515</v>
      </c>
      <c r="E108" s="2"/>
      <c r="F108" s="2"/>
      <c r="G108" s="2"/>
      <c r="H108" s="2"/>
      <c r="I108" s="2"/>
      <c r="J108" s="2"/>
    </row>
    <row r="109" spans="1:10" x14ac:dyDescent="0.2">
      <c r="A109" s="2" t="s">
        <v>561</v>
      </c>
      <c r="B109" s="2">
        <f>+D107</f>
        <v>6738</v>
      </c>
      <c r="C109" s="13">
        <v>2.5600000000000001E-2</v>
      </c>
      <c r="D109" s="42">
        <f>ROUND(B109*C109,0)</f>
        <v>172</v>
      </c>
      <c r="E109" s="2"/>
      <c r="F109" s="2"/>
      <c r="G109" s="2"/>
      <c r="H109" s="2"/>
      <c r="I109" s="2"/>
      <c r="J109" s="2"/>
    </row>
    <row r="110" spans="1:10" x14ac:dyDescent="0.2">
      <c r="A110" s="2" t="s">
        <v>562</v>
      </c>
      <c r="B110" s="2">
        <f>+D107</f>
        <v>6738</v>
      </c>
      <c r="C110" s="13">
        <v>3.3999999999999998E-3</v>
      </c>
      <c r="D110" s="42">
        <f>ROUND(B110*C110,0)</f>
        <v>23</v>
      </c>
      <c r="E110" s="2"/>
      <c r="F110" s="2"/>
      <c r="G110" s="2"/>
      <c r="H110" s="2"/>
      <c r="I110" s="2"/>
      <c r="J110" s="2"/>
    </row>
    <row r="111" spans="1:10" x14ac:dyDescent="0.2">
      <c r="A111" s="2" t="s">
        <v>1573</v>
      </c>
      <c r="B111" s="2"/>
      <c r="C111" s="2"/>
      <c r="D111" s="42">
        <v>500</v>
      </c>
      <c r="E111" s="2"/>
      <c r="F111" s="2"/>
      <c r="G111" s="2"/>
      <c r="H111" s="2"/>
      <c r="I111" s="2"/>
      <c r="J111" s="2"/>
    </row>
    <row r="112" spans="1:10" x14ac:dyDescent="0.2">
      <c r="A112" s="2" t="s">
        <v>1698</v>
      </c>
      <c r="B112" s="2"/>
      <c r="C112" s="2"/>
      <c r="D112" s="42">
        <v>125</v>
      </c>
      <c r="E112" s="2"/>
      <c r="F112" s="2"/>
      <c r="G112" s="2"/>
      <c r="H112" s="2"/>
      <c r="I112" s="2"/>
      <c r="J112" s="2"/>
    </row>
    <row r="113" spans="1:10" x14ac:dyDescent="0.2">
      <c r="A113" s="2" t="s">
        <v>1581</v>
      </c>
      <c r="D113" s="42">
        <v>650</v>
      </c>
      <c r="E113" s="2"/>
      <c r="F113" s="2"/>
      <c r="G113" s="2"/>
      <c r="H113" s="2"/>
      <c r="I113" s="2"/>
      <c r="J113" s="2"/>
    </row>
    <row r="114" spans="1:10" x14ac:dyDescent="0.2">
      <c r="A114" s="2" t="s">
        <v>1572</v>
      </c>
      <c r="B114" s="2"/>
      <c r="C114" s="2"/>
      <c r="D114" s="42">
        <v>50</v>
      </c>
      <c r="E114" s="2"/>
      <c r="F114" s="2"/>
      <c r="G114" s="2"/>
      <c r="H114" s="2"/>
      <c r="I114" s="2"/>
      <c r="J114" s="2"/>
    </row>
    <row r="115" spans="1:10" x14ac:dyDescent="0.2">
      <c r="A115" s="2" t="s">
        <v>1517</v>
      </c>
      <c r="B115" s="2"/>
      <c r="C115" s="2"/>
      <c r="D115" s="42">
        <v>290</v>
      </c>
      <c r="E115" s="2"/>
      <c r="F115" s="2"/>
      <c r="G115" s="2"/>
      <c r="H115" s="2"/>
      <c r="I115" s="2"/>
      <c r="J115" s="2"/>
    </row>
    <row r="116" spans="1:10" x14ac:dyDescent="0.2">
      <c r="A116" s="2" t="s">
        <v>1433</v>
      </c>
      <c r="D116" s="70">
        <v>1840.77</v>
      </c>
      <c r="E116" s="2"/>
      <c r="F116" s="2"/>
      <c r="G116" s="2"/>
      <c r="H116" s="2"/>
      <c r="I116" s="2"/>
      <c r="J116" s="2"/>
    </row>
    <row r="117" spans="1:10" x14ac:dyDescent="0.2">
      <c r="A117" s="2" t="s">
        <v>1889</v>
      </c>
      <c r="B117" s="243"/>
      <c r="C117" s="243"/>
      <c r="D117" s="244">
        <v>115.2</v>
      </c>
      <c r="E117" s="2"/>
      <c r="F117" s="2"/>
      <c r="G117" s="2"/>
      <c r="H117" s="2"/>
      <c r="I117" s="2"/>
      <c r="J117" s="2"/>
    </row>
    <row r="118" spans="1:10" x14ac:dyDescent="0.2">
      <c r="A118" s="19" t="s">
        <v>1817</v>
      </c>
      <c r="D118" s="129">
        <f>SUM(D107:D117)</f>
        <v>11018.970000000001</v>
      </c>
      <c r="E118" s="2"/>
      <c r="F118" s="2"/>
      <c r="G118" s="2"/>
      <c r="H118" s="2"/>
      <c r="I118" s="2"/>
      <c r="J118" s="2"/>
    </row>
    <row r="119" spans="1:10" x14ac:dyDescent="0.2">
      <c r="A119" s="2"/>
      <c r="B119" s="2"/>
      <c r="C119" s="13"/>
      <c r="D119" s="2"/>
      <c r="E119" s="2"/>
      <c r="F119" s="2"/>
      <c r="G119" s="2"/>
      <c r="H119" s="2"/>
      <c r="I119" s="2"/>
      <c r="J119" s="2"/>
    </row>
    <row r="120" spans="1:10" x14ac:dyDescent="0.2">
      <c r="A120" s="245" t="s">
        <v>1825</v>
      </c>
      <c r="D120" s="2"/>
      <c r="E120" s="2"/>
      <c r="F120" s="2">
        <v>5153.8599999999997</v>
      </c>
      <c r="G120" s="2">
        <v>5154</v>
      </c>
      <c r="H120" s="2">
        <v>5154</v>
      </c>
      <c r="I120" s="2">
        <v>5154</v>
      </c>
      <c r="J120" s="2">
        <v>5154</v>
      </c>
    </row>
    <row r="121" spans="1:10" x14ac:dyDescent="0.2">
      <c r="A121" s="2" t="s">
        <v>1893</v>
      </c>
      <c r="B121" s="2">
        <v>60</v>
      </c>
      <c r="C121" s="100">
        <v>19.399999999999999</v>
      </c>
      <c r="D121" s="195">
        <f>SUMPRODUCT(B121*C121)</f>
        <v>1164</v>
      </c>
      <c r="E121" s="2"/>
      <c r="F121" s="2"/>
      <c r="G121" s="2"/>
      <c r="H121" s="2"/>
      <c r="I121" s="2"/>
      <c r="J121" s="2"/>
    </row>
    <row r="122" spans="1:10" x14ac:dyDescent="0.2">
      <c r="A122" s="1" t="s">
        <v>1432</v>
      </c>
      <c r="B122" s="2"/>
      <c r="C122" s="2"/>
      <c r="D122" s="237">
        <f>SUM(D121:D121)</f>
        <v>1164</v>
      </c>
      <c r="E122" s="2"/>
      <c r="F122" s="2"/>
      <c r="G122" s="2"/>
      <c r="H122" s="2"/>
      <c r="I122" s="2"/>
      <c r="J122" s="2"/>
    </row>
    <row r="123" spans="1:10" x14ac:dyDescent="0.2">
      <c r="A123" s="2" t="s">
        <v>560</v>
      </c>
      <c r="B123" s="2">
        <f>+D122:D122</f>
        <v>1164</v>
      </c>
      <c r="C123" s="13">
        <v>7.6499999999999999E-2</v>
      </c>
      <c r="D123" s="138">
        <f>ROUND(B123*C123,0)</f>
        <v>89</v>
      </c>
      <c r="E123" s="2"/>
      <c r="F123" s="2"/>
      <c r="G123" s="2"/>
      <c r="H123" s="2"/>
      <c r="I123" s="2"/>
      <c r="J123" s="2"/>
    </row>
    <row r="124" spans="1:10" x14ac:dyDescent="0.2">
      <c r="A124" s="2" t="s">
        <v>561</v>
      </c>
      <c r="B124" s="2">
        <f>+D122</f>
        <v>1164</v>
      </c>
      <c r="C124" s="13">
        <v>2.5600000000000001E-2</v>
      </c>
      <c r="D124" s="138">
        <f>ROUND(B124*C124,0)</f>
        <v>30</v>
      </c>
      <c r="E124" s="2"/>
      <c r="F124" s="2"/>
      <c r="G124" s="2"/>
      <c r="H124" s="2"/>
      <c r="I124" s="2"/>
      <c r="J124" s="2"/>
    </row>
    <row r="125" spans="1:10" x14ac:dyDescent="0.2">
      <c r="A125" s="2" t="s">
        <v>562</v>
      </c>
      <c r="B125" s="2">
        <f>+D122</f>
        <v>1164</v>
      </c>
      <c r="C125" s="13">
        <v>3.3999999999999998E-3</v>
      </c>
      <c r="D125" s="138">
        <f>ROUND(B125*C125,0)</f>
        <v>4</v>
      </c>
      <c r="E125" s="2"/>
      <c r="F125" s="2"/>
      <c r="G125" s="2"/>
      <c r="H125" s="2"/>
      <c r="I125" s="2"/>
      <c r="J125" s="2"/>
    </row>
    <row r="126" spans="1:10" x14ac:dyDescent="0.2">
      <c r="A126" s="2" t="s">
        <v>1573</v>
      </c>
      <c r="B126" s="2"/>
      <c r="C126" s="2"/>
      <c r="D126" s="138">
        <v>1000</v>
      </c>
      <c r="E126" s="2"/>
      <c r="F126" s="2"/>
      <c r="G126" s="2"/>
      <c r="H126" s="2"/>
      <c r="I126" s="2"/>
      <c r="J126" s="2"/>
    </row>
    <row r="127" spans="1:10" x14ac:dyDescent="0.2">
      <c r="A127" s="2" t="s">
        <v>1894</v>
      </c>
      <c r="B127" s="2"/>
      <c r="C127" s="2"/>
      <c r="D127" s="138">
        <v>1750</v>
      </c>
      <c r="E127" s="2"/>
      <c r="F127" s="2"/>
      <c r="G127" s="2"/>
      <c r="H127" s="2"/>
      <c r="I127" s="2"/>
      <c r="J127" s="2"/>
    </row>
    <row r="128" spans="1:10" x14ac:dyDescent="0.2">
      <c r="A128" s="2" t="s">
        <v>1517</v>
      </c>
      <c r="B128" s="2"/>
      <c r="C128" s="2"/>
      <c r="D128" s="138">
        <v>200</v>
      </c>
      <c r="E128" s="2"/>
      <c r="F128" s="2"/>
      <c r="G128" s="2"/>
      <c r="H128" s="2"/>
      <c r="I128" s="2"/>
      <c r="J128" s="2"/>
    </row>
    <row r="129" spans="1:10" x14ac:dyDescent="0.2">
      <c r="A129" s="2" t="s">
        <v>1433</v>
      </c>
      <c r="B129" s="2"/>
      <c r="C129" s="2"/>
      <c r="D129" s="238">
        <v>862.86</v>
      </c>
      <c r="E129" s="2"/>
      <c r="F129" s="2"/>
      <c r="G129" s="2"/>
      <c r="H129" s="2"/>
      <c r="I129" s="2"/>
      <c r="J129" s="2"/>
    </row>
    <row r="130" spans="1:10" x14ac:dyDescent="0.2">
      <c r="A130" s="2" t="s">
        <v>1889</v>
      </c>
      <c r="D130" s="138">
        <v>54</v>
      </c>
      <c r="E130" s="2"/>
      <c r="F130" s="2"/>
      <c r="G130" s="2"/>
      <c r="H130" s="2"/>
      <c r="I130" s="2"/>
      <c r="J130" s="2"/>
    </row>
    <row r="131" spans="1:10" x14ac:dyDescent="0.2">
      <c r="A131" s="242"/>
      <c r="D131" s="100"/>
      <c r="E131" s="2"/>
      <c r="F131" s="2"/>
      <c r="G131" s="2"/>
      <c r="H131" s="2"/>
      <c r="I131" s="2"/>
      <c r="J131" s="2"/>
    </row>
    <row r="132" spans="1:10" x14ac:dyDescent="0.2">
      <c r="A132" s="19" t="s">
        <v>1817</v>
      </c>
      <c r="D132" s="237">
        <f>SUM(D122:D131)</f>
        <v>5153.8599999999997</v>
      </c>
      <c r="E132" s="2"/>
      <c r="F132" s="2"/>
      <c r="I132" s="251"/>
      <c r="J132" s="256"/>
    </row>
    <row r="133" spans="1:10" x14ac:dyDescent="0.2">
      <c r="A133" s="19"/>
      <c r="D133" s="1"/>
      <c r="E133" s="2"/>
      <c r="F133" s="2"/>
      <c r="G133" s="2"/>
      <c r="H133" s="2"/>
      <c r="I133" s="2"/>
      <c r="J133" s="2"/>
    </row>
    <row r="134" spans="1:10" ht="13.5" x14ac:dyDescent="0.25">
      <c r="A134" s="225" t="s">
        <v>1767</v>
      </c>
      <c r="B134" s="118"/>
      <c r="C134" s="118"/>
      <c r="D134" s="2"/>
      <c r="E134" s="2">
        <v>0</v>
      </c>
      <c r="F134" s="2"/>
      <c r="G134" s="2"/>
      <c r="H134" s="2"/>
      <c r="I134" s="2"/>
      <c r="J134" s="2"/>
    </row>
    <row r="135" spans="1:10" ht="15" x14ac:dyDescent="0.25">
      <c r="A135" s="246"/>
      <c r="B135" s="118"/>
      <c r="C135" s="118"/>
      <c r="D135" s="2"/>
      <c r="E135" s="2"/>
      <c r="F135" s="2">
        <v>0</v>
      </c>
      <c r="G135" s="2"/>
      <c r="H135" s="2"/>
      <c r="I135" s="2"/>
      <c r="J135" s="2"/>
    </row>
    <row r="136" spans="1:10" ht="13.5" x14ac:dyDescent="0.25">
      <c r="A136" s="225" t="s">
        <v>1667</v>
      </c>
      <c r="B136" s="118"/>
      <c r="C136" s="118"/>
      <c r="D136" s="2"/>
      <c r="E136" s="2">
        <v>0</v>
      </c>
      <c r="F136" s="2"/>
      <c r="G136" s="2"/>
      <c r="H136" s="2"/>
      <c r="I136" s="2"/>
      <c r="J136" s="2"/>
    </row>
    <row r="137" spans="1:10" ht="15" x14ac:dyDescent="0.25">
      <c r="A137" s="246"/>
      <c r="B137" s="118"/>
      <c r="C137" s="118"/>
      <c r="D137" s="2"/>
      <c r="E137" s="2"/>
      <c r="F137" s="2"/>
      <c r="G137" s="2"/>
      <c r="H137" s="2"/>
      <c r="I137" s="2"/>
      <c r="J137" s="2"/>
    </row>
    <row r="138" spans="1:10" ht="15" x14ac:dyDescent="0.35">
      <c r="A138" s="225" t="s">
        <v>1668</v>
      </c>
      <c r="B138" s="118"/>
      <c r="C138" s="118"/>
      <c r="D138" s="2"/>
      <c r="E138" s="10">
        <v>3696</v>
      </c>
      <c r="F138" s="10">
        <v>0</v>
      </c>
      <c r="G138" s="10">
        <v>0</v>
      </c>
      <c r="H138" s="10">
        <v>0</v>
      </c>
      <c r="I138" s="10">
        <v>0</v>
      </c>
      <c r="J138" s="10">
        <v>0</v>
      </c>
    </row>
    <row r="139" spans="1:10" x14ac:dyDescent="0.2">
      <c r="A139" s="2" t="s">
        <v>562</v>
      </c>
      <c r="B139" s="2">
        <f>+D136</f>
        <v>0</v>
      </c>
      <c r="C139" s="13">
        <v>1.8E-3</v>
      </c>
      <c r="D139" s="2">
        <f>ROUND(B139*C139,0)</f>
        <v>0</v>
      </c>
      <c r="E139" s="2"/>
      <c r="F139" s="2"/>
      <c r="G139" s="2"/>
      <c r="H139" s="2"/>
      <c r="I139" s="2"/>
      <c r="J139" s="2"/>
    </row>
    <row r="140" spans="1:10" x14ac:dyDescent="0.2">
      <c r="A140" s="2" t="s">
        <v>1433</v>
      </c>
      <c r="B140" s="2"/>
      <c r="C140" s="2"/>
      <c r="D140" s="247"/>
      <c r="E140" s="2"/>
      <c r="F140" s="2"/>
      <c r="G140" s="2"/>
      <c r="H140" s="2"/>
      <c r="I140" s="2"/>
      <c r="J140" s="2"/>
    </row>
    <row r="141" spans="1:10" x14ac:dyDescent="0.2">
      <c r="A141" s="2" t="s">
        <v>1573</v>
      </c>
      <c r="B141" s="2"/>
      <c r="C141" s="2"/>
      <c r="D141" s="247"/>
      <c r="E141" s="2"/>
      <c r="F141" s="2"/>
      <c r="G141" s="2"/>
      <c r="H141" s="2"/>
      <c r="I141" s="2"/>
      <c r="J141" s="2"/>
    </row>
    <row r="142" spans="1:10" x14ac:dyDescent="0.2">
      <c r="A142" s="2" t="s">
        <v>1580</v>
      </c>
      <c r="B142" s="2"/>
      <c r="C142" s="2"/>
      <c r="D142" s="247"/>
      <c r="E142" s="2"/>
      <c r="F142" s="2"/>
      <c r="G142" s="2"/>
      <c r="H142" s="2"/>
      <c r="I142" s="2"/>
      <c r="J142" s="2"/>
    </row>
    <row r="143" spans="1:10" x14ac:dyDescent="0.2">
      <c r="A143" s="2" t="s">
        <v>1581</v>
      </c>
      <c r="B143" s="118"/>
      <c r="C143" s="118"/>
      <c r="D143" s="247"/>
      <c r="E143" s="2"/>
      <c r="F143" s="2"/>
      <c r="G143" s="2"/>
      <c r="H143" s="2"/>
      <c r="I143" s="2"/>
      <c r="J143" s="2"/>
    </row>
    <row r="144" spans="1:10" x14ac:dyDescent="0.2">
      <c r="A144" s="2" t="s">
        <v>1572</v>
      </c>
      <c r="B144" s="2"/>
      <c r="C144" s="2"/>
      <c r="D144" s="247"/>
      <c r="E144" s="2"/>
      <c r="F144" s="2"/>
      <c r="G144" s="2"/>
      <c r="H144" s="2"/>
      <c r="I144" s="2"/>
      <c r="J144" s="2"/>
    </row>
    <row r="145" spans="1:10" x14ac:dyDescent="0.2">
      <c r="A145" s="2" t="s">
        <v>1517</v>
      </c>
      <c r="B145" s="2"/>
      <c r="C145" s="2"/>
      <c r="D145" s="248"/>
      <c r="E145" s="2"/>
      <c r="F145" s="2"/>
      <c r="G145" s="2"/>
      <c r="H145" s="2"/>
      <c r="I145" s="2"/>
      <c r="J145" s="2"/>
    </row>
    <row r="146" spans="1:10" ht="15" x14ac:dyDescent="0.25">
      <c r="A146" s="246" t="s">
        <v>1362</v>
      </c>
      <c r="B146" s="118"/>
      <c r="C146" s="118"/>
      <c r="D146" s="2"/>
      <c r="E146" s="2"/>
      <c r="F146" s="2">
        <v>0</v>
      </c>
      <c r="G146" s="2">
        <v>0</v>
      </c>
      <c r="H146" s="2">
        <v>0</v>
      </c>
      <c r="I146" s="2">
        <v>0</v>
      </c>
      <c r="J146" s="2">
        <v>0</v>
      </c>
    </row>
    <row r="147" spans="1:10" ht="15" x14ac:dyDescent="0.25">
      <c r="A147" s="246"/>
      <c r="B147" s="118"/>
      <c r="C147" s="118"/>
      <c r="D147" s="2"/>
      <c r="E147" s="2"/>
      <c r="F147" s="2"/>
      <c r="G147" s="2"/>
      <c r="H147" s="2"/>
      <c r="I147" s="2"/>
      <c r="J147" s="2"/>
    </row>
    <row r="148" spans="1:10" ht="15" x14ac:dyDescent="0.25">
      <c r="A148" s="246"/>
      <c r="B148" s="118"/>
      <c r="C148" s="118"/>
      <c r="D148" s="2"/>
      <c r="E148" s="2"/>
      <c r="F148" s="2"/>
      <c r="G148" s="2"/>
      <c r="H148" s="2"/>
      <c r="I148" s="2"/>
      <c r="J148" s="2"/>
    </row>
    <row r="149" spans="1:10" ht="15" x14ac:dyDescent="0.25">
      <c r="A149" s="246"/>
      <c r="B149" s="118"/>
      <c r="C149" s="118"/>
      <c r="D149" s="2"/>
      <c r="E149" s="2"/>
      <c r="F149" s="2"/>
      <c r="G149" s="2"/>
      <c r="H149" s="2"/>
      <c r="I149" s="2"/>
      <c r="J149" s="2"/>
    </row>
    <row r="150" spans="1:10" x14ac:dyDescent="0.2">
      <c r="A150" s="2"/>
      <c r="B150" s="2"/>
      <c r="C150" s="11"/>
      <c r="D150" s="2"/>
      <c r="E150" s="2"/>
    </row>
    <row r="151" spans="1:10" x14ac:dyDescent="0.2">
      <c r="A151" s="2" t="s">
        <v>1582</v>
      </c>
      <c r="B151" s="2"/>
      <c r="C151" s="11"/>
      <c r="D151" s="2"/>
      <c r="E151" s="2">
        <f t="shared" ref="E151:J151" si="1">SUM(E9:E148)</f>
        <v>251949</v>
      </c>
      <c r="F151" s="2">
        <f t="shared" si="1"/>
        <v>16172.829999999998</v>
      </c>
      <c r="G151" s="2">
        <f t="shared" si="1"/>
        <v>342060</v>
      </c>
      <c r="H151" s="2">
        <f t="shared" si="1"/>
        <v>342060</v>
      </c>
      <c r="I151" s="2">
        <f t="shared" si="1"/>
        <v>342060</v>
      </c>
      <c r="J151" s="2">
        <f t="shared" si="1"/>
        <v>342060</v>
      </c>
    </row>
    <row r="152" spans="1:10" x14ac:dyDescent="0.2">
      <c r="D152" s="2"/>
      <c r="E152" s="2"/>
      <c r="F152" s="2"/>
      <c r="G152" s="2"/>
      <c r="H152" s="2"/>
      <c r="I152" s="2"/>
      <c r="J152" s="2"/>
    </row>
    <row r="153" spans="1:10" x14ac:dyDescent="0.2">
      <c r="D153" s="2"/>
    </row>
    <row r="154" spans="1:10" x14ac:dyDescent="0.2">
      <c r="D154" s="2"/>
    </row>
    <row r="155" spans="1:10" x14ac:dyDescent="0.2">
      <c r="D155" s="2"/>
    </row>
    <row r="156" spans="1:10" x14ac:dyDescent="0.2">
      <c r="D156" s="2"/>
    </row>
    <row r="157" spans="1:10" x14ac:dyDescent="0.2">
      <c r="D157" s="2"/>
    </row>
    <row r="158" spans="1:10" x14ac:dyDescent="0.2">
      <c r="D158" s="2"/>
    </row>
    <row r="159" spans="1:10" x14ac:dyDescent="0.2">
      <c r="D159" s="2"/>
    </row>
    <row r="160" spans="1:10" x14ac:dyDescent="0.2">
      <c r="D160" s="2"/>
    </row>
    <row r="161" spans="4:4" x14ac:dyDescent="0.2">
      <c r="D161" s="2"/>
    </row>
    <row r="162" spans="4:4" x14ac:dyDescent="0.2">
      <c r="D162" s="2"/>
    </row>
    <row r="163" spans="4:4" x14ac:dyDescent="0.2">
      <c r="D163" s="2"/>
    </row>
    <row r="164" spans="4:4" x14ac:dyDescent="0.2">
      <c r="D164" s="2"/>
    </row>
    <row r="165" spans="4:4" x14ac:dyDescent="0.2">
      <c r="D165" s="2"/>
    </row>
    <row r="166" spans="4:4" x14ac:dyDescent="0.2">
      <c r="D166" s="2"/>
    </row>
    <row r="167" spans="4:4" x14ac:dyDescent="0.2">
      <c r="D167" s="2"/>
    </row>
    <row r="168" spans="4:4" x14ac:dyDescent="0.2">
      <c r="D168" s="2"/>
    </row>
    <row r="169" spans="4:4" x14ac:dyDescent="0.2">
      <c r="D169" s="2"/>
    </row>
    <row r="170" spans="4:4" x14ac:dyDescent="0.2">
      <c r="D170" s="2"/>
    </row>
    <row r="171" spans="4:4" x14ac:dyDescent="0.2">
      <c r="D171" s="2"/>
    </row>
    <row r="172" spans="4:4" x14ac:dyDescent="0.2">
      <c r="D172" s="2"/>
    </row>
    <row r="173" spans="4:4" x14ac:dyDescent="0.2">
      <c r="D173" s="2"/>
    </row>
    <row r="174" spans="4:4" x14ac:dyDescent="0.2">
      <c r="D174" s="2"/>
    </row>
    <row r="175" spans="4:4" x14ac:dyDescent="0.2">
      <c r="D175" s="2"/>
    </row>
    <row r="176" spans="4:4" x14ac:dyDescent="0.2">
      <c r="D176" s="2"/>
    </row>
    <row r="177" spans="4:4" x14ac:dyDescent="0.2">
      <c r="D177" s="2"/>
    </row>
  </sheetData>
  <mergeCells count="2">
    <mergeCell ref="A6:F6"/>
    <mergeCell ref="A1:J1"/>
  </mergeCells>
  <printOptions gridLines="1"/>
  <pageMargins left="0.75" right="0.16" top="0.51" bottom="0.22" header="0.5" footer="0"/>
  <pageSetup scale="85" fitToHeight="7" orientation="landscape" r:id="rId1"/>
  <headerFooter alignWithMargins="0"/>
  <rowBreaks count="4" manualBreakCount="4">
    <brk id="42" max="16383" man="1"/>
    <brk id="74" max="16383" man="1"/>
    <brk id="102" max="16383" man="1"/>
    <brk id="13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440"/>
  <sheetViews>
    <sheetView view="pageBreakPreview" zoomScaleNormal="100" zoomScaleSheetLayoutView="100" workbookViewId="0">
      <pane ySplit="5" topLeftCell="A358" activePane="bottomLeft" state="frozen"/>
      <selection pane="bottomLeft" sqref="A1:J1"/>
    </sheetView>
  </sheetViews>
  <sheetFormatPr defaultColWidth="44.5703125" defaultRowHeight="12.75" x14ac:dyDescent="0.2"/>
  <cols>
    <col min="1" max="1" width="56" style="2" customWidth="1"/>
    <col min="2" max="2" width="9.85546875" style="2" customWidth="1"/>
    <col min="3" max="3" width="10.42578125" style="2" bestFit="1" customWidth="1"/>
    <col min="4" max="4" width="10.85546875" style="2" customWidth="1"/>
    <col min="5" max="5" width="10.42578125" style="2" bestFit="1" customWidth="1"/>
    <col min="6" max="6" width="9.7109375" style="2" customWidth="1"/>
    <col min="7" max="7" width="10.28515625" style="2" customWidth="1"/>
    <col min="8" max="8" width="12.140625" style="2" customWidth="1"/>
    <col min="9" max="9" width="10.85546875" style="2" bestFit="1" customWidth="1"/>
    <col min="10" max="10" width="10.42578125" style="2" bestFit="1" customWidth="1"/>
    <col min="11" max="16384" width="44.5703125" style="2"/>
  </cols>
  <sheetData>
    <row r="1" spans="1:11" x14ac:dyDescent="0.2">
      <c r="A1" s="261" t="s">
        <v>1965</v>
      </c>
      <c r="B1" s="262"/>
      <c r="C1" s="262"/>
      <c r="D1" s="262"/>
      <c r="E1" s="262"/>
      <c r="F1" s="262"/>
      <c r="G1" s="262"/>
      <c r="H1" s="262"/>
      <c r="I1" s="262"/>
      <c r="J1" s="262"/>
    </row>
    <row r="2" spans="1:11" ht="18.75" x14ac:dyDescent="0.3">
      <c r="A2" s="109" t="s">
        <v>1634</v>
      </c>
      <c r="B2" s="109"/>
      <c r="C2" s="109"/>
      <c r="D2" s="109"/>
      <c r="E2" s="109"/>
      <c r="F2" s="109"/>
    </row>
    <row r="4" spans="1:11" x14ac:dyDescent="0.2">
      <c r="B4" s="4"/>
      <c r="C4" s="4"/>
      <c r="D4" s="4"/>
      <c r="E4" s="15" t="s">
        <v>207</v>
      </c>
      <c r="F4" s="15" t="s">
        <v>208</v>
      </c>
      <c r="G4" s="15" t="s">
        <v>63</v>
      </c>
      <c r="H4" s="15" t="s">
        <v>362</v>
      </c>
      <c r="I4" s="15" t="s">
        <v>274</v>
      </c>
      <c r="J4" s="15" t="s">
        <v>305</v>
      </c>
    </row>
    <row r="5" spans="1:11" ht="15" x14ac:dyDescent="0.35">
      <c r="E5" s="221" t="s">
        <v>1759</v>
      </c>
      <c r="F5" s="221" t="s">
        <v>1857</v>
      </c>
      <c r="G5" s="221" t="s">
        <v>1966</v>
      </c>
      <c r="H5" s="221" t="s">
        <v>1966</v>
      </c>
      <c r="I5" s="221" t="s">
        <v>1966</v>
      </c>
      <c r="J5" s="221" t="s">
        <v>1966</v>
      </c>
    </row>
    <row r="6" spans="1:11" ht="13.5" x14ac:dyDescent="0.25">
      <c r="A6" s="48" t="s">
        <v>1022</v>
      </c>
      <c r="E6" s="2">
        <v>48025</v>
      </c>
      <c r="F6" s="2">
        <v>46748</v>
      </c>
      <c r="G6" s="3">
        <v>47223</v>
      </c>
      <c r="H6" s="3">
        <v>47223</v>
      </c>
      <c r="I6" s="3">
        <v>48177</v>
      </c>
      <c r="J6" s="3">
        <v>48177</v>
      </c>
      <c r="K6" s="74" t="e">
        <f>+#REF!/F6</f>
        <v>#REF!</v>
      </c>
    </row>
    <row r="7" spans="1:11" x14ac:dyDescent="0.2">
      <c r="A7" s="2" t="s">
        <v>395</v>
      </c>
      <c r="B7" s="103">
        <v>52</v>
      </c>
      <c r="C7" s="2">
        <v>909</v>
      </c>
      <c r="D7" s="2">
        <f>+B7*C7</f>
        <v>47268</v>
      </c>
      <c r="G7" s="3"/>
      <c r="H7" s="3"/>
      <c r="I7" s="3"/>
      <c r="J7" s="3"/>
    </row>
    <row r="8" spans="1:11" x14ac:dyDescent="0.2">
      <c r="A8" s="2" t="s">
        <v>2139</v>
      </c>
      <c r="B8" s="103">
        <v>1</v>
      </c>
      <c r="C8" s="2">
        <v>909</v>
      </c>
      <c r="D8" s="2">
        <f>+C8*B8</f>
        <v>909</v>
      </c>
      <c r="G8" s="3"/>
      <c r="H8" s="3"/>
      <c r="I8" s="3"/>
      <c r="J8" s="3"/>
    </row>
    <row r="9" spans="1:11" ht="15" x14ac:dyDescent="0.35">
      <c r="A9" s="2" t="s">
        <v>833</v>
      </c>
      <c r="D9" s="10">
        <v>0</v>
      </c>
      <c r="G9" s="3"/>
      <c r="H9" s="3"/>
      <c r="I9" s="3"/>
      <c r="J9" s="3"/>
    </row>
    <row r="10" spans="1:11" x14ac:dyDescent="0.2">
      <c r="A10" s="2" t="s">
        <v>1086</v>
      </c>
      <c r="D10" s="2">
        <f>SUM(D7:D9)</f>
        <v>48177</v>
      </c>
      <c r="G10" s="3"/>
      <c r="H10" s="3"/>
      <c r="I10" s="3"/>
      <c r="J10" s="3"/>
    </row>
    <row r="11" spans="1:11" x14ac:dyDescent="0.2">
      <c r="G11" s="3"/>
      <c r="H11" s="3"/>
      <c r="I11" s="3"/>
      <c r="J11" s="3"/>
    </row>
    <row r="12" spans="1:11" ht="13.5" x14ac:dyDescent="0.25">
      <c r="A12" s="48" t="s">
        <v>396</v>
      </c>
      <c r="E12" s="2">
        <v>912854</v>
      </c>
      <c r="F12" s="2">
        <v>1064393</v>
      </c>
      <c r="G12" s="3">
        <v>1086975</v>
      </c>
      <c r="H12" s="3">
        <v>1108281</v>
      </c>
      <c r="I12" s="3">
        <v>1110083</v>
      </c>
      <c r="J12" s="3">
        <v>1110083</v>
      </c>
    </row>
    <row r="13" spans="1:11" x14ac:dyDescent="0.2">
      <c r="A13" s="2" t="s">
        <v>2111</v>
      </c>
      <c r="B13" s="2">
        <v>52</v>
      </c>
      <c r="C13" s="2">
        <v>2306</v>
      </c>
      <c r="D13" s="2">
        <f>+C13*B13</f>
        <v>119912</v>
      </c>
      <c r="G13" s="3"/>
      <c r="H13" s="3"/>
      <c r="I13" s="3"/>
      <c r="J13" s="3"/>
    </row>
    <row r="14" spans="1:11" x14ac:dyDescent="0.2">
      <c r="A14" s="2" t="s">
        <v>397</v>
      </c>
      <c r="B14" s="2">
        <v>52</v>
      </c>
      <c r="C14" s="2">
        <v>1881</v>
      </c>
      <c r="D14" s="2">
        <f t="shared" ref="D14:D24" si="0">+C14*B14</f>
        <v>97812</v>
      </c>
      <c r="F14" s="11"/>
      <c r="G14" s="3"/>
      <c r="H14" s="3"/>
      <c r="I14" s="3"/>
      <c r="J14" s="3"/>
    </row>
    <row r="15" spans="1:11" x14ac:dyDescent="0.2">
      <c r="A15" s="2" t="s">
        <v>1422</v>
      </c>
      <c r="B15" s="2">
        <v>52</v>
      </c>
      <c r="C15" s="2">
        <v>2122</v>
      </c>
      <c r="D15" s="2">
        <f t="shared" si="0"/>
        <v>110344</v>
      </c>
      <c r="G15" s="3"/>
      <c r="H15" s="3"/>
      <c r="I15" s="3"/>
      <c r="J15" s="3"/>
    </row>
    <row r="16" spans="1:11" x14ac:dyDescent="0.2">
      <c r="A16" s="2" t="s">
        <v>1073</v>
      </c>
      <c r="B16" s="2">
        <v>52</v>
      </c>
      <c r="C16" s="2">
        <v>1474</v>
      </c>
      <c r="D16" s="2">
        <f t="shared" si="0"/>
        <v>76648</v>
      </c>
      <c r="F16" s="11"/>
      <c r="G16" s="3"/>
      <c r="H16" s="3"/>
      <c r="I16" s="3"/>
      <c r="J16" s="3"/>
    </row>
    <row r="17" spans="1:10" x14ac:dyDescent="0.2">
      <c r="A17" s="2" t="s">
        <v>398</v>
      </c>
      <c r="B17" s="2">
        <v>52</v>
      </c>
      <c r="C17" s="2">
        <v>1633</v>
      </c>
      <c r="D17" s="2">
        <f t="shared" si="0"/>
        <v>84916</v>
      </c>
      <c r="G17" s="58"/>
      <c r="H17" s="58"/>
      <c r="I17" s="58"/>
      <c r="J17" s="58"/>
    </row>
    <row r="18" spans="1:10" x14ac:dyDescent="0.2">
      <c r="A18" s="2" t="s">
        <v>398</v>
      </c>
      <c r="B18" s="2">
        <v>52</v>
      </c>
      <c r="C18" s="2">
        <v>1591</v>
      </c>
      <c r="D18" s="2">
        <f>+C18*B18</f>
        <v>82732</v>
      </c>
      <c r="G18" s="3"/>
      <c r="H18" s="3"/>
      <c r="I18" s="3"/>
      <c r="J18" s="3"/>
    </row>
    <row r="19" spans="1:10" x14ac:dyDescent="0.2">
      <c r="A19" s="2" t="s">
        <v>398</v>
      </c>
      <c r="B19" s="2">
        <v>52</v>
      </c>
      <c r="C19" s="2">
        <v>1582</v>
      </c>
      <c r="D19" s="2">
        <f>+C19*B19</f>
        <v>82264</v>
      </c>
      <c r="G19" s="3"/>
      <c r="H19" s="3"/>
      <c r="I19" s="3"/>
      <c r="J19" s="3"/>
    </row>
    <row r="20" spans="1:10" x14ac:dyDescent="0.2">
      <c r="A20" s="2" t="s">
        <v>398</v>
      </c>
      <c r="B20" s="2">
        <v>52</v>
      </c>
      <c r="C20" s="2">
        <v>1634</v>
      </c>
      <c r="D20" s="2">
        <f t="shared" si="0"/>
        <v>84968</v>
      </c>
      <c r="G20" s="3"/>
      <c r="H20" s="3"/>
      <c r="I20" s="3"/>
      <c r="J20" s="3"/>
    </row>
    <row r="21" spans="1:10" ht="15" x14ac:dyDescent="0.25">
      <c r="A21" s="2" t="s">
        <v>399</v>
      </c>
      <c r="B21" s="2">
        <v>52</v>
      </c>
      <c r="C21" s="2">
        <v>1487</v>
      </c>
      <c r="D21" s="2">
        <f>+C21*B21</f>
        <v>77324</v>
      </c>
      <c r="F21" s="141"/>
      <c r="G21" s="3"/>
      <c r="H21" s="3"/>
      <c r="I21" s="3"/>
      <c r="J21" s="3"/>
    </row>
    <row r="22" spans="1:10" ht="15" x14ac:dyDescent="0.25">
      <c r="A22" s="2" t="s">
        <v>399</v>
      </c>
      <c r="B22" s="2">
        <v>52</v>
      </c>
      <c r="C22" s="2">
        <v>1441</v>
      </c>
      <c r="D22" s="2">
        <f>+C22*B22</f>
        <v>74932</v>
      </c>
      <c r="F22" s="131"/>
      <c r="G22" s="58"/>
      <c r="H22" s="58"/>
      <c r="I22" s="58"/>
      <c r="J22" s="58"/>
    </row>
    <row r="23" spans="1:10" ht="15" x14ac:dyDescent="0.25">
      <c r="A23" s="2" t="s">
        <v>399</v>
      </c>
      <c r="B23" s="2">
        <v>52</v>
      </c>
      <c r="C23" s="2">
        <v>1443</v>
      </c>
      <c r="D23" s="2">
        <f t="shared" si="0"/>
        <v>75036</v>
      </c>
      <c r="F23" s="141"/>
      <c r="G23" s="3"/>
      <c r="H23" s="3"/>
      <c r="I23" s="3"/>
      <c r="J23" s="3"/>
    </row>
    <row r="24" spans="1:10" ht="15" x14ac:dyDescent="0.25">
      <c r="A24" s="2" t="s">
        <v>399</v>
      </c>
      <c r="B24" s="2">
        <v>52</v>
      </c>
      <c r="C24" s="2">
        <v>1478</v>
      </c>
      <c r="D24" s="2">
        <f t="shared" si="0"/>
        <v>76856</v>
      </c>
      <c r="F24" s="97"/>
      <c r="G24" s="3"/>
      <c r="H24" s="3"/>
      <c r="I24" s="3"/>
      <c r="J24" s="3"/>
    </row>
    <row r="25" spans="1:10" x14ac:dyDescent="0.2">
      <c r="A25" s="2" t="s">
        <v>1852</v>
      </c>
      <c r="G25" s="3"/>
      <c r="H25" s="3"/>
      <c r="I25" s="3"/>
      <c r="J25" s="3"/>
    </row>
    <row r="26" spans="1:10" x14ac:dyDescent="0.2">
      <c r="A26" s="2" t="s">
        <v>1685</v>
      </c>
      <c r="G26" s="3"/>
      <c r="H26" s="3"/>
      <c r="I26" s="3"/>
      <c r="J26" s="3"/>
    </row>
    <row r="27" spans="1:10" x14ac:dyDescent="0.2">
      <c r="A27" s="2" t="s">
        <v>1737</v>
      </c>
      <c r="B27" s="2">
        <v>900</v>
      </c>
      <c r="C27" s="11">
        <f>ROUND(((SUM(D16:D24))/2184)/9,2)</f>
        <v>36.409999999999997</v>
      </c>
      <c r="D27" s="2">
        <f>+C27*B27</f>
        <v>32769</v>
      </c>
      <c r="G27" s="3"/>
      <c r="H27" s="3"/>
      <c r="I27" s="3"/>
      <c r="J27" s="3"/>
    </row>
    <row r="28" spans="1:10" x14ac:dyDescent="0.2">
      <c r="A28" s="2" t="s">
        <v>2139</v>
      </c>
      <c r="B28" s="2">
        <v>1</v>
      </c>
      <c r="C28" s="11">
        <f>SUM(C13:C24)</f>
        <v>20072</v>
      </c>
      <c r="D28" s="2">
        <f>+C28*B28</f>
        <v>20072</v>
      </c>
      <c r="G28" s="3"/>
      <c r="H28" s="3"/>
      <c r="I28" s="3"/>
      <c r="J28" s="3"/>
    </row>
    <row r="29" spans="1:10" ht="15" x14ac:dyDescent="0.35">
      <c r="A29" s="2" t="s">
        <v>833</v>
      </c>
      <c r="D29" s="10">
        <f>950+12983-25-410</f>
        <v>13498</v>
      </c>
      <c r="G29" s="3"/>
      <c r="H29" s="3"/>
      <c r="I29" s="3"/>
      <c r="J29" s="3"/>
    </row>
    <row r="30" spans="1:10" x14ac:dyDescent="0.2">
      <c r="A30" s="2" t="s">
        <v>1086</v>
      </c>
      <c r="D30" s="2">
        <f>SUM(D13:D29)</f>
        <v>1110083</v>
      </c>
      <c r="G30" s="3"/>
      <c r="H30" s="3"/>
      <c r="I30" s="3"/>
      <c r="J30" s="3"/>
    </row>
    <row r="31" spans="1:10" x14ac:dyDescent="0.2">
      <c r="G31" s="3"/>
      <c r="H31" s="3"/>
      <c r="I31" s="3"/>
      <c r="J31" s="3"/>
    </row>
    <row r="32" spans="1:10" x14ac:dyDescent="0.2">
      <c r="G32" s="3"/>
      <c r="H32" s="3"/>
      <c r="I32" s="3"/>
      <c r="J32" s="3"/>
    </row>
    <row r="33" spans="1:10" ht="13.5" x14ac:dyDescent="0.25">
      <c r="A33" s="48" t="s">
        <v>972</v>
      </c>
      <c r="E33" s="2">
        <v>1676518</v>
      </c>
      <c r="F33" s="2">
        <v>1798243</v>
      </c>
      <c r="G33" s="3">
        <v>1822997</v>
      </c>
      <c r="H33" s="3">
        <v>1822997</v>
      </c>
      <c r="I33" s="3">
        <v>2056826</v>
      </c>
      <c r="J33" s="3">
        <v>2056826</v>
      </c>
    </row>
    <row r="34" spans="1:10" ht="15" x14ac:dyDescent="0.25">
      <c r="A34" s="220" t="s">
        <v>1414</v>
      </c>
      <c r="B34" s="2">
        <v>52</v>
      </c>
      <c r="C34" s="220">
        <v>1139</v>
      </c>
      <c r="D34" s="2">
        <f t="shared" ref="D34:D39" si="1">+C34*B34</f>
        <v>59228</v>
      </c>
      <c r="E34" s="97"/>
      <c r="F34" s="103"/>
      <c r="G34" s="144"/>
      <c r="H34" s="144"/>
      <c r="I34" s="144"/>
      <c r="J34" s="144"/>
    </row>
    <row r="35" spans="1:10" ht="15" x14ac:dyDescent="0.25">
      <c r="A35" s="220" t="s">
        <v>1414</v>
      </c>
      <c r="B35" s="2">
        <v>52</v>
      </c>
      <c r="C35" s="220">
        <v>1131</v>
      </c>
      <c r="D35" s="2">
        <f t="shared" si="1"/>
        <v>58812</v>
      </c>
      <c r="E35" s="97"/>
      <c r="F35" s="103"/>
      <c r="G35" s="144"/>
      <c r="H35" s="144"/>
      <c r="I35" s="144"/>
      <c r="J35" s="144"/>
    </row>
    <row r="36" spans="1:10" ht="15" x14ac:dyDescent="0.25">
      <c r="A36" s="220" t="s">
        <v>1414</v>
      </c>
      <c r="B36" s="2">
        <v>52</v>
      </c>
      <c r="C36" s="220">
        <v>1121</v>
      </c>
      <c r="D36" s="2">
        <f t="shared" si="1"/>
        <v>58292</v>
      </c>
      <c r="E36" s="97"/>
      <c r="F36" s="103"/>
      <c r="G36" s="144"/>
      <c r="H36" s="144"/>
      <c r="I36" s="144"/>
      <c r="J36" s="144"/>
    </row>
    <row r="37" spans="1:10" ht="15" x14ac:dyDescent="0.25">
      <c r="A37" s="220" t="s">
        <v>1414</v>
      </c>
      <c r="B37" s="2">
        <v>52</v>
      </c>
      <c r="C37" s="220">
        <v>1084</v>
      </c>
      <c r="D37" s="2">
        <f t="shared" si="1"/>
        <v>56368</v>
      </c>
      <c r="E37" s="97"/>
      <c r="F37" s="103"/>
      <c r="G37" s="144"/>
      <c r="H37" s="144"/>
      <c r="I37" s="144"/>
      <c r="J37" s="144"/>
    </row>
    <row r="38" spans="1:10" ht="15" x14ac:dyDescent="0.25">
      <c r="A38" s="220" t="s">
        <v>1414</v>
      </c>
      <c r="B38" s="2">
        <v>52</v>
      </c>
      <c r="C38" s="220">
        <v>1146</v>
      </c>
      <c r="D38" s="2">
        <f t="shared" si="1"/>
        <v>59592</v>
      </c>
      <c r="E38" s="97"/>
      <c r="F38" s="103"/>
      <c r="G38" s="144"/>
      <c r="H38" s="144"/>
      <c r="I38" s="144"/>
      <c r="J38" s="144"/>
    </row>
    <row r="39" spans="1:10" ht="15" x14ac:dyDescent="0.25">
      <c r="A39" s="220" t="s">
        <v>1414</v>
      </c>
      <c r="B39" s="2">
        <v>52</v>
      </c>
      <c r="C39" s="220">
        <v>1084</v>
      </c>
      <c r="D39" s="2">
        <f t="shared" si="1"/>
        <v>56368</v>
      </c>
      <c r="E39" s="97"/>
      <c r="F39" s="103"/>
      <c r="G39" s="144"/>
      <c r="H39" s="144"/>
      <c r="I39" s="144"/>
      <c r="J39" s="144"/>
    </row>
    <row r="40" spans="1:10" ht="15" x14ac:dyDescent="0.25">
      <c r="A40" s="220" t="s">
        <v>1413</v>
      </c>
      <c r="B40" s="2">
        <v>52</v>
      </c>
      <c r="C40" s="220">
        <v>1192</v>
      </c>
      <c r="D40" s="2">
        <f t="shared" ref="D40:D49" si="2">+C40*B40</f>
        <v>61984</v>
      </c>
      <c r="E40" s="97"/>
      <c r="F40" s="103"/>
      <c r="G40" s="144"/>
      <c r="H40" s="144"/>
      <c r="I40" s="144"/>
      <c r="J40" s="144"/>
    </row>
    <row r="41" spans="1:10" ht="15" x14ac:dyDescent="0.25">
      <c r="A41" s="220" t="s">
        <v>1413</v>
      </c>
      <c r="B41" s="2">
        <v>52</v>
      </c>
      <c r="C41" s="220">
        <v>1194</v>
      </c>
      <c r="D41" s="2">
        <f t="shared" si="2"/>
        <v>62088</v>
      </c>
      <c r="E41" s="97"/>
      <c r="F41" s="103"/>
      <c r="G41" s="144"/>
      <c r="H41" s="144"/>
      <c r="I41" s="144"/>
      <c r="J41" s="144"/>
    </row>
    <row r="42" spans="1:10" ht="15" x14ac:dyDescent="0.25">
      <c r="A42" s="220" t="s">
        <v>1554</v>
      </c>
      <c r="B42" s="2">
        <v>52</v>
      </c>
      <c r="C42" s="220">
        <v>1195</v>
      </c>
      <c r="D42" s="2">
        <f t="shared" si="2"/>
        <v>62140</v>
      </c>
      <c r="E42" s="97"/>
      <c r="F42" s="103"/>
      <c r="G42" s="144"/>
      <c r="H42" s="144"/>
      <c r="I42" s="144"/>
      <c r="J42" s="144"/>
    </row>
    <row r="43" spans="1:10" ht="15" x14ac:dyDescent="0.25">
      <c r="A43" s="220" t="s">
        <v>1413</v>
      </c>
      <c r="B43" s="2">
        <v>52</v>
      </c>
      <c r="C43" s="220">
        <v>1184</v>
      </c>
      <c r="D43" s="2">
        <f t="shared" si="2"/>
        <v>61568</v>
      </c>
      <c r="E43" s="97"/>
      <c r="F43" s="103"/>
      <c r="G43" s="144"/>
      <c r="H43" s="144"/>
      <c r="I43" s="144"/>
      <c r="J43" s="144"/>
    </row>
    <row r="44" spans="1:10" ht="15" x14ac:dyDescent="0.25">
      <c r="A44" s="220" t="s">
        <v>1413</v>
      </c>
      <c r="B44" s="2">
        <v>52</v>
      </c>
      <c r="C44" s="220">
        <v>1189</v>
      </c>
      <c r="D44" s="2">
        <f t="shared" si="2"/>
        <v>61828</v>
      </c>
      <c r="E44" s="97"/>
      <c r="F44" s="103"/>
      <c r="G44" s="144"/>
      <c r="H44" s="144"/>
      <c r="I44" s="144"/>
      <c r="J44" s="144"/>
    </row>
    <row r="45" spans="1:10" ht="15" x14ac:dyDescent="0.25">
      <c r="A45" s="220" t="s">
        <v>1413</v>
      </c>
      <c r="B45" s="2">
        <v>52</v>
      </c>
      <c r="C45" s="220">
        <v>1162</v>
      </c>
      <c r="D45" s="2">
        <f t="shared" si="2"/>
        <v>60424</v>
      </c>
      <c r="E45" s="97"/>
      <c r="F45" s="103"/>
      <c r="G45" s="144"/>
      <c r="H45" s="144"/>
      <c r="I45" s="144"/>
      <c r="J45" s="144"/>
    </row>
    <row r="46" spans="1:10" ht="15" x14ac:dyDescent="0.25">
      <c r="A46" s="220" t="s">
        <v>1413</v>
      </c>
      <c r="B46" s="2">
        <v>52</v>
      </c>
      <c r="C46" s="220">
        <v>1175</v>
      </c>
      <c r="D46" s="2">
        <f t="shared" si="2"/>
        <v>61100</v>
      </c>
      <c r="E46" s="97"/>
      <c r="F46" s="103"/>
      <c r="G46" s="144"/>
      <c r="H46" s="144"/>
      <c r="I46" s="144"/>
      <c r="J46" s="144"/>
    </row>
    <row r="47" spans="1:10" ht="15" x14ac:dyDescent="0.25">
      <c r="A47" s="220" t="s">
        <v>1413</v>
      </c>
      <c r="B47" s="2">
        <v>52</v>
      </c>
      <c r="C47" s="220">
        <v>1187</v>
      </c>
      <c r="D47" s="2">
        <f t="shared" si="2"/>
        <v>61724</v>
      </c>
      <c r="E47" s="97"/>
      <c r="F47" s="103"/>
      <c r="G47" s="144"/>
      <c r="H47" s="144"/>
      <c r="I47" s="144"/>
      <c r="J47" s="144"/>
    </row>
    <row r="48" spans="1:10" ht="15" x14ac:dyDescent="0.25">
      <c r="A48" s="220" t="s">
        <v>1554</v>
      </c>
      <c r="B48" s="2">
        <v>52</v>
      </c>
      <c r="C48" s="220">
        <v>1219</v>
      </c>
      <c r="D48" s="2">
        <f t="shared" si="2"/>
        <v>63388</v>
      </c>
      <c r="E48" s="97"/>
      <c r="F48" s="103"/>
      <c r="G48" s="144"/>
      <c r="H48" s="144"/>
      <c r="I48" s="144"/>
      <c r="J48" s="144"/>
    </row>
    <row r="49" spans="1:10" ht="15" x14ac:dyDescent="0.25">
      <c r="A49" s="220" t="s">
        <v>1412</v>
      </c>
      <c r="B49" s="2">
        <v>52</v>
      </c>
      <c r="C49" s="220">
        <v>1260</v>
      </c>
      <c r="D49" s="2">
        <f t="shared" si="2"/>
        <v>65520</v>
      </c>
      <c r="E49" s="97"/>
      <c r="F49" s="7"/>
      <c r="G49" s="66"/>
      <c r="H49" s="66"/>
      <c r="I49" s="66"/>
      <c r="J49" s="66"/>
    </row>
    <row r="50" spans="1:10" ht="15" x14ac:dyDescent="0.25">
      <c r="A50" s="220" t="s">
        <v>1412</v>
      </c>
      <c r="B50" s="2">
        <v>52</v>
      </c>
      <c r="C50" s="220">
        <v>1278</v>
      </c>
      <c r="D50" s="2">
        <f t="shared" ref="D50:D67" si="3">+C50*B50</f>
        <v>66456</v>
      </c>
      <c r="E50" s="97"/>
      <c r="F50" s="103"/>
      <c r="G50" s="144"/>
      <c r="H50" s="144"/>
      <c r="I50" s="144"/>
      <c r="J50" s="144"/>
    </row>
    <row r="51" spans="1:10" ht="15" x14ac:dyDescent="0.25">
      <c r="A51" s="220" t="s">
        <v>1412</v>
      </c>
      <c r="B51" s="2">
        <v>52</v>
      </c>
      <c r="C51" s="220">
        <v>1251</v>
      </c>
      <c r="D51" s="2">
        <f t="shared" si="3"/>
        <v>65052</v>
      </c>
      <c r="E51" s="97"/>
      <c r="F51" s="103"/>
      <c r="G51" s="144"/>
      <c r="H51" s="144"/>
      <c r="I51" s="144"/>
      <c r="J51" s="144"/>
    </row>
    <row r="52" spans="1:10" ht="15" x14ac:dyDescent="0.25">
      <c r="A52" s="220" t="s">
        <v>1412</v>
      </c>
      <c r="B52" s="2">
        <v>52</v>
      </c>
      <c r="C52" s="220">
        <v>1203</v>
      </c>
      <c r="D52" s="2">
        <f t="shared" si="3"/>
        <v>62556</v>
      </c>
      <c r="E52" s="97"/>
      <c r="F52" s="103"/>
      <c r="G52" s="144"/>
      <c r="H52" s="144"/>
      <c r="I52" s="144"/>
      <c r="J52" s="144"/>
    </row>
    <row r="53" spans="1:10" ht="15" x14ac:dyDescent="0.25">
      <c r="A53" s="220" t="s">
        <v>1412</v>
      </c>
      <c r="B53" s="2">
        <v>52</v>
      </c>
      <c r="C53" s="220">
        <v>1280</v>
      </c>
      <c r="D53" s="2">
        <f t="shared" si="3"/>
        <v>66560</v>
      </c>
      <c r="E53" s="97"/>
      <c r="F53" s="103"/>
      <c r="G53" s="144"/>
      <c r="H53" s="144"/>
      <c r="I53" s="144"/>
      <c r="J53" s="144"/>
    </row>
    <row r="54" spans="1:10" ht="15" x14ac:dyDescent="0.25">
      <c r="A54" s="220" t="s">
        <v>1412</v>
      </c>
      <c r="B54" s="2">
        <v>52</v>
      </c>
      <c r="C54" s="220">
        <v>1265</v>
      </c>
      <c r="D54" s="2">
        <f t="shared" si="3"/>
        <v>65780</v>
      </c>
      <c r="E54" s="97"/>
      <c r="F54" s="103"/>
      <c r="G54" s="144"/>
      <c r="H54" s="144"/>
      <c r="I54" s="144"/>
      <c r="J54" s="144"/>
    </row>
    <row r="55" spans="1:10" ht="15" x14ac:dyDescent="0.25">
      <c r="A55" s="220" t="s">
        <v>1412</v>
      </c>
      <c r="B55" s="2">
        <v>52</v>
      </c>
      <c r="C55" s="220">
        <v>1284</v>
      </c>
      <c r="D55" s="2">
        <f t="shared" si="3"/>
        <v>66768</v>
      </c>
      <c r="E55" s="97"/>
      <c r="F55" s="7"/>
      <c r="G55" s="66"/>
      <c r="H55" s="66"/>
      <c r="I55" s="66"/>
      <c r="J55" s="66"/>
    </row>
    <row r="56" spans="1:10" ht="15" x14ac:dyDescent="0.25">
      <c r="A56" s="220" t="s">
        <v>1412</v>
      </c>
      <c r="B56" s="2">
        <v>52</v>
      </c>
      <c r="C56" s="220">
        <v>1260</v>
      </c>
      <c r="D56" s="2">
        <f t="shared" si="3"/>
        <v>65520</v>
      </c>
      <c r="E56" s="97"/>
      <c r="F56" s="7"/>
      <c r="G56" s="66"/>
      <c r="H56" s="66"/>
      <c r="I56" s="66"/>
      <c r="J56" s="66"/>
    </row>
    <row r="57" spans="1:10" ht="15" x14ac:dyDescent="0.25">
      <c r="A57" s="220" t="s">
        <v>1412</v>
      </c>
      <c r="B57" s="2">
        <v>52</v>
      </c>
      <c r="C57" s="220">
        <v>1303</v>
      </c>
      <c r="D57" s="2">
        <f t="shared" si="3"/>
        <v>67756</v>
      </c>
      <c r="E57" s="97"/>
      <c r="F57" s="103"/>
      <c r="G57" s="144"/>
      <c r="H57" s="144"/>
      <c r="I57" s="144"/>
      <c r="J57" s="144"/>
    </row>
    <row r="58" spans="1:10" ht="15" x14ac:dyDescent="0.25">
      <c r="A58" s="220" t="s">
        <v>1412</v>
      </c>
      <c r="B58" s="2">
        <v>52</v>
      </c>
      <c r="C58" s="220">
        <v>1218</v>
      </c>
      <c r="D58" s="2">
        <f t="shared" si="3"/>
        <v>63336</v>
      </c>
      <c r="E58" s="97"/>
      <c r="F58" s="103"/>
      <c r="G58" s="144"/>
      <c r="H58" s="144"/>
      <c r="I58" s="144"/>
      <c r="J58" s="144"/>
    </row>
    <row r="59" spans="1:10" ht="15" x14ac:dyDescent="0.25">
      <c r="A59" s="220" t="s">
        <v>1412</v>
      </c>
      <c r="B59" s="2">
        <v>52</v>
      </c>
      <c r="C59" s="220">
        <v>1263</v>
      </c>
      <c r="D59" s="2">
        <f t="shared" si="3"/>
        <v>65676</v>
      </c>
      <c r="E59" s="97"/>
      <c r="F59" s="7"/>
      <c r="G59" s="66"/>
      <c r="H59" s="66"/>
      <c r="I59" s="66"/>
      <c r="J59" s="66"/>
    </row>
    <row r="60" spans="1:10" ht="15" x14ac:dyDescent="0.25">
      <c r="A60" s="220" t="s">
        <v>1554</v>
      </c>
      <c r="B60" s="2">
        <v>52</v>
      </c>
      <c r="C60" s="220">
        <v>1333</v>
      </c>
      <c r="D60" s="2">
        <f t="shared" si="3"/>
        <v>69316</v>
      </c>
      <c r="E60" s="97"/>
      <c r="F60" s="7"/>
      <c r="G60" s="66"/>
      <c r="H60" s="66"/>
      <c r="I60" s="66"/>
      <c r="J60" s="66"/>
    </row>
    <row r="61" spans="1:10" ht="15" x14ac:dyDescent="0.25">
      <c r="A61" s="220" t="s">
        <v>1554</v>
      </c>
      <c r="B61" s="2">
        <v>52</v>
      </c>
      <c r="C61" s="220">
        <v>1284</v>
      </c>
      <c r="D61" s="2">
        <f t="shared" si="3"/>
        <v>66768</v>
      </c>
      <c r="E61" s="97"/>
      <c r="F61" s="103"/>
      <c r="G61" s="144"/>
      <c r="H61" s="144"/>
      <c r="I61" s="144"/>
      <c r="J61" s="144"/>
    </row>
    <row r="62" spans="1:10" ht="15" x14ac:dyDescent="0.25">
      <c r="A62" s="254" t="s">
        <v>2155</v>
      </c>
      <c r="B62" s="2">
        <v>52</v>
      </c>
      <c r="C62" s="254">
        <v>1107</v>
      </c>
      <c r="D62" s="2">
        <f t="shared" si="3"/>
        <v>57564</v>
      </c>
      <c r="E62" s="97"/>
      <c r="F62" s="103"/>
      <c r="G62" s="144"/>
      <c r="H62" s="144"/>
      <c r="I62" s="144"/>
      <c r="J62" s="144"/>
    </row>
    <row r="63" spans="1:10" ht="15" x14ac:dyDescent="0.25">
      <c r="A63" s="254" t="s">
        <v>2156</v>
      </c>
      <c r="B63" s="2">
        <v>52</v>
      </c>
      <c r="C63" s="254">
        <v>1107</v>
      </c>
      <c r="D63" s="2">
        <f t="shared" si="3"/>
        <v>57564</v>
      </c>
      <c r="E63" s="97"/>
      <c r="F63" s="103"/>
      <c r="G63" s="144"/>
      <c r="H63" s="144"/>
      <c r="I63" s="144"/>
      <c r="J63" s="144"/>
    </row>
    <row r="64" spans="1:10" ht="15" x14ac:dyDescent="0.25">
      <c r="A64" s="254" t="s">
        <v>2157</v>
      </c>
      <c r="B64" s="2">
        <v>52</v>
      </c>
      <c r="C64" s="254">
        <v>1107</v>
      </c>
      <c r="D64" s="2">
        <f t="shared" si="3"/>
        <v>57564</v>
      </c>
      <c r="E64" s="97"/>
      <c r="F64" s="103"/>
      <c r="G64" s="144"/>
      <c r="H64" s="144"/>
      <c r="I64" s="144"/>
      <c r="J64" s="144"/>
    </row>
    <row r="65" spans="1:10" ht="15" x14ac:dyDescent="0.25">
      <c r="A65" s="254" t="s">
        <v>2158</v>
      </c>
      <c r="B65" s="2">
        <v>52</v>
      </c>
      <c r="C65" s="254">
        <v>1108</v>
      </c>
      <c r="D65" s="2">
        <f t="shared" si="3"/>
        <v>57616</v>
      </c>
      <c r="E65" s="97"/>
      <c r="F65" s="103"/>
      <c r="G65" s="144"/>
      <c r="H65" s="144"/>
      <c r="I65" s="144"/>
      <c r="J65" s="144"/>
    </row>
    <row r="66" spans="1:10" x14ac:dyDescent="0.2">
      <c r="A66" s="2" t="s">
        <v>1658</v>
      </c>
      <c r="B66" s="2">
        <v>2800</v>
      </c>
      <c r="C66" s="11">
        <f>(AVERAGE(D35:D65))/2184</f>
        <v>28.551459293394778</v>
      </c>
      <c r="D66" s="2">
        <f t="shared" si="3"/>
        <v>79944.086021505384</v>
      </c>
      <c r="G66" s="3"/>
      <c r="H66" s="3"/>
      <c r="I66" s="3"/>
      <c r="J66" s="3"/>
    </row>
    <row r="67" spans="1:10" x14ac:dyDescent="0.2">
      <c r="A67" s="2" t="s">
        <v>2139</v>
      </c>
      <c r="B67" s="2">
        <v>1</v>
      </c>
      <c r="C67" s="11">
        <f>SUM(C34:C65)</f>
        <v>38313</v>
      </c>
      <c r="D67" s="2">
        <f t="shared" si="3"/>
        <v>38313</v>
      </c>
      <c r="G67" s="3"/>
      <c r="H67" s="3"/>
      <c r="I67" s="3"/>
      <c r="J67" s="3"/>
    </row>
    <row r="68" spans="1:10" ht="15" x14ac:dyDescent="0.35">
      <c r="A68" s="2" t="s">
        <v>833</v>
      </c>
      <c r="D68" s="10">
        <v>5521</v>
      </c>
      <c r="G68" s="3"/>
      <c r="H68" s="3"/>
      <c r="I68" s="3"/>
      <c r="J68" s="3"/>
    </row>
    <row r="69" spans="1:10" x14ac:dyDescent="0.2">
      <c r="A69" s="2" t="s">
        <v>1086</v>
      </c>
      <c r="C69" s="11"/>
      <c r="D69" s="2">
        <f>SUM(D35:D68)</f>
        <v>2056826.0860215053</v>
      </c>
      <c r="G69" s="3"/>
      <c r="H69" s="3"/>
      <c r="I69" s="3"/>
      <c r="J69" s="3"/>
    </row>
    <row r="70" spans="1:10" x14ac:dyDescent="0.2">
      <c r="C70" s="11"/>
      <c r="G70" s="3"/>
      <c r="H70" s="3"/>
      <c r="I70" s="3"/>
      <c r="J70" s="3"/>
    </row>
    <row r="71" spans="1:10" x14ac:dyDescent="0.2">
      <c r="C71" s="11"/>
      <c r="G71" s="3"/>
      <c r="H71" s="3"/>
      <c r="I71" s="3"/>
      <c r="J71" s="3"/>
    </row>
    <row r="72" spans="1:10" ht="13.5" x14ac:dyDescent="0.25">
      <c r="A72" s="56" t="s">
        <v>832</v>
      </c>
      <c r="B72" s="2" t="s">
        <v>526</v>
      </c>
      <c r="C72" s="11" t="s">
        <v>527</v>
      </c>
      <c r="D72" s="2" t="s">
        <v>525</v>
      </c>
      <c r="E72" s="2">
        <v>215875</v>
      </c>
      <c r="F72" s="2">
        <v>220066</v>
      </c>
      <c r="G72" s="3">
        <v>222911</v>
      </c>
      <c r="H72" s="3">
        <v>222911</v>
      </c>
      <c r="I72" s="3">
        <v>222911</v>
      </c>
      <c r="J72" s="3">
        <v>222911</v>
      </c>
    </row>
    <row r="73" spans="1:10" x14ac:dyDescent="0.2">
      <c r="A73" s="2" t="s">
        <v>1424</v>
      </c>
      <c r="B73" s="2">
        <v>800</v>
      </c>
      <c r="C73" s="11">
        <f>+SUM(D16:D24)/2184*1.5/9</f>
        <v>54.615079365079367</v>
      </c>
      <c r="D73" s="2">
        <f>C73*B73</f>
        <v>43692.063492063491</v>
      </c>
      <c r="G73" s="3"/>
      <c r="H73" s="3"/>
      <c r="I73" s="3"/>
      <c r="J73" s="3"/>
    </row>
    <row r="74" spans="1:10" x14ac:dyDescent="0.2">
      <c r="A74" s="2" t="s">
        <v>1526</v>
      </c>
      <c r="B74" s="2">
        <f>64.5+2417</f>
        <v>2481.5</v>
      </c>
      <c r="C74" s="11">
        <f>+C73</f>
        <v>54.615079365079367</v>
      </c>
      <c r="D74" s="2">
        <f>C74*B74</f>
        <v>135527.31944444444</v>
      </c>
      <c r="G74" s="3"/>
      <c r="H74" s="3"/>
      <c r="I74" s="3"/>
      <c r="J74" s="3"/>
    </row>
    <row r="75" spans="1:10" x14ac:dyDescent="0.2">
      <c r="A75" s="2" t="s">
        <v>2056</v>
      </c>
      <c r="B75" s="2">
        <v>220</v>
      </c>
      <c r="C75" s="11">
        <f>+C74</f>
        <v>54.615079365079367</v>
      </c>
      <c r="D75" s="2">
        <f>C75*B75</f>
        <v>12015.317460317461</v>
      </c>
      <c r="G75" s="3"/>
      <c r="H75" s="3"/>
      <c r="I75" s="3"/>
      <c r="J75" s="3"/>
    </row>
    <row r="76" spans="1:10" x14ac:dyDescent="0.2">
      <c r="A76" s="2" t="s">
        <v>1425</v>
      </c>
      <c r="B76" s="2">
        <v>480</v>
      </c>
      <c r="C76" s="11">
        <f>+C73</f>
        <v>54.615079365079367</v>
      </c>
      <c r="D76" s="2">
        <f>+B76*C76</f>
        <v>26215.238095238095</v>
      </c>
      <c r="G76" s="3"/>
      <c r="H76" s="3"/>
      <c r="I76" s="3"/>
      <c r="J76" s="3"/>
    </row>
    <row r="77" spans="1:10" ht="15" x14ac:dyDescent="0.35">
      <c r="A77" s="2" t="s">
        <v>2057</v>
      </c>
      <c r="B77" s="2">
        <v>100</v>
      </c>
      <c r="C77" s="11">
        <f>+C73</f>
        <v>54.615079365079367</v>
      </c>
      <c r="D77" s="10">
        <f>+B77*C77</f>
        <v>5461.5079365079364</v>
      </c>
      <c r="G77" s="3"/>
      <c r="H77" s="3"/>
      <c r="I77" s="3"/>
      <c r="J77" s="3"/>
    </row>
    <row r="78" spans="1:10" x14ac:dyDescent="0.2">
      <c r="A78" s="2" t="s">
        <v>1086</v>
      </c>
      <c r="C78" s="11"/>
      <c r="D78" s="2">
        <f>SUM(D73:D77)</f>
        <v>222911.44642857142</v>
      </c>
      <c r="G78" s="3"/>
      <c r="H78" s="3"/>
      <c r="I78" s="3"/>
      <c r="J78" s="3"/>
    </row>
    <row r="79" spans="1:10" x14ac:dyDescent="0.2">
      <c r="C79" s="11"/>
      <c r="G79" s="3"/>
      <c r="H79" s="3"/>
      <c r="I79" s="3"/>
      <c r="J79" s="3"/>
    </row>
    <row r="80" spans="1:10" ht="13.5" x14ac:dyDescent="0.25">
      <c r="A80" s="56" t="s">
        <v>437</v>
      </c>
      <c r="B80" s="2" t="s">
        <v>526</v>
      </c>
      <c r="C80" s="11" t="s">
        <v>527</v>
      </c>
      <c r="D80" s="2" t="s">
        <v>525</v>
      </c>
      <c r="E80" s="2">
        <v>79935</v>
      </c>
      <c r="F80" s="2">
        <v>120777</v>
      </c>
      <c r="G80" s="3">
        <v>121711</v>
      </c>
      <c r="H80" s="3">
        <v>101229</v>
      </c>
      <c r="I80" s="3">
        <v>101965</v>
      </c>
      <c r="J80" s="3">
        <v>101965</v>
      </c>
    </row>
    <row r="81" spans="1:10" x14ac:dyDescent="0.2">
      <c r="A81" s="222" t="s">
        <v>1830</v>
      </c>
      <c r="C81" s="11"/>
      <c r="G81" s="3"/>
      <c r="H81" s="3"/>
      <c r="I81" s="3"/>
      <c r="J81" s="3"/>
    </row>
    <row r="82" spans="1:10" x14ac:dyDescent="0.2">
      <c r="A82" s="37" t="s">
        <v>1831</v>
      </c>
      <c r="B82" s="2">
        <v>756</v>
      </c>
      <c r="C82" s="11">
        <v>21</v>
      </c>
      <c r="D82" s="2">
        <f>C82*B82</f>
        <v>15876</v>
      </c>
      <c r="F82" s="74"/>
      <c r="G82" s="3"/>
      <c r="H82" s="3"/>
      <c r="I82" s="3"/>
      <c r="J82" s="3"/>
    </row>
    <row r="83" spans="1:10" x14ac:dyDescent="0.2">
      <c r="A83" s="37" t="s">
        <v>1832</v>
      </c>
      <c r="B83" s="2">
        <v>2108</v>
      </c>
      <c r="C83" s="11">
        <v>19</v>
      </c>
      <c r="D83" s="2">
        <f>C83*B83</f>
        <v>40052</v>
      </c>
      <c r="F83" s="74"/>
      <c r="G83" s="3"/>
      <c r="H83" s="3"/>
      <c r="I83" s="3"/>
      <c r="J83" s="3"/>
    </row>
    <row r="84" spans="1:10" ht="15" x14ac:dyDescent="0.35">
      <c r="A84" s="37" t="s">
        <v>1833</v>
      </c>
      <c r="B84" s="10">
        <v>464</v>
      </c>
      <c r="C84" s="11">
        <v>16</v>
      </c>
      <c r="D84" s="10">
        <f>C84*B84</f>
        <v>7424</v>
      </c>
      <c r="F84" s="74"/>
      <c r="G84" s="3"/>
      <c r="H84" s="3"/>
      <c r="I84" s="3"/>
      <c r="J84" s="3"/>
    </row>
    <row r="85" spans="1:10" x14ac:dyDescent="0.2">
      <c r="B85" s="2">
        <f>SUM(B82:B84)</f>
        <v>3328</v>
      </c>
      <c r="D85" s="2">
        <f>SUM(D82:D84)</f>
        <v>63352</v>
      </c>
      <c r="G85" s="3"/>
      <c r="H85" s="3"/>
      <c r="I85" s="3"/>
      <c r="J85" s="3"/>
    </row>
    <row r="86" spans="1:10" x14ac:dyDescent="0.2">
      <c r="A86" s="130" t="s">
        <v>1834</v>
      </c>
      <c r="G86" s="3"/>
      <c r="H86" s="3"/>
      <c r="I86" s="3"/>
      <c r="J86" s="3"/>
    </row>
    <row r="87" spans="1:10" x14ac:dyDescent="0.2">
      <c r="A87" s="2" t="s">
        <v>2058</v>
      </c>
      <c r="B87" s="2">
        <v>1248</v>
      </c>
      <c r="C87" s="21">
        <v>27.19</v>
      </c>
      <c r="D87" s="2">
        <f>+B87*C87</f>
        <v>33933.120000000003</v>
      </c>
      <c r="G87" s="3"/>
      <c r="H87" s="3"/>
      <c r="I87" s="3"/>
      <c r="J87" s="3"/>
    </row>
    <row r="88" spans="1:10" x14ac:dyDescent="0.2">
      <c r="A88" s="2" t="s">
        <v>2139</v>
      </c>
      <c r="B88" s="2">
        <v>24</v>
      </c>
      <c r="C88" s="21">
        <v>27.19</v>
      </c>
      <c r="D88" s="11">
        <f>+C88*B88</f>
        <v>652.56000000000006</v>
      </c>
      <c r="G88" s="3"/>
      <c r="H88" s="3"/>
      <c r="I88" s="3"/>
      <c r="J88" s="3"/>
    </row>
    <row r="89" spans="1:10" x14ac:dyDescent="0.2">
      <c r="C89" s="21"/>
      <c r="G89" s="3"/>
      <c r="H89" s="3"/>
      <c r="I89" s="3"/>
      <c r="J89" s="3"/>
    </row>
    <row r="90" spans="1:10" x14ac:dyDescent="0.2">
      <c r="A90" s="4" t="s">
        <v>1835</v>
      </c>
      <c r="B90" s="15"/>
      <c r="C90" s="36"/>
      <c r="G90" s="3"/>
      <c r="H90" s="3"/>
      <c r="I90" s="3"/>
      <c r="J90" s="3"/>
    </row>
    <row r="91" spans="1:10" x14ac:dyDescent="0.2">
      <c r="A91" s="2" t="s">
        <v>1836</v>
      </c>
      <c r="B91" s="2">
        <v>100</v>
      </c>
      <c r="C91" s="21">
        <v>11.7</v>
      </c>
      <c r="D91" s="2">
        <f>+B91*C91</f>
        <v>1170</v>
      </c>
      <c r="G91" s="3"/>
      <c r="H91" s="3"/>
      <c r="I91" s="3"/>
      <c r="J91" s="3"/>
    </row>
    <row r="92" spans="1:10" ht="15" x14ac:dyDescent="0.35">
      <c r="A92" s="47" t="s">
        <v>536</v>
      </c>
      <c r="B92" s="2">
        <v>200</v>
      </c>
      <c r="C92" s="21">
        <v>17.55</v>
      </c>
      <c r="D92" s="10">
        <f>+B92*C92</f>
        <v>3510</v>
      </c>
      <c r="G92" s="3"/>
      <c r="H92" s="3"/>
      <c r="I92" s="3"/>
      <c r="J92" s="3"/>
    </row>
    <row r="93" spans="1:10" ht="15" x14ac:dyDescent="0.35">
      <c r="C93" s="11"/>
      <c r="D93" s="10">
        <f>SUM(D91:D92)</f>
        <v>4680</v>
      </c>
      <c r="G93" s="3"/>
      <c r="H93" s="3"/>
      <c r="I93" s="3"/>
      <c r="J93" s="3"/>
    </row>
    <row r="94" spans="1:10" ht="13.5" x14ac:dyDescent="0.25">
      <c r="A94" s="49" t="s">
        <v>1086</v>
      </c>
      <c r="C94" s="11"/>
      <c r="D94" s="2">
        <f>SUM(D85,D87,D93)</f>
        <v>101965.12</v>
      </c>
      <c r="G94" s="3"/>
      <c r="H94" s="3"/>
      <c r="I94" s="3"/>
      <c r="J94" s="3"/>
    </row>
    <row r="95" spans="1:10" x14ac:dyDescent="0.2">
      <c r="C95" s="11"/>
      <c r="G95" s="3"/>
      <c r="H95" s="3"/>
      <c r="I95" s="3"/>
      <c r="J95" s="3"/>
    </row>
    <row r="96" spans="1:10" ht="13.5" x14ac:dyDescent="0.25">
      <c r="A96" s="56" t="s">
        <v>1325</v>
      </c>
      <c r="B96" s="2" t="s">
        <v>526</v>
      </c>
      <c r="C96" s="11" t="s">
        <v>527</v>
      </c>
      <c r="D96" s="2" t="s">
        <v>525</v>
      </c>
      <c r="E96" s="2">
        <v>465635</v>
      </c>
      <c r="F96" s="2">
        <v>517743</v>
      </c>
      <c r="G96" s="3">
        <v>533319</v>
      </c>
      <c r="H96" s="3">
        <v>428110</v>
      </c>
      <c r="I96" s="3">
        <v>443861</v>
      </c>
      <c r="J96" s="3">
        <v>443861</v>
      </c>
    </row>
    <row r="97" spans="1:10" x14ac:dyDescent="0.2">
      <c r="A97" s="2" t="s">
        <v>1625</v>
      </c>
      <c r="B97" s="2">
        <v>804</v>
      </c>
      <c r="C97" s="11">
        <f>+C66*1.5</f>
        <v>42.827188940092171</v>
      </c>
      <c r="D97" s="2">
        <f>ROUND(B97*C97,0)</f>
        <v>34433</v>
      </c>
      <c r="E97" s="11"/>
      <c r="G97" s="3"/>
      <c r="H97" s="3"/>
      <c r="I97" s="3"/>
      <c r="J97" s="3"/>
    </row>
    <row r="98" spans="1:10" x14ac:dyDescent="0.2">
      <c r="A98" s="2" t="s">
        <v>1626</v>
      </c>
      <c r="B98" s="2">
        <v>4317</v>
      </c>
      <c r="C98" s="11">
        <f>+C97</f>
        <v>42.827188940092171</v>
      </c>
      <c r="D98" s="2">
        <f>ROUND(B98*C98,0)</f>
        <v>184885</v>
      </c>
      <c r="E98" s="11"/>
      <c r="G98" s="3"/>
      <c r="H98" s="3"/>
      <c r="I98" s="3"/>
      <c r="J98" s="3"/>
    </row>
    <row r="99" spans="1:10" x14ac:dyDescent="0.2">
      <c r="A99" s="2" t="s">
        <v>2159</v>
      </c>
      <c r="B99" s="2">
        <v>2160</v>
      </c>
      <c r="C99" s="11">
        <f>+C97</f>
        <v>42.827188940092171</v>
      </c>
      <c r="D99" s="2">
        <f>+B99*C99</f>
        <v>92506.728110599084</v>
      </c>
      <c r="E99" s="11"/>
      <c r="G99" s="3"/>
      <c r="H99" s="3"/>
      <c r="I99" s="3"/>
      <c r="J99" s="3"/>
    </row>
    <row r="100" spans="1:10" x14ac:dyDescent="0.2">
      <c r="C100" s="11">
        <v>43.31</v>
      </c>
      <c r="D100" s="2">
        <f>+B100*C100</f>
        <v>0</v>
      </c>
      <c r="E100" s="11"/>
      <c r="G100" s="3"/>
      <c r="H100" s="3"/>
      <c r="I100" s="3"/>
      <c r="J100" s="3"/>
    </row>
    <row r="101" spans="1:10" x14ac:dyDescent="0.2">
      <c r="A101" s="47" t="s">
        <v>2152</v>
      </c>
      <c r="B101" s="47">
        <v>2512</v>
      </c>
      <c r="C101" s="207">
        <f>+C105</f>
        <v>42.827188940092171</v>
      </c>
      <c r="D101" s="2">
        <f>+B101*C101</f>
        <v>107581.89861751153</v>
      </c>
      <c r="E101" s="11"/>
      <c r="G101" s="3"/>
      <c r="H101" s="3"/>
      <c r="I101" s="3"/>
      <c r="J101" s="3"/>
    </row>
    <row r="102" spans="1:10" x14ac:dyDescent="0.2">
      <c r="A102" s="46" t="s">
        <v>1879</v>
      </c>
      <c r="B102" s="2">
        <v>187</v>
      </c>
      <c r="C102" s="207">
        <f>+C101</f>
        <v>42.827188940092171</v>
      </c>
      <c r="D102" s="2">
        <f>+B102*C102</f>
        <v>8008.6843317972362</v>
      </c>
      <c r="E102" s="11"/>
      <c r="G102" s="3"/>
      <c r="H102" s="3"/>
      <c r="I102" s="3"/>
      <c r="J102" s="3"/>
    </row>
    <row r="103" spans="1:10" ht="13.5" x14ac:dyDescent="0.25">
      <c r="A103" s="208" t="s">
        <v>1590</v>
      </c>
      <c r="C103" s="11"/>
      <c r="E103" s="11"/>
      <c r="G103" s="3"/>
      <c r="H103" s="3"/>
      <c r="I103" s="3"/>
      <c r="J103" s="3"/>
    </row>
    <row r="104" spans="1:10" x14ac:dyDescent="0.2">
      <c r="A104" s="2" t="s">
        <v>2059</v>
      </c>
      <c r="B104" s="2">
        <v>215</v>
      </c>
      <c r="C104" s="11">
        <f>+C98</f>
        <v>42.827188940092171</v>
      </c>
      <c r="D104" s="2">
        <f>+B104*C104</f>
        <v>9207.8456221198176</v>
      </c>
      <c r="E104" s="11"/>
      <c r="G104" s="3"/>
      <c r="H104" s="3"/>
      <c r="I104" s="3"/>
      <c r="J104" s="3"/>
    </row>
    <row r="105" spans="1:10" ht="15" x14ac:dyDescent="0.35">
      <c r="A105" s="47" t="s">
        <v>1423</v>
      </c>
      <c r="B105" s="47">
        <v>169</v>
      </c>
      <c r="C105" s="11">
        <f>+C98</f>
        <v>42.827188940092171</v>
      </c>
      <c r="D105" s="10">
        <f>+B105*C105</f>
        <v>7237.7949308755769</v>
      </c>
      <c r="E105" s="11"/>
      <c r="G105" s="3"/>
      <c r="H105" s="3"/>
      <c r="I105" s="3"/>
      <c r="J105" s="3"/>
    </row>
    <row r="106" spans="1:10" x14ac:dyDescent="0.2">
      <c r="A106" s="46" t="s">
        <v>1086</v>
      </c>
      <c r="C106" s="13"/>
      <c r="D106" s="2">
        <f>SUM(D97:D105)</f>
        <v>443860.95161290327</v>
      </c>
      <c r="G106" s="3"/>
      <c r="H106" s="3"/>
      <c r="I106" s="3"/>
      <c r="J106" s="3"/>
    </row>
    <row r="107" spans="1:10" x14ac:dyDescent="0.2">
      <c r="A107" s="46"/>
      <c r="C107" s="13"/>
      <c r="G107" s="3"/>
      <c r="H107" s="3"/>
      <c r="I107" s="3"/>
      <c r="J107" s="3"/>
    </row>
    <row r="108" spans="1:10" ht="15" x14ac:dyDescent="0.35">
      <c r="A108" s="56" t="s">
        <v>769</v>
      </c>
      <c r="C108" s="13"/>
      <c r="D108" s="10"/>
      <c r="E108" s="2">
        <v>60356</v>
      </c>
      <c r="F108" s="2">
        <v>65022</v>
      </c>
      <c r="G108" s="3">
        <v>66083</v>
      </c>
      <c r="H108" s="3">
        <v>63300</v>
      </c>
      <c r="I108" s="3">
        <v>67074</v>
      </c>
      <c r="J108" s="3">
        <v>67074</v>
      </c>
    </row>
    <row r="109" spans="1:10" hidden="1" x14ac:dyDescent="0.2">
      <c r="A109" s="2" t="s">
        <v>770</v>
      </c>
      <c r="B109" s="2">
        <f>+D10</f>
        <v>48177</v>
      </c>
      <c r="C109" s="74">
        <v>7.6499999999999999E-2</v>
      </c>
      <c r="D109" s="2">
        <f t="shared" ref="D109:D114" si="4">+C109*B109</f>
        <v>3685.5405000000001</v>
      </c>
      <c r="G109" s="3"/>
      <c r="H109" s="3"/>
      <c r="I109" s="3"/>
      <c r="J109" s="3"/>
    </row>
    <row r="110" spans="1:10" hidden="1" x14ac:dyDescent="0.2">
      <c r="A110" s="2" t="s">
        <v>1290</v>
      </c>
      <c r="B110" s="2">
        <f>+D30</f>
        <v>1110083</v>
      </c>
      <c r="C110" s="74">
        <v>1.4500000000000001E-2</v>
      </c>
      <c r="D110" s="2">
        <f t="shared" si="4"/>
        <v>16096.203500000001</v>
      </c>
      <c r="G110" s="3"/>
      <c r="H110" s="3"/>
      <c r="I110" s="3"/>
      <c r="J110" s="3"/>
    </row>
    <row r="111" spans="1:10" hidden="1" x14ac:dyDescent="0.2">
      <c r="A111" s="104" t="s">
        <v>695</v>
      </c>
      <c r="B111" s="2">
        <f>+D69</f>
        <v>2056826.0860215053</v>
      </c>
      <c r="C111" s="74">
        <v>1.4500000000000001E-2</v>
      </c>
      <c r="D111" s="2">
        <f t="shared" si="4"/>
        <v>29823.978247311828</v>
      </c>
      <c r="G111" s="3"/>
      <c r="H111" s="3"/>
      <c r="I111" s="3"/>
      <c r="J111" s="3"/>
    </row>
    <row r="112" spans="1:10" hidden="1" x14ac:dyDescent="0.2">
      <c r="A112" s="46" t="s">
        <v>771</v>
      </c>
      <c r="B112" s="2">
        <f>+D78</f>
        <v>222911.44642857142</v>
      </c>
      <c r="C112" s="74">
        <v>1.4500000000000001E-2</v>
      </c>
      <c r="D112" s="2">
        <f t="shared" si="4"/>
        <v>3232.2159732142859</v>
      </c>
      <c r="G112" s="3"/>
      <c r="H112" s="3"/>
      <c r="I112" s="3"/>
      <c r="J112" s="3"/>
    </row>
    <row r="113" spans="1:10" hidden="1" x14ac:dyDescent="0.2">
      <c r="A113" s="46" t="s">
        <v>158</v>
      </c>
      <c r="B113" s="2">
        <f>+D94</f>
        <v>101965.12</v>
      </c>
      <c r="C113" s="74">
        <v>7.6499999999999999E-2</v>
      </c>
      <c r="D113" s="2">
        <f t="shared" si="4"/>
        <v>7800.3316799999993</v>
      </c>
      <c r="G113" s="3"/>
      <c r="H113" s="3"/>
      <c r="I113" s="3"/>
      <c r="J113" s="3"/>
    </row>
    <row r="114" spans="1:10" ht="15" hidden="1" x14ac:dyDescent="0.35">
      <c r="A114" s="46" t="s">
        <v>159</v>
      </c>
      <c r="B114" s="2">
        <f>+D106</f>
        <v>443860.95161290327</v>
      </c>
      <c r="C114" s="74">
        <v>1.4500000000000001E-2</v>
      </c>
      <c r="D114" s="10">
        <f t="shared" si="4"/>
        <v>6435.9837983870975</v>
      </c>
      <c r="G114" s="3"/>
      <c r="H114" s="3"/>
      <c r="I114" s="3"/>
      <c r="J114" s="3"/>
    </row>
    <row r="115" spans="1:10" hidden="1" x14ac:dyDescent="0.2">
      <c r="A115" s="46" t="s">
        <v>1086</v>
      </c>
      <c r="C115" s="74"/>
      <c r="D115" s="2">
        <f>SUM(D109:D114)</f>
        <v>67074.253698913206</v>
      </c>
      <c r="G115" s="3"/>
      <c r="H115" s="3"/>
      <c r="I115" s="3"/>
      <c r="J115" s="3"/>
    </row>
    <row r="116" spans="1:10" x14ac:dyDescent="0.2">
      <c r="A116" s="46"/>
      <c r="C116" s="74"/>
      <c r="D116" s="17"/>
      <c r="G116" s="3"/>
      <c r="H116" s="3"/>
      <c r="I116" s="3"/>
      <c r="J116" s="3"/>
    </row>
    <row r="117" spans="1:10" ht="13.5" x14ac:dyDescent="0.25">
      <c r="A117" s="76" t="s">
        <v>772</v>
      </c>
      <c r="C117" s="74"/>
      <c r="E117" s="2">
        <v>987159</v>
      </c>
      <c r="F117" s="2">
        <v>1088596</v>
      </c>
      <c r="G117" s="3">
        <v>1216120</v>
      </c>
      <c r="H117" s="3">
        <v>1188440</v>
      </c>
      <c r="I117" s="3">
        <v>1271505</v>
      </c>
      <c r="J117" s="3">
        <v>1271505</v>
      </c>
    </row>
    <row r="118" spans="1:10" hidden="1" x14ac:dyDescent="0.2">
      <c r="A118" s="2" t="s">
        <v>770</v>
      </c>
      <c r="B118" s="2">
        <f>+B109</f>
        <v>48177</v>
      </c>
      <c r="C118" s="227">
        <v>0.1406</v>
      </c>
      <c r="D118" s="2">
        <f>+C118*B118</f>
        <v>6773.6862000000001</v>
      </c>
      <c r="G118" s="3"/>
      <c r="H118" s="3"/>
      <c r="I118" s="3"/>
      <c r="J118" s="3"/>
    </row>
    <row r="119" spans="1:10" hidden="1" x14ac:dyDescent="0.2">
      <c r="A119" s="2" t="s">
        <v>773</v>
      </c>
      <c r="B119" s="2">
        <f>+B110</f>
        <v>1110083</v>
      </c>
      <c r="C119" s="74">
        <v>0.32990000000000003</v>
      </c>
      <c r="D119" s="2">
        <f>+C119*B119</f>
        <v>366216.38170000003</v>
      </c>
      <c r="G119" s="145"/>
      <c r="H119" s="145"/>
      <c r="I119" s="145"/>
      <c r="J119" s="145"/>
    </row>
    <row r="120" spans="1:10" hidden="1" x14ac:dyDescent="0.2">
      <c r="A120" s="2" t="s">
        <v>774</v>
      </c>
      <c r="B120" s="2">
        <f>+B111</f>
        <v>2056826.0860215053</v>
      </c>
      <c r="C120" s="74">
        <v>0.32990000000000003</v>
      </c>
      <c r="D120" s="2">
        <f>+C120*B120</f>
        <v>678546.92577849468</v>
      </c>
      <c r="F120" s="11"/>
      <c r="G120" s="3"/>
      <c r="H120" s="3"/>
      <c r="I120" s="3"/>
      <c r="J120" s="3"/>
    </row>
    <row r="121" spans="1:10" hidden="1" x14ac:dyDescent="0.2">
      <c r="A121" s="2" t="s">
        <v>775</v>
      </c>
      <c r="B121" s="2">
        <f>+B112</f>
        <v>222911.44642857142</v>
      </c>
      <c r="C121" s="74">
        <v>0.32990000000000003</v>
      </c>
      <c r="D121" s="2">
        <f>+C121*B121</f>
        <v>73538.486176785722</v>
      </c>
      <c r="G121" s="3"/>
      <c r="H121" s="3"/>
      <c r="I121" s="3"/>
      <c r="J121" s="3"/>
    </row>
    <row r="122" spans="1:10" hidden="1" x14ac:dyDescent="0.2">
      <c r="A122" s="2" t="s">
        <v>455</v>
      </c>
      <c r="B122" s="2">
        <f>+B114</f>
        <v>443860.95161290327</v>
      </c>
      <c r="C122" s="74">
        <v>0.32990000000000003</v>
      </c>
      <c r="D122" s="17">
        <f>+C122*B122</f>
        <v>146429.72793709679</v>
      </c>
      <c r="G122" s="3"/>
      <c r="H122" s="3"/>
      <c r="I122" s="3"/>
      <c r="J122" s="3"/>
    </row>
    <row r="123" spans="1:10" hidden="1" x14ac:dyDescent="0.2">
      <c r="A123" s="2" t="s">
        <v>1086</v>
      </c>
      <c r="C123" s="74"/>
      <c r="D123" s="2">
        <f>SUM(D118:D122)</f>
        <v>1271505.2077923773</v>
      </c>
      <c r="G123" s="3"/>
      <c r="H123" s="3"/>
      <c r="I123" s="3"/>
      <c r="J123" s="3"/>
    </row>
    <row r="124" spans="1:10" x14ac:dyDescent="0.2">
      <c r="C124" s="74"/>
      <c r="G124" s="3"/>
      <c r="H124" s="3"/>
      <c r="I124" s="3"/>
      <c r="J124" s="3"/>
    </row>
    <row r="125" spans="1:10" ht="13.5" x14ac:dyDescent="0.25">
      <c r="A125" s="48" t="s">
        <v>841</v>
      </c>
      <c r="C125" s="74"/>
      <c r="E125" s="2">
        <v>759788</v>
      </c>
      <c r="F125" s="2">
        <v>802575</v>
      </c>
      <c r="G125" s="3">
        <v>817950</v>
      </c>
      <c r="H125" s="3">
        <v>809750</v>
      </c>
      <c r="I125" s="3">
        <v>888750</v>
      </c>
      <c r="J125" s="3">
        <v>888750</v>
      </c>
    </row>
    <row r="126" spans="1:10" x14ac:dyDescent="0.2">
      <c r="A126" s="2" t="s">
        <v>1623</v>
      </c>
      <c r="B126" s="2">
        <v>32</v>
      </c>
      <c r="C126" s="2">
        <v>19750</v>
      </c>
      <c r="D126" s="2">
        <f>+B126*C126</f>
        <v>632000</v>
      </c>
      <c r="G126" s="3"/>
      <c r="H126" s="3"/>
      <c r="I126" s="3"/>
      <c r="J126" s="3"/>
    </row>
    <row r="127" spans="1:10" ht="12.6" customHeight="1" x14ac:dyDescent="0.2">
      <c r="A127" s="2" t="s">
        <v>1624</v>
      </c>
      <c r="B127" s="2">
        <v>9</v>
      </c>
      <c r="C127" s="2">
        <v>19750</v>
      </c>
      <c r="D127" s="2">
        <f>+B127*C127</f>
        <v>177750</v>
      </c>
      <c r="G127" s="3"/>
      <c r="H127" s="3"/>
      <c r="I127" s="3"/>
      <c r="J127" s="3"/>
    </row>
    <row r="128" spans="1:10" ht="12.6" customHeight="1" x14ac:dyDescent="0.35">
      <c r="A128" s="2" t="s">
        <v>269</v>
      </c>
      <c r="B128" s="2">
        <v>4</v>
      </c>
      <c r="C128" s="2">
        <v>19750</v>
      </c>
      <c r="D128" s="10">
        <f>+B128*C128</f>
        <v>79000</v>
      </c>
      <c r="G128" s="3"/>
      <c r="H128" s="3"/>
      <c r="I128" s="3"/>
      <c r="J128" s="3"/>
    </row>
    <row r="129" spans="1:10" ht="12.6" customHeight="1" x14ac:dyDescent="0.2">
      <c r="A129" s="2" t="s">
        <v>690</v>
      </c>
      <c r="D129" s="2">
        <f>SUM(D126:D128)</f>
        <v>888750</v>
      </c>
      <c r="G129" s="3"/>
      <c r="H129" s="3"/>
      <c r="I129" s="3"/>
      <c r="J129" s="3"/>
    </row>
    <row r="130" spans="1:10" ht="12.6" customHeight="1" x14ac:dyDescent="0.2">
      <c r="G130" s="3"/>
      <c r="H130" s="3"/>
      <c r="I130" s="3"/>
      <c r="J130" s="3"/>
    </row>
    <row r="131" spans="1:10" ht="12.6" customHeight="1" x14ac:dyDescent="0.25">
      <c r="A131" s="48" t="s">
        <v>842</v>
      </c>
      <c r="E131" s="2">
        <v>43726</v>
      </c>
      <c r="F131" s="2">
        <v>52220</v>
      </c>
      <c r="G131" s="3">
        <v>52220</v>
      </c>
      <c r="H131" s="3">
        <v>52220</v>
      </c>
      <c r="I131" s="3">
        <v>57820</v>
      </c>
      <c r="J131" s="3">
        <v>57820</v>
      </c>
    </row>
    <row r="132" spans="1:10" ht="12.6" customHeight="1" x14ac:dyDescent="0.2">
      <c r="A132" s="2" t="s">
        <v>268</v>
      </c>
      <c r="B132" s="2">
        <v>41</v>
      </c>
      <c r="C132" s="2">
        <v>1400</v>
      </c>
      <c r="D132" s="2">
        <f>+B132*C132</f>
        <v>57400</v>
      </c>
      <c r="G132" s="3"/>
      <c r="H132" s="3"/>
      <c r="I132" s="3"/>
      <c r="J132" s="3"/>
    </row>
    <row r="133" spans="1:10" ht="12.6" customHeight="1" x14ac:dyDescent="0.2">
      <c r="A133" s="2" t="s">
        <v>269</v>
      </c>
      <c r="B133" s="2">
        <v>4</v>
      </c>
      <c r="C133" s="2">
        <v>1400</v>
      </c>
      <c r="D133" s="2">
        <f>+B133*C133</f>
        <v>5600</v>
      </c>
      <c r="G133" s="3"/>
      <c r="H133" s="3"/>
      <c r="I133" s="3"/>
      <c r="J133" s="3"/>
    </row>
    <row r="134" spans="1:10" ht="12.6" customHeight="1" x14ac:dyDescent="0.2">
      <c r="A134" s="2" t="s">
        <v>201</v>
      </c>
      <c r="D134" s="17">
        <f>+C133*-0.1*37</f>
        <v>-5180</v>
      </c>
      <c r="G134" s="3"/>
      <c r="H134" s="3"/>
      <c r="I134" s="3"/>
      <c r="J134" s="3"/>
    </row>
    <row r="135" spans="1:10" ht="12.6" customHeight="1" x14ac:dyDescent="0.2">
      <c r="A135" s="220" t="s">
        <v>690</v>
      </c>
      <c r="D135" s="2">
        <f>SUM(D132:D134)</f>
        <v>57820</v>
      </c>
      <c r="G135" s="3"/>
      <c r="H135" s="3"/>
      <c r="I135" s="3"/>
      <c r="J135" s="3"/>
    </row>
    <row r="136" spans="1:10" ht="12.6" customHeight="1" x14ac:dyDescent="0.2">
      <c r="G136" s="3"/>
      <c r="H136" s="3"/>
      <c r="I136" s="3"/>
      <c r="J136" s="3"/>
    </row>
    <row r="137" spans="1:10" ht="13.5" x14ac:dyDescent="0.25">
      <c r="A137" s="48" t="s">
        <v>843</v>
      </c>
      <c r="E137" s="2">
        <v>2969</v>
      </c>
      <c r="F137" s="2">
        <v>2735</v>
      </c>
      <c r="G137" s="3">
        <v>2735</v>
      </c>
      <c r="H137" s="3">
        <v>2735</v>
      </c>
      <c r="I137" s="3">
        <v>2875</v>
      </c>
      <c r="J137" s="3">
        <v>2875</v>
      </c>
    </row>
    <row r="138" spans="1:10" hidden="1" x14ac:dyDescent="0.2">
      <c r="A138" s="2" t="s">
        <v>197</v>
      </c>
      <c r="B138" s="2">
        <v>4</v>
      </c>
      <c r="C138" s="2">
        <v>135</v>
      </c>
      <c r="D138" s="2">
        <f>+C138*B138</f>
        <v>540</v>
      </c>
      <c r="G138" s="3"/>
      <c r="H138" s="3"/>
      <c r="I138" s="3"/>
      <c r="J138" s="3"/>
    </row>
    <row r="139" spans="1:10" hidden="1" x14ac:dyDescent="0.2">
      <c r="A139" s="2" t="s">
        <v>1565</v>
      </c>
      <c r="B139" s="2">
        <v>9</v>
      </c>
      <c r="C139" s="2">
        <v>135</v>
      </c>
      <c r="D139" s="2">
        <f>+C139*B139</f>
        <v>1215</v>
      </c>
      <c r="G139" s="3"/>
      <c r="H139" s="3"/>
      <c r="I139" s="3"/>
      <c r="J139" s="3"/>
    </row>
    <row r="140" spans="1:10" ht="15" hidden="1" x14ac:dyDescent="0.35">
      <c r="A140" s="2" t="s">
        <v>1937</v>
      </c>
      <c r="B140" s="2">
        <v>32</v>
      </c>
      <c r="C140" s="2">
        <v>35</v>
      </c>
      <c r="D140" s="10">
        <f>+B140*C140</f>
        <v>1120</v>
      </c>
      <c r="G140" s="3"/>
      <c r="H140" s="3"/>
      <c r="I140" s="3"/>
      <c r="J140" s="3"/>
    </row>
    <row r="141" spans="1:10" hidden="1" x14ac:dyDescent="0.2">
      <c r="A141" s="2" t="s">
        <v>1086</v>
      </c>
      <c r="D141" s="2">
        <f>SUM(D138:D140)</f>
        <v>2875</v>
      </c>
      <c r="G141" s="3"/>
      <c r="H141" s="3"/>
      <c r="I141" s="3"/>
      <c r="J141" s="3"/>
    </row>
    <row r="142" spans="1:10" x14ac:dyDescent="0.2">
      <c r="G142" s="3"/>
      <c r="H142" s="3"/>
      <c r="I142" s="3"/>
      <c r="J142" s="3"/>
    </row>
    <row r="143" spans="1:10" ht="13.5" x14ac:dyDescent="0.25">
      <c r="A143" s="48" t="s">
        <v>185</v>
      </c>
      <c r="E143" s="2">
        <v>23968</v>
      </c>
      <c r="F143" s="2">
        <v>25625</v>
      </c>
      <c r="G143" s="3">
        <v>22550</v>
      </c>
      <c r="H143" s="3">
        <v>22550</v>
      </c>
      <c r="I143" s="3">
        <v>24750</v>
      </c>
      <c r="J143" s="3">
        <v>24750</v>
      </c>
    </row>
    <row r="144" spans="1:10" hidden="1" x14ac:dyDescent="0.2">
      <c r="A144" s="2" t="s">
        <v>197</v>
      </c>
      <c r="B144" s="2">
        <v>4</v>
      </c>
      <c r="C144" s="2">
        <v>550</v>
      </c>
      <c r="D144" s="2">
        <f>+C144*B144</f>
        <v>2200</v>
      </c>
      <c r="G144" s="3"/>
      <c r="H144" s="3"/>
      <c r="I144" s="3"/>
      <c r="J144" s="3"/>
    </row>
    <row r="145" spans="1:10" ht="15" hidden="1" x14ac:dyDescent="0.35">
      <c r="A145" s="2" t="s">
        <v>1238</v>
      </c>
      <c r="B145" s="2">
        <v>41</v>
      </c>
      <c r="C145" s="2">
        <v>550</v>
      </c>
      <c r="D145" s="10">
        <f>+C145*B145</f>
        <v>22550</v>
      </c>
      <c r="G145" s="3"/>
      <c r="H145" s="3"/>
      <c r="I145" s="3"/>
      <c r="J145" s="3"/>
    </row>
    <row r="146" spans="1:10" hidden="1" x14ac:dyDescent="0.2">
      <c r="A146" s="2" t="s">
        <v>1086</v>
      </c>
      <c r="D146" s="2">
        <f>SUM(D144:D145)</f>
        <v>24750</v>
      </c>
      <c r="G146" s="3"/>
      <c r="H146" s="3"/>
      <c r="I146" s="3"/>
      <c r="J146" s="3"/>
    </row>
    <row r="147" spans="1:10" x14ac:dyDescent="0.2">
      <c r="G147" s="3"/>
      <c r="H147" s="3"/>
      <c r="I147" s="3"/>
      <c r="J147" s="3"/>
    </row>
    <row r="148" spans="1:10" ht="13.5" x14ac:dyDescent="0.25">
      <c r="A148" s="48" t="s">
        <v>255</v>
      </c>
      <c r="E148" s="2">
        <v>183678</v>
      </c>
      <c r="F148" s="2">
        <v>233753</v>
      </c>
      <c r="G148" s="3">
        <v>243245</v>
      </c>
      <c r="H148" s="3">
        <v>236544</v>
      </c>
      <c r="I148" s="3">
        <v>252744</v>
      </c>
      <c r="J148" s="3">
        <v>252744</v>
      </c>
    </row>
    <row r="149" spans="1:10" hidden="1" x14ac:dyDescent="0.2">
      <c r="A149" s="46" t="s">
        <v>770</v>
      </c>
      <c r="B149" s="2">
        <f>+D10</f>
        <v>48177</v>
      </c>
      <c r="C149" s="13">
        <v>1.6999999999999999E-3</v>
      </c>
      <c r="D149" s="2">
        <f t="shared" ref="D149:D154" si="5">+C149*B149</f>
        <v>81.900899999999993</v>
      </c>
      <c r="G149" s="3"/>
      <c r="H149" s="3"/>
      <c r="I149" s="3"/>
      <c r="J149" s="3"/>
    </row>
    <row r="150" spans="1:10" hidden="1" x14ac:dyDescent="0.2">
      <c r="A150" s="46" t="s">
        <v>1290</v>
      </c>
      <c r="B150" s="2">
        <f>+D30</f>
        <v>1110083</v>
      </c>
      <c r="C150" s="13">
        <v>6.4199999999999993E-2</v>
      </c>
      <c r="D150" s="2">
        <f t="shared" si="5"/>
        <v>71267.328599999993</v>
      </c>
      <c r="G150" s="3"/>
      <c r="H150" s="3"/>
      <c r="I150" s="3"/>
      <c r="J150" s="3"/>
    </row>
    <row r="151" spans="1:10" hidden="1" x14ac:dyDescent="0.2">
      <c r="A151" s="46" t="s">
        <v>695</v>
      </c>
      <c r="B151" s="2">
        <f>+D69</f>
        <v>2056826.0860215053</v>
      </c>
      <c r="C151" s="13">
        <v>6.4199999999999993E-2</v>
      </c>
      <c r="D151" s="2">
        <f t="shared" si="5"/>
        <v>132048.23472258062</v>
      </c>
      <c r="G151" s="3"/>
      <c r="H151" s="3"/>
      <c r="I151" s="3"/>
      <c r="J151" s="3"/>
    </row>
    <row r="152" spans="1:10" hidden="1" x14ac:dyDescent="0.2">
      <c r="A152" s="46" t="s">
        <v>1669</v>
      </c>
      <c r="B152" s="2">
        <f>+B121</f>
        <v>222911.44642857142</v>
      </c>
      <c r="C152" s="13">
        <v>6.4199999999999993E-2</v>
      </c>
      <c r="D152" s="2">
        <f t="shared" si="5"/>
        <v>14310.914860714283</v>
      </c>
      <c r="G152" s="3"/>
      <c r="H152" s="3"/>
      <c r="I152" s="3"/>
      <c r="J152" s="3"/>
    </row>
    <row r="153" spans="1:10" hidden="1" x14ac:dyDescent="0.2">
      <c r="A153" s="46" t="s">
        <v>158</v>
      </c>
      <c r="B153" s="2">
        <f>+D94</f>
        <v>101965.12</v>
      </c>
      <c r="C153" s="13">
        <v>6.4199999999999993E-2</v>
      </c>
      <c r="D153" s="2">
        <f t="shared" si="5"/>
        <v>6546.160703999999</v>
      </c>
      <c r="G153" s="3"/>
      <c r="H153" s="3"/>
      <c r="I153" s="3"/>
      <c r="J153" s="3"/>
    </row>
    <row r="154" spans="1:10" ht="15" hidden="1" x14ac:dyDescent="0.35">
      <c r="A154" s="46" t="s">
        <v>1670</v>
      </c>
      <c r="B154" s="2">
        <f>+B122</f>
        <v>443860.95161290327</v>
      </c>
      <c r="C154" s="13">
        <v>6.4199999999999993E-2</v>
      </c>
      <c r="D154" s="10">
        <f t="shared" si="5"/>
        <v>28495.873093548387</v>
      </c>
      <c r="G154" s="3"/>
      <c r="H154" s="3"/>
      <c r="I154" s="3"/>
      <c r="J154" s="3"/>
    </row>
    <row r="155" spans="1:10" hidden="1" x14ac:dyDescent="0.2">
      <c r="A155" s="2" t="s">
        <v>1086</v>
      </c>
      <c r="C155" s="13"/>
      <c r="D155" s="2">
        <f>SUM(D149:D154)-6</f>
        <v>252744.41288084327</v>
      </c>
      <c r="G155" s="3"/>
      <c r="H155" s="3"/>
      <c r="I155" s="3"/>
      <c r="J155" s="3"/>
    </row>
    <row r="156" spans="1:10" x14ac:dyDescent="0.2">
      <c r="G156" s="3"/>
      <c r="H156" s="3"/>
      <c r="I156" s="3"/>
      <c r="J156" s="3"/>
    </row>
    <row r="157" spans="1:10" ht="13.5" x14ac:dyDescent="0.25">
      <c r="A157" s="48" t="s">
        <v>124</v>
      </c>
      <c r="E157" s="2">
        <v>881</v>
      </c>
      <c r="F157" s="2">
        <v>1067</v>
      </c>
      <c r="G157" s="3">
        <v>1070</v>
      </c>
      <c r="H157" s="3">
        <v>1040</v>
      </c>
      <c r="I157" s="3">
        <v>1121</v>
      </c>
      <c r="J157" s="3">
        <v>1121</v>
      </c>
    </row>
    <row r="158" spans="1:10" hidden="1" x14ac:dyDescent="0.2">
      <c r="A158" s="46" t="s">
        <v>290</v>
      </c>
      <c r="B158" s="2">
        <v>1</v>
      </c>
      <c r="C158" s="2">
        <v>20</v>
      </c>
      <c r="D158" s="2">
        <f>ROUND(B158*C158,0)</f>
        <v>20</v>
      </c>
      <c r="G158" s="3"/>
      <c r="H158" s="3"/>
      <c r="I158" s="3"/>
      <c r="J158" s="3"/>
    </row>
    <row r="159" spans="1:10" hidden="1" x14ac:dyDescent="0.2">
      <c r="A159" s="46" t="s">
        <v>291</v>
      </c>
      <c r="B159" s="2">
        <v>12</v>
      </c>
      <c r="C159" s="2">
        <v>20</v>
      </c>
      <c r="D159" s="2">
        <f t="shared" ref="D159:D164" si="6">ROUND(B159*C159,0)</f>
        <v>240</v>
      </c>
      <c r="G159" s="3"/>
      <c r="H159" s="3"/>
      <c r="I159" s="3"/>
      <c r="J159" s="3"/>
    </row>
    <row r="160" spans="1:10" hidden="1" x14ac:dyDescent="0.2">
      <c r="A160" s="46" t="s">
        <v>292</v>
      </c>
      <c r="B160" s="2">
        <v>32</v>
      </c>
      <c r="C160" s="2">
        <v>20</v>
      </c>
      <c r="D160" s="2">
        <f t="shared" si="6"/>
        <v>640</v>
      </c>
      <c r="G160" s="3"/>
      <c r="H160" s="3"/>
      <c r="I160" s="3"/>
      <c r="J160" s="3"/>
    </row>
    <row r="161" spans="1:10" hidden="1" x14ac:dyDescent="0.2">
      <c r="A161" s="2" t="s">
        <v>293</v>
      </c>
      <c r="B161" s="2">
        <v>2</v>
      </c>
      <c r="C161" s="2">
        <v>20</v>
      </c>
      <c r="D161" s="2">
        <f t="shared" si="6"/>
        <v>40</v>
      </c>
      <c r="G161" s="3"/>
      <c r="H161" s="3"/>
      <c r="I161" s="3"/>
      <c r="J161" s="3"/>
    </row>
    <row r="162" spans="1:10" hidden="1" x14ac:dyDescent="0.2">
      <c r="A162" s="2" t="s">
        <v>721</v>
      </c>
      <c r="B162" s="2">
        <v>1</v>
      </c>
      <c r="C162" s="2">
        <v>20</v>
      </c>
      <c r="D162" s="2">
        <f t="shared" si="6"/>
        <v>20</v>
      </c>
      <c r="G162" s="3"/>
      <c r="H162" s="3"/>
      <c r="I162" s="3"/>
      <c r="J162" s="3"/>
    </row>
    <row r="163" spans="1:10" hidden="1" x14ac:dyDescent="0.2">
      <c r="A163" s="46" t="s">
        <v>88</v>
      </c>
      <c r="B163" s="2">
        <v>1</v>
      </c>
      <c r="C163" s="2">
        <v>20</v>
      </c>
      <c r="D163" s="2">
        <f t="shared" si="6"/>
        <v>20</v>
      </c>
      <c r="G163" s="3"/>
      <c r="H163" s="3"/>
      <c r="I163" s="3"/>
      <c r="J163" s="3"/>
    </row>
    <row r="164" spans="1:10" ht="15" hidden="1" x14ac:dyDescent="0.35">
      <c r="A164" s="46" t="s">
        <v>1328</v>
      </c>
      <c r="B164" s="2">
        <f>+D94-D91</f>
        <v>100795.12</v>
      </c>
      <c r="C164" s="13">
        <v>1.4E-3</v>
      </c>
      <c r="D164" s="10">
        <f t="shared" si="6"/>
        <v>141</v>
      </c>
      <c r="G164" s="3"/>
      <c r="H164" s="3"/>
      <c r="I164" s="3"/>
      <c r="J164" s="3"/>
    </row>
    <row r="165" spans="1:10" hidden="1" x14ac:dyDescent="0.2">
      <c r="A165" s="2" t="s">
        <v>1086</v>
      </c>
      <c r="D165" s="2">
        <f>SUM(D158:D164)</f>
        <v>1121</v>
      </c>
      <c r="G165" s="3"/>
      <c r="H165" s="3"/>
      <c r="I165" s="3"/>
      <c r="J165" s="3"/>
    </row>
    <row r="166" spans="1:10" x14ac:dyDescent="0.2">
      <c r="G166" s="3"/>
      <c r="H166" s="3"/>
      <c r="I166" s="3"/>
      <c r="J166" s="3"/>
    </row>
    <row r="167" spans="1:10" ht="12.6" customHeight="1" x14ac:dyDescent="0.2">
      <c r="B167" s="103"/>
    </row>
    <row r="168" spans="1:10" ht="12.6" customHeight="1" x14ac:dyDescent="0.2">
      <c r="A168" s="2" t="s">
        <v>2154</v>
      </c>
      <c r="G168" s="3">
        <v>439321</v>
      </c>
      <c r="H168" s="3">
        <f>2600+439321+18450</f>
        <v>460371</v>
      </c>
      <c r="I168" s="3"/>
      <c r="J168" s="3"/>
    </row>
    <row r="169" spans="1:10" x14ac:dyDescent="0.2">
      <c r="G169" s="3"/>
      <c r="H169" s="3"/>
      <c r="I169" s="3"/>
      <c r="J169" s="3"/>
    </row>
    <row r="170" spans="1:10" ht="13.5" x14ac:dyDescent="0.25">
      <c r="A170" s="48" t="s">
        <v>1329</v>
      </c>
      <c r="E170" s="2">
        <v>5260</v>
      </c>
      <c r="F170" s="2">
        <v>5300</v>
      </c>
      <c r="G170" s="3">
        <v>5300</v>
      </c>
      <c r="H170" s="3">
        <v>5300</v>
      </c>
      <c r="I170" s="3">
        <v>5300</v>
      </c>
      <c r="J170" s="3">
        <v>5300</v>
      </c>
    </row>
    <row r="171" spans="1:10" x14ac:dyDescent="0.2">
      <c r="A171" s="2" t="s">
        <v>2060</v>
      </c>
      <c r="D171" s="2">
        <v>4500</v>
      </c>
      <c r="G171" s="3"/>
      <c r="H171" s="3"/>
      <c r="I171" s="3"/>
      <c r="J171" s="3"/>
    </row>
    <row r="172" spans="1:10" ht="15" x14ac:dyDescent="0.35">
      <c r="A172" s="2" t="s">
        <v>2061</v>
      </c>
      <c r="D172" s="10">
        <v>800</v>
      </c>
      <c r="G172" s="3"/>
      <c r="H172" s="3"/>
      <c r="I172" s="3"/>
      <c r="J172" s="3"/>
    </row>
    <row r="173" spans="1:10" x14ac:dyDescent="0.2">
      <c r="A173" s="23" t="s">
        <v>1086</v>
      </c>
      <c r="D173" s="2">
        <f>SUM(D171:D172)</f>
        <v>5300</v>
      </c>
      <c r="G173" s="3"/>
      <c r="H173" s="3"/>
      <c r="I173" s="3"/>
      <c r="J173" s="3"/>
    </row>
    <row r="174" spans="1:10" x14ac:dyDescent="0.2">
      <c r="G174" s="3"/>
      <c r="H174" s="3"/>
      <c r="I174" s="3"/>
      <c r="J174" s="3"/>
    </row>
    <row r="175" spans="1:10" ht="13.5" x14ac:dyDescent="0.25">
      <c r="A175" s="48" t="s">
        <v>1249</v>
      </c>
      <c r="E175" s="2">
        <v>4344</v>
      </c>
      <c r="F175" s="2">
        <v>5000</v>
      </c>
      <c r="G175" s="3">
        <v>1800</v>
      </c>
      <c r="H175" s="3">
        <v>1800</v>
      </c>
      <c r="I175" s="3">
        <v>1800</v>
      </c>
      <c r="J175" s="3">
        <v>1800</v>
      </c>
    </row>
    <row r="176" spans="1:10" x14ac:dyDescent="0.2">
      <c r="A176" s="2" t="s">
        <v>2062</v>
      </c>
      <c r="D176" s="2">
        <v>1800</v>
      </c>
      <c r="G176" s="3"/>
      <c r="H176" s="3"/>
      <c r="I176" s="3"/>
      <c r="J176" s="3"/>
    </row>
    <row r="177" spans="1:10" x14ac:dyDescent="0.2">
      <c r="G177" s="3"/>
      <c r="H177" s="3"/>
      <c r="I177" s="3"/>
      <c r="J177" s="3"/>
    </row>
    <row r="178" spans="1:10" ht="15" x14ac:dyDescent="0.35">
      <c r="A178" s="48" t="s">
        <v>191</v>
      </c>
      <c r="D178" s="10"/>
      <c r="E178" s="2">
        <v>62392</v>
      </c>
      <c r="F178" s="2">
        <v>34690</v>
      </c>
      <c r="G178" s="3">
        <v>37790</v>
      </c>
      <c r="H178" s="3">
        <v>37790</v>
      </c>
      <c r="I178" s="3">
        <v>37790</v>
      </c>
      <c r="J178" s="3">
        <v>37790</v>
      </c>
    </row>
    <row r="179" spans="1:10" x14ac:dyDescent="0.2">
      <c r="A179" s="2" t="s">
        <v>1332</v>
      </c>
      <c r="B179" s="2">
        <v>12</v>
      </c>
      <c r="C179" s="2">
        <v>1400</v>
      </c>
      <c r="D179" s="2">
        <f t="shared" ref="D179:D186" si="7">C179*B179</f>
        <v>16800</v>
      </c>
      <c r="G179" s="3"/>
      <c r="H179" s="3"/>
      <c r="I179" s="3"/>
      <c r="J179" s="3"/>
    </row>
    <row r="180" spans="1:10" x14ac:dyDescent="0.2">
      <c r="A180" s="209" t="s">
        <v>1826</v>
      </c>
      <c r="B180" s="209">
        <v>16</v>
      </c>
      <c r="C180" s="209">
        <v>240</v>
      </c>
      <c r="D180" s="209">
        <f t="shared" si="7"/>
        <v>3840</v>
      </c>
      <c r="G180" s="3"/>
      <c r="H180" s="3"/>
      <c r="I180" s="3"/>
      <c r="J180" s="3"/>
    </row>
    <row r="181" spans="1:10" x14ac:dyDescent="0.2">
      <c r="A181" s="209" t="s">
        <v>1591</v>
      </c>
      <c r="B181" s="209">
        <v>25</v>
      </c>
      <c r="C181" s="209">
        <v>120</v>
      </c>
      <c r="D181" s="209">
        <f t="shared" si="7"/>
        <v>3000</v>
      </c>
      <c r="G181" s="3"/>
      <c r="H181" s="3"/>
      <c r="I181" s="3"/>
      <c r="J181" s="3"/>
    </row>
    <row r="182" spans="1:10" x14ac:dyDescent="0.2">
      <c r="A182" s="209" t="s">
        <v>1592</v>
      </c>
      <c r="B182" s="209">
        <v>9</v>
      </c>
      <c r="C182" s="209">
        <v>400</v>
      </c>
      <c r="D182" s="209">
        <f t="shared" si="7"/>
        <v>3600</v>
      </c>
      <c r="G182" s="3"/>
      <c r="H182" s="3"/>
      <c r="I182" s="3"/>
      <c r="J182" s="3"/>
    </row>
    <row r="183" spans="1:10" x14ac:dyDescent="0.2">
      <c r="A183" s="2" t="s">
        <v>1426</v>
      </c>
      <c r="B183" s="2">
        <v>1</v>
      </c>
      <c r="C183" s="2">
        <v>550</v>
      </c>
      <c r="D183" s="209">
        <f t="shared" si="7"/>
        <v>550</v>
      </c>
      <c r="G183" s="3"/>
      <c r="H183" s="3"/>
      <c r="I183" s="3"/>
      <c r="J183" s="3"/>
    </row>
    <row r="184" spans="1:10" x14ac:dyDescent="0.2">
      <c r="A184" s="2" t="s">
        <v>1827</v>
      </c>
      <c r="B184" s="2">
        <v>1</v>
      </c>
      <c r="C184" s="2">
        <v>700</v>
      </c>
      <c r="D184" s="209">
        <f t="shared" si="7"/>
        <v>700</v>
      </c>
      <c r="G184" s="3"/>
      <c r="H184" s="3"/>
      <c r="I184" s="3"/>
      <c r="J184" s="3"/>
    </row>
    <row r="185" spans="1:10" x14ac:dyDescent="0.2">
      <c r="A185" s="2" t="s">
        <v>1681</v>
      </c>
      <c r="B185" s="2">
        <v>10</v>
      </c>
      <c r="C185" s="2">
        <v>80</v>
      </c>
      <c r="D185" s="209">
        <f t="shared" si="7"/>
        <v>800</v>
      </c>
      <c r="G185" s="3"/>
      <c r="H185" s="3"/>
      <c r="I185" s="3"/>
      <c r="J185" s="3"/>
    </row>
    <row r="186" spans="1:10" x14ac:dyDescent="0.2">
      <c r="A186" s="2" t="s">
        <v>1746</v>
      </c>
      <c r="B186" s="2">
        <v>2</v>
      </c>
      <c r="C186" s="2">
        <v>400</v>
      </c>
      <c r="D186" s="209">
        <f t="shared" si="7"/>
        <v>800</v>
      </c>
      <c r="G186" s="3"/>
      <c r="H186" s="3"/>
      <c r="I186" s="3"/>
      <c r="J186" s="3"/>
    </row>
    <row r="187" spans="1:10" x14ac:dyDescent="0.2">
      <c r="A187" s="2" t="s">
        <v>1333</v>
      </c>
      <c r="D187" s="2">
        <v>5700</v>
      </c>
      <c r="G187" s="3"/>
      <c r="H187" s="3"/>
      <c r="I187" s="3"/>
      <c r="J187" s="3"/>
    </row>
    <row r="188" spans="1:10" ht="15" x14ac:dyDescent="0.35">
      <c r="A188" s="2" t="s">
        <v>2063</v>
      </c>
      <c r="C188" s="10"/>
      <c r="D188" s="33">
        <v>2000</v>
      </c>
      <c r="G188" s="3"/>
      <c r="H188" s="3"/>
      <c r="I188" s="3"/>
      <c r="J188" s="3"/>
    </row>
    <row r="189" spans="1:10" x14ac:dyDescent="0.2">
      <c r="A189" s="23" t="s">
        <v>1086</v>
      </c>
      <c r="D189" s="2">
        <f>SUM(D179:D188)</f>
        <v>37790</v>
      </c>
      <c r="G189" s="3"/>
      <c r="H189" s="3"/>
      <c r="I189" s="3"/>
      <c r="J189" s="3"/>
    </row>
    <row r="190" spans="1:10" x14ac:dyDescent="0.2">
      <c r="G190" s="3"/>
      <c r="H190" s="3"/>
      <c r="I190" s="3"/>
      <c r="J190" s="3"/>
    </row>
    <row r="191" spans="1:10" ht="13.5" x14ac:dyDescent="0.25">
      <c r="A191" s="48" t="s">
        <v>722</v>
      </c>
      <c r="E191" s="2">
        <v>50845</v>
      </c>
      <c r="F191" s="2">
        <v>75635</v>
      </c>
      <c r="G191" s="3">
        <v>94640</v>
      </c>
      <c r="H191" s="3">
        <v>73590</v>
      </c>
      <c r="I191" s="3">
        <v>94640</v>
      </c>
      <c r="J191" s="3">
        <v>94640</v>
      </c>
    </row>
    <row r="192" spans="1:10" x14ac:dyDescent="0.2">
      <c r="A192" s="1" t="s">
        <v>815</v>
      </c>
      <c r="B192" s="7" t="s">
        <v>217</v>
      </c>
      <c r="C192" s="7" t="s">
        <v>1427</v>
      </c>
      <c r="D192" s="7"/>
      <c r="G192" s="3"/>
      <c r="H192" s="3"/>
      <c r="I192" s="3"/>
      <c r="J192" s="3"/>
    </row>
    <row r="193" spans="1:10" x14ac:dyDescent="0.2">
      <c r="A193" s="2" t="s">
        <v>2064</v>
      </c>
      <c r="B193" s="2">
        <v>3</v>
      </c>
      <c r="C193" s="2">
        <v>900</v>
      </c>
      <c r="D193" s="2">
        <f>C193*B193</f>
        <v>2700</v>
      </c>
      <c r="E193" s="2">
        <v>3</v>
      </c>
      <c r="G193" s="3"/>
      <c r="H193" s="3"/>
      <c r="I193" s="3"/>
      <c r="J193" s="3"/>
    </row>
    <row r="194" spans="1:10" x14ac:dyDescent="0.2">
      <c r="A194" s="2" t="s">
        <v>1627</v>
      </c>
      <c r="B194" s="2">
        <v>9</v>
      </c>
      <c r="C194" s="2">
        <v>900</v>
      </c>
      <c r="D194" s="209">
        <f t="shared" ref="D194:D205" si="8">C194*B194</f>
        <v>8100</v>
      </c>
      <c r="E194" s="2">
        <v>9</v>
      </c>
      <c r="G194" s="3"/>
      <c r="H194" s="3"/>
      <c r="I194" s="3"/>
      <c r="J194" s="3"/>
    </row>
    <row r="195" spans="1:10" x14ac:dyDescent="0.2">
      <c r="A195" s="2" t="s">
        <v>1687</v>
      </c>
      <c r="B195" s="2">
        <v>28</v>
      </c>
      <c r="C195" s="2">
        <v>850</v>
      </c>
      <c r="D195" s="209">
        <f t="shared" si="8"/>
        <v>23800</v>
      </c>
      <c r="E195" s="2">
        <v>28</v>
      </c>
      <c r="G195" s="3"/>
      <c r="H195" s="3"/>
      <c r="I195" s="3"/>
      <c r="J195" s="3"/>
    </row>
    <row r="196" spans="1:10" x14ac:dyDescent="0.2">
      <c r="A196" s="2" t="s">
        <v>2065</v>
      </c>
      <c r="B196" s="2">
        <v>1</v>
      </c>
      <c r="C196" s="2">
        <v>300</v>
      </c>
      <c r="D196" s="209">
        <f t="shared" si="8"/>
        <v>300</v>
      </c>
      <c r="E196" s="2">
        <v>1</v>
      </c>
      <c r="G196" s="3"/>
      <c r="H196" s="3"/>
      <c r="I196" s="3"/>
      <c r="J196" s="3"/>
    </row>
    <row r="197" spans="1:10" x14ac:dyDescent="0.2">
      <c r="A197" s="47" t="s">
        <v>218</v>
      </c>
      <c r="B197" s="2">
        <v>4</v>
      </c>
      <c r="C197" s="2">
        <v>250</v>
      </c>
      <c r="D197" s="209">
        <f t="shared" si="8"/>
        <v>1000</v>
      </c>
      <c r="E197" s="2">
        <v>4</v>
      </c>
      <c r="G197" s="3"/>
      <c r="H197" s="3"/>
      <c r="I197" s="3"/>
      <c r="J197" s="3"/>
    </row>
    <row r="198" spans="1:10" x14ac:dyDescent="0.2">
      <c r="A198" s="2" t="s">
        <v>2066</v>
      </c>
      <c r="B198" s="2">
        <v>5</v>
      </c>
      <c r="C198" s="2">
        <v>650</v>
      </c>
      <c r="D198" s="209">
        <f t="shared" si="8"/>
        <v>3250</v>
      </c>
      <c r="E198" s="2">
        <v>5</v>
      </c>
      <c r="G198" s="3"/>
      <c r="H198" s="3"/>
      <c r="I198" s="3"/>
      <c r="J198" s="3"/>
    </row>
    <row r="199" spans="1:10" x14ac:dyDescent="0.2">
      <c r="A199" s="2" t="s">
        <v>1682</v>
      </c>
      <c r="B199" s="2">
        <v>12</v>
      </c>
      <c r="C199" s="2">
        <v>2490</v>
      </c>
      <c r="D199" s="209">
        <f t="shared" si="8"/>
        <v>29880</v>
      </c>
      <c r="E199" s="2">
        <v>12</v>
      </c>
      <c r="G199" s="3"/>
      <c r="H199" s="3"/>
      <c r="I199" s="3"/>
      <c r="J199" s="3"/>
    </row>
    <row r="200" spans="1:10" x14ac:dyDescent="0.2">
      <c r="A200" s="2" t="s">
        <v>2067</v>
      </c>
      <c r="B200" s="2">
        <v>5</v>
      </c>
      <c r="C200" s="2">
        <v>2490</v>
      </c>
      <c r="D200" s="209">
        <f t="shared" si="8"/>
        <v>12450</v>
      </c>
      <c r="E200" s="2">
        <v>5</v>
      </c>
      <c r="G200" s="3"/>
      <c r="H200" s="3"/>
      <c r="I200" s="3"/>
      <c r="J200" s="3"/>
    </row>
    <row r="201" spans="1:10" x14ac:dyDescent="0.2">
      <c r="A201" s="209" t="s">
        <v>2068</v>
      </c>
      <c r="B201" s="209">
        <v>5</v>
      </c>
      <c r="C201" s="209">
        <v>1200</v>
      </c>
      <c r="D201" s="209">
        <f t="shared" si="8"/>
        <v>6000</v>
      </c>
      <c r="E201" s="209">
        <v>5</v>
      </c>
      <c r="G201" s="3"/>
      <c r="H201" s="3"/>
      <c r="I201" s="3"/>
      <c r="J201" s="3"/>
    </row>
    <row r="202" spans="1:10" x14ac:dyDescent="0.2">
      <c r="A202" s="2" t="s">
        <v>1383</v>
      </c>
      <c r="B202" s="2">
        <v>10</v>
      </c>
      <c r="C202" s="2">
        <v>250</v>
      </c>
      <c r="D202" s="209">
        <f t="shared" si="8"/>
        <v>2500</v>
      </c>
      <c r="E202" s="2">
        <v>10</v>
      </c>
      <c r="G202" s="3"/>
      <c r="H202" s="3"/>
      <c r="I202" s="3"/>
      <c r="J202" s="3"/>
    </row>
    <row r="203" spans="1:10" x14ac:dyDescent="0.2">
      <c r="A203" s="2" t="s">
        <v>1938</v>
      </c>
      <c r="B203" s="2">
        <v>1</v>
      </c>
      <c r="C203" s="2">
        <v>1760</v>
      </c>
      <c r="D203" s="209">
        <f t="shared" si="8"/>
        <v>1760</v>
      </c>
      <c r="E203" s="2">
        <v>1</v>
      </c>
      <c r="G203" s="3"/>
      <c r="H203" s="3"/>
      <c r="I203" s="3"/>
      <c r="J203" s="3"/>
    </row>
    <row r="204" spans="1:10" x14ac:dyDescent="0.2">
      <c r="A204" s="2" t="s">
        <v>2069</v>
      </c>
      <c r="B204" s="2">
        <v>4</v>
      </c>
      <c r="C204" s="2">
        <v>600</v>
      </c>
      <c r="D204" s="209">
        <f t="shared" si="8"/>
        <v>2400</v>
      </c>
      <c r="E204" s="2">
        <v>4</v>
      </c>
      <c r="G204" s="3"/>
      <c r="H204" s="3"/>
      <c r="I204" s="3"/>
      <c r="J204" s="3"/>
    </row>
    <row r="205" spans="1:10" ht="15" x14ac:dyDescent="0.35">
      <c r="A205" s="2" t="s">
        <v>2070</v>
      </c>
      <c r="B205" s="2">
        <v>1</v>
      </c>
      <c r="C205" s="2">
        <v>500</v>
      </c>
      <c r="D205" s="210">
        <f t="shared" si="8"/>
        <v>500</v>
      </c>
      <c r="E205" s="2">
        <v>1</v>
      </c>
      <c r="G205" s="3"/>
      <c r="H205" s="3"/>
      <c r="I205" s="3"/>
      <c r="J205" s="3"/>
    </row>
    <row r="206" spans="1:10" x14ac:dyDescent="0.2">
      <c r="A206" s="23" t="s">
        <v>1086</v>
      </c>
      <c r="D206" s="2">
        <f>SUM(D193:D205)</f>
        <v>94640</v>
      </c>
      <c r="G206" s="3"/>
      <c r="H206" s="3"/>
      <c r="I206" s="3"/>
      <c r="J206" s="3"/>
    </row>
    <row r="207" spans="1:10" x14ac:dyDescent="0.2">
      <c r="G207" s="3"/>
      <c r="H207" s="3"/>
      <c r="I207" s="3"/>
      <c r="J207" s="3"/>
    </row>
    <row r="208" spans="1:10" ht="13.5" x14ac:dyDescent="0.25">
      <c r="A208" s="48" t="s">
        <v>816</v>
      </c>
      <c r="E208" s="2">
        <v>685</v>
      </c>
      <c r="F208" s="2">
        <v>375</v>
      </c>
      <c r="G208" s="3">
        <v>425</v>
      </c>
      <c r="H208" s="3">
        <v>425</v>
      </c>
      <c r="I208" s="3">
        <v>425</v>
      </c>
      <c r="J208" s="3">
        <v>425</v>
      </c>
    </row>
    <row r="209" spans="1:10" x14ac:dyDescent="0.2">
      <c r="A209" s="2" t="s">
        <v>2071</v>
      </c>
      <c r="D209" s="2">
        <v>425</v>
      </c>
      <c r="G209" s="3"/>
      <c r="H209" s="3"/>
      <c r="I209" s="3"/>
      <c r="J209" s="3"/>
    </row>
    <row r="210" spans="1:10" x14ac:dyDescent="0.2">
      <c r="A210" s="23"/>
      <c r="G210" s="3"/>
      <c r="H210" s="3"/>
      <c r="I210" s="3"/>
      <c r="J210" s="3"/>
    </row>
    <row r="211" spans="1:10" ht="13.5" x14ac:dyDescent="0.25">
      <c r="A211" s="48" t="s">
        <v>556</v>
      </c>
      <c r="E211" s="2">
        <v>81</v>
      </c>
      <c r="F211" s="2">
        <v>100</v>
      </c>
      <c r="G211" s="3">
        <v>200</v>
      </c>
      <c r="H211" s="3">
        <v>200</v>
      </c>
      <c r="I211" s="3">
        <v>200</v>
      </c>
      <c r="J211" s="3">
        <v>200</v>
      </c>
    </row>
    <row r="212" spans="1:10" x14ac:dyDescent="0.2">
      <c r="A212" s="2" t="s">
        <v>1356</v>
      </c>
      <c r="B212" s="2" t="s">
        <v>349</v>
      </c>
      <c r="D212" s="2">
        <v>200</v>
      </c>
      <c r="G212" s="3"/>
      <c r="H212" s="3"/>
      <c r="I212" s="3"/>
      <c r="J212" s="3"/>
    </row>
    <row r="213" spans="1:10" x14ac:dyDescent="0.2">
      <c r="G213" s="3"/>
      <c r="H213" s="3"/>
      <c r="I213" s="3"/>
      <c r="J213" s="3"/>
    </row>
    <row r="214" spans="1:10" ht="13.5" x14ac:dyDescent="0.25">
      <c r="A214" s="48" t="s">
        <v>830</v>
      </c>
      <c r="C214" s="4"/>
      <c r="E214" s="2">
        <v>27100</v>
      </c>
      <c r="F214" s="2">
        <v>26800</v>
      </c>
      <c r="G214" s="3">
        <v>27950</v>
      </c>
      <c r="H214" s="3">
        <v>27950</v>
      </c>
      <c r="I214" s="3">
        <v>27950</v>
      </c>
      <c r="J214" s="3">
        <v>27950</v>
      </c>
    </row>
    <row r="215" spans="1:10" x14ac:dyDescent="0.2">
      <c r="A215" s="2" t="s">
        <v>322</v>
      </c>
      <c r="C215" s="11"/>
      <c r="D215" s="2">
        <v>1450</v>
      </c>
      <c r="G215" s="3"/>
      <c r="H215" s="3"/>
      <c r="I215" s="3"/>
      <c r="J215" s="3"/>
    </row>
    <row r="216" spans="1:10" x14ac:dyDescent="0.2">
      <c r="A216" s="2" t="s">
        <v>91</v>
      </c>
      <c r="C216" s="11"/>
      <c r="D216" s="2">
        <v>5500</v>
      </c>
      <c r="G216" s="3"/>
      <c r="H216" s="3"/>
      <c r="I216" s="3"/>
      <c r="J216" s="3"/>
    </row>
    <row r="217" spans="1:10" ht="15" x14ac:dyDescent="0.35">
      <c r="A217" s="2" t="s">
        <v>92</v>
      </c>
      <c r="B217" s="10"/>
      <c r="C217" s="11"/>
      <c r="D217" s="10">
        <v>21000</v>
      </c>
      <c r="G217" s="3"/>
      <c r="H217" s="3"/>
      <c r="I217" s="3"/>
      <c r="J217" s="3"/>
    </row>
    <row r="218" spans="1:10" x14ac:dyDescent="0.2">
      <c r="A218" s="23" t="s">
        <v>1086</v>
      </c>
      <c r="B218" s="1"/>
      <c r="C218" s="11"/>
      <c r="D218" s="2">
        <f>SUM(D215:D217)</f>
        <v>27950</v>
      </c>
      <c r="G218" s="3"/>
      <c r="H218" s="3"/>
      <c r="I218" s="3"/>
      <c r="J218" s="3"/>
    </row>
    <row r="219" spans="1:10" x14ac:dyDescent="0.2">
      <c r="C219" s="11"/>
      <c r="G219" s="3"/>
      <c r="H219" s="3"/>
      <c r="I219" s="3"/>
      <c r="J219" s="3"/>
    </row>
    <row r="220" spans="1:10" ht="13.5" x14ac:dyDescent="0.25">
      <c r="A220" s="48" t="s">
        <v>892</v>
      </c>
      <c r="C220" s="34"/>
      <c r="E220" s="2">
        <v>14141</v>
      </c>
      <c r="F220" s="2">
        <v>16700</v>
      </c>
      <c r="G220" s="3">
        <v>17000</v>
      </c>
      <c r="H220" s="3">
        <v>17000</v>
      </c>
      <c r="I220" s="3">
        <v>17000</v>
      </c>
      <c r="J220" s="3">
        <v>17000</v>
      </c>
    </row>
    <row r="221" spans="1:10" x14ac:dyDescent="0.2">
      <c r="A221" s="2" t="s">
        <v>322</v>
      </c>
      <c r="C221" s="11"/>
      <c r="D221" s="2">
        <v>3300</v>
      </c>
      <c r="G221" s="3"/>
      <c r="H221" s="3"/>
      <c r="I221" s="3"/>
      <c r="J221" s="3"/>
    </row>
    <row r="222" spans="1:10" x14ac:dyDescent="0.2">
      <c r="A222" s="2" t="s">
        <v>91</v>
      </c>
      <c r="C222" s="11"/>
      <c r="D222" s="2">
        <v>2200</v>
      </c>
      <c r="G222" s="3"/>
      <c r="H222" s="3"/>
      <c r="I222" s="3"/>
      <c r="J222" s="3"/>
    </row>
    <row r="223" spans="1:10" ht="15" x14ac:dyDescent="0.35">
      <c r="A223" s="2" t="s">
        <v>92</v>
      </c>
      <c r="C223" s="11"/>
      <c r="D223" s="10">
        <v>11500</v>
      </c>
      <c r="G223" s="3"/>
      <c r="H223" s="3"/>
      <c r="I223" s="3"/>
      <c r="J223" s="3"/>
    </row>
    <row r="224" spans="1:10" x14ac:dyDescent="0.2">
      <c r="A224" s="23" t="s">
        <v>1086</v>
      </c>
      <c r="D224" s="2">
        <f>SUM(D221:D223)</f>
        <v>17000</v>
      </c>
      <c r="G224" s="3"/>
      <c r="H224" s="3"/>
      <c r="I224" s="3"/>
      <c r="J224" s="3"/>
    </row>
    <row r="225" spans="1:10" x14ac:dyDescent="0.2">
      <c r="C225" s="11"/>
      <c r="G225" s="3"/>
      <c r="H225" s="3"/>
      <c r="I225" s="3"/>
      <c r="J225" s="3"/>
    </row>
    <row r="226" spans="1:10" ht="13.5" x14ac:dyDescent="0.25">
      <c r="A226" s="48" t="s">
        <v>1116</v>
      </c>
      <c r="C226" s="11"/>
      <c r="E226" s="2">
        <v>2571</v>
      </c>
      <c r="F226" s="2">
        <v>3000</v>
      </c>
      <c r="G226" s="3">
        <v>2800</v>
      </c>
      <c r="H226" s="3">
        <v>2800</v>
      </c>
      <c r="I226" s="3">
        <v>2800</v>
      </c>
      <c r="J226" s="3">
        <v>2800</v>
      </c>
    </row>
    <row r="227" spans="1:10" x14ac:dyDescent="0.2">
      <c r="A227" s="2" t="s">
        <v>288</v>
      </c>
      <c r="C227" s="11"/>
      <c r="D227" s="2">
        <v>2800</v>
      </c>
      <c r="G227" s="3"/>
      <c r="H227" s="3"/>
      <c r="I227" s="3"/>
      <c r="J227" s="3"/>
    </row>
    <row r="228" spans="1:10" x14ac:dyDescent="0.2">
      <c r="C228" s="11"/>
      <c r="G228" s="3"/>
      <c r="H228" s="3"/>
      <c r="I228" s="3"/>
      <c r="J228" s="3"/>
    </row>
    <row r="229" spans="1:10" ht="13.5" x14ac:dyDescent="0.25">
      <c r="A229" s="48" t="s">
        <v>1117</v>
      </c>
      <c r="C229" s="11"/>
      <c r="E229" s="2">
        <v>663</v>
      </c>
      <c r="F229" s="2">
        <v>813</v>
      </c>
      <c r="G229" s="3">
        <v>912</v>
      </c>
      <c r="H229" s="3">
        <v>912</v>
      </c>
      <c r="I229" s="3">
        <v>912</v>
      </c>
      <c r="J229" s="3">
        <v>912</v>
      </c>
    </row>
    <row r="230" spans="1:10" x14ac:dyDescent="0.2">
      <c r="A230" s="2" t="s">
        <v>322</v>
      </c>
      <c r="C230" s="11"/>
      <c r="D230" s="2">
        <v>304</v>
      </c>
      <c r="G230" s="3"/>
      <c r="H230" s="3"/>
      <c r="I230" s="3"/>
      <c r="J230" s="3"/>
    </row>
    <row r="231" spans="1:10" x14ac:dyDescent="0.2">
      <c r="A231" s="2" t="s">
        <v>91</v>
      </c>
      <c r="C231" s="11"/>
      <c r="D231" s="2">
        <v>304</v>
      </c>
      <c r="G231" s="3"/>
      <c r="H231" s="3"/>
      <c r="I231" s="3"/>
      <c r="J231" s="3"/>
    </row>
    <row r="232" spans="1:10" ht="15" x14ac:dyDescent="0.35">
      <c r="A232" s="2" t="s">
        <v>92</v>
      </c>
      <c r="C232" s="11"/>
      <c r="D232" s="10">
        <v>304</v>
      </c>
      <c r="G232" s="3"/>
      <c r="H232" s="3"/>
      <c r="I232" s="3"/>
      <c r="J232" s="3"/>
    </row>
    <row r="233" spans="1:10" x14ac:dyDescent="0.2">
      <c r="A233" s="23" t="s">
        <v>1086</v>
      </c>
      <c r="C233" s="11"/>
      <c r="D233" s="2">
        <f>SUM(D230:D232)</f>
        <v>912</v>
      </c>
      <c r="G233" s="3"/>
      <c r="H233" s="3"/>
      <c r="I233" s="3"/>
      <c r="J233" s="3"/>
    </row>
    <row r="234" spans="1:10" x14ac:dyDescent="0.2">
      <c r="C234" s="11"/>
      <c r="G234" s="3"/>
      <c r="H234" s="3"/>
      <c r="I234" s="3"/>
      <c r="J234" s="3"/>
    </row>
    <row r="235" spans="1:10" ht="13.5" x14ac:dyDescent="0.25">
      <c r="A235" s="48" t="s">
        <v>1118</v>
      </c>
      <c r="B235" s="4" t="s">
        <v>528</v>
      </c>
      <c r="C235" s="34" t="s">
        <v>529</v>
      </c>
      <c r="D235" s="4" t="s">
        <v>1086</v>
      </c>
      <c r="E235" s="2">
        <v>36849</v>
      </c>
      <c r="F235" s="2">
        <v>40118</v>
      </c>
      <c r="G235" s="3">
        <v>36875</v>
      </c>
      <c r="H235" s="3">
        <v>36875</v>
      </c>
      <c r="I235" s="3">
        <v>36875</v>
      </c>
      <c r="J235" s="3">
        <v>36875</v>
      </c>
    </row>
    <row r="236" spans="1:10" x14ac:dyDescent="0.2">
      <c r="A236" s="2" t="s">
        <v>1119</v>
      </c>
      <c r="B236" s="2">
        <v>12500</v>
      </c>
      <c r="C236" s="11">
        <v>2.59</v>
      </c>
      <c r="D236" s="2">
        <f>+C236*B236</f>
        <v>32375</v>
      </c>
      <c r="G236" s="3"/>
      <c r="H236" s="3"/>
      <c r="I236" s="3"/>
      <c r="J236" s="3"/>
    </row>
    <row r="237" spans="1:10" ht="15" x14ac:dyDescent="0.35">
      <c r="A237" s="2" t="s">
        <v>289</v>
      </c>
      <c r="B237" s="2">
        <v>2000</v>
      </c>
      <c r="C237" s="11">
        <v>2.25</v>
      </c>
      <c r="D237" s="10">
        <f>+C237*B237</f>
        <v>4500</v>
      </c>
      <c r="G237" s="3"/>
      <c r="H237" s="3"/>
      <c r="I237" s="3"/>
      <c r="J237" s="3"/>
    </row>
    <row r="238" spans="1:10" x14ac:dyDescent="0.2">
      <c r="A238" s="23" t="s">
        <v>1086</v>
      </c>
      <c r="C238" s="11"/>
      <c r="D238" s="2">
        <f>SUM(D236:D237)</f>
        <v>36875</v>
      </c>
      <c r="G238" s="3"/>
      <c r="H238" s="3"/>
      <c r="I238" s="3"/>
      <c r="J238" s="3"/>
    </row>
    <row r="239" spans="1:10" x14ac:dyDescent="0.2">
      <c r="A239" s="23"/>
      <c r="C239" s="11"/>
      <c r="G239" s="3"/>
      <c r="H239" s="3"/>
      <c r="I239" s="3"/>
      <c r="J239" s="3"/>
    </row>
    <row r="240" spans="1:10" x14ac:dyDescent="0.2">
      <c r="G240" s="3"/>
      <c r="H240" s="3"/>
      <c r="I240" s="3"/>
      <c r="J240" s="3"/>
    </row>
    <row r="241" spans="1:10" ht="13.5" x14ac:dyDescent="0.25">
      <c r="A241" s="48" t="s">
        <v>465</v>
      </c>
      <c r="E241" s="2">
        <v>15753</v>
      </c>
      <c r="F241" s="2">
        <v>15131</v>
      </c>
      <c r="G241" s="3">
        <v>15231</v>
      </c>
      <c r="H241" s="3">
        <v>15231</v>
      </c>
      <c r="I241" s="3">
        <v>15231</v>
      </c>
      <c r="J241" s="3">
        <v>15231</v>
      </c>
    </row>
    <row r="242" spans="1:10" x14ac:dyDescent="0.2">
      <c r="A242" s="2" t="s">
        <v>1527</v>
      </c>
      <c r="D242" s="2">
        <v>4350</v>
      </c>
      <c r="G242" s="3"/>
      <c r="H242" s="3"/>
      <c r="I242" s="3"/>
      <c r="J242" s="3"/>
    </row>
    <row r="243" spans="1:10" x14ac:dyDescent="0.2">
      <c r="A243" s="2" t="s">
        <v>1428</v>
      </c>
      <c r="B243" s="2">
        <v>2</v>
      </c>
      <c r="C243" s="2">
        <v>165</v>
      </c>
      <c r="D243" s="2">
        <f t="shared" ref="D243:D248" si="9">C243*B243</f>
        <v>330</v>
      </c>
      <c r="G243" s="3"/>
      <c r="H243" s="3"/>
      <c r="I243" s="3"/>
      <c r="J243" s="3"/>
    </row>
    <row r="244" spans="1:10" x14ac:dyDescent="0.2">
      <c r="A244" s="2" t="s">
        <v>1429</v>
      </c>
      <c r="B244" s="2">
        <v>1</v>
      </c>
      <c r="C244" s="2">
        <v>1161</v>
      </c>
      <c r="D244" s="2">
        <f t="shared" si="9"/>
        <v>1161</v>
      </c>
      <c r="G244" s="3"/>
      <c r="H244" s="3"/>
      <c r="I244" s="3"/>
      <c r="J244" s="3"/>
    </row>
    <row r="245" spans="1:10" x14ac:dyDescent="0.2">
      <c r="A245" s="2" t="s">
        <v>2072</v>
      </c>
      <c r="B245" s="2">
        <v>3</v>
      </c>
      <c r="C245" s="2">
        <v>1020</v>
      </c>
      <c r="D245" s="2">
        <f t="shared" si="9"/>
        <v>3060</v>
      </c>
      <c r="G245" s="3"/>
      <c r="H245" s="3"/>
      <c r="I245" s="3"/>
      <c r="J245" s="3"/>
    </row>
    <row r="246" spans="1:10" x14ac:dyDescent="0.2">
      <c r="A246" s="2" t="s">
        <v>2073</v>
      </c>
      <c r="B246" s="2">
        <v>2</v>
      </c>
      <c r="C246" s="2">
        <v>480</v>
      </c>
      <c r="D246" s="2">
        <f t="shared" si="9"/>
        <v>960</v>
      </c>
      <c r="G246" s="3"/>
      <c r="H246" s="3"/>
      <c r="I246" s="3"/>
      <c r="J246" s="3"/>
    </row>
    <row r="247" spans="1:10" x14ac:dyDescent="0.2">
      <c r="A247" s="2" t="s">
        <v>2074</v>
      </c>
      <c r="B247" s="2">
        <v>5</v>
      </c>
      <c r="C247" s="2">
        <v>786</v>
      </c>
      <c r="D247" s="2">
        <f t="shared" si="9"/>
        <v>3930</v>
      </c>
      <c r="G247" s="3"/>
      <c r="H247" s="3"/>
      <c r="I247" s="3"/>
      <c r="J247" s="3"/>
    </row>
    <row r="248" spans="1:10" ht="15" x14ac:dyDescent="0.35">
      <c r="A248" s="2" t="s">
        <v>2075</v>
      </c>
      <c r="B248" s="2">
        <v>3</v>
      </c>
      <c r="C248" s="2">
        <v>480</v>
      </c>
      <c r="D248" s="10">
        <f t="shared" si="9"/>
        <v>1440</v>
      </c>
      <c r="G248" s="3"/>
      <c r="H248" s="3"/>
      <c r="I248" s="3"/>
      <c r="J248" s="3"/>
    </row>
    <row r="249" spans="1:10" x14ac:dyDescent="0.2">
      <c r="A249" s="23" t="s">
        <v>1086</v>
      </c>
      <c r="D249" s="2">
        <f>SUM(D242:D248)</f>
        <v>15231</v>
      </c>
      <c r="G249" s="3"/>
      <c r="H249" s="3"/>
      <c r="I249" s="3"/>
      <c r="J249" s="3"/>
    </row>
    <row r="250" spans="1:10" x14ac:dyDescent="0.2">
      <c r="G250" s="3"/>
      <c r="H250" s="3"/>
      <c r="I250" s="3"/>
      <c r="J250" s="3"/>
    </row>
    <row r="251" spans="1:10" ht="13.5" x14ac:dyDescent="0.25">
      <c r="A251" s="48" t="s">
        <v>929</v>
      </c>
      <c r="B251" s="7"/>
      <c r="C251" s="7"/>
      <c r="D251" s="7"/>
      <c r="E251" s="2">
        <v>5737</v>
      </c>
      <c r="F251" s="2">
        <v>7865</v>
      </c>
      <c r="G251" s="3">
        <v>9181</v>
      </c>
      <c r="H251" s="3">
        <v>9181</v>
      </c>
      <c r="I251" s="3">
        <v>9181</v>
      </c>
      <c r="J251" s="3">
        <v>9181</v>
      </c>
    </row>
    <row r="252" spans="1:10" x14ac:dyDescent="0.2">
      <c r="A252" s="2" t="s">
        <v>1320</v>
      </c>
      <c r="B252" s="2">
        <v>55</v>
      </c>
      <c r="C252" s="2">
        <v>28</v>
      </c>
      <c r="D252" s="2">
        <f>C252*B252</f>
        <v>1540</v>
      </c>
      <c r="G252" s="3"/>
      <c r="H252" s="3"/>
      <c r="I252" s="3"/>
      <c r="J252" s="3"/>
    </row>
    <row r="253" spans="1:10" x14ac:dyDescent="0.2">
      <c r="A253" s="2" t="s">
        <v>1246</v>
      </c>
      <c r="B253" s="2">
        <v>3</v>
      </c>
      <c r="C253" s="2">
        <v>300</v>
      </c>
      <c r="D253" s="2">
        <f t="shared" ref="D253:D259" si="10">C253*B253</f>
        <v>900</v>
      </c>
      <c r="G253" s="3"/>
      <c r="H253" s="3"/>
      <c r="I253" s="3"/>
      <c r="J253" s="3"/>
    </row>
    <row r="254" spans="1:10" x14ac:dyDescent="0.2">
      <c r="A254" s="2" t="s">
        <v>331</v>
      </c>
      <c r="B254" s="2">
        <v>2</v>
      </c>
      <c r="C254" s="2">
        <v>100</v>
      </c>
      <c r="D254" s="2">
        <f t="shared" si="10"/>
        <v>200</v>
      </c>
      <c r="G254" s="3"/>
      <c r="H254" s="3"/>
      <c r="I254" s="3"/>
      <c r="J254" s="3"/>
    </row>
    <row r="255" spans="1:10" x14ac:dyDescent="0.2">
      <c r="A255" s="2" t="s">
        <v>332</v>
      </c>
      <c r="B255" s="2">
        <v>1</v>
      </c>
      <c r="C255" s="2">
        <v>180</v>
      </c>
      <c r="D255" s="2">
        <f t="shared" si="10"/>
        <v>180</v>
      </c>
      <c r="G255" s="3"/>
      <c r="H255" s="3"/>
      <c r="I255" s="3"/>
      <c r="J255" s="3"/>
    </row>
    <row r="256" spans="1:10" x14ac:dyDescent="0.2">
      <c r="A256" s="2" t="s">
        <v>2076</v>
      </c>
      <c r="B256" s="2">
        <v>1</v>
      </c>
      <c r="C256" s="2">
        <v>2300</v>
      </c>
      <c r="D256" s="2">
        <f t="shared" si="10"/>
        <v>2300</v>
      </c>
      <c r="G256" s="3"/>
      <c r="H256" s="3"/>
      <c r="I256" s="3"/>
      <c r="J256" s="3"/>
    </row>
    <row r="257" spans="1:10" x14ac:dyDescent="0.2">
      <c r="A257" s="2" t="s">
        <v>2077</v>
      </c>
      <c r="B257" s="2">
        <v>1</v>
      </c>
      <c r="C257" s="2">
        <v>150</v>
      </c>
      <c r="D257" s="2">
        <f t="shared" si="10"/>
        <v>150</v>
      </c>
      <c r="G257" s="3"/>
      <c r="H257" s="3"/>
      <c r="I257" s="3"/>
      <c r="J257" s="3"/>
    </row>
    <row r="258" spans="1:10" x14ac:dyDescent="0.2">
      <c r="A258" s="2" t="s">
        <v>2078</v>
      </c>
      <c r="B258" s="2">
        <v>1</v>
      </c>
      <c r="C258" s="2">
        <v>3411</v>
      </c>
      <c r="D258" s="2">
        <f t="shared" si="10"/>
        <v>3411</v>
      </c>
      <c r="G258" s="3"/>
      <c r="H258" s="3"/>
      <c r="I258" s="3"/>
      <c r="J258" s="3"/>
    </row>
    <row r="259" spans="1:10" ht="15" x14ac:dyDescent="0.35">
      <c r="A259" s="2" t="s">
        <v>34</v>
      </c>
      <c r="B259" s="2">
        <v>1</v>
      </c>
      <c r="C259" s="2">
        <v>500</v>
      </c>
      <c r="D259" s="10">
        <f t="shared" si="10"/>
        <v>500</v>
      </c>
      <c r="G259" s="3"/>
      <c r="H259" s="3"/>
      <c r="I259" s="3"/>
      <c r="J259" s="3"/>
    </row>
    <row r="260" spans="1:10" x14ac:dyDescent="0.2">
      <c r="A260" s="23" t="s">
        <v>1086</v>
      </c>
      <c r="D260" s="2">
        <f>SUM(D252:D259)</f>
        <v>9181</v>
      </c>
      <c r="G260" s="3"/>
      <c r="H260" s="3"/>
      <c r="I260" s="3"/>
      <c r="J260" s="3"/>
    </row>
    <row r="261" spans="1:10" x14ac:dyDescent="0.2">
      <c r="G261" s="3"/>
      <c r="H261" s="3"/>
      <c r="I261" s="3"/>
      <c r="J261" s="3"/>
    </row>
    <row r="262" spans="1:10" ht="13.5" x14ac:dyDescent="0.25">
      <c r="A262" s="48" t="s">
        <v>566</v>
      </c>
      <c r="E262" s="2">
        <v>43787</v>
      </c>
      <c r="F262" s="2">
        <v>43373</v>
      </c>
      <c r="G262" s="3">
        <v>46409</v>
      </c>
      <c r="H262" s="3">
        <v>46409</v>
      </c>
      <c r="I262" s="3">
        <v>46409</v>
      </c>
      <c r="J262" s="3">
        <v>46409</v>
      </c>
    </row>
    <row r="263" spans="1:10" x14ac:dyDescent="0.2">
      <c r="A263" s="2" t="s">
        <v>915</v>
      </c>
      <c r="D263" s="2">
        <v>46409</v>
      </c>
      <c r="G263" s="3"/>
      <c r="H263" s="3"/>
      <c r="I263" s="3"/>
      <c r="J263" s="3"/>
    </row>
    <row r="264" spans="1:10" x14ac:dyDescent="0.2">
      <c r="G264" s="3"/>
      <c r="H264" s="3"/>
      <c r="I264" s="3"/>
      <c r="J264" s="3"/>
    </row>
    <row r="265" spans="1:10" ht="13.5" x14ac:dyDescent="0.25">
      <c r="A265" s="48" t="s">
        <v>1141</v>
      </c>
      <c r="B265" s="18"/>
      <c r="C265" s="18"/>
      <c r="D265" s="18"/>
      <c r="E265" s="2">
        <v>287</v>
      </c>
      <c r="F265" s="2">
        <v>2250</v>
      </c>
      <c r="G265" s="3">
        <v>2250</v>
      </c>
      <c r="H265" s="3">
        <v>2250</v>
      </c>
      <c r="I265" s="3">
        <v>2250</v>
      </c>
      <c r="J265" s="3">
        <v>2250</v>
      </c>
    </row>
    <row r="266" spans="1:10" x14ac:dyDescent="0.2">
      <c r="A266" s="121" t="s">
        <v>2079</v>
      </c>
      <c r="B266" s="2">
        <v>1</v>
      </c>
      <c r="C266" s="2">
        <v>250</v>
      </c>
      <c r="D266" s="2">
        <v>2250</v>
      </c>
      <c r="G266" s="3"/>
      <c r="H266" s="3"/>
      <c r="I266" s="3"/>
      <c r="J266" s="3"/>
    </row>
    <row r="267" spans="1:10" x14ac:dyDescent="0.2">
      <c r="A267" s="2" t="s">
        <v>349</v>
      </c>
      <c r="G267" s="3"/>
      <c r="H267" s="3"/>
      <c r="I267" s="3"/>
      <c r="J267" s="3"/>
    </row>
    <row r="268" spans="1:10" ht="13.5" x14ac:dyDescent="0.25">
      <c r="A268" s="48" t="s">
        <v>1142</v>
      </c>
      <c r="B268" s="7"/>
      <c r="C268" s="7"/>
      <c r="D268" s="7"/>
      <c r="E268" s="2">
        <v>28494</v>
      </c>
      <c r="F268" s="2">
        <v>15275</v>
      </c>
      <c r="G268" s="3">
        <v>18500</v>
      </c>
      <c r="H268" s="3">
        <v>18500</v>
      </c>
      <c r="I268" s="3">
        <v>18500</v>
      </c>
      <c r="J268" s="3">
        <v>18500</v>
      </c>
    </row>
    <row r="269" spans="1:10" x14ac:dyDescent="0.2">
      <c r="A269" s="47" t="s">
        <v>2080</v>
      </c>
      <c r="C269" s="7"/>
      <c r="D269" s="7">
        <v>18500</v>
      </c>
      <c r="G269" s="3"/>
      <c r="H269" s="3"/>
      <c r="I269" s="3"/>
      <c r="J269" s="3"/>
    </row>
    <row r="270" spans="1:10" x14ac:dyDescent="0.2">
      <c r="C270" s="7"/>
      <c r="D270" s="7"/>
      <c r="G270" s="3"/>
      <c r="H270" s="3"/>
      <c r="I270" s="3"/>
      <c r="J270" s="3"/>
    </row>
    <row r="271" spans="1:10" ht="13.5" x14ac:dyDescent="0.25">
      <c r="A271" s="48" t="s">
        <v>577</v>
      </c>
      <c r="E271" s="2">
        <v>5091</v>
      </c>
      <c r="F271" s="2">
        <v>7350</v>
      </c>
      <c r="G271" s="3">
        <v>7300</v>
      </c>
      <c r="H271" s="3">
        <v>7300</v>
      </c>
      <c r="I271" s="3">
        <v>7300</v>
      </c>
      <c r="J271" s="3">
        <v>7300</v>
      </c>
    </row>
    <row r="272" spans="1:10" x14ac:dyDescent="0.2">
      <c r="A272" s="2" t="s">
        <v>2081</v>
      </c>
      <c r="D272" s="2">
        <v>7300</v>
      </c>
      <c r="G272" s="3"/>
      <c r="H272" s="3"/>
      <c r="I272" s="3"/>
      <c r="J272" s="3"/>
    </row>
    <row r="273" spans="1:10" x14ac:dyDescent="0.2">
      <c r="A273" s="2" t="s">
        <v>2082</v>
      </c>
      <c r="G273" s="3"/>
      <c r="H273" s="3"/>
      <c r="I273" s="3"/>
      <c r="J273" s="3"/>
    </row>
    <row r="274" spans="1:10" x14ac:dyDescent="0.2">
      <c r="G274" s="3"/>
      <c r="H274" s="3"/>
      <c r="I274" s="3"/>
      <c r="J274" s="3"/>
    </row>
    <row r="275" spans="1:10" ht="13.5" x14ac:dyDescent="0.25">
      <c r="A275" s="48" t="s">
        <v>240</v>
      </c>
      <c r="E275" s="2">
        <v>116942</v>
      </c>
      <c r="F275" s="2">
        <v>118300</v>
      </c>
      <c r="G275" s="3">
        <v>117500</v>
      </c>
      <c r="H275" s="3">
        <v>97500</v>
      </c>
      <c r="I275" s="3">
        <v>97500</v>
      </c>
      <c r="J275" s="3">
        <v>97500</v>
      </c>
    </row>
    <row r="276" spans="1:10" x14ac:dyDescent="0.2">
      <c r="A276" s="2" t="s">
        <v>476</v>
      </c>
      <c r="G276" s="3"/>
      <c r="H276" s="3"/>
      <c r="I276" s="3"/>
      <c r="J276" s="3"/>
    </row>
    <row r="277" spans="1:10" x14ac:dyDescent="0.2">
      <c r="A277" s="2" t="s">
        <v>85</v>
      </c>
      <c r="G277" s="3"/>
      <c r="H277" s="3"/>
      <c r="I277" s="3"/>
      <c r="J277" s="3"/>
    </row>
    <row r="278" spans="1:10" x14ac:dyDescent="0.2">
      <c r="A278" s="2" t="s">
        <v>2083</v>
      </c>
      <c r="D278" s="2">
        <v>97500</v>
      </c>
      <c r="G278" s="3"/>
      <c r="H278" s="3"/>
      <c r="I278" s="3"/>
      <c r="J278" s="3"/>
    </row>
    <row r="279" spans="1:10" x14ac:dyDescent="0.2">
      <c r="G279" s="3"/>
      <c r="H279" s="3"/>
      <c r="I279" s="3"/>
      <c r="J279" s="3"/>
    </row>
    <row r="280" spans="1:10" ht="13.5" x14ac:dyDescent="0.25">
      <c r="A280" s="48" t="s">
        <v>241</v>
      </c>
      <c r="B280" s="18"/>
      <c r="C280" s="18"/>
      <c r="D280" s="18"/>
      <c r="E280" s="2">
        <v>2625</v>
      </c>
      <c r="F280" s="2">
        <v>8125</v>
      </c>
      <c r="G280" s="3">
        <v>6000</v>
      </c>
      <c r="H280" s="3">
        <v>6000</v>
      </c>
      <c r="I280" s="3">
        <v>6000</v>
      </c>
      <c r="J280" s="3">
        <v>6000</v>
      </c>
    </row>
    <row r="281" spans="1:10" x14ac:dyDescent="0.2">
      <c r="A281" s="2" t="s">
        <v>1182</v>
      </c>
      <c r="D281" s="2">
        <v>1000</v>
      </c>
      <c r="G281" s="3"/>
      <c r="H281" s="3"/>
      <c r="I281" s="3"/>
      <c r="J281" s="3"/>
    </row>
    <row r="282" spans="1:10" x14ac:dyDescent="0.2">
      <c r="A282" s="2" t="s">
        <v>1351</v>
      </c>
      <c r="D282" s="2">
        <v>3500</v>
      </c>
      <c r="G282" s="3"/>
      <c r="H282" s="3"/>
      <c r="I282" s="3"/>
      <c r="J282" s="3"/>
    </row>
    <row r="283" spans="1:10" ht="15" x14ac:dyDescent="0.35">
      <c r="A283" s="2" t="s">
        <v>2084</v>
      </c>
      <c r="C283" s="10"/>
      <c r="D283" s="10">
        <v>1500</v>
      </c>
      <c r="G283" s="3"/>
      <c r="H283" s="3"/>
      <c r="I283" s="3"/>
      <c r="J283" s="3"/>
    </row>
    <row r="284" spans="1:10" x14ac:dyDescent="0.2">
      <c r="A284" s="23" t="s">
        <v>1086</v>
      </c>
      <c r="D284" s="2">
        <f>SUM(D281:D283)</f>
        <v>6000</v>
      </c>
      <c r="G284" s="3"/>
      <c r="H284" s="3"/>
      <c r="I284" s="3"/>
      <c r="J284" s="3"/>
    </row>
    <row r="285" spans="1:10" x14ac:dyDescent="0.2">
      <c r="G285" s="3"/>
      <c r="H285" s="3"/>
      <c r="I285" s="3"/>
      <c r="J285" s="3"/>
    </row>
    <row r="286" spans="1:10" ht="13.5" x14ac:dyDescent="0.25">
      <c r="A286" s="48" t="s">
        <v>617</v>
      </c>
      <c r="B286" s="7"/>
      <c r="C286" s="7"/>
      <c r="D286" s="7"/>
      <c r="E286" s="2">
        <v>1638</v>
      </c>
      <c r="F286" s="2">
        <v>3960</v>
      </c>
      <c r="G286" s="3">
        <v>5400</v>
      </c>
      <c r="H286" s="3">
        <v>5400</v>
      </c>
      <c r="I286" s="3">
        <v>5400</v>
      </c>
      <c r="J286" s="3">
        <v>5400</v>
      </c>
    </row>
    <row r="287" spans="1:10" x14ac:dyDescent="0.2">
      <c r="A287" s="2" t="s">
        <v>2085</v>
      </c>
      <c r="G287" s="3"/>
      <c r="H287" s="3"/>
      <c r="I287" s="3"/>
      <c r="J287" s="3"/>
    </row>
    <row r="288" spans="1:10" ht="15" x14ac:dyDescent="0.35">
      <c r="A288" s="2" t="s">
        <v>2086</v>
      </c>
      <c r="C288" s="10"/>
      <c r="D288" s="2">
        <v>5400</v>
      </c>
      <c r="G288" s="3"/>
      <c r="H288" s="3"/>
      <c r="I288" s="3"/>
      <c r="J288" s="3"/>
    </row>
    <row r="289" spans="1:10" x14ac:dyDescent="0.2">
      <c r="A289" s="23"/>
      <c r="G289" s="3"/>
      <c r="H289" s="3"/>
      <c r="I289" s="3"/>
      <c r="J289" s="3"/>
    </row>
    <row r="290" spans="1:10" ht="13.5" x14ac:dyDescent="0.25">
      <c r="A290" s="48" t="s">
        <v>242</v>
      </c>
      <c r="E290" s="2">
        <v>9848</v>
      </c>
      <c r="F290" s="2">
        <v>18495</v>
      </c>
      <c r="G290" s="3">
        <v>21920</v>
      </c>
      <c r="H290" s="3">
        <v>17920</v>
      </c>
      <c r="I290" s="3">
        <v>17920</v>
      </c>
      <c r="J290" s="3">
        <v>17920</v>
      </c>
    </row>
    <row r="291" spans="1:10" x14ac:dyDescent="0.2">
      <c r="B291" s="7"/>
      <c r="C291" s="7"/>
      <c r="D291" s="7"/>
      <c r="G291" s="3"/>
      <c r="H291" s="3"/>
      <c r="I291" s="3"/>
      <c r="J291" s="3"/>
    </row>
    <row r="292" spans="1:10" x14ac:dyDescent="0.2">
      <c r="A292" s="2" t="s">
        <v>2087</v>
      </c>
      <c r="B292" s="2">
        <v>1</v>
      </c>
      <c r="C292" s="2">
        <v>7200</v>
      </c>
      <c r="D292" s="2">
        <f>C292*B292</f>
        <v>7200</v>
      </c>
      <c r="G292" s="3"/>
      <c r="H292" s="3"/>
      <c r="I292" s="3"/>
      <c r="J292" s="3"/>
    </row>
    <row r="293" spans="1:10" x14ac:dyDescent="0.2">
      <c r="A293" s="2" t="s">
        <v>2088</v>
      </c>
      <c r="B293" s="2">
        <v>0</v>
      </c>
      <c r="C293" s="2">
        <v>50</v>
      </c>
      <c r="D293" s="2">
        <f>C293*B293</f>
        <v>0</v>
      </c>
      <c r="G293" s="3"/>
      <c r="H293" s="3"/>
      <c r="I293" s="3"/>
      <c r="J293" s="3"/>
    </row>
    <row r="294" spans="1:10" x14ac:dyDescent="0.2">
      <c r="A294" s="2" t="s">
        <v>1334</v>
      </c>
      <c r="B294" s="2">
        <v>1</v>
      </c>
      <c r="C294" s="2">
        <v>1500</v>
      </c>
      <c r="D294" s="2">
        <f>C294*B294</f>
        <v>1500</v>
      </c>
      <c r="G294" s="3"/>
      <c r="H294" s="3"/>
      <c r="I294" s="3"/>
      <c r="J294" s="3"/>
    </row>
    <row r="295" spans="1:10" x14ac:dyDescent="0.2">
      <c r="A295" s="2" t="s">
        <v>2089</v>
      </c>
      <c r="B295" s="2">
        <v>4</v>
      </c>
      <c r="C295" s="2">
        <v>550</v>
      </c>
      <c r="D295" s="2">
        <v>4620</v>
      </c>
      <c r="G295" s="3"/>
      <c r="H295" s="3"/>
      <c r="I295" s="3"/>
      <c r="J295" s="3"/>
    </row>
    <row r="296" spans="1:10" x14ac:dyDescent="0.2">
      <c r="A296" s="2" t="s">
        <v>1828</v>
      </c>
      <c r="B296" s="2">
        <v>3</v>
      </c>
      <c r="C296" s="2">
        <v>200</v>
      </c>
      <c r="D296" s="2">
        <f>C296*B296</f>
        <v>600</v>
      </c>
      <c r="G296" s="3"/>
      <c r="H296" s="3"/>
      <c r="I296" s="3"/>
      <c r="J296" s="3"/>
    </row>
    <row r="297" spans="1:10" ht="15" x14ac:dyDescent="0.35">
      <c r="A297" s="2" t="s">
        <v>2090</v>
      </c>
      <c r="B297" s="2">
        <v>1</v>
      </c>
      <c r="C297" s="2">
        <v>4000</v>
      </c>
      <c r="D297" s="10">
        <f>C297*B297</f>
        <v>4000</v>
      </c>
      <c r="G297" s="3"/>
      <c r="H297" s="3"/>
      <c r="I297" s="3"/>
      <c r="J297" s="3"/>
    </row>
    <row r="298" spans="1:10" x14ac:dyDescent="0.2">
      <c r="A298" s="23" t="s">
        <v>1086</v>
      </c>
      <c r="D298" s="2">
        <f>SUM(D292:D297)</f>
        <v>17920</v>
      </c>
      <c r="G298" s="3"/>
      <c r="H298" s="3"/>
      <c r="I298" s="3"/>
      <c r="J298" s="3"/>
    </row>
    <row r="299" spans="1:10" x14ac:dyDescent="0.2">
      <c r="G299" s="3"/>
      <c r="H299" s="3"/>
      <c r="I299" s="3"/>
      <c r="J299" s="3"/>
    </row>
    <row r="300" spans="1:10" ht="13.5" x14ac:dyDescent="0.25">
      <c r="A300" s="48" t="s">
        <v>243</v>
      </c>
      <c r="B300" s="7"/>
      <c r="C300" s="7"/>
      <c r="D300" s="7"/>
      <c r="E300" s="2">
        <v>39971</v>
      </c>
      <c r="F300" s="2">
        <v>67735</v>
      </c>
      <c r="G300" s="3">
        <v>67800</v>
      </c>
      <c r="H300" s="3">
        <v>67800</v>
      </c>
      <c r="I300" s="3">
        <v>67800</v>
      </c>
      <c r="J300" s="3">
        <v>67800</v>
      </c>
    </row>
    <row r="301" spans="1:10" ht="13.5" x14ac:dyDescent="0.25">
      <c r="A301" s="49" t="s">
        <v>1352</v>
      </c>
      <c r="B301" s="7"/>
      <c r="C301" s="7"/>
      <c r="D301" s="7"/>
      <c r="G301" s="3"/>
      <c r="H301" s="3"/>
      <c r="I301" s="3"/>
      <c r="J301" s="3"/>
    </row>
    <row r="302" spans="1:10" x14ac:dyDescent="0.2">
      <c r="A302" s="46" t="s">
        <v>784</v>
      </c>
      <c r="B302" s="2">
        <v>1</v>
      </c>
      <c r="C302" s="2">
        <v>12000</v>
      </c>
      <c r="D302" s="2">
        <f>B302*C302</f>
        <v>12000</v>
      </c>
      <c r="F302" s="11"/>
      <c r="G302" s="3"/>
      <c r="H302" s="3"/>
      <c r="I302" s="3"/>
      <c r="J302" s="3"/>
    </row>
    <row r="303" spans="1:10" x14ac:dyDescent="0.2">
      <c r="A303" s="46" t="s">
        <v>785</v>
      </c>
      <c r="B303" s="2">
        <v>1</v>
      </c>
      <c r="C303" s="2">
        <v>2500</v>
      </c>
      <c r="D303" s="2">
        <f>C303*B303</f>
        <v>2500</v>
      </c>
      <c r="G303" s="3"/>
      <c r="H303" s="3"/>
      <c r="I303" s="3"/>
      <c r="J303" s="3"/>
    </row>
    <row r="304" spans="1:10" ht="13.5" x14ac:dyDescent="0.25">
      <c r="A304" s="49" t="s">
        <v>1335</v>
      </c>
      <c r="D304" s="2">
        <f t="shared" ref="D304:D314" si="11">C304*B304</f>
        <v>0</v>
      </c>
      <c r="G304" s="3"/>
      <c r="H304" s="3"/>
      <c r="I304" s="3"/>
      <c r="J304" s="3"/>
    </row>
    <row r="305" spans="1:10" x14ac:dyDescent="0.2">
      <c r="A305" s="2" t="s">
        <v>1384</v>
      </c>
      <c r="B305" s="2">
        <v>1</v>
      </c>
      <c r="C305" s="2">
        <v>15750</v>
      </c>
      <c r="D305" s="2">
        <f t="shared" si="11"/>
        <v>15750</v>
      </c>
      <c r="G305" s="3"/>
      <c r="H305" s="3"/>
      <c r="I305" s="3"/>
      <c r="J305" s="3"/>
    </row>
    <row r="306" spans="1:10" x14ac:dyDescent="0.2">
      <c r="A306" s="2" t="s">
        <v>2091</v>
      </c>
      <c r="B306" s="2">
        <v>10</v>
      </c>
      <c r="C306" s="2">
        <v>25</v>
      </c>
      <c r="D306" s="2">
        <f t="shared" si="11"/>
        <v>250</v>
      </c>
      <c r="G306" s="3"/>
      <c r="H306" s="3"/>
      <c r="I306" s="3"/>
      <c r="J306" s="3"/>
    </row>
    <row r="307" spans="1:10" x14ac:dyDescent="0.2">
      <c r="A307" s="2" t="s">
        <v>2092</v>
      </c>
      <c r="B307" s="2">
        <v>25</v>
      </c>
      <c r="C307" s="2">
        <v>20</v>
      </c>
      <c r="D307" s="2">
        <f t="shared" si="11"/>
        <v>500</v>
      </c>
      <c r="G307" s="3"/>
      <c r="H307" s="3"/>
      <c r="I307" s="3"/>
      <c r="J307" s="3"/>
    </row>
    <row r="308" spans="1:10" x14ac:dyDescent="0.2">
      <c r="A308" s="2" t="s">
        <v>2093</v>
      </c>
      <c r="B308" s="2">
        <v>15</v>
      </c>
      <c r="C308" s="2">
        <v>140</v>
      </c>
      <c r="D308" s="2">
        <f t="shared" si="11"/>
        <v>2100</v>
      </c>
      <c r="G308" s="3"/>
      <c r="H308" s="3"/>
      <c r="I308" s="3"/>
      <c r="J308" s="3"/>
    </row>
    <row r="309" spans="1:10" x14ac:dyDescent="0.2">
      <c r="A309" s="2" t="s">
        <v>1683</v>
      </c>
      <c r="B309" s="2">
        <v>3</v>
      </c>
      <c r="C309" s="2">
        <v>1800</v>
      </c>
      <c r="D309" s="2">
        <f t="shared" si="11"/>
        <v>5400</v>
      </c>
      <c r="G309" s="3"/>
      <c r="H309" s="3"/>
      <c r="I309" s="3"/>
      <c r="J309" s="3"/>
    </row>
    <row r="310" spans="1:10" x14ac:dyDescent="0.2">
      <c r="A310" s="47" t="s">
        <v>1686</v>
      </c>
      <c r="B310" s="2">
        <v>1</v>
      </c>
      <c r="C310" s="2">
        <v>11800</v>
      </c>
      <c r="D310" s="2">
        <f>C310*B310</f>
        <v>11800</v>
      </c>
      <c r="G310" s="3"/>
      <c r="H310" s="3"/>
      <c r="I310" s="3"/>
      <c r="J310" s="3"/>
    </row>
    <row r="311" spans="1:10" ht="13.5" x14ac:dyDescent="0.25">
      <c r="A311" s="49" t="s">
        <v>1161</v>
      </c>
      <c r="D311" s="2">
        <f t="shared" si="11"/>
        <v>0</v>
      </c>
      <c r="G311" s="3"/>
      <c r="H311" s="3"/>
      <c r="I311" s="3"/>
      <c r="J311" s="3"/>
    </row>
    <row r="312" spans="1:10" x14ac:dyDescent="0.2">
      <c r="A312" s="2" t="s">
        <v>1385</v>
      </c>
      <c r="B312" s="2">
        <v>28</v>
      </c>
      <c r="C312" s="2">
        <v>375</v>
      </c>
      <c r="D312" s="2">
        <f t="shared" si="11"/>
        <v>10500</v>
      </c>
      <c r="G312" s="3"/>
      <c r="H312" s="3"/>
      <c r="I312" s="3"/>
      <c r="J312" s="3"/>
    </row>
    <row r="313" spans="1:10" x14ac:dyDescent="0.2">
      <c r="A313" s="2" t="s">
        <v>2094</v>
      </c>
      <c r="B313" s="2">
        <v>9</v>
      </c>
      <c r="C313" s="2">
        <v>500</v>
      </c>
      <c r="D313" s="2">
        <f t="shared" si="11"/>
        <v>4500</v>
      </c>
      <c r="G313" s="3"/>
      <c r="H313" s="3"/>
      <c r="I313" s="3"/>
      <c r="J313" s="3"/>
    </row>
    <row r="314" spans="1:10" ht="13.5" x14ac:dyDescent="0.25">
      <c r="A314" s="49" t="s">
        <v>2095</v>
      </c>
      <c r="D314" s="2">
        <f t="shared" si="11"/>
        <v>0</v>
      </c>
      <c r="G314" s="3"/>
      <c r="H314" s="3"/>
      <c r="I314" s="3"/>
      <c r="J314" s="3"/>
    </row>
    <row r="315" spans="1:10" x14ac:dyDescent="0.2">
      <c r="A315" s="2" t="s">
        <v>2096</v>
      </c>
      <c r="G315" s="3"/>
      <c r="H315" s="3"/>
      <c r="I315" s="3"/>
      <c r="J315" s="3"/>
    </row>
    <row r="316" spans="1:10" ht="15" x14ac:dyDescent="0.35">
      <c r="A316" s="2" t="s">
        <v>2097</v>
      </c>
      <c r="B316" s="2">
        <v>1</v>
      </c>
      <c r="C316" s="2">
        <v>2500</v>
      </c>
      <c r="D316" s="10">
        <v>2500</v>
      </c>
      <c r="G316" s="3"/>
      <c r="H316" s="3"/>
      <c r="I316" s="3"/>
      <c r="J316" s="3"/>
    </row>
    <row r="317" spans="1:10" x14ac:dyDescent="0.2">
      <c r="A317" s="23" t="s">
        <v>1086</v>
      </c>
      <c r="D317" s="2">
        <f>SUM(D302:D316)</f>
        <v>67800</v>
      </c>
      <c r="G317" s="3"/>
      <c r="H317" s="3"/>
      <c r="I317" s="3"/>
      <c r="J317" s="3"/>
    </row>
    <row r="318" spans="1:10" x14ac:dyDescent="0.2">
      <c r="G318" s="3"/>
      <c r="H318" s="3"/>
      <c r="I318" s="3"/>
      <c r="J318" s="3"/>
    </row>
    <row r="319" spans="1:10" ht="13.5" x14ac:dyDescent="0.25">
      <c r="A319" s="48" t="s">
        <v>1240</v>
      </c>
      <c r="E319" s="2">
        <v>2000</v>
      </c>
      <c r="F319" s="2">
        <v>4000</v>
      </c>
      <c r="G319" s="3">
        <v>6750</v>
      </c>
      <c r="H319" s="3">
        <v>6750</v>
      </c>
      <c r="I319" s="3">
        <v>6750</v>
      </c>
      <c r="J319" s="3">
        <v>6750</v>
      </c>
    </row>
    <row r="320" spans="1:10" x14ac:dyDescent="0.2">
      <c r="A320" s="2" t="s">
        <v>2098</v>
      </c>
      <c r="B320" s="2">
        <v>1</v>
      </c>
      <c r="C320" s="2">
        <v>2000</v>
      </c>
      <c r="D320" s="2">
        <f>C320*B320</f>
        <v>2000</v>
      </c>
      <c r="G320" s="3"/>
      <c r="H320" s="3"/>
      <c r="I320" s="3"/>
      <c r="J320" s="3"/>
    </row>
    <row r="321" spans="1:10" x14ac:dyDescent="0.2">
      <c r="A321" s="2" t="s">
        <v>1684</v>
      </c>
      <c r="B321" s="2">
        <v>2</v>
      </c>
      <c r="C321" s="2">
        <v>750</v>
      </c>
      <c r="D321" s="2">
        <f>C321*B321</f>
        <v>1500</v>
      </c>
      <c r="G321" s="3"/>
      <c r="H321" s="3"/>
      <c r="I321" s="3"/>
      <c r="J321" s="3"/>
    </row>
    <row r="322" spans="1:10" x14ac:dyDescent="0.2">
      <c r="A322" s="2" t="s">
        <v>2099</v>
      </c>
      <c r="B322" s="2">
        <v>50</v>
      </c>
      <c r="C322" s="2">
        <v>35</v>
      </c>
      <c r="D322" s="2">
        <f>C322*B322</f>
        <v>1750</v>
      </c>
      <c r="G322" s="3"/>
      <c r="H322" s="3"/>
      <c r="I322" s="3"/>
      <c r="J322" s="3"/>
    </row>
    <row r="323" spans="1:10" ht="15" x14ac:dyDescent="0.35">
      <c r="A323" s="2" t="s">
        <v>1659</v>
      </c>
      <c r="D323" s="30">
        <v>1500</v>
      </c>
      <c r="G323" s="3"/>
      <c r="H323" s="3"/>
      <c r="I323" s="3"/>
      <c r="J323" s="3"/>
    </row>
    <row r="324" spans="1:10" x14ac:dyDescent="0.2">
      <c r="A324" s="23" t="s">
        <v>1086</v>
      </c>
      <c r="D324" s="2">
        <f>SUM(D320:D323)</f>
        <v>6750</v>
      </c>
      <c r="G324" s="3"/>
      <c r="H324" s="3"/>
      <c r="I324" s="3"/>
      <c r="J324" s="3"/>
    </row>
    <row r="325" spans="1:10" x14ac:dyDescent="0.2">
      <c r="A325" s="23"/>
      <c r="G325" s="3"/>
      <c r="H325" s="3"/>
      <c r="I325" s="3"/>
      <c r="J325" s="3"/>
    </row>
    <row r="326" spans="1:10" ht="13.5" x14ac:dyDescent="0.25">
      <c r="A326" s="48" t="s">
        <v>564</v>
      </c>
      <c r="B326" s="7"/>
      <c r="C326" s="7"/>
      <c r="D326" s="7"/>
      <c r="E326" s="2">
        <v>4743</v>
      </c>
      <c r="F326" s="2">
        <v>8930</v>
      </c>
      <c r="G326" s="3">
        <v>7330</v>
      </c>
      <c r="H326" s="3">
        <v>7330</v>
      </c>
      <c r="I326" s="3">
        <v>7330</v>
      </c>
      <c r="J326" s="3">
        <v>7330</v>
      </c>
    </row>
    <row r="327" spans="1:10" x14ac:dyDescent="0.2">
      <c r="A327" s="2" t="s">
        <v>1217</v>
      </c>
      <c r="B327" s="2">
        <v>1</v>
      </c>
      <c r="C327" s="2">
        <v>430</v>
      </c>
      <c r="D327" s="2">
        <f>C327*B327</f>
        <v>430</v>
      </c>
      <c r="G327" s="3"/>
      <c r="H327" s="3"/>
      <c r="I327" s="3"/>
      <c r="J327" s="3"/>
    </row>
    <row r="328" spans="1:10" x14ac:dyDescent="0.2">
      <c r="A328" s="2" t="s">
        <v>1939</v>
      </c>
      <c r="B328" s="2">
        <v>2</v>
      </c>
      <c r="C328" s="2">
        <v>200</v>
      </c>
      <c r="D328" s="2">
        <f>C328*B328</f>
        <v>400</v>
      </c>
      <c r="G328" s="3"/>
      <c r="H328" s="3"/>
      <c r="I328" s="3"/>
      <c r="J328" s="3"/>
    </row>
    <row r="329" spans="1:10" x14ac:dyDescent="0.2">
      <c r="A329" s="209" t="s">
        <v>1829</v>
      </c>
      <c r="B329" s="209">
        <v>1</v>
      </c>
      <c r="C329" s="209">
        <v>2000</v>
      </c>
      <c r="D329" s="2">
        <f>C329*B329</f>
        <v>2000</v>
      </c>
      <c r="G329" s="3"/>
      <c r="H329" s="3"/>
      <c r="I329" s="3"/>
      <c r="J329" s="3"/>
    </row>
    <row r="330" spans="1:10" x14ac:dyDescent="0.2">
      <c r="A330" s="2" t="s">
        <v>1940</v>
      </c>
      <c r="B330" s="1">
        <v>5</v>
      </c>
      <c r="C330" s="7">
        <v>300</v>
      </c>
      <c r="D330" s="2">
        <f>C330*B330</f>
        <v>1500</v>
      </c>
      <c r="G330" s="3"/>
      <c r="H330" s="3"/>
      <c r="I330" s="3"/>
      <c r="J330" s="3"/>
    </row>
    <row r="331" spans="1:10" ht="15" x14ac:dyDescent="0.35">
      <c r="A331" s="2" t="s">
        <v>546</v>
      </c>
      <c r="B331" s="2">
        <v>1</v>
      </c>
      <c r="C331" s="2">
        <v>3000</v>
      </c>
      <c r="D331" s="10">
        <f>C331*B331</f>
        <v>3000</v>
      </c>
      <c r="G331" s="3"/>
      <c r="H331" s="3"/>
      <c r="I331" s="3"/>
      <c r="J331" s="3"/>
    </row>
    <row r="332" spans="1:10" x14ac:dyDescent="0.2">
      <c r="A332" s="23" t="s">
        <v>1086</v>
      </c>
      <c r="D332" s="2">
        <f>SUM(D327:D331)</f>
        <v>7330</v>
      </c>
      <c r="G332" s="3"/>
      <c r="H332" s="3"/>
      <c r="I332" s="3"/>
      <c r="J332" s="3"/>
    </row>
    <row r="333" spans="1:10" x14ac:dyDescent="0.2">
      <c r="G333" s="3"/>
      <c r="H333" s="3"/>
      <c r="I333" s="3"/>
      <c r="J333" s="3"/>
    </row>
    <row r="334" spans="1:10" ht="13.5" x14ac:dyDescent="0.25">
      <c r="A334" s="48" t="s">
        <v>811</v>
      </c>
      <c r="E334" s="2">
        <v>243</v>
      </c>
      <c r="F334" s="2">
        <v>6892</v>
      </c>
      <c r="G334" s="3">
        <v>3800</v>
      </c>
      <c r="H334" s="3">
        <v>0</v>
      </c>
      <c r="I334" s="3">
        <v>0</v>
      </c>
      <c r="J334" s="3">
        <v>0</v>
      </c>
    </row>
    <row r="335" spans="1:10" x14ac:dyDescent="0.2">
      <c r="A335" s="2" t="s">
        <v>2100</v>
      </c>
      <c r="B335" s="2">
        <v>0</v>
      </c>
      <c r="C335" s="2">
        <v>3800</v>
      </c>
      <c r="D335" s="2">
        <f>C335*B335</f>
        <v>0</v>
      </c>
      <c r="G335" s="3"/>
      <c r="H335" s="3"/>
      <c r="I335" s="3"/>
      <c r="J335" s="3"/>
    </row>
    <row r="336" spans="1:10" x14ac:dyDescent="0.2">
      <c r="G336" s="3"/>
      <c r="H336" s="3"/>
      <c r="I336" s="3"/>
      <c r="J336" s="3"/>
    </row>
    <row r="337" spans="1:10" ht="13.5" x14ac:dyDescent="0.25">
      <c r="A337" s="48" t="s">
        <v>468</v>
      </c>
      <c r="E337" s="2">
        <v>0</v>
      </c>
      <c r="F337" s="2">
        <v>700</v>
      </c>
      <c r="G337" s="3">
        <v>700</v>
      </c>
      <c r="H337" s="3">
        <v>700</v>
      </c>
      <c r="I337" s="3">
        <v>700</v>
      </c>
      <c r="J337" s="3">
        <v>700</v>
      </c>
    </row>
    <row r="338" spans="1:10" x14ac:dyDescent="0.2">
      <c r="A338" s="2" t="s">
        <v>2101</v>
      </c>
      <c r="B338" s="2">
        <v>1</v>
      </c>
      <c r="C338" s="2">
        <v>700</v>
      </c>
      <c r="D338" s="2">
        <f>C338*B338</f>
        <v>700</v>
      </c>
      <c r="G338" s="3"/>
      <c r="H338" s="3"/>
      <c r="I338" s="3"/>
      <c r="J338" s="3"/>
    </row>
    <row r="339" spans="1:10" x14ac:dyDescent="0.2">
      <c r="G339" s="3"/>
      <c r="H339" s="3"/>
      <c r="I339" s="3"/>
      <c r="J339" s="3"/>
    </row>
    <row r="340" spans="1:10" ht="13.5" x14ac:dyDescent="0.25">
      <c r="A340" s="48" t="s">
        <v>469</v>
      </c>
      <c r="B340" s="7"/>
      <c r="C340" s="7"/>
      <c r="D340" s="7"/>
      <c r="E340" s="2">
        <v>14126</v>
      </c>
      <c r="F340" s="2">
        <v>16500</v>
      </c>
      <c r="G340" s="3">
        <v>21665</v>
      </c>
      <c r="H340" s="3">
        <v>21665</v>
      </c>
      <c r="I340" s="3">
        <v>21665</v>
      </c>
      <c r="J340" s="3">
        <v>21665</v>
      </c>
    </row>
    <row r="341" spans="1:10" x14ac:dyDescent="0.2">
      <c r="A341" s="2" t="s">
        <v>2102</v>
      </c>
      <c r="B341" s="2">
        <v>1</v>
      </c>
      <c r="C341" s="2">
        <v>16500</v>
      </c>
      <c r="D341" s="2">
        <f>+C341*B341</f>
        <v>16500</v>
      </c>
      <c r="G341" s="3"/>
      <c r="H341" s="3"/>
      <c r="I341" s="3"/>
      <c r="J341" s="3"/>
    </row>
    <row r="342" spans="1:10" x14ac:dyDescent="0.2">
      <c r="A342" s="2" t="s">
        <v>2103</v>
      </c>
      <c r="B342" s="2">
        <v>4</v>
      </c>
      <c r="C342" s="2">
        <v>650</v>
      </c>
      <c r="D342" s="2">
        <f>PRODUCT(B342,C342)</f>
        <v>2600</v>
      </c>
      <c r="G342" s="3"/>
      <c r="H342" s="3"/>
      <c r="I342" s="3"/>
      <c r="J342" s="3"/>
    </row>
    <row r="343" spans="1:10" ht="15" x14ac:dyDescent="0.35">
      <c r="A343" s="2" t="s">
        <v>2104</v>
      </c>
      <c r="B343" s="2">
        <v>19</v>
      </c>
      <c r="C343" s="2">
        <v>135</v>
      </c>
      <c r="D343" s="10">
        <f>PRODUCT(B343,C343)</f>
        <v>2565</v>
      </c>
      <c r="G343" s="3"/>
      <c r="H343" s="3"/>
      <c r="I343" s="3"/>
      <c r="J343" s="3"/>
    </row>
    <row r="344" spans="1:10" x14ac:dyDescent="0.2">
      <c r="A344" s="23" t="s">
        <v>1086</v>
      </c>
      <c r="D344" s="2">
        <f>SUM(D341:D343)</f>
        <v>21665</v>
      </c>
      <c r="G344" s="3"/>
      <c r="H344" s="3"/>
      <c r="I344" s="3"/>
      <c r="J344" s="3"/>
    </row>
    <row r="345" spans="1:10" x14ac:dyDescent="0.2">
      <c r="G345" s="3"/>
      <c r="H345" s="3"/>
      <c r="I345" s="3"/>
      <c r="J345" s="3"/>
    </row>
    <row r="346" spans="1:10" ht="13.5" x14ac:dyDescent="0.25">
      <c r="A346" s="48" t="s">
        <v>470</v>
      </c>
      <c r="B346" s="7"/>
      <c r="C346" s="7"/>
      <c r="D346" s="7"/>
      <c r="E346" s="2">
        <v>35438</v>
      </c>
      <c r="F346" s="2">
        <v>1867</v>
      </c>
      <c r="G346" s="3">
        <v>1400</v>
      </c>
      <c r="H346" s="3">
        <v>1400</v>
      </c>
      <c r="I346" s="3">
        <v>1400</v>
      </c>
      <c r="J346" s="3">
        <v>1400</v>
      </c>
    </row>
    <row r="347" spans="1:10" ht="13.5" x14ac:dyDescent="0.25">
      <c r="A347" s="48" t="s">
        <v>684</v>
      </c>
      <c r="B347" s="7"/>
      <c r="C347" s="7"/>
      <c r="D347" s="7"/>
      <c r="G347" s="3"/>
      <c r="H347" s="3"/>
      <c r="I347" s="3"/>
      <c r="J347" s="3"/>
    </row>
    <row r="348" spans="1:10" ht="15" x14ac:dyDescent="0.35">
      <c r="A348" s="2" t="s">
        <v>2105</v>
      </c>
      <c r="B348" s="2">
        <v>1</v>
      </c>
      <c r="C348" s="7">
        <v>1400</v>
      </c>
      <c r="D348" s="8">
        <f>C348*B348</f>
        <v>1400</v>
      </c>
      <c r="G348" s="3"/>
      <c r="H348" s="3"/>
      <c r="I348" s="3"/>
      <c r="J348" s="3"/>
    </row>
    <row r="349" spans="1:10" x14ac:dyDescent="0.2">
      <c r="A349" s="23" t="s">
        <v>1086</v>
      </c>
      <c r="C349" s="7"/>
      <c r="D349" s="7">
        <f>SUM(D348:D348)</f>
        <v>1400</v>
      </c>
      <c r="G349" s="3"/>
      <c r="H349" s="3"/>
      <c r="I349" s="3"/>
      <c r="J349" s="3"/>
    </row>
    <row r="350" spans="1:10" x14ac:dyDescent="0.2">
      <c r="A350" s="37"/>
      <c r="B350" s="40"/>
      <c r="C350" s="3"/>
      <c r="D350" s="3"/>
      <c r="G350" s="3"/>
      <c r="H350" s="3"/>
      <c r="I350" s="3"/>
      <c r="J350" s="3"/>
    </row>
    <row r="351" spans="1:10" ht="13.5" x14ac:dyDescent="0.25">
      <c r="A351" s="48" t="s">
        <v>881</v>
      </c>
      <c r="B351" s="7"/>
      <c r="C351" s="7"/>
      <c r="D351" s="7"/>
      <c r="E351" s="2">
        <v>1956</v>
      </c>
      <c r="F351" s="2">
        <v>2500</v>
      </c>
      <c r="G351" s="3">
        <v>6500</v>
      </c>
      <c r="H351" s="3">
        <v>6500</v>
      </c>
      <c r="I351" s="3">
        <v>6500</v>
      </c>
      <c r="J351" s="3">
        <v>6500</v>
      </c>
    </row>
    <row r="352" spans="1:10" x14ac:dyDescent="0.2">
      <c r="A352" s="2" t="s">
        <v>2106</v>
      </c>
      <c r="B352" s="2">
        <v>2</v>
      </c>
      <c r="C352" s="2">
        <v>1250</v>
      </c>
      <c r="D352" s="2">
        <f>C352*B352</f>
        <v>2500</v>
      </c>
      <c r="G352" s="3"/>
      <c r="H352" s="3"/>
      <c r="I352" s="3"/>
      <c r="J352" s="3"/>
    </row>
    <row r="353" spans="1:10" ht="15" x14ac:dyDescent="0.35">
      <c r="A353" s="2" t="s">
        <v>2107</v>
      </c>
      <c r="B353" s="2">
        <v>1</v>
      </c>
      <c r="C353" s="2">
        <v>4000</v>
      </c>
      <c r="D353" s="10">
        <v>4000</v>
      </c>
      <c r="G353" s="3"/>
      <c r="H353" s="3"/>
      <c r="I353" s="3"/>
      <c r="J353" s="3"/>
    </row>
    <row r="354" spans="1:10" x14ac:dyDescent="0.2">
      <c r="A354" s="23" t="s">
        <v>1086</v>
      </c>
      <c r="D354" s="2">
        <f>SUM(D352:D353)</f>
        <v>6500</v>
      </c>
      <c r="G354" s="3"/>
      <c r="H354" s="3"/>
      <c r="I354" s="3"/>
      <c r="J354" s="3"/>
    </row>
    <row r="355" spans="1:10" x14ac:dyDescent="0.2">
      <c r="A355" s="46"/>
      <c r="G355" s="3"/>
      <c r="H355" s="3"/>
      <c r="I355" s="3"/>
      <c r="J355" s="3"/>
    </row>
    <row r="356" spans="1:10" ht="13.5" x14ac:dyDescent="0.25">
      <c r="A356" s="48" t="s">
        <v>882</v>
      </c>
      <c r="B356" s="7"/>
      <c r="C356" s="7"/>
      <c r="D356" s="7"/>
      <c r="E356" s="2">
        <v>13720</v>
      </c>
      <c r="F356" s="2">
        <v>17800</v>
      </c>
      <c r="G356" s="3">
        <v>17800</v>
      </c>
      <c r="H356" s="3">
        <v>17800</v>
      </c>
      <c r="I356" s="3">
        <v>17800</v>
      </c>
      <c r="J356" s="3">
        <v>17800</v>
      </c>
    </row>
    <row r="357" spans="1:10" x14ac:dyDescent="0.2">
      <c r="A357" s="2" t="s">
        <v>2108</v>
      </c>
      <c r="B357" s="2">
        <v>1</v>
      </c>
      <c r="C357" s="2">
        <v>17800</v>
      </c>
      <c r="D357" s="2">
        <v>17800</v>
      </c>
      <c r="G357" s="3"/>
      <c r="H357" s="3"/>
      <c r="I357" s="3"/>
      <c r="J357" s="3"/>
    </row>
    <row r="358" spans="1:10" x14ac:dyDescent="0.2">
      <c r="G358" s="3"/>
      <c r="H358" s="3"/>
      <c r="I358" s="3"/>
      <c r="J358" s="3"/>
    </row>
    <row r="359" spans="1:10" ht="13.5" x14ac:dyDescent="0.25">
      <c r="A359" s="48" t="s">
        <v>1023</v>
      </c>
      <c r="B359" s="18"/>
      <c r="C359" s="18"/>
      <c r="D359" s="18"/>
      <c r="E359" s="2">
        <v>10664</v>
      </c>
      <c r="F359" s="2">
        <v>12799</v>
      </c>
      <c r="G359" s="3">
        <v>13138</v>
      </c>
      <c r="H359" s="3">
        <v>9038</v>
      </c>
      <c r="I359" s="3">
        <v>9038</v>
      </c>
      <c r="J359" s="3">
        <v>9038</v>
      </c>
    </row>
    <row r="360" spans="1:10" x14ac:dyDescent="0.2">
      <c r="A360" s="209" t="s">
        <v>2109</v>
      </c>
      <c r="B360" s="209">
        <v>0</v>
      </c>
      <c r="C360" s="211">
        <v>4100</v>
      </c>
      <c r="D360" s="211">
        <f>C360*B360</f>
        <v>0</v>
      </c>
      <c r="G360" s="3"/>
      <c r="H360" s="3"/>
      <c r="I360" s="3"/>
      <c r="J360" s="3"/>
    </row>
    <row r="361" spans="1:10" x14ac:dyDescent="0.2">
      <c r="A361" s="209" t="s">
        <v>1941</v>
      </c>
      <c r="B361" s="209">
        <v>4</v>
      </c>
      <c r="C361" s="211">
        <v>1072</v>
      </c>
      <c r="D361" s="211">
        <f>C361*B361</f>
        <v>4288</v>
      </c>
      <c r="G361" s="3"/>
      <c r="H361" s="3"/>
      <c r="I361" s="3"/>
      <c r="J361" s="3"/>
    </row>
    <row r="362" spans="1:10" ht="15" x14ac:dyDescent="0.35">
      <c r="A362" s="2" t="s">
        <v>2110</v>
      </c>
      <c r="B362" s="2">
        <v>1</v>
      </c>
      <c r="C362" s="7">
        <v>4750</v>
      </c>
      <c r="D362" s="8">
        <f>C362*B362</f>
        <v>4750</v>
      </c>
      <c r="G362" s="3"/>
      <c r="H362" s="3"/>
      <c r="I362" s="3"/>
      <c r="J362" s="3"/>
    </row>
    <row r="363" spans="1:10" x14ac:dyDescent="0.2">
      <c r="A363" s="23" t="s">
        <v>1086</v>
      </c>
      <c r="D363" s="2">
        <f>SUM(D360:D362)</f>
        <v>9038</v>
      </c>
      <c r="G363" s="3"/>
      <c r="H363" s="3"/>
      <c r="I363" s="3"/>
      <c r="J363" s="3"/>
    </row>
    <row r="364" spans="1:10" x14ac:dyDescent="0.2">
      <c r="G364" s="3"/>
      <c r="H364" s="3"/>
      <c r="I364" s="3"/>
      <c r="J364" s="3"/>
    </row>
    <row r="365" spans="1:10" ht="13.5" x14ac:dyDescent="0.25">
      <c r="A365" s="48" t="s">
        <v>3</v>
      </c>
      <c r="B365" s="18"/>
      <c r="C365" s="18"/>
      <c r="D365" s="18"/>
      <c r="E365" s="2">
        <v>330000</v>
      </c>
      <c r="F365" s="2">
        <v>425000</v>
      </c>
      <c r="G365" s="3">
        <v>500000</v>
      </c>
      <c r="H365" s="3">
        <v>500000</v>
      </c>
      <c r="I365" s="3">
        <v>500000</v>
      </c>
      <c r="J365" s="3">
        <v>500000</v>
      </c>
    </row>
    <row r="366" spans="1:10" x14ac:dyDescent="0.2">
      <c r="A366" s="2" t="s">
        <v>488</v>
      </c>
      <c r="D366" s="2">
        <v>400000</v>
      </c>
      <c r="G366" s="3"/>
      <c r="H366" s="3"/>
      <c r="I366" s="3"/>
      <c r="J366" s="3"/>
    </row>
    <row r="367" spans="1:10" ht="15" x14ac:dyDescent="0.35">
      <c r="A367" s="2" t="s">
        <v>27</v>
      </c>
      <c r="C367" s="10"/>
      <c r="D367" s="10">
        <v>100000</v>
      </c>
      <c r="G367" s="3"/>
      <c r="H367" s="3"/>
      <c r="I367" s="3"/>
      <c r="J367" s="3"/>
    </row>
    <row r="368" spans="1:10" x14ac:dyDescent="0.2">
      <c r="A368" s="2" t="s">
        <v>1086</v>
      </c>
      <c r="D368" s="2">
        <f>SUM(D366:D367)</f>
        <v>500000</v>
      </c>
      <c r="G368" s="3"/>
      <c r="H368" s="3"/>
      <c r="I368" s="3"/>
      <c r="J368" s="3"/>
    </row>
    <row r="369" spans="1:10" x14ac:dyDescent="0.2">
      <c r="G369" s="3"/>
      <c r="H369" s="3"/>
      <c r="I369" s="3"/>
      <c r="J369" s="3"/>
    </row>
    <row r="370" spans="1:10" x14ac:dyDescent="0.2">
      <c r="G370" s="3"/>
      <c r="H370" s="3"/>
      <c r="I370" s="3"/>
      <c r="J370" s="3"/>
    </row>
    <row r="371" spans="1:10" ht="15" x14ac:dyDescent="0.35">
      <c r="A371" s="48" t="s">
        <v>1158</v>
      </c>
      <c r="E371" s="10">
        <v>334085</v>
      </c>
      <c r="F371" s="17">
        <v>0</v>
      </c>
      <c r="G371" s="64">
        <v>0</v>
      </c>
      <c r="H371" s="64">
        <v>0</v>
      </c>
      <c r="I371" s="64">
        <v>0</v>
      </c>
      <c r="J371" s="64">
        <v>0</v>
      </c>
    </row>
    <row r="372" spans="1:10" ht="15" x14ac:dyDescent="0.35">
      <c r="A372" s="48"/>
      <c r="B372" s="221" t="s">
        <v>1759</v>
      </c>
      <c r="C372" s="221" t="s">
        <v>1857</v>
      </c>
      <c r="D372" s="221" t="s">
        <v>1966</v>
      </c>
      <c r="E372" s="10"/>
      <c r="F372" s="17"/>
      <c r="G372" s="64"/>
      <c r="H372" s="64"/>
      <c r="I372" s="64"/>
      <c r="J372" s="64"/>
    </row>
    <row r="373" spans="1:10" ht="15" x14ac:dyDescent="0.35">
      <c r="A373" s="47" t="s">
        <v>1844</v>
      </c>
      <c r="B373" s="15"/>
      <c r="C373" s="15"/>
      <c r="D373" s="15"/>
      <c r="E373" s="10"/>
      <c r="F373" s="17"/>
      <c r="G373" s="64"/>
      <c r="H373" s="64"/>
      <c r="I373" s="64"/>
      <c r="J373" s="64"/>
    </row>
    <row r="374" spans="1:10" ht="15" x14ac:dyDescent="0.35">
      <c r="A374" s="47" t="s">
        <v>1942</v>
      </c>
      <c r="B374" s="15"/>
      <c r="C374" s="15"/>
      <c r="D374" s="15"/>
      <c r="E374" s="10"/>
      <c r="F374" s="17"/>
      <c r="G374" s="64"/>
      <c r="H374" s="64"/>
      <c r="I374" s="64"/>
      <c r="J374" s="64"/>
    </row>
    <row r="375" spans="1:10" ht="15" x14ac:dyDescent="0.35">
      <c r="A375" s="40" t="s">
        <v>1730</v>
      </c>
      <c r="B375" s="15"/>
      <c r="C375" s="15"/>
      <c r="D375" s="15"/>
      <c r="E375" s="10"/>
      <c r="F375" s="17"/>
      <c r="G375" s="64"/>
      <c r="H375" s="64"/>
      <c r="I375" s="64"/>
      <c r="J375" s="64"/>
    </row>
    <row r="376" spans="1:10" ht="15" x14ac:dyDescent="0.35">
      <c r="A376" s="40" t="s">
        <v>1731</v>
      </c>
      <c r="B376" s="15">
        <v>15000</v>
      </c>
      <c r="C376" s="15"/>
      <c r="D376" s="15"/>
      <c r="E376" s="10"/>
      <c r="F376" s="17"/>
      <c r="G376" s="64"/>
      <c r="H376" s="64"/>
      <c r="I376" s="64"/>
      <c r="J376" s="64"/>
    </row>
    <row r="377" spans="1:10" ht="15" x14ac:dyDescent="0.35">
      <c r="A377" s="40" t="s">
        <v>1747</v>
      </c>
      <c r="B377" s="15"/>
      <c r="C377" s="15"/>
      <c r="D377" s="15"/>
      <c r="E377" s="10"/>
      <c r="F377" s="17"/>
      <c r="G377" s="64"/>
      <c r="H377" s="64"/>
      <c r="I377" s="64"/>
      <c r="J377" s="64"/>
    </row>
    <row r="378" spans="1:10" ht="15" x14ac:dyDescent="0.35">
      <c r="A378" s="40" t="s">
        <v>1732</v>
      </c>
      <c r="B378" s="15">
        <v>17000</v>
      </c>
      <c r="C378" s="15"/>
      <c r="D378" s="15"/>
      <c r="E378" s="10"/>
      <c r="F378" s="17"/>
      <c r="G378" s="64"/>
      <c r="H378" s="64"/>
      <c r="I378" s="64"/>
      <c r="J378" s="64"/>
    </row>
    <row r="379" spans="1:10" ht="15" x14ac:dyDescent="0.35">
      <c r="A379" s="40" t="s">
        <v>1943</v>
      </c>
      <c r="B379" s="15"/>
      <c r="C379" s="15"/>
      <c r="D379" s="15"/>
      <c r="E379" s="10"/>
      <c r="F379" s="17"/>
      <c r="G379" s="64"/>
      <c r="H379" s="64"/>
      <c r="I379" s="64"/>
      <c r="J379" s="64"/>
    </row>
    <row r="380" spans="1:10" ht="15" x14ac:dyDescent="0.35">
      <c r="A380" s="40" t="s">
        <v>1729</v>
      </c>
      <c r="B380" s="15"/>
      <c r="C380" s="15"/>
      <c r="D380" s="15"/>
      <c r="E380" s="10"/>
      <c r="F380" s="17"/>
      <c r="G380" s="64"/>
      <c r="H380" s="64"/>
      <c r="I380" s="64"/>
      <c r="J380" s="64"/>
    </row>
    <row r="381" spans="1:10" ht="15" x14ac:dyDescent="0.35">
      <c r="A381" s="39" t="s">
        <v>1430</v>
      </c>
      <c r="B381" s="7"/>
      <c r="C381" s="7"/>
      <c r="D381" s="7"/>
      <c r="E381" s="10"/>
      <c r="F381" s="17"/>
      <c r="G381" s="64"/>
      <c r="H381" s="64"/>
      <c r="I381" s="64"/>
      <c r="J381" s="64"/>
    </row>
    <row r="382" spans="1:10" ht="15" x14ac:dyDescent="0.35">
      <c r="A382" s="39" t="s">
        <v>1593</v>
      </c>
      <c r="B382" s="8">
        <v>15000</v>
      </c>
      <c r="C382" s="8"/>
      <c r="D382" s="8"/>
      <c r="E382" s="10"/>
      <c r="F382" s="17"/>
      <c r="G382" s="64"/>
      <c r="H382" s="64"/>
      <c r="I382" s="64"/>
      <c r="J382" s="64"/>
    </row>
    <row r="383" spans="1:10" x14ac:dyDescent="0.2">
      <c r="A383" s="2" t="s">
        <v>1086</v>
      </c>
      <c r="B383" s="2">
        <f>SUM(B373:B382)</f>
        <v>47000</v>
      </c>
      <c r="C383" s="2">
        <f>SUM(C373:C382)</f>
        <v>0</v>
      </c>
      <c r="D383" s="2">
        <f>SUM(D373:D382)</f>
        <v>0</v>
      </c>
      <c r="G383" s="3"/>
      <c r="H383" s="3"/>
      <c r="I383" s="3"/>
      <c r="J383" s="3"/>
    </row>
    <row r="384" spans="1:10" x14ac:dyDescent="0.2">
      <c r="G384" s="3"/>
      <c r="H384" s="3"/>
      <c r="I384" s="3"/>
      <c r="J384" s="3"/>
    </row>
    <row r="385" spans="1:10" x14ac:dyDescent="0.2">
      <c r="A385" s="1" t="s">
        <v>1167</v>
      </c>
      <c r="E385" s="2">
        <f t="shared" ref="E385:J385" si="12">SUM(E1:E371)</f>
        <v>6683534</v>
      </c>
      <c r="F385" s="2">
        <f t="shared" si="12"/>
        <v>7052941</v>
      </c>
      <c r="G385" s="3">
        <f t="shared" si="12"/>
        <v>7818696</v>
      </c>
      <c r="H385" s="3">
        <f t="shared" si="12"/>
        <v>7637017</v>
      </c>
      <c r="I385" s="3">
        <f t="shared" si="12"/>
        <v>7640828</v>
      </c>
      <c r="J385" s="3">
        <f t="shared" si="12"/>
        <v>7640828</v>
      </c>
    </row>
    <row r="386" spans="1:10" x14ac:dyDescent="0.2">
      <c r="G386" s="3"/>
      <c r="H386" s="3"/>
      <c r="I386" s="3"/>
      <c r="J386" s="3"/>
    </row>
    <row r="387" spans="1:10" x14ac:dyDescent="0.2">
      <c r="A387" s="2" t="s">
        <v>1745</v>
      </c>
      <c r="E387" s="2">
        <f>SUM(E6:E167)</f>
        <v>5461367</v>
      </c>
      <c r="F387" s="2">
        <f>SUM(F6:F167)</f>
        <v>6039563</v>
      </c>
      <c r="G387" s="3">
        <f>SUM(G6:G168)</f>
        <v>6696430</v>
      </c>
      <c r="H387" s="3">
        <f t="shared" ref="H387:J387" si="13">SUM(H6:H168)</f>
        <v>6567701</v>
      </c>
      <c r="I387" s="3">
        <f t="shared" si="13"/>
        <v>6550462</v>
      </c>
      <c r="J387" s="3">
        <f t="shared" si="13"/>
        <v>6550462</v>
      </c>
    </row>
    <row r="388" spans="1:10" x14ac:dyDescent="0.2">
      <c r="A388" s="2" t="s">
        <v>1336</v>
      </c>
      <c r="E388" s="2">
        <f t="shared" ref="E388:F388" si="14">SUM(E170:E341)</f>
        <v>496304</v>
      </c>
      <c r="F388" s="2">
        <f t="shared" si="14"/>
        <v>553412</v>
      </c>
      <c r="G388" s="3">
        <f>SUM(G170:G341)</f>
        <v>583428</v>
      </c>
      <c r="H388" s="3">
        <f t="shared" ref="H388:J388" si="15">SUM(H170:H341)</f>
        <v>534578</v>
      </c>
      <c r="I388" s="3">
        <f t="shared" si="15"/>
        <v>555628</v>
      </c>
      <c r="J388" s="3">
        <f t="shared" si="15"/>
        <v>555628</v>
      </c>
    </row>
    <row r="389" spans="1:10" ht="15" x14ac:dyDescent="0.35">
      <c r="A389" s="2" t="s">
        <v>1337</v>
      </c>
      <c r="E389" s="10">
        <f t="shared" ref="E389:F389" si="16">SUM(E346:E371)</f>
        <v>725863</v>
      </c>
      <c r="F389" s="10">
        <f t="shared" si="16"/>
        <v>459966</v>
      </c>
      <c r="G389" s="30">
        <f>SUM(G346:G371)</f>
        <v>538838</v>
      </c>
      <c r="H389" s="30">
        <f t="shared" ref="H389:J389" si="17">SUM(H346:H371)</f>
        <v>534738</v>
      </c>
      <c r="I389" s="30">
        <f t="shared" si="17"/>
        <v>534738</v>
      </c>
      <c r="J389" s="30">
        <f t="shared" si="17"/>
        <v>534738</v>
      </c>
    </row>
    <row r="390" spans="1:10" x14ac:dyDescent="0.2">
      <c r="A390" s="2" t="s">
        <v>1086</v>
      </c>
      <c r="E390" s="2">
        <f t="shared" ref="E390:G390" si="18">SUM(E387:E389)</f>
        <v>6683534</v>
      </c>
      <c r="F390" s="2">
        <f t="shared" si="18"/>
        <v>7052941</v>
      </c>
      <c r="G390" s="3">
        <f t="shared" si="18"/>
        <v>7818696</v>
      </c>
      <c r="H390" s="3">
        <f t="shared" ref="H390:J390" si="19">SUM(H387:H389)</f>
        <v>7637017</v>
      </c>
      <c r="I390" s="3">
        <f t="shared" si="19"/>
        <v>7640828</v>
      </c>
      <c r="J390" s="3">
        <f t="shared" si="19"/>
        <v>7640828</v>
      </c>
    </row>
    <row r="391" spans="1:10" x14ac:dyDescent="0.2">
      <c r="G391" s="220"/>
      <c r="J391" s="220"/>
    </row>
    <row r="392" spans="1:10" x14ac:dyDescent="0.2">
      <c r="G392" s="220"/>
      <c r="J392" s="220"/>
    </row>
    <row r="393" spans="1:10" x14ac:dyDescent="0.2">
      <c r="G393" s="220"/>
      <c r="J393" s="220"/>
    </row>
    <row r="394" spans="1:10" x14ac:dyDescent="0.2">
      <c r="G394" s="220"/>
      <c r="J394" s="2">
        <f>+J390-I390</f>
        <v>0</v>
      </c>
    </row>
    <row r="395" spans="1:10" x14ac:dyDescent="0.2">
      <c r="G395" s="220"/>
      <c r="J395" s="220"/>
    </row>
    <row r="396" spans="1:10" x14ac:dyDescent="0.2">
      <c r="G396" s="220"/>
      <c r="J396" s="220"/>
    </row>
    <row r="397" spans="1:10" x14ac:dyDescent="0.2">
      <c r="G397" s="220"/>
      <c r="J397" s="2">
        <v>6659007</v>
      </c>
    </row>
    <row r="398" spans="1:10" x14ac:dyDescent="0.2">
      <c r="G398" s="220"/>
      <c r="J398" s="2">
        <f>+J397-J390</f>
        <v>-981821</v>
      </c>
    </row>
    <row r="399" spans="1:10" x14ac:dyDescent="0.2">
      <c r="G399" s="220"/>
    </row>
    <row r="400" spans="1:10" x14ac:dyDescent="0.2">
      <c r="G400" s="220"/>
    </row>
    <row r="401" spans="7:7" x14ac:dyDescent="0.2">
      <c r="G401" s="220"/>
    </row>
    <row r="402" spans="7:7" x14ac:dyDescent="0.2">
      <c r="G402" s="220"/>
    </row>
    <row r="403" spans="7:7" x14ac:dyDescent="0.2">
      <c r="G403" s="220"/>
    </row>
    <row r="404" spans="7:7" x14ac:dyDescent="0.2">
      <c r="G404" s="220"/>
    </row>
    <row r="405" spans="7:7" x14ac:dyDescent="0.2">
      <c r="G405" s="220"/>
    </row>
    <row r="406" spans="7:7" x14ac:dyDescent="0.2">
      <c r="G406" s="220"/>
    </row>
    <row r="407" spans="7:7" x14ac:dyDescent="0.2">
      <c r="G407" s="220"/>
    </row>
    <row r="408" spans="7:7" x14ac:dyDescent="0.2">
      <c r="G408" s="220"/>
    </row>
    <row r="409" spans="7:7" x14ac:dyDescent="0.2">
      <c r="G409" s="220"/>
    </row>
    <row r="410" spans="7:7" x14ac:dyDescent="0.2">
      <c r="G410" s="220"/>
    </row>
    <row r="411" spans="7:7" x14ac:dyDescent="0.2">
      <c r="G411" s="220"/>
    </row>
    <row r="412" spans="7:7" x14ac:dyDescent="0.2">
      <c r="G412" s="220"/>
    </row>
    <row r="413" spans="7:7" x14ac:dyDescent="0.2">
      <c r="G413" s="220"/>
    </row>
    <row r="414" spans="7:7" x14ac:dyDescent="0.2">
      <c r="G414" s="220"/>
    </row>
    <row r="415" spans="7:7" x14ac:dyDescent="0.2">
      <c r="G415" s="220"/>
    </row>
    <row r="416" spans="7:7" x14ac:dyDescent="0.2">
      <c r="G416" s="220"/>
    </row>
    <row r="417" spans="7:7" x14ac:dyDescent="0.2">
      <c r="G417" s="220"/>
    </row>
    <row r="418" spans="7:7" x14ac:dyDescent="0.2">
      <c r="G418" s="220"/>
    </row>
    <row r="419" spans="7:7" x14ac:dyDescent="0.2">
      <c r="G419" s="220"/>
    </row>
    <row r="420" spans="7:7" x14ac:dyDescent="0.2">
      <c r="G420" s="220"/>
    </row>
    <row r="421" spans="7:7" x14ac:dyDescent="0.2">
      <c r="G421" s="220"/>
    </row>
    <row r="422" spans="7:7" x14ac:dyDescent="0.2">
      <c r="G422" s="220"/>
    </row>
    <row r="423" spans="7:7" x14ac:dyDescent="0.2">
      <c r="G423" s="220"/>
    </row>
    <row r="424" spans="7:7" x14ac:dyDescent="0.2">
      <c r="G424" s="220"/>
    </row>
    <row r="425" spans="7:7" x14ac:dyDescent="0.2">
      <c r="G425" s="220"/>
    </row>
    <row r="426" spans="7:7" x14ac:dyDescent="0.2">
      <c r="G426" s="220"/>
    </row>
    <row r="427" spans="7:7" x14ac:dyDescent="0.2">
      <c r="G427" s="220"/>
    </row>
    <row r="428" spans="7:7" x14ac:dyDescent="0.2">
      <c r="G428" s="220"/>
    </row>
    <row r="429" spans="7:7" x14ac:dyDescent="0.2">
      <c r="G429" s="220"/>
    </row>
    <row r="430" spans="7:7" x14ac:dyDescent="0.2">
      <c r="G430" s="220"/>
    </row>
    <row r="431" spans="7:7" x14ac:dyDescent="0.2">
      <c r="G431" s="220"/>
    </row>
    <row r="432" spans="7:7" x14ac:dyDescent="0.2">
      <c r="G432" s="220"/>
    </row>
    <row r="433" spans="7:7" x14ac:dyDescent="0.2">
      <c r="G433" s="220"/>
    </row>
    <row r="434" spans="7:7" x14ac:dyDescent="0.2">
      <c r="G434" s="220"/>
    </row>
    <row r="435" spans="7:7" x14ac:dyDescent="0.2">
      <c r="G435" s="220"/>
    </row>
    <row r="436" spans="7:7" x14ac:dyDescent="0.2">
      <c r="G436" s="220"/>
    </row>
    <row r="437" spans="7:7" x14ac:dyDescent="0.2">
      <c r="G437" s="220"/>
    </row>
    <row r="438" spans="7:7" x14ac:dyDescent="0.2">
      <c r="G438" s="220"/>
    </row>
    <row r="439" spans="7:7" x14ac:dyDescent="0.2">
      <c r="G439" s="220"/>
    </row>
    <row r="440" spans="7:7" x14ac:dyDescent="0.2">
      <c r="G440" s="220"/>
    </row>
  </sheetData>
  <sortState ref="A31:D58">
    <sortCondition ref="A31:A58"/>
  </sortState>
  <mergeCells count="1">
    <mergeCell ref="A1:J1"/>
  </mergeCells>
  <phoneticPr fontId="0" type="noConversion"/>
  <printOptions gridLines="1"/>
  <pageMargins left="0.75" right="0.16" top="0.51" bottom="0.22" header="0.5" footer="0.17"/>
  <pageSetup scale="85" fitToHeight="23" orientation="landscape" r:id="rId1"/>
  <headerFooter alignWithMargins="0"/>
  <rowBreaks count="6" manualBreakCount="6">
    <brk id="32" max="9" man="1"/>
    <brk id="71" max="9" man="1"/>
    <brk id="190" max="9" man="1"/>
    <brk id="234" max="9" man="1"/>
    <brk id="279" max="9" man="1"/>
    <brk id="363" max="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20"/>
  <sheetViews>
    <sheetView view="pageBreakPreview" zoomScale="115" zoomScaleNormal="100" zoomScaleSheetLayoutView="115" workbookViewId="0">
      <pane ySplit="5" topLeftCell="A288" activePane="bottomLeft" state="frozen"/>
      <selection pane="bottomLeft" sqref="A1:J1"/>
    </sheetView>
  </sheetViews>
  <sheetFormatPr defaultColWidth="9.140625" defaultRowHeight="12.75" x14ac:dyDescent="0.2"/>
  <cols>
    <col min="1" max="1" width="53.42578125" style="55" customWidth="1"/>
    <col min="2" max="2" width="10.28515625" style="55" bestFit="1" customWidth="1"/>
    <col min="3" max="3" width="11.42578125" style="55" customWidth="1"/>
    <col min="4" max="4" width="10.42578125" style="55" bestFit="1" customWidth="1"/>
    <col min="5" max="5" width="12.140625" style="55" customWidth="1"/>
    <col min="6" max="6" width="10.85546875" style="55" bestFit="1" customWidth="1"/>
    <col min="7" max="7" width="10.5703125" style="55" customWidth="1"/>
    <col min="8" max="8" width="12" style="55" customWidth="1"/>
    <col min="9" max="9" width="10.28515625" style="55" bestFit="1" customWidth="1"/>
    <col min="10" max="10" width="9.5703125" style="55" customWidth="1"/>
    <col min="11" max="16384" width="9.140625" style="55"/>
  </cols>
  <sheetData>
    <row r="1" spans="1:12" x14ac:dyDescent="0.2">
      <c r="A1" s="261" t="s">
        <v>1965</v>
      </c>
      <c r="B1" s="262"/>
      <c r="C1" s="262"/>
      <c r="D1" s="262"/>
      <c r="E1" s="262"/>
      <c r="F1" s="262"/>
      <c r="G1" s="262"/>
      <c r="H1" s="262"/>
      <c r="I1" s="262"/>
      <c r="J1" s="262"/>
    </row>
    <row r="2" spans="1:12" ht="18.75" x14ac:dyDescent="0.3">
      <c r="A2" s="110" t="s">
        <v>1635</v>
      </c>
      <c r="B2" s="110"/>
      <c r="C2" s="110"/>
      <c r="D2" s="110"/>
      <c r="E2" s="110"/>
      <c r="F2" s="110"/>
      <c r="I2" s="3"/>
    </row>
    <row r="3" spans="1:12" x14ac:dyDescent="0.2">
      <c r="B3" s="3"/>
      <c r="C3" s="3"/>
      <c r="D3" s="3"/>
      <c r="E3" s="3"/>
      <c r="F3" s="3"/>
      <c r="I3" s="3"/>
    </row>
    <row r="4" spans="1:12" x14ac:dyDescent="0.2">
      <c r="B4" s="3"/>
      <c r="C4" s="3"/>
      <c r="D4" s="3"/>
      <c r="E4" s="15" t="s">
        <v>207</v>
      </c>
      <c r="F4" s="15" t="s">
        <v>208</v>
      </c>
      <c r="G4" s="15" t="s">
        <v>63</v>
      </c>
      <c r="H4" s="15" t="s">
        <v>362</v>
      </c>
      <c r="I4" s="15" t="s">
        <v>274</v>
      </c>
      <c r="J4" s="15" t="s">
        <v>305</v>
      </c>
    </row>
    <row r="5" spans="1:12" ht="15" x14ac:dyDescent="0.35">
      <c r="B5" s="3"/>
      <c r="C5" s="3"/>
      <c r="D5" s="3"/>
      <c r="E5" s="221" t="s">
        <v>1759</v>
      </c>
      <c r="F5" s="221" t="s">
        <v>1857</v>
      </c>
      <c r="G5" s="221" t="s">
        <v>1966</v>
      </c>
      <c r="H5" s="221" t="s">
        <v>1966</v>
      </c>
      <c r="I5" s="221" t="s">
        <v>1966</v>
      </c>
      <c r="J5" s="221" t="s">
        <v>1966</v>
      </c>
    </row>
    <row r="6" spans="1:12" ht="13.5" x14ac:dyDescent="0.25">
      <c r="A6" s="56" t="s">
        <v>800</v>
      </c>
      <c r="B6" s="3"/>
      <c r="C6" s="3"/>
      <c r="D6" s="3"/>
      <c r="E6" s="3">
        <v>158198</v>
      </c>
      <c r="F6" s="3">
        <v>171891</v>
      </c>
      <c r="G6" s="3">
        <v>177620</v>
      </c>
      <c r="H6" s="3">
        <v>177620</v>
      </c>
      <c r="I6" s="3">
        <v>178733</v>
      </c>
      <c r="J6" s="3">
        <v>178733</v>
      </c>
      <c r="K6" s="3"/>
      <c r="L6" s="116"/>
    </row>
    <row r="7" spans="1:12" ht="15" x14ac:dyDescent="0.25">
      <c r="A7" s="97" t="s">
        <v>631</v>
      </c>
      <c r="B7" s="2">
        <v>52</v>
      </c>
      <c r="C7" s="3">
        <v>1091</v>
      </c>
      <c r="D7" s="3">
        <f>ROUND(B7*C7,0)</f>
        <v>56732</v>
      </c>
      <c r="E7" s="3"/>
      <c r="F7" s="97"/>
      <c r="G7" s="3"/>
      <c r="H7" s="3"/>
      <c r="I7" s="3"/>
      <c r="J7" s="3"/>
    </row>
    <row r="8" spans="1:12" ht="15" x14ac:dyDescent="0.25">
      <c r="A8" s="97" t="s">
        <v>1773</v>
      </c>
      <c r="B8" s="2">
        <v>52</v>
      </c>
      <c r="C8" s="3">
        <v>773</v>
      </c>
      <c r="D8" s="3">
        <f>ROUND(B8*C8,0)</f>
        <v>40196</v>
      </c>
      <c r="E8" s="3"/>
      <c r="F8" s="97"/>
      <c r="G8" s="3"/>
      <c r="H8" s="3"/>
      <c r="I8" s="3"/>
      <c r="J8" s="3"/>
    </row>
    <row r="9" spans="1:12" ht="15" x14ac:dyDescent="0.25">
      <c r="A9" s="97" t="s">
        <v>1875</v>
      </c>
      <c r="B9" s="2">
        <v>52</v>
      </c>
      <c r="C9" s="3">
        <v>709</v>
      </c>
      <c r="D9" s="3">
        <f>ROUND(B9*C9,0)</f>
        <v>36868</v>
      </c>
      <c r="E9" s="3"/>
      <c r="F9" s="97"/>
      <c r="G9" s="3"/>
      <c r="H9" s="3"/>
      <c r="I9" s="3"/>
      <c r="J9" s="3"/>
    </row>
    <row r="10" spans="1:12" ht="15" x14ac:dyDescent="0.25">
      <c r="A10" s="97" t="s">
        <v>1774</v>
      </c>
      <c r="B10" s="2">
        <v>52</v>
      </c>
      <c r="C10" s="3">
        <v>785</v>
      </c>
      <c r="D10" s="3">
        <f>ROUND(B10*C10,0)</f>
        <v>40820</v>
      </c>
      <c r="E10" s="3"/>
      <c r="F10" s="97"/>
      <c r="G10" s="3"/>
      <c r="H10" s="3"/>
      <c r="I10" s="3"/>
      <c r="J10" s="3"/>
    </row>
    <row r="11" spans="1:12" ht="15" x14ac:dyDescent="0.25">
      <c r="A11" s="2" t="s">
        <v>2139</v>
      </c>
      <c r="B11" s="2">
        <v>1</v>
      </c>
      <c r="C11" s="3">
        <f>SUM(C7:C10)</f>
        <v>3358</v>
      </c>
      <c r="D11" s="3">
        <f>+C11*B11</f>
        <v>3358</v>
      </c>
      <c r="E11" s="3"/>
      <c r="F11" s="97"/>
      <c r="G11" s="3"/>
      <c r="H11" s="3"/>
      <c r="I11" s="3"/>
      <c r="J11" s="3"/>
    </row>
    <row r="12" spans="1:12" ht="15" x14ac:dyDescent="0.35">
      <c r="A12" s="55" t="s">
        <v>833</v>
      </c>
      <c r="B12" s="3"/>
      <c r="C12" s="3"/>
      <c r="D12" s="30">
        <v>759</v>
      </c>
      <c r="E12" s="3"/>
      <c r="F12" s="3"/>
      <c r="G12" s="3"/>
      <c r="H12" s="3"/>
      <c r="I12" s="3"/>
      <c r="J12" s="3"/>
    </row>
    <row r="13" spans="1:12" x14ac:dyDescent="0.2">
      <c r="A13" s="55" t="s">
        <v>1086</v>
      </c>
      <c r="B13" s="3"/>
      <c r="C13" s="3"/>
      <c r="D13" s="3">
        <f>SUM(D7:D12)</f>
        <v>178733</v>
      </c>
      <c r="F13" s="3"/>
      <c r="G13" s="3"/>
      <c r="H13" s="3"/>
      <c r="I13" s="3"/>
      <c r="J13" s="3"/>
    </row>
    <row r="14" spans="1:12" x14ac:dyDescent="0.2">
      <c r="B14" s="3"/>
      <c r="C14" s="3"/>
      <c r="D14" s="3"/>
      <c r="E14" s="3"/>
      <c r="F14" s="3"/>
      <c r="G14" s="3"/>
      <c r="H14" s="3"/>
      <c r="I14" s="3"/>
      <c r="J14" s="3"/>
    </row>
    <row r="15" spans="1:12" ht="13.5" x14ac:dyDescent="0.25">
      <c r="A15" s="56" t="s">
        <v>513</v>
      </c>
      <c r="B15" s="3"/>
      <c r="C15" s="3"/>
      <c r="D15" s="3"/>
      <c r="E15" s="3">
        <v>853781</v>
      </c>
      <c r="F15" s="3">
        <v>873036</v>
      </c>
      <c r="G15" s="3">
        <v>910102</v>
      </c>
      <c r="H15" s="3">
        <v>910102</v>
      </c>
      <c r="I15" s="3">
        <v>916356</v>
      </c>
      <c r="J15" s="3">
        <v>916356</v>
      </c>
      <c r="K15" s="3"/>
      <c r="L15" s="116"/>
    </row>
    <row r="16" spans="1:12" ht="15" x14ac:dyDescent="0.25">
      <c r="A16" s="55" t="s">
        <v>309</v>
      </c>
      <c r="B16" s="2">
        <v>52</v>
      </c>
      <c r="C16" s="3">
        <v>2306</v>
      </c>
      <c r="D16" s="3">
        <f t="shared" ref="D16:D25" si="0">ROUND(B16*C16,0)</f>
        <v>119912</v>
      </c>
      <c r="E16" s="3"/>
      <c r="F16" s="97"/>
      <c r="G16" s="3"/>
      <c r="H16" s="3"/>
      <c r="I16" s="3"/>
      <c r="J16" s="3"/>
    </row>
    <row r="17" spans="1:12" ht="15" x14ac:dyDescent="0.25">
      <c r="A17" s="55" t="s">
        <v>1677</v>
      </c>
      <c r="B17" s="2">
        <v>52</v>
      </c>
      <c r="C17" s="3">
        <v>2183</v>
      </c>
      <c r="D17" s="3">
        <f t="shared" si="0"/>
        <v>113516</v>
      </c>
      <c r="E17" s="3"/>
      <c r="F17" s="97"/>
      <c r="G17" s="3"/>
      <c r="H17" s="3"/>
      <c r="I17" s="3"/>
      <c r="J17" s="3"/>
    </row>
    <row r="18" spans="1:12" ht="15" x14ac:dyDescent="0.25">
      <c r="A18" s="55" t="s">
        <v>1271</v>
      </c>
      <c r="B18" s="2">
        <v>52</v>
      </c>
      <c r="C18" s="3">
        <v>1595</v>
      </c>
      <c r="D18" s="3">
        <f t="shared" si="0"/>
        <v>82940</v>
      </c>
      <c r="E18" s="3"/>
      <c r="F18" s="97"/>
      <c r="G18" s="3"/>
      <c r="H18" s="3"/>
      <c r="I18" s="3"/>
      <c r="J18" s="3"/>
    </row>
    <row r="19" spans="1:12" ht="15" x14ac:dyDescent="0.25">
      <c r="A19" s="97" t="s">
        <v>398</v>
      </c>
      <c r="B19" s="2">
        <v>52</v>
      </c>
      <c r="C19" s="3">
        <v>1988</v>
      </c>
      <c r="D19" s="3">
        <f t="shared" si="0"/>
        <v>103376</v>
      </c>
      <c r="E19" s="97"/>
      <c r="F19" s="3"/>
      <c r="G19" s="3"/>
      <c r="H19" s="3"/>
      <c r="I19" s="3"/>
      <c r="J19" s="3"/>
    </row>
    <row r="20" spans="1:12" ht="15" x14ac:dyDescent="0.25">
      <c r="A20" s="97" t="s">
        <v>398</v>
      </c>
      <c r="B20" s="2">
        <v>52</v>
      </c>
      <c r="C20" s="3">
        <v>1988</v>
      </c>
      <c r="D20" s="3">
        <f t="shared" si="0"/>
        <v>103376</v>
      </c>
      <c r="E20" s="97"/>
      <c r="F20" s="3"/>
      <c r="G20" s="3"/>
      <c r="H20" s="3"/>
      <c r="I20" s="3"/>
      <c r="J20" s="3"/>
    </row>
    <row r="21" spans="1:12" ht="15" x14ac:dyDescent="0.25">
      <c r="A21" s="97" t="s">
        <v>399</v>
      </c>
      <c r="B21" s="2">
        <v>52</v>
      </c>
      <c r="C21" s="3">
        <v>1768</v>
      </c>
      <c r="D21" s="3">
        <f t="shared" si="0"/>
        <v>91936</v>
      </c>
      <c r="E21" s="97"/>
      <c r="F21" s="3"/>
      <c r="G21" s="3"/>
      <c r="H21" s="3"/>
      <c r="I21" s="3"/>
      <c r="J21" s="3"/>
    </row>
    <row r="22" spans="1:12" ht="15" x14ac:dyDescent="0.25">
      <c r="A22" s="97" t="s">
        <v>399</v>
      </c>
      <c r="B22" s="2">
        <v>52</v>
      </c>
      <c r="C22" s="3">
        <v>1759</v>
      </c>
      <c r="D22" s="3">
        <f t="shared" si="0"/>
        <v>91468</v>
      </c>
      <c r="E22" s="97"/>
      <c r="F22" s="3"/>
      <c r="G22" s="3"/>
      <c r="H22" s="3"/>
      <c r="I22" s="3"/>
      <c r="J22" s="3"/>
    </row>
    <row r="23" spans="1:12" ht="15" x14ac:dyDescent="0.25">
      <c r="A23" s="97" t="s">
        <v>399</v>
      </c>
      <c r="B23" s="2">
        <v>52</v>
      </c>
      <c r="C23" s="3">
        <v>1754</v>
      </c>
      <c r="D23" s="3">
        <f t="shared" si="0"/>
        <v>91208</v>
      </c>
      <c r="E23" s="97"/>
      <c r="F23" s="3"/>
      <c r="G23" s="3"/>
      <c r="H23" s="3"/>
      <c r="I23" s="3"/>
      <c r="J23" s="3"/>
    </row>
    <row r="24" spans="1:12" ht="15" x14ac:dyDescent="0.25">
      <c r="A24" s="97" t="s">
        <v>399</v>
      </c>
      <c r="B24" s="2">
        <v>52</v>
      </c>
      <c r="C24" s="3">
        <v>1755</v>
      </c>
      <c r="D24" s="3">
        <f t="shared" si="0"/>
        <v>91260</v>
      </c>
      <c r="E24" s="97"/>
      <c r="F24" s="3"/>
      <c r="G24" s="3"/>
      <c r="H24" s="3"/>
      <c r="I24" s="3"/>
      <c r="J24" s="3"/>
    </row>
    <row r="25" spans="1:12" ht="15" x14ac:dyDescent="0.25">
      <c r="A25" s="97" t="s">
        <v>1853</v>
      </c>
      <c r="B25" s="2">
        <v>52</v>
      </c>
      <c r="C25" s="3">
        <v>16</v>
      </c>
      <c r="D25" s="3">
        <f t="shared" si="0"/>
        <v>832</v>
      </c>
      <c r="E25" s="97"/>
      <c r="F25" s="3"/>
      <c r="G25" s="3"/>
      <c r="H25" s="3"/>
      <c r="I25" s="3"/>
      <c r="J25" s="3"/>
    </row>
    <row r="26" spans="1:12" ht="15" x14ac:dyDescent="0.25">
      <c r="A26" s="2" t="s">
        <v>2139</v>
      </c>
      <c r="B26" s="2">
        <v>1</v>
      </c>
      <c r="C26" s="3">
        <f>SUM(C16:C25)</f>
        <v>17112</v>
      </c>
      <c r="D26" s="3">
        <f>+C26*B26</f>
        <v>17112</v>
      </c>
      <c r="E26" s="97"/>
      <c r="F26" s="3"/>
      <c r="G26" s="3"/>
      <c r="H26" s="3"/>
      <c r="I26" s="3"/>
      <c r="J26" s="3"/>
    </row>
    <row r="27" spans="1:12" ht="15" x14ac:dyDescent="0.35">
      <c r="A27" s="3" t="s">
        <v>833</v>
      </c>
      <c r="B27" s="3"/>
      <c r="C27" s="3"/>
      <c r="D27" s="30">
        <v>9420</v>
      </c>
      <c r="E27" s="3"/>
      <c r="F27" s="3"/>
      <c r="G27" s="3"/>
      <c r="H27" s="3"/>
      <c r="I27" s="3"/>
      <c r="J27" s="3"/>
    </row>
    <row r="28" spans="1:12" x14ac:dyDescent="0.2">
      <c r="A28" s="3" t="s">
        <v>1086</v>
      </c>
      <c r="B28" s="3"/>
      <c r="C28" s="3"/>
      <c r="D28" s="3">
        <f>SUM(D16:D27)</f>
        <v>916356</v>
      </c>
      <c r="F28" s="3"/>
      <c r="G28" s="3"/>
      <c r="H28" s="3"/>
      <c r="I28" s="3"/>
      <c r="J28" s="3"/>
    </row>
    <row r="29" spans="1:12" x14ac:dyDescent="0.2">
      <c r="A29" s="3"/>
      <c r="B29" s="3"/>
      <c r="C29" s="3"/>
      <c r="D29" s="3"/>
      <c r="E29" s="3"/>
      <c r="F29" s="3"/>
      <c r="G29" s="3"/>
      <c r="H29" s="3"/>
      <c r="I29" s="3"/>
      <c r="J29" s="3"/>
    </row>
    <row r="30" spans="1:12" ht="13.5" x14ac:dyDescent="0.25">
      <c r="A30" s="56" t="s">
        <v>716</v>
      </c>
      <c r="B30" s="3"/>
      <c r="C30" s="3"/>
      <c r="D30" s="3"/>
      <c r="E30" s="3">
        <v>2176938</v>
      </c>
      <c r="F30" s="3">
        <v>2540196</v>
      </c>
      <c r="G30" s="3">
        <v>2700732</v>
      </c>
      <c r="H30" s="3">
        <v>2700732</v>
      </c>
      <c r="I30" s="3">
        <v>2700732</v>
      </c>
      <c r="J30" s="3">
        <v>2700732</v>
      </c>
      <c r="K30" s="3"/>
      <c r="L30" s="116"/>
    </row>
    <row r="31" spans="1:12" x14ac:dyDescent="0.2">
      <c r="A31" s="139" t="s">
        <v>79</v>
      </c>
      <c r="B31" s="2">
        <v>52</v>
      </c>
      <c r="C31" s="139">
        <v>1462</v>
      </c>
      <c r="D31" s="3">
        <f t="shared" ref="D31:D38" si="1">ROUND(B31*C31,0)</f>
        <v>76024</v>
      </c>
      <c r="E31" s="3"/>
      <c r="F31" s="117"/>
      <c r="G31" s="124"/>
      <c r="H31" s="124"/>
      <c r="I31" s="124"/>
      <c r="J31" s="124"/>
    </row>
    <row r="32" spans="1:12" x14ac:dyDescent="0.2">
      <c r="A32" s="139" t="s">
        <v>718</v>
      </c>
      <c r="B32" s="2">
        <v>52</v>
      </c>
      <c r="C32" s="139">
        <v>1452</v>
      </c>
      <c r="D32" s="3">
        <f t="shared" si="1"/>
        <v>75504</v>
      </c>
      <c r="E32" s="3"/>
      <c r="F32" s="117"/>
      <c r="G32" s="117"/>
      <c r="H32" s="117"/>
      <c r="I32" s="117"/>
      <c r="J32" s="117"/>
    </row>
    <row r="33" spans="1:10" x14ac:dyDescent="0.2">
      <c r="A33" s="139" t="s">
        <v>718</v>
      </c>
      <c r="B33" s="2">
        <v>52</v>
      </c>
      <c r="C33" s="139">
        <v>1408</v>
      </c>
      <c r="D33" s="3">
        <f t="shared" si="1"/>
        <v>73216</v>
      </c>
      <c r="E33" s="3"/>
      <c r="F33" s="117"/>
      <c r="G33" s="117"/>
      <c r="H33" s="117"/>
      <c r="I33" s="117"/>
      <c r="J33" s="117"/>
    </row>
    <row r="34" spans="1:10" x14ac:dyDescent="0.2">
      <c r="A34" s="139" t="s">
        <v>718</v>
      </c>
      <c r="B34" s="2">
        <v>52</v>
      </c>
      <c r="C34" s="139">
        <v>1408</v>
      </c>
      <c r="D34" s="3">
        <f t="shared" si="1"/>
        <v>73216</v>
      </c>
      <c r="E34" s="3"/>
      <c r="F34" s="117"/>
      <c r="G34" s="117"/>
      <c r="H34" s="117"/>
      <c r="I34" s="117"/>
      <c r="J34" s="117"/>
    </row>
    <row r="35" spans="1:10" x14ac:dyDescent="0.2">
      <c r="A35" s="139" t="s">
        <v>718</v>
      </c>
      <c r="B35" s="2">
        <v>52</v>
      </c>
      <c r="C35" s="118">
        <v>1477</v>
      </c>
      <c r="D35" s="3">
        <f t="shared" si="1"/>
        <v>76804</v>
      </c>
      <c r="E35" s="3"/>
      <c r="F35" s="117"/>
      <c r="G35" s="117"/>
      <c r="H35" s="117"/>
      <c r="I35" s="117"/>
      <c r="J35" s="117"/>
    </row>
    <row r="36" spans="1:10" x14ac:dyDescent="0.2">
      <c r="A36" s="139" t="s">
        <v>80</v>
      </c>
      <c r="B36" s="2">
        <v>52</v>
      </c>
      <c r="C36" s="139">
        <v>1385</v>
      </c>
      <c r="D36" s="3">
        <f t="shared" si="1"/>
        <v>72020</v>
      </c>
      <c r="E36" s="3"/>
      <c r="F36" s="117"/>
      <c r="G36" s="117"/>
      <c r="H36" s="117"/>
      <c r="I36" s="117"/>
      <c r="J36" s="117"/>
    </row>
    <row r="37" spans="1:10" x14ac:dyDescent="0.2">
      <c r="A37" s="139" t="s">
        <v>80</v>
      </c>
      <c r="B37" s="2">
        <v>52</v>
      </c>
      <c r="C37" s="139">
        <v>1391</v>
      </c>
      <c r="D37" s="3">
        <f t="shared" si="1"/>
        <v>72332</v>
      </c>
      <c r="E37" s="3"/>
      <c r="F37" s="117"/>
      <c r="G37" s="117"/>
      <c r="H37" s="117"/>
      <c r="I37" s="117"/>
      <c r="J37" s="117"/>
    </row>
    <row r="38" spans="1:10" x14ac:dyDescent="0.2">
      <c r="A38" s="139" t="s">
        <v>80</v>
      </c>
      <c r="B38" s="2">
        <v>52</v>
      </c>
      <c r="C38" s="139">
        <v>1391</v>
      </c>
      <c r="D38" s="3">
        <f t="shared" si="1"/>
        <v>72332</v>
      </c>
      <c r="E38" s="3"/>
      <c r="F38" s="117"/>
      <c r="G38" s="117"/>
      <c r="H38" s="117"/>
      <c r="I38" s="117"/>
      <c r="J38" s="117"/>
    </row>
    <row r="39" spans="1:10" x14ac:dyDescent="0.2">
      <c r="A39" s="139" t="s">
        <v>717</v>
      </c>
      <c r="B39" s="2">
        <v>52</v>
      </c>
      <c r="C39" s="139">
        <v>1598</v>
      </c>
      <c r="D39" s="3">
        <f t="shared" ref="D39:D64" si="2">ROUND(B39*C39,0)</f>
        <v>83096</v>
      </c>
      <c r="E39" s="3"/>
      <c r="F39" s="117"/>
      <c r="G39" s="117"/>
      <c r="H39" s="117"/>
      <c r="I39" s="117"/>
      <c r="J39" s="117"/>
    </row>
    <row r="40" spans="1:10" x14ac:dyDescent="0.2">
      <c r="A40" s="139" t="s">
        <v>717</v>
      </c>
      <c r="B40" s="2">
        <v>52</v>
      </c>
      <c r="C40" s="139">
        <v>1592</v>
      </c>
      <c r="D40" s="3">
        <f t="shared" si="2"/>
        <v>82784</v>
      </c>
      <c r="E40" s="3"/>
      <c r="F40" s="117"/>
      <c r="G40" s="117"/>
      <c r="H40" s="117"/>
      <c r="I40" s="117"/>
      <c r="J40" s="117"/>
    </row>
    <row r="41" spans="1:10" x14ac:dyDescent="0.2">
      <c r="A41" s="139" t="s">
        <v>717</v>
      </c>
      <c r="B41" s="2">
        <v>52</v>
      </c>
      <c r="C41" s="139">
        <v>1591</v>
      </c>
      <c r="D41" s="3">
        <f t="shared" si="2"/>
        <v>82732</v>
      </c>
      <c r="E41" s="3"/>
      <c r="F41" s="117"/>
      <c r="G41" s="117"/>
      <c r="H41" s="117"/>
      <c r="I41" s="117"/>
      <c r="J41" s="117"/>
    </row>
    <row r="42" spans="1:10" x14ac:dyDescent="0.2">
      <c r="A42" s="139" t="s">
        <v>717</v>
      </c>
      <c r="B42" s="2">
        <v>52</v>
      </c>
      <c r="C42" s="139">
        <v>1535</v>
      </c>
      <c r="D42" s="3">
        <f t="shared" si="2"/>
        <v>79820</v>
      </c>
      <c r="E42" s="3"/>
      <c r="F42" s="117"/>
      <c r="G42" s="117"/>
      <c r="H42" s="117"/>
      <c r="I42" s="117"/>
      <c r="J42" s="117"/>
    </row>
    <row r="43" spans="1:10" x14ac:dyDescent="0.2">
      <c r="A43" s="139" t="s">
        <v>717</v>
      </c>
      <c r="B43" s="2">
        <v>52</v>
      </c>
      <c r="C43" s="139">
        <v>1594</v>
      </c>
      <c r="D43" s="3">
        <f t="shared" si="2"/>
        <v>82888</v>
      </c>
      <c r="E43" s="3"/>
      <c r="F43" s="117"/>
      <c r="G43" s="117"/>
      <c r="H43" s="117"/>
      <c r="I43" s="117"/>
      <c r="J43" s="117"/>
    </row>
    <row r="44" spans="1:10" x14ac:dyDescent="0.2">
      <c r="A44" s="139" t="s">
        <v>717</v>
      </c>
      <c r="B44" s="2">
        <v>52</v>
      </c>
      <c r="C44" s="139">
        <v>1602</v>
      </c>
      <c r="D44" s="3">
        <f t="shared" si="2"/>
        <v>83304</v>
      </c>
      <c r="E44" s="3"/>
      <c r="F44" s="117"/>
      <c r="G44" s="117"/>
      <c r="H44" s="117"/>
      <c r="I44" s="117"/>
      <c r="J44" s="117"/>
    </row>
    <row r="45" spans="1:10" x14ac:dyDescent="0.2">
      <c r="A45" s="139" t="s">
        <v>431</v>
      </c>
      <c r="B45" s="2">
        <v>52</v>
      </c>
      <c r="C45" s="139">
        <v>1283</v>
      </c>
      <c r="D45" s="3">
        <f t="shared" si="2"/>
        <v>66716</v>
      </c>
      <c r="E45" s="3"/>
      <c r="F45" s="117"/>
      <c r="G45" s="117"/>
      <c r="H45" s="117"/>
      <c r="I45" s="117"/>
      <c r="J45" s="117"/>
    </row>
    <row r="46" spans="1:10" x14ac:dyDescent="0.2">
      <c r="A46" s="139" t="s">
        <v>431</v>
      </c>
      <c r="B46" s="2">
        <v>52</v>
      </c>
      <c r="C46" s="139">
        <v>1272</v>
      </c>
      <c r="D46" s="3">
        <f t="shared" si="2"/>
        <v>66144</v>
      </c>
      <c r="E46" s="3"/>
      <c r="F46" s="117"/>
      <c r="G46" s="117"/>
      <c r="H46" s="117"/>
      <c r="I46" s="117"/>
      <c r="J46" s="117"/>
    </row>
    <row r="47" spans="1:10" x14ac:dyDescent="0.2">
      <c r="A47" s="139" t="s">
        <v>1968</v>
      </c>
      <c r="B47" s="2">
        <v>52</v>
      </c>
      <c r="C47" s="139">
        <v>1293</v>
      </c>
      <c r="D47" s="3">
        <f t="shared" si="2"/>
        <v>67236</v>
      </c>
      <c r="E47" s="3"/>
      <c r="F47" s="117"/>
      <c r="G47" s="117"/>
      <c r="H47" s="117"/>
      <c r="I47" s="117"/>
      <c r="J47" s="117"/>
    </row>
    <row r="48" spans="1:10" x14ac:dyDescent="0.2">
      <c r="A48" s="139" t="s">
        <v>431</v>
      </c>
      <c r="B48" s="2">
        <v>52</v>
      </c>
      <c r="C48" s="139">
        <v>1283</v>
      </c>
      <c r="D48" s="3">
        <f t="shared" si="2"/>
        <v>66716</v>
      </c>
      <c r="E48" s="3"/>
      <c r="F48" s="117"/>
      <c r="G48" s="117"/>
      <c r="H48" s="117"/>
      <c r="I48" s="117"/>
      <c r="J48" s="117"/>
    </row>
    <row r="49" spans="1:10" x14ac:dyDescent="0.2">
      <c r="A49" s="139" t="s">
        <v>431</v>
      </c>
      <c r="B49" s="2">
        <v>52</v>
      </c>
      <c r="C49" s="139">
        <v>1272</v>
      </c>
      <c r="D49" s="3">
        <f t="shared" si="2"/>
        <v>66144</v>
      </c>
      <c r="E49" s="3"/>
      <c r="F49" s="117"/>
      <c r="G49" s="117"/>
      <c r="H49" s="117"/>
      <c r="I49" s="117"/>
      <c r="J49" s="117"/>
    </row>
    <row r="50" spans="1:10" x14ac:dyDescent="0.2">
      <c r="A50" s="139" t="s">
        <v>431</v>
      </c>
      <c r="B50" s="2">
        <v>52</v>
      </c>
      <c r="C50" s="118">
        <v>1283</v>
      </c>
      <c r="D50" s="3">
        <f t="shared" si="2"/>
        <v>66716</v>
      </c>
      <c r="E50" s="3"/>
      <c r="F50" s="117"/>
      <c r="G50" s="117"/>
      <c r="H50" s="117"/>
      <c r="I50" s="117"/>
      <c r="J50" s="117"/>
    </row>
    <row r="51" spans="1:10" x14ac:dyDescent="0.2">
      <c r="A51" s="139" t="s">
        <v>431</v>
      </c>
      <c r="B51" s="2">
        <v>52</v>
      </c>
      <c r="C51" s="139">
        <v>1276</v>
      </c>
      <c r="D51" s="3">
        <f t="shared" si="2"/>
        <v>66352</v>
      </c>
      <c r="E51" s="3"/>
      <c r="F51" s="117"/>
      <c r="G51" s="117"/>
      <c r="H51" s="117"/>
      <c r="I51" s="117"/>
      <c r="J51" s="117"/>
    </row>
    <row r="52" spans="1:10" x14ac:dyDescent="0.2">
      <c r="A52" s="139" t="s">
        <v>1968</v>
      </c>
      <c r="B52" s="2">
        <v>52</v>
      </c>
      <c r="C52" s="139">
        <v>1293</v>
      </c>
      <c r="D52" s="3">
        <f t="shared" si="2"/>
        <v>67236</v>
      </c>
      <c r="E52" s="3"/>
      <c r="F52" s="117"/>
      <c r="G52" s="117"/>
      <c r="H52" s="117"/>
      <c r="I52" s="117"/>
      <c r="J52" s="117"/>
    </row>
    <row r="53" spans="1:10" x14ac:dyDescent="0.2">
      <c r="A53" s="139" t="s">
        <v>431</v>
      </c>
      <c r="B53" s="2">
        <v>52</v>
      </c>
      <c r="C53" s="139">
        <v>1264</v>
      </c>
      <c r="D53" s="3">
        <f t="shared" si="2"/>
        <v>65728</v>
      </c>
      <c r="E53" s="3"/>
      <c r="F53" s="117"/>
      <c r="G53" s="117"/>
      <c r="H53" s="117"/>
      <c r="I53" s="117"/>
      <c r="J53" s="117"/>
    </row>
    <row r="54" spans="1:10" x14ac:dyDescent="0.2">
      <c r="A54" s="139" t="s">
        <v>80</v>
      </c>
      <c r="B54" s="2">
        <v>52</v>
      </c>
      <c r="C54" s="139">
        <v>1311</v>
      </c>
      <c r="D54" s="3">
        <f t="shared" si="2"/>
        <v>68172</v>
      </c>
      <c r="E54" s="3"/>
      <c r="F54" s="117"/>
      <c r="G54" s="117"/>
      <c r="H54" s="117"/>
      <c r="I54" s="117"/>
      <c r="J54" s="117"/>
    </row>
    <row r="55" spans="1:10" x14ac:dyDescent="0.2">
      <c r="A55" s="139" t="s">
        <v>80</v>
      </c>
      <c r="B55" s="2">
        <v>52</v>
      </c>
      <c r="C55" s="139">
        <v>1311</v>
      </c>
      <c r="D55" s="3">
        <f t="shared" si="2"/>
        <v>68172</v>
      </c>
      <c r="E55" s="3"/>
      <c r="F55" s="117"/>
      <c r="G55" s="117"/>
      <c r="H55" s="117"/>
      <c r="I55" s="117"/>
      <c r="J55" s="117"/>
    </row>
    <row r="56" spans="1:10" x14ac:dyDescent="0.2">
      <c r="A56" s="139" t="s">
        <v>431</v>
      </c>
      <c r="B56" s="2">
        <v>52</v>
      </c>
      <c r="C56" s="139">
        <v>1276</v>
      </c>
      <c r="D56" s="3">
        <f t="shared" si="2"/>
        <v>66352</v>
      </c>
      <c r="E56" s="3"/>
      <c r="F56" s="117"/>
      <c r="G56" s="117"/>
      <c r="H56" s="117"/>
      <c r="I56" s="117"/>
      <c r="J56" s="117"/>
    </row>
    <row r="57" spans="1:10" x14ac:dyDescent="0.2">
      <c r="A57" s="139" t="s">
        <v>431</v>
      </c>
      <c r="B57" s="2">
        <v>52</v>
      </c>
      <c r="C57" s="118">
        <v>1234</v>
      </c>
      <c r="D57" s="3">
        <f t="shared" si="2"/>
        <v>64168</v>
      </c>
      <c r="E57" s="3"/>
      <c r="F57" s="117"/>
      <c r="G57" s="117"/>
      <c r="H57" s="117"/>
      <c r="I57" s="117"/>
      <c r="J57" s="117"/>
    </row>
    <row r="58" spans="1:10" x14ac:dyDescent="0.2">
      <c r="A58" s="139" t="s">
        <v>431</v>
      </c>
      <c r="B58" s="2">
        <v>52</v>
      </c>
      <c r="C58" s="139">
        <v>1276</v>
      </c>
      <c r="D58" s="3">
        <f t="shared" si="2"/>
        <v>66352</v>
      </c>
      <c r="E58" s="3"/>
      <c r="F58" s="117"/>
      <c r="G58" s="117"/>
      <c r="H58" s="117"/>
      <c r="I58" s="117"/>
      <c r="J58" s="117"/>
    </row>
    <row r="59" spans="1:10" x14ac:dyDescent="0.2">
      <c r="A59" s="139" t="s">
        <v>431</v>
      </c>
      <c r="B59" s="2">
        <v>52</v>
      </c>
      <c r="C59" s="139">
        <v>1287</v>
      </c>
      <c r="D59" s="3">
        <f t="shared" si="2"/>
        <v>66924</v>
      </c>
      <c r="E59" s="3"/>
      <c r="F59" s="117"/>
      <c r="G59" s="117"/>
      <c r="H59" s="117"/>
      <c r="I59" s="117"/>
      <c r="J59" s="117"/>
    </row>
    <row r="60" spans="1:10" x14ac:dyDescent="0.2">
      <c r="A60" s="139" t="s">
        <v>431</v>
      </c>
      <c r="B60" s="2">
        <v>52</v>
      </c>
      <c r="C60" s="139">
        <v>1283</v>
      </c>
      <c r="D60" s="3">
        <f t="shared" si="2"/>
        <v>66716</v>
      </c>
      <c r="E60" s="3"/>
      <c r="F60" s="117"/>
      <c r="G60" s="117"/>
      <c r="H60" s="117"/>
      <c r="I60" s="117"/>
      <c r="J60" s="117"/>
    </row>
    <row r="61" spans="1:10" x14ac:dyDescent="0.2">
      <c r="A61" s="139" t="s">
        <v>431</v>
      </c>
      <c r="B61" s="2">
        <v>52</v>
      </c>
      <c r="C61" s="139">
        <v>1194</v>
      </c>
      <c r="D61" s="3">
        <f>ROUND(B61*C61,0)</f>
        <v>62088</v>
      </c>
      <c r="E61" s="3"/>
      <c r="F61" s="117"/>
      <c r="G61" s="117"/>
      <c r="H61" s="117"/>
      <c r="I61" s="117"/>
      <c r="J61" s="117"/>
    </row>
    <row r="62" spans="1:10" x14ac:dyDescent="0.2">
      <c r="A62" s="139" t="s">
        <v>431</v>
      </c>
      <c r="B62" s="2">
        <v>52</v>
      </c>
      <c r="C62" s="139">
        <v>1194</v>
      </c>
      <c r="D62" s="3">
        <f t="shared" si="2"/>
        <v>62088</v>
      </c>
      <c r="E62" s="3"/>
      <c r="F62" s="117"/>
      <c r="G62" s="117"/>
      <c r="H62" s="117"/>
      <c r="I62" s="117"/>
      <c r="J62" s="117"/>
    </row>
    <row r="63" spans="1:10" x14ac:dyDescent="0.2">
      <c r="A63" s="139" t="s">
        <v>431</v>
      </c>
      <c r="B63" s="2">
        <v>52</v>
      </c>
      <c r="C63" s="139">
        <v>1194</v>
      </c>
      <c r="D63" s="3">
        <f t="shared" si="2"/>
        <v>62088</v>
      </c>
      <c r="E63" s="3"/>
      <c r="F63" s="117"/>
      <c r="G63" s="117"/>
      <c r="H63" s="117"/>
      <c r="I63" s="117"/>
      <c r="J63" s="117"/>
    </row>
    <row r="64" spans="1:10" x14ac:dyDescent="0.2">
      <c r="A64" s="139" t="s">
        <v>431</v>
      </c>
      <c r="B64" s="2">
        <v>52</v>
      </c>
      <c r="C64" s="139">
        <v>1194</v>
      </c>
      <c r="D64" s="3">
        <f t="shared" si="2"/>
        <v>62088</v>
      </c>
      <c r="E64" s="3"/>
      <c r="F64" s="117"/>
      <c r="G64" s="117"/>
      <c r="H64" s="117"/>
      <c r="I64" s="117"/>
      <c r="J64" s="117"/>
    </row>
    <row r="65" spans="1:10" x14ac:dyDescent="0.2">
      <c r="A65" s="139" t="s">
        <v>81</v>
      </c>
      <c r="B65" s="2">
        <v>52</v>
      </c>
      <c r="C65" s="139">
        <v>1472</v>
      </c>
      <c r="D65" s="3">
        <f>ROUND(B65*C65,0)</f>
        <v>76544</v>
      </c>
      <c r="E65" s="3"/>
      <c r="F65" s="117"/>
      <c r="G65" s="117"/>
      <c r="H65" s="117"/>
      <c r="I65" s="117"/>
      <c r="J65" s="117"/>
    </row>
    <row r="66" spans="1:10" x14ac:dyDescent="0.2">
      <c r="A66" s="139" t="s">
        <v>81</v>
      </c>
      <c r="B66" s="2">
        <v>52</v>
      </c>
      <c r="C66" s="139">
        <v>1388</v>
      </c>
      <c r="D66" s="3">
        <f>ROUND(B66*C66,0)</f>
        <v>72176</v>
      </c>
      <c r="E66" s="3"/>
      <c r="F66" s="117"/>
      <c r="G66" s="117"/>
      <c r="H66" s="117"/>
      <c r="I66" s="117"/>
      <c r="J66" s="117"/>
    </row>
    <row r="67" spans="1:10" x14ac:dyDescent="0.2">
      <c r="A67" s="139" t="s">
        <v>1964</v>
      </c>
      <c r="B67" s="139"/>
      <c r="C67" s="139"/>
      <c r="D67" s="3">
        <v>12480</v>
      </c>
      <c r="E67" s="3"/>
      <c r="F67" s="117"/>
      <c r="G67" s="117"/>
      <c r="H67" s="117"/>
      <c r="I67" s="117"/>
      <c r="J67" s="117"/>
    </row>
    <row r="68" spans="1:10" x14ac:dyDescent="0.2">
      <c r="A68" s="3" t="s">
        <v>919</v>
      </c>
      <c r="B68" s="3">
        <v>2160</v>
      </c>
      <c r="C68" s="58">
        <f>SUM(C31:C66)/40/36</f>
        <v>34.040972222222223</v>
      </c>
      <c r="D68" s="3">
        <f>ROUND(B68*C68,0)</f>
        <v>73529</v>
      </c>
      <c r="E68" s="3"/>
      <c r="F68" s="117"/>
      <c r="G68" s="117"/>
      <c r="H68" s="117"/>
      <c r="I68" s="117"/>
      <c r="J68" s="117"/>
    </row>
    <row r="69" spans="1:10" x14ac:dyDescent="0.2">
      <c r="A69" s="2" t="s">
        <v>2139</v>
      </c>
      <c r="B69" s="3">
        <v>1</v>
      </c>
      <c r="C69" s="58">
        <f>SUM(C31:C66)</f>
        <v>49019</v>
      </c>
      <c r="D69" s="3">
        <f>ROUND(B69*C69,0)</f>
        <v>49019</v>
      </c>
      <c r="E69" s="3"/>
      <c r="F69" s="117"/>
      <c r="G69" s="117"/>
      <c r="H69" s="117"/>
      <c r="I69" s="117"/>
      <c r="J69" s="117"/>
    </row>
    <row r="70" spans="1:10" ht="15" x14ac:dyDescent="0.35">
      <c r="A70" s="3" t="s">
        <v>833</v>
      </c>
      <c r="B70" s="3" t="s">
        <v>349</v>
      </c>
      <c r="C70" s="3" t="s">
        <v>349</v>
      </c>
      <c r="D70" s="30">
        <v>16716</v>
      </c>
      <c r="E70" s="3"/>
      <c r="F70" s="58"/>
      <c r="G70" s="3"/>
      <c r="H70" s="3"/>
      <c r="I70" s="3"/>
      <c r="J70" s="3"/>
    </row>
    <row r="71" spans="1:10" x14ac:dyDescent="0.2">
      <c r="A71" s="3" t="s">
        <v>1086</v>
      </c>
      <c r="B71" s="3"/>
      <c r="C71" s="3"/>
      <c r="D71" s="3">
        <f>SUM(D31:D70)</f>
        <v>2700732</v>
      </c>
      <c r="F71" s="3"/>
      <c r="G71" s="3"/>
      <c r="H71" s="3"/>
      <c r="I71" s="3"/>
      <c r="J71" s="3"/>
    </row>
    <row r="72" spans="1:10" x14ac:dyDescent="0.2">
      <c r="A72" s="3"/>
      <c r="B72" s="3"/>
      <c r="C72" s="3"/>
      <c r="D72" s="3"/>
      <c r="E72" s="3"/>
      <c r="F72" s="3"/>
      <c r="G72" s="3"/>
      <c r="H72" s="3"/>
      <c r="I72" s="3"/>
      <c r="J72" s="3"/>
    </row>
    <row r="73" spans="1:10" ht="13.5" x14ac:dyDescent="0.25">
      <c r="A73" s="56" t="s">
        <v>817</v>
      </c>
      <c r="B73" s="3"/>
      <c r="C73" s="3"/>
      <c r="D73" s="3"/>
      <c r="E73" s="3">
        <v>16735</v>
      </c>
      <c r="F73" s="3">
        <v>28524</v>
      </c>
      <c r="G73" s="3">
        <v>29221</v>
      </c>
      <c r="H73" s="3">
        <v>28694</v>
      </c>
      <c r="I73" s="3">
        <v>28694</v>
      </c>
      <c r="J73" s="3">
        <v>28694</v>
      </c>
    </row>
    <row r="74" spans="1:10" x14ac:dyDescent="0.2">
      <c r="A74" s="3" t="s">
        <v>810</v>
      </c>
      <c r="B74" s="3" t="s">
        <v>349</v>
      </c>
      <c r="C74" s="3" t="s">
        <v>349</v>
      </c>
      <c r="D74" s="3" t="s">
        <v>349</v>
      </c>
      <c r="E74" s="3"/>
      <c r="F74" s="3"/>
      <c r="G74" s="3"/>
      <c r="H74" s="3"/>
      <c r="I74" s="3"/>
      <c r="J74" s="3"/>
    </row>
    <row r="75" spans="1:10" x14ac:dyDescent="0.2">
      <c r="A75" s="3" t="s">
        <v>425</v>
      </c>
      <c r="B75" s="3">
        <v>435</v>
      </c>
      <c r="C75" s="58">
        <f>+SUM(C21:C24)/40*1.5/4</f>
        <v>65.962500000000006</v>
      </c>
      <c r="D75" s="3">
        <f>ROUND(B75*C75,0)</f>
        <v>28694</v>
      </c>
      <c r="E75" s="3"/>
      <c r="F75" s="3"/>
      <c r="G75" s="3"/>
      <c r="H75" s="3"/>
      <c r="I75" s="3"/>
      <c r="J75" s="3"/>
    </row>
    <row r="76" spans="1:10" x14ac:dyDescent="0.2">
      <c r="A76" s="3"/>
      <c r="B76" s="3"/>
      <c r="C76" s="3"/>
      <c r="D76" s="3"/>
      <c r="E76" s="3"/>
      <c r="F76" s="3"/>
      <c r="G76" s="3"/>
      <c r="H76" s="3"/>
      <c r="I76" s="3"/>
      <c r="J76" s="3"/>
    </row>
    <row r="77" spans="1:10" ht="13.5" x14ac:dyDescent="0.25">
      <c r="A77" s="56" t="s">
        <v>897</v>
      </c>
      <c r="B77" s="3"/>
      <c r="C77" s="3"/>
      <c r="D77" s="3"/>
      <c r="E77" s="3">
        <v>25480</v>
      </c>
      <c r="F77" s="3">
        <v>26260</v>
      </c>
      <c r="G77" s="3">
        <v>26765</v>
      </c>
      <c r="H77" s="3">
        <v>26765</v>
      </c>
      <c r="I77" s="3">
        <v>26765</v>
      </c>
      <c r="J77" s="3">
        <v>26765</v>
      </c>
    </row>
    <row r="78" spans="1:10" x14ac:dyDescent="0.2">
      <c r="A78" s="3" t="s">
        <v>1541</v>
      </c>
      <c r="B78" s="3">
        <v>52</v>
      </c>
      <c r="C78" s="3">
        <v>505</v>
      </c>
      <c r="D78" s="3">
        <f>ROUND(B78*C78,0)</f>
        <v>26260</v>
      </c>
      <c r="F78" s="3"/>
      <c r="G78" s="3"/>
      <c r="H78" s="3"/>
      <c r="I78" s="3"/>
      <c r="J78" s="3"/>
    </row>
    <row r="79" spans="1:10" ht="15" x14ac:dyDescent="0.35">
      <c r="A79" s="2" t="s">
        <v>2139</v>
      </c>
      <c r="B79" s="3">
        <v>1</v>
      </c>
      <c r="C79" s="3">
        <v>505</v>
      </c>
      <c r="D79" s="30">
        <f>ROUND(B79*C79,0)</f>
        <v>505</v>
      </c>
      <c r="F79" s="3"/>
      <c r="G79" s="3"/>
      <c r="H79" s="3"/>
      <c r="I79" s="3"/>
      <c r="J79" s="3"/>
    </row>
    <row r="80" spans="1:10" x14ac:dyDescent="0.2">
      <c r="A80" s="3" t="s">
        <v>98</v>
      </c>
      <c r="B80" s="3"/>
      <c r="C80" s="3"/>
      <c r="D80" s="3">
        <f>SUM(D78:D79)</f>
        <v>26765</v>
      </c>
      <c r="E80" s="3"/>
      <c r="F80" s="3"/>
      <c r="G80" s="3"/>
      <c r="H80" s="3"/>
      <c r="I80" s="3"/>
      <c r="J80" s="3"/>
    </row>
    <row r="81" spans="1:11" x14ac:dyDescent="0.2">
      <c r="A81" s="3"/>
      <c r="B81" s="3"/>
      <c r="C81" s="3"/>
      <c r="D81" s="3"/>
      <c r="E81" s="3"/>
      <c r="F81" s="3"/>
      <c r="G81" s="3"/>
      <c r="H81" s="3"/>
      <c r="I81" s="3"/>
      <c r="J81" s="3"/>
    </row>
    <row r="82" spans="1:11" ht="13.5" x14ac:dyDescent="0.25">
      <c r="A82" s="56" t="s">
        <v>512</v>
      </c>
      <c r="B82" s="3"/>
      <c r="C82" s="3"/>
      <c r="D82" s="3"/>
      <c r="E82" s="3">
        <v>19756</v>
      </c>
      <c r="F82" s="3">
        <v>33757</v>
      </c>
      <c r="G82" s="3">
        <v>33757</v>
      </c>
      <c r="H82" s="3">
        <v>33757</v>
      </c>
      <c r="I82" s="3">
        <v>33757</v>
      </c>
      <c r="J82" s="3">
        <v>33757</v>
      </c>
      <c r="K82" s="3"/>
    </row>
    <row r="83" spans="1:11" x14ac:dyDescent="0.2">
      <c r="A83" s="3" t="s">
        <v>1752</v>
      </c>
      <c r="B83" s="3">
        <v>571</v>
      </c>
      <c r="C83" s="58">
        <v>17.32</v>
      </c>
      <c r="D83" s="3">
        <f>ROUND(B83*C83,0)</f>
        <v>9890</v>
      </c>
      <c r="E83" s="3"/>
      <c r="F83" s="3"/>
      <c r="G83" s="3"/>
      <c r="H83" s="3"/>
      <c r="I83" s="3"/>
      <c r="J83" s="3"/>
    </row>
    <row r="84" spans="1:11" ht="15" x14ac:dyDescent="0.35">
      <c r="A84" s="3" t="s">
        <v>1231</v>
      </c>
      <c r="B84" s="3">
        <v>1378</v>
      </c>
      <c r="C84" s="58">
        <v>17.32</v>
      </c>
      <c r="D84" s="30">
        <f>ROUND(B84*C84,0)</f>
        <v>23867</v>
      </c>
      <c r="E84" s="3"/>
      <c r="F84" s="3"/>
      <c r="G84" s="3"/>
      <c r="H84" s="3"/>
      <c r="I84" s="3"/>
      <c r="J84" s="3"/>
    </row>
    <row r="85" spans="1:11" x14ac:dyDescent="0.2">
      <c r="A85" s="3" t="s">
        <v>1086</v>
      </c>
      <c r="B85" s="3"/>
      <c r="C85" s="3"/>
      <c r="D85" s="3">
        <f>SUM(D83:D84)</f>
        <v>33757</v>
      </c>
      <c r="F85" s="3"/>
      <c r="G85" s="3"/>
      <c r="H85" s="3"/>
      <c r="I85" s="3"/>
      <c r="J85" s="3"/>
    </row>
    <row r="86" spans="1:11" x14ac:dyDescent="0.2">
      <c r="A86" s="3"/>
      <c r="B86" s="3"/>
      <c r="C86" s="3"/>
      <c r="D86" s="3"/>
      <c r="E86" s="3"/>
      <c r="F86" s="3"/>
      <c r="G86" s="3"/>
      <c r="H86" s="3"/>
      <c r="I86" s="3"/>
      <c r="J86" s="3"/>
    </row>
    <row r="87" spans="1:11" ht="13.5" x14ac:dyDescent="0.25">
      <c r="A87" s="56" t="s">
        <v>1232</v>
      </c>
      <c r="B87" s="3"/>
      <c r="C87" s="3"/>
      <c r="D87" s="3"/>
      <c r="E87" s="3">
        <v>287811</v>
      </c>
      <c r="F87" s="3">
        <v>237809</v>
      </c>
      <c r="G87" s="3">
        <v>255131</v>
      </c>
      <c r="H87" s="3">
        <v>244876</v>
      </c>
      <c r="I87" s="3">
        <v>244876</v>
      </c>
      <c r="J87" s="3">
        <v>244876</v>
      </c>
    </row>
    <row r="88" spans="1:11" x14ac:dyDescent="0.2">
      <c r="A88" s="3" t="s">
        <v>97</v>
      </c>
      <c r="B88" s="3">
        <v>4600</v>
      </c>
      <c r="C88" s="58">
        <f>ROUND(C68*1.5,2)</f>
        <v>51.06</v>
      </c>
      <c r="D88" s="3">
        <f>+C88*B88</f>
        <v>234876</v>
      </c>
      <c r="E88" s="3"/>
      <c r="F88" s="3"/>
      <c r="G88" s="3"/>
      <c r="H88" s="3"/>
      <c r="I88" s="3"/>
      <c r="J88" s="3"/>
    </row>
    <row r="89" spans="1:11" ht="15" x14ac:dyDescent="0.35">
      <c r="A89" s="3" t="s">
        <v>1843</v>
      </c>
      <c r="B89" s="3"/>
      <c r="C89" s="58"/>
      <c r="D89" s="30">
        <v>10000</v>
      </c>
      <c r="E89" s="3"/>
      <c r="F89" s="3"/>
      <c r="G89" s="3"/>
      <c r="H89" s="3"/>
      <c r="I89" s="3"/>
      <c r="J89" s="3"/>
    </row>
    <row r="90" spans="1:11" x14ac:dyDescent="0.2">
      <c r="A90" s="3"/>
      <c r="B90" s="3"/>
      <c r="C90" s="58"/>
      <c r="D90" s="3">
        <f>SUM(D88:D89)</f>
        <v>244876</v>
      </c>
      <c r="E90" s="3"/>
      <c r="F90" s="3"/>
      <c r="G90" s="3"/>
      <c r="H90" s="3"/>
      <c r="I90" s="3"/>
      <c r="J90" s="3"/>
    </row>
    <row r="91" spans="1:11" x14ac:dyDescent="0.2">
      <c r="A91" s="3" t="s">
        <v>349</v>
      </c>
      <c r="B91" s="3" t="s">
        <v>349</v>
      </c>
      <c r="C91" s="3" t="s">
        <v>349</v>
      </c>
      <c r="D91" s="3" t="s">
        <v>349</v>
      </c>
      <c r="E91" s="3"/>
      <c r="F91" s="3"/>
      <c r="G91" s="3"/>
      <c r="H91" s="3"/>
      <c r="I91" s="3"/>
      <c r="J91" s="3"/>
    </row>
    <row r="92" spans="1:11" ht="13.5" x14ac:dyDescent="0.25">
      <c r="A92" s="56" t="s">
        <v>1233</v>
      </c>
      <c r="B92" s="3"/>
      <c r="C92" s="3"/>
      <c r="D92" s="3"/>
      <c r="E92" s="3">
        <v>73243</v>
      </c>
      <c r="F92" s="3">
        <v>76137</v>
      </c>
      <c r="G92" s="3">
        <v>79740</v>
      </c>
      <c r="H92" s="3">
        <v>79584</v>
      </c>
      <c r="I92" s="3">
        <v>79409</v>
      </c>
      <c r="J92" s="3">
        <v>79409</v>
      </c>
      <c r="K92" s="3"/>
    </row>
    <row r="93" spans="1:11" hidden="1" x14ac:dyDescent="0.2">
      <c r="A93" s="3" t="s">
        <v>770</v>
      </c>
      <c r="B93" s="3">
        <f>+D13</f>
        <v>178733</v>
      </c>
      <c r="C93" s="69">
        <v>7.6499999999999999E-2</v>
      </c>
      <c r="D93" s="3">
        <f t="shared" ref="D93:D100" si="3">ROUND(B93*C93,0)</f>
        <v>13673</v>
      </c>
      <c r="E93" s="3"/>
      <c r="F93" s="3"/>
      <c r="G93" s="3"/>
      <c r="H93" s="3"/>
      <c r="I93" s="3"/>
      <c r="J93" s="3"/>
    </row>
    <row r="94" spans="1:11" hidden="1" x14ac:dyDescent="0.2">
      <c r="A94" s="3" t="s">
        <v>1290</v>
      </c>
      <c r="B94" s="3">
        <f>+D28</f>
        <v>916356</v>
      </c>
      <c r="C94" s="69">
        <v>1.4500000000000001E-2</v>
      </c>
      <c r="D94" s="3">
        <f t="shared" si="3"/>
        <v>13287</v>
      </c>
      <c r="E94" s="3"/>
      <c r="F94" s="3"/>
      <c r="G94" s="3"/>
      <c r="H94" s="3"/>
      <c r="I94" s="3"/>
      <c r="J94" s="3"/>
    </row>
    <row r="95" spans="1:11" hidden="1" x14ac:dyDescent="0.2">
      <c r="A95" s="3" t="s">
        <v>1272</v>
      </c>
      <c r="B95" s="3">
        <f>+D18</f>
        <v>82940</v>
      </c>
      <c r="C95" s="69">
        <v>6.2E-2</v>
      </c>
      <c r="D95" s="3">
        <f t="shared" si="3"/>
        <v>5142</v>
      </c>
      <c r="E95" s="3"/>
      <c r="F95" s="3"/>
      <c r="G95" s="3"/>
      <c r="H95" s="3"/>
      <c r="I95" s="3"/>
      <c r="J95" s="3"/>
    </row>
    <row r="96" spans="1:11" hidden="1" x14ac:dyDescent="0.2">
      <c r="A96" s="3" t="s">
        <v>695</v>
      </c>
      <c r="B96" s="3">
        <f>+D71</f>
        <v>2700732</v>
      </c>
      <c r="C96" s="69">
        <v>1.4500000000000001E-2</v>
      </c>
      <c r="D96" s="3">
        <f t="shared" si="3"/>
        <v>39161</v>
      </c>
      <c r="E96" s="3"/>
      <c r="F96" s="3"/>
      <c r="G96" s="3"/>
      <c r="H96" s="3"/>
      <c r="I96" s="3"/>
      <c r="J96" s="3"/>
    </row>
    <row r="97" spans="1:11" hidden="1" x14ac:dyDescent="0.2">
      <c r="A97" s="3" t="s">
        <v>771</v>
      </c>
      <c r="B97" s="3">
        <f>+D75</f>
        <v>28694</v>
      </c>
      <c r="C97" s="69">
        <v>1.4500000000000001E-2</v>
      </c>
      <c r="D97" s="3">
        <f t="shared" si="3"/>
        <v>416</v>
      </c>
      <c r="E97" s="3"/>
      <c r="F97" s="3"/>
      <c r="G97" s="3"/>
      <c r="H97" s="3"/>
      <c r="I97" s="3"/>
      <c r="J97" s="3"/>
    </row>
    <row r="98" spans="1:11" hidden="1" x14ac:dyDescent="0.2">
      <c r="A98" s="3" t="s">
        <v>1234</v>
      </c>
      <c r="B98" s="3">
        <f>+D80</f>
        <v>26765</v>
      </c>
      <c r="C98" s="69">
        <v>7.6499999999999999E-2</v>
      </c>
      <c r="D98" s="3">
        <f t="shared" si="3"/>
        <v>2048</v>
      </c>
      <c r="E98" s="3"/>
      <c r="F98" s="3"/>
      <c r="G98" s="3"/>
      <c r="H98" s="3"/>
      <c r="I98" s="3"/>
      <c r="J98" s="3"/>
    </row>
    <row r="99" spans="1:11" hidden="1" x14ac:dyDescent="0.2">
      <c r="A99" s="3" t="s">
        <v>158</v>
      </c>
      <c r="B99" s="3">
        <f>+D85</f>
        <v>33757</v>
      </c>
      <c r="C99" s="69">
        <v>7.6499999999999999E-2</v>
      </c>
      <c r="D99" s="3">
        <f t="shared" si="3"/>
        <v>2582</v>
      </c>
      <c r="E99" s="3"/>
      <c r="F99" s="3"/>
      <c r="G99" s="3"/>
      <c r="H99" s="3"/>
      <c r="I99" s="3"/>
      <c r="J99" s="3"/>
    </row>
    <row r="100" spans="1:11" ht="15" hidden="1" x14ac:dyDescent="0.35">
      <c r="A100" s="3" t="s">
        <v>159</v>
      </c>
      <c r="B100" s="3">
        <f>+D90</f>
        <v>244876</v>
      </c>
      <c r="C100" s="69">
        <v>1.4500000000000001E-2</v>
      </c>
      <c r="D100" s="30">
        <f t="shared" si="3"/>
        <v>3551</v>
      </c>
      <c r="E100" s="3"/>
      <c r="F100" s="3"/>
      <c r="G100" s="3"/>
      <c r="H100" s="3"/>
      <c r="I100" s="3"/>
      <c r="J100" s="3"/>
    </row>
    <row r="101" spans="1:11" hidden="1" x14ac:dyDescent="0.2">
      <c r="A101" s="3" t="s">
        <v>1086</v>
      </c>
      <c r="B101" s="3"/>
      <c r="C101" s="3"/>
      <c r="D101" s="3">
        <f>SUM(D93:D100)</f>
        <v>79860</v>
      </c>
      <c r="E101" s="3"/>
      <c r="F101" s="3"/>
      <c r="G101" s="3"/>
      <c r="H101" s="3"/>
      <c r="I101" s="3"/>
      <c r="J101" s="3"/>
    </row>
    <row r="102" spans="1:11" ht="13.5" x14ac:dyDescent="0.25">
      <c r="A102" s="106"/>
      <c r="B102" s="3"/>
      <c r="C102" s="3"/>
      <c r="D102" s="3"/>
      <c r="E102" s="3"/>
      <c r="F102" s="3"/>
      <c r="G102" s="3"/>
      <c r="H102" s="3"/>
      <c r="I102" s="3"/>
      <c r="J102" s="3"/>
    </row>
    <row r="103" spans="1:11" ht="13.5" x14ac:dyDescent="0.25">
      <c r="A103" s="56" t="s">
        <v>1235</v>
      </c>
      <c r="B103" s="3"/>
      <c r="C103" s="3"/>
      <c r="D103" s="3"/>
      <c r="E103" s="3">
        <v>957727</v>
      </c>
      <c r="F103" s="3">
        <v>1051286</v>
      </c>
      <c r="G103" s="3">
        <v>1332329</v>
      </c>
      <c r="H103" s="3">
        <v>1328677</v>
      </c>
      <c r="I103" s="3">
        <v>1320114</v>
      </c>
      <c r="J103" s="3">
        <v>1320114</v>
      </c>
      <c r="K103" s="3"/>
    </row>
    <row r="104" spans="1:11" hidden="1" x14ac:dyDescent="0.2">
      <c r="A104" s="3" t="s">
        <v>770</v>
      </c>
      <c r="B104" s="3">
        <f>+D13</f>
        <v>178733</v>
      </c>
      <c r="C104" s="228">
        <v>0.1406</v>
      </c>
      <c r="D104" s="3">
        <f t="shared" ref="D104:D109" si="4">ROUND(B104*C104,0)</f>
        <v>25130</v>
      </c>
      <c r="E104" s="3"/>
      <c r="F104" s="3"/>
      <c r="G104" s="3"/>
      <c r="H104" s="3"/>
      <c r="I104" s="3"/>
      <c r="J104" s="3"/>
    </row>
    <row r="105" spans="1:11" hidden="1" x14ac:dyDescent="0.2">
      <c r="A105" s="3" t="s">
        <v>1290</v>
      </c>
      <c r="B105" s="3">
        <f>+D28-B95</f>
        <v>833416</v>
      </c>
      <c r="C105" s="228">
        <v>0.33879999999999999</v>
      </c>
      <c r="D105" s="3">
        <f t="shared" si="4"/>
        <v>282361</v>
      </c>
      <c r="E105" s="3"/>
      <c r="F105" s="3"/>
      <c r="G105" s="3"/>
      <c r="H105" s="3"/>
      <c r="I105" s="3"/>
      <c r="J105" s="3"/>
    </row>
    <row r="106" spans="1:11" hidden="1" x14ac:dyDescent="0.2">
      <c r="A106" s="3" t="s">
        <v>1272</v>
      </c>
      <c r="B106" s="3">
        <f>+B95</f>
        <v>82940</v>
      </c>
      <c r="C106" s="228">
        <v>0.1406</v>
      </c>
      <c r="D106" s="3">
        <f t="shared" si="4"/>
        <v>11661</v>
      </c>
      <c r="E106" s="3"/>
      <c r="F106" s="3"/>
      <c r="G106" s="3"/>
      <c r="H106" s="3"/>
      <c r="I106" s="3"/>
      <c r="J106" s="3"/>
    </row>
    <row r="107" spans="1:11" hidden="1" x14ac:dyDescent="0.2">
      <c r="A107" s="3" t="s">
        <v>695</v>
      </c>
      <c r="B107" s="3">
        <f>+D71</f>
        <v>2700732</v>
      </c>
      <c r="C107" s="228">
        <v>0.33879999999999999</v>
      </c>
      <c r="D107" s="3">
        <f t="shared" si="4"/>
        <v>915008</v>
      </c>
      <c r="E107" s="3"/>
      <c r="F107" s="3"/>
      <c r="G107" s="3"/>
      <c r="H107" s="3"/>
      <c r="I107" s="3"/>
      <c r="J107" s="3"/>
    </row>
    <row r="108" spans="1:11" hidden="1" x14ac:dyDescent="0.2">
      <c r="A108" s="3" t="s">
        <v>771</v>
      </c>
      <c r="B108" s="3">
        <f>+D75</f>
        <v>28694</v>
      </c>
      <c r="C108" s="228">
        <v>0.33879999999999999</v>
      </c>
      <c r="D108" s="3">
        <f t="shared" si="4"/>
        <v>9722</v>
      </c>
      <c r="E108" s="3"/>
      <c r="F108" s="3"/>
      <c r="G108" s="3"/>
      <c r="H108" s="3"/>
      <c r="I108" s="3"/>
      <c r="J108" s="3"/>
    </row>
    <row r="109" spans="1:11" hidden="1" x14ac:dyDescent="0.2">
      <c r="A109" s="3" t="s">
        <v>1234</v>
      </c>
      <c r="B109" s="3">
        <f>+B98</f>
        <v>26765</v>
      </c>
      <c r="C109" s="228">
        <v>0.1406</v>
      </c>
      <c r="D109" s="3">
        <f t="shared" si="4"/>
        <v>3763</v>
      </c>
      <c r="E109" s="3"/>
      <c r="F109" s="3"/>
      <c r="G109" s="3"/>
      <c r="H109" s="3"/>
      <c r="I109" s="3"/>
      <c r="J109" s="3"/>
    </row>
    <row r="110" spans="1:11" ht="15" hidden="1" x14ac:dyDescent="0.35">
      <c r="A110" s="3" t="s">
        <v>159</v>
      </c>
      <c r="B110" s="3">
        <f>+D90</f>
        <v>244876</v>
      </c>
      <c r="C110" s="228">
        <v>0.33879999999999999</v>
      </c>
      <c r="D110" s="30">
        <f>ROUND(B110*C110,0)+23</f>
        <v>82987</v>
      </c>
      <c r="E110" s="3"/>
      <c r="F110" s="3"/>
      <c r="G110" s="3"/>
      <c r="H110" s="3"/>
      <c r="I110" s="3"/>
      <c r="J110" s="3"/>
    </row>
    <row r="111" spans="1:11" hidden="1" x14ac:dyDescent="0.2">
      <c r="A111" s="3" t="s">
        <v>1086</v>
      </c>
      <c r="B111" s="3"/>
      <c r="C111" s="3"/>
      <c r="D111" s="3">
        <f>SUM(D104:D110)</f>
        <v>1330632</v>
      </c>
      <c r="E111" s="3"/>
      <c r="F111" s="3"/>
      <c r="G111" s="3"/>
      <c r="H111" s="3"/>
      <c r="I111" s="3"/>
      <c r="J111" s="3"/>
    </row>
    <row r="112" spans="1:11" ht="13.5" x14ac:dyDescent="0.25">
      <c r="A112" s="106"/>
      <c r="B112" s="3"/>
      <c r="C112" s="3"/>
      <c r="D112" s="3"/>
      <c r="E112" s="3"/>
      <c r="F112" s="3"/>
      <c r="G112" s="3"/>
      <c r="H112" s="3"/>
      <c r="I112" s="3"/>
      <c r="J112" s="3"/>
    </row>
    <row r="113" spans="1:10" ht="13.5" x14ac:dyDescent="0.25">
      <c r="A113" s="56" t="s">
        <v>320</v>
      </c>
      <c r="B113" s="3"/>
      <c r="C113" s="3"/>
      <c r="D113" s="3"/>
      <c r="E113" s="3">
        <v>852857</v>
      </c>
      <c r="F113" s="3">
        <v>949388</v>
      </c>
      <c r="G113" s="3">
        <v>977550</v>
      </c>
      <c r="H113" s="3">
        <v>967750</v>
      </c>
      <c r="I113" s="3">
        <v>967750</v>
      </c>
      <c r="J113" s="3">
        <v>967750</v>
      </c>
    </row>
    <row r="114" spans="1:10" x14ac:dyDescent="0.2">
      <c r="A114" s="3" t="s">
        <v>1557</v>
      </c>
      <c r="B114" s="3">
        <v>36</v>
      </c>
      <c r="C114" s="2">
        <v>19750</v>
      </c>
      <c r="D114" s="3">
        <f>ROUND(B114*C114,0)</f>
        <v>711000</v>
      </c>
      <c r="E114" s="3"/>
      <c r="F114" s="3"/>
      <c r="G114" s="3"/>
      <c r="H114" s="3"/>
      <c r="I114" s="3"/>
      <c r="J114" s="3"/>
    </row>
    <row r="115" spans="1:10" x14ac:dyDescent="0.2">
      <c r="A115" s="3" t="s">
        <v>28</v>
      </c>
      <c r="B115" s="3">
        <v>6</v>
      </c>
      <c r="C115" s="2">
        <v>19750</v>
      </c>
      <c r="D115" s="3">
        <f>ROUND(B115*C115,0)</f>
        <v>118500</v>
      </c>
      <c r="E115" s="3"/>
      <c r="F115" s="3"/>
      <c r="G115" s="3"/>
      <c r="H115" s="3"/>
      <c r="I115" s="3"/>
      <c r="J115" s="3"/>
    </row>
    <row r="116" spans="1:10" x14ac:dyDescent="0.2">
      <c r="A116" s="3" t="s">
        <v>1067</v>
      </c>
      <c r="B116" s="3">
        <v>3</v>
      </c>
      <c r="C116" s="2">
        <v>19750</v>
      </c>
      <c r="D116" s="3">
        <f>ROUND(B116*C116,0)</f>
        <v>59250</v>
      </c>
      <c r="E116" s="3"/>
      <c r="F116" s="3"/>
      <c r="G116" s="3"/>
      <c r="H116" s="3"/>
      <c r="I116" s="3"/>
      <c r="J116" s="3"/>
    </row>
    <row r="117" spans="1:10" x14ac:dyDescent="0.2">
      <c r="A117" s="3" t="s">
        <v>269</v>
      </c>
      <c r="B117" s="3">
        <v>4</v>
      </c>
      <c r="C117" s="2">
        <v>19750</v>
      </c>
      <c r="D117" s="3">
        <f>ROUND(B117*C117,0)</f>
        <v>79000</v>
      </c>
      <c r="E117" s="3"/>
      <c r="F117" s="3"/>
      <c r="G117" s="3"/>
      <c r="H117" s="3"/>
      <c r="I117" s="3"/>
      <c r="J117" s="3"/>
    </row>
    <row r="118" spans="1:10" ht="15" x14ac:dyDescent="0.35">
      <c r="A118" s="3" t="s">
        <v>1558</v>
      </c>
      <c r="B118" s="3" t="s">
        <v>349</v>
      </c>
      <c r="C118" s="3" t="s">
        <v>349</v>
      </c>
      <c r="D118" s="30">
        <v>0</v>
      </c>
      <c r="E118" s="3"/>
      <c r="F118" s="3"/>
      <c r="G118" s="3"/>
      <c r="H118" s="3"/>
      <c r="I118" s="3"/>
      <c r="J118" s="3"/>
    </row>
    <row r="119" spans="1:10" x14ac:dyDescent="0.2">
      <c r="A119" s="3" t="s">
        <v>690</v>
      </c>
      <c r="B119" s="3"/>
      <c r="C119" s="3"/>
      <c r="D119" s="3">
        <f>SUM(D114:D118)</f>
        <v>967750</v>
      </c>
      <c r="E119" s="3"/>
      <c r="F119" s="3"/>
      <c r="G119" s="3"/>
      <c r="H119" s="3"/>
      <c r="I119" s="3"/>
      <c r="J119" s="3"/>
    </row>
    <row r="120" spans="1:10" x14ac:dyDescent="0.2">
      <c r="A120" s="3"/>
      <c r="B120" s="3"/>
      <c r="C120" s="3"/>
      <c r="D120" s="3"/>
      <c r="E120" s="3"/>
      <c r="F120" s="3"/>
      <c r="G120" s="3"/>
      <c r="H120" s="3"/>
      <c r="I120" s="3"/>
      <c r="J120" s="3"/>
    </row>
    <row r="121" spans="1:10" ht="13.5" x14ac:dyDescent="0.25">
      <c r="A121" s="56" t="s">
        <v>599</v>
      </c>
      <c r="B121" s="3"/>
      <c r="C121" s="3"/>
      <c r="D121" s="3"/>
      <c r="E121" s="3">
        <v>49874</v>
      </c>
      <c r="F121" s="3">
        <v>61880</v>
      </c>
      <c r="G121" s="3">
        <v>62580</v>
      </c>
      <c r="H121" s="3">
        <v>62580</v>
      </c>
      <c r="I121" s="3">
        <v>62580</v>
      </c>
      <c r="J121" s="3">
        <v>62580</v>
      </c>
    </row>
    <row r="122" spans="1:10" x14ac:dyDescent="0.2">
      <c r="A122" s="3" t="s">
        <v>268</v>
      </c>
      <c r="B122" s="3">
        <v>42</v>
      </c>
      <c r="C122" s="3">
        <v>1400</v>
      </c>
      <c r="D122" s="3">
        <f>ROUND(B122*C122,0)</f>
        <v>58800</v>
      </c>
      <c r="E122" s="3"/>
      <c r="F122" s="3"/>
      <c r="G122" s="3"/>
      <c r="H122" s="3"/>
      <c r="I122" s="3"/>
      <c r="J122" s="3"/>
    </row>
    <row r="123" spans="1:10" x14ac:dyDescent="0.2">
      <c r="A123" s="3" t="s">
        <v>1067</v>
      </c>
      <c r="B123" s="3">
        <v>3</v>
      </c>
      <c r="C123" s="3">
        <v>1400</v>
      </c>
      <c r="D123" s="3">
        <f>ROUND(B123*C123,0)</f>
        <v>4200</v>
      </c>
      <c r="E123" s="3"/>
      <c r="F123" s="3"/>
      <c r="G123" s="3"/>
      <c r="H123" s="3"/>
      <c r="I123" s="3"/>
      <c r="J123" s="3"/>
    </row>
    <row r="124" spans="1:10" x14ac:dyDescent="0.2">
      <c r="A124" s="3" t="s">
        <v>1221</v>
      </c>
      <c r="B124" s="3"/>
      <c r="C124" s="3"/>
      <c r="D124" s="3">
        <f>+C123*-0.1*39</f>
        <v>-5460</v>
      </c>
      <c r="E124" s="3"/>
      <c r="F124" s="3"/>
      <c r="G124" s="3"/>
      <c r="H124" s="3"/>
      <c r="I124" s="3"/>
      <c r="J124" s="3"/>
    </row>
    <row r="125" spans="1:10" x14ac:dyDescent="0.2">
      <c r="A125" s="3" t="s">
        <v>269</v>
      </c>
      <c r="B125" s="3">
        <v>4</v>
      </c>
      <c r="C125" s="3">
        <v>1400</v>
      </c>
      <c r="D125" s="3">
        <f>ROUND(B125*C125,0)</f>
        <v>5600</v>
      </c>
      <c r="E125" s="3"/>
      <c r="F125" s="3"/>
      <c r="G125" s="3"/>
      <c r="H125" s="3"/>
      <c r="I125" s="3"/>
      <c r="J125" s="3"/>
    </row>
    <row r="126" spans="1:10" ht="15" x14ac:dyDescent="0.35">
      <c r="A126" s="3" t="s">
        <v>201</v>
      </c>
      <c r="B126" s="3"/>
      <c r="C126" s="3"/>
      <c r="D126" s="30">
        <f>+C125*-0.1*B125</f>
        <v>-560</v>
      </c>
      <c r="E126" s="3"/>
      <c r="F126" s="3"/>
      <c r="G126" s="3"/>
      <c r="H126" s="3"/>
      <c r="I126" s="3"/>
      <c r="J126" s="3"/>
    </row>
    <row r="127" spans="1:10" x14ac:dyDescent="0.2">
      <c r="A127" s="3" t="s">
        <v>690</v>
      </c>
      <c r="B127" s="3"/>
      <c r="C127" s="3"/>
      <c r="D127" s="3">
        <f>SUM(D122:D126)</f>
        <v>62580</v>
      </c>
      <c r="F127" s="3"/>
      <c r="G127" s="3"/>
      <c r="H127" s="3"/>
      <c r="I127" s="3"/>
      <c r="J127" s="3"/>
    </row>
    <row r="128" spans="1:10" x14ac:dyDescent="0.2">
      <c r="A128" s="3"/>
      <c r="B128" s="3"/>
      <c r="C128" s="3"/>
      <c r="D128" s="3"/>
      <c r="E128" s="3"/>
      <c r="F128" s="3"/>
      <c r="G128" s="3"/>
      <c r="H128" s="3"/>
      <c r="I128" s="3"/>
      <c r="J128" s="3"/>
    </row>
    <row r="129" spans="1:11" ht="13.5" x14ac:dyDescent="0.25">
      <c r="A129" s="56" t="s">
        <v>600</v>
      </c>
      <c r="B129" s="3"/>
      <c r="C129" s="3"/>
      <c r="D129" s="3"/>
      <c r="E129" s="3">
        <v>3123</v>
      </c>
      <c r="F129" s="3">
        <v>2998</v>
      </c>
      <c r="G129" s="3">
        <v>2998</v>
      </c>
      <c r="H129" s="3">
        <v>2998</v>
      </c>
      <c r="I129" s="3">
        <v>2998</v>
      </c>
      <c r="J129" s="3">
        <v>2998</v>
      </c>
    </row>
    <row r="130" spans="1:11" hidden="1" x14ac:dyDescent="0.2">
      <c r="A130" s="3" t="s">
        <v>197</v>
      </c>
      <c r="B130" s="3">
        <v>4</v>
      </c>
      <c r="C130" s="3">
        <v>135</v>
      </c>
      <c r="D130" s="3">
        <f>ROUND(B130*C130,0)</f>
        <v>540</v>
      </c>
      <c r="E130" s="3"/>
      <c r="F130" s="3"/>
      <c r="G130" s="3"/>
      <c r="H130" s="3"/>
      <c r="I130" s="3"/>
      <c r="J130" s="3"/>
    </row>
    <row r="131" spans="1:11" hidden="1" x14ac:dyDescent="0.2">
      <c r="A131" s="3" t="s">
        <v>1068</v>
      </c>
      <c r="B131" s="3">
        <v>3</v>
      </c>
      <c r="C131" s="3">
        <v>135</v>
      </c>
      <c r="D131" s="3">
        <f>ROUND(B131*C131,0)</f>
        <v>405</v>
      </c>
      <c r="E131" s="3"/>
      <c r="F131" s="3"/>
      <c r="G131" s="3"/>
      <c r="H131" s="3"/>
      <c r="I131" s="3"/>
      <c r="J131" s="3"/>
    </row>
    <row r="132" spans="1:11" hidden="1" x14ac:dyDescent="0.2">
      <c r="A132" s="3" t="s">
        <v>1565</v>
      </c>
      <c r="B132" s="3">
        <v>6</v>
      </c>
      <c r="C132" s="3">
        <v>135</v>
      </c>
      <c r="D132" s="3">
        <f>ROUND(B132*C132,0)</f>
        <v>810</v>
      </c>
      <c r="E132" s="3"/>
      <c r="F132" s="3"/>
      <c r="G132" s="3"/>
      <c r="H132" s="3"/>
      <c r="I132" s="3"/>
      <c r="J132" s="3"/>
    </row>
    <row r="133" spans="1:11" ht="15" hidden="1" x14ac:dyDescent="0.35">
      <c r="A133" s="3" t="s">
        <v>1678</v>
      </c>
      <c r="B133" s="3">
        <v>35.5</v>
      </c>
      <c r="C133" s="3">
        <v>35</v>
      </c>
      <c r="D133" s="30">
        <f>ROUND(B133*C133,0)</f>
        <v>1243</v>
      </c>
      <c r="E133" s="3"/>
      <c r="F133" s="3"/>
      <c r="G133" s="3"/>
      <c r="H133" s="3"/>
      <c r="I133" s="3"/>
      <c r="J133" s="3"/>
    </row>
    <row r="134" spans="1:11" hidden="1" x14ac:dyDescent="0.2">
      <c r="A134" s="3" t="s">
        <v>1086</v>
      </c>
      <c r="B134" s="3"/>
      <c r="C134" s="3"/>
      <c r="D134" s="3">
        <f>SUM(D130:D133)</f>
        <v>2998</v>
      </c>
      <c r="E134" s="3"/>
      <c r="F134" s="3"/>
      <c r="G134" s="3"/>
      <c r="H134" s="3"/>
      <c r="I134" s="3"/>
      <c r="J134" s="3"/>
    </row>
    <row r="135" spans="1:11" x14ac:dyDescent="0.2">
      <c r="A135" s="3"/>
      <c r="B135" s="3"/>
      <c r="C135" s="3"/>
      <c r="D135" s="3"/>
      <c r="E135" s="3"/>
      <c r="F135" s="3"/>
      <c r="G135" s="3"/>
      <c r="H135" s="3"/>
      <c r="I135" s="3"/>
      <c r="J135" s="3"/>
    </row>
    <row r="136" spans="1:11" ht="13.5" x14ac:dyDescent="0.25">
      <c r="A136" s="56" t="s">
        <v>601</v>
      </c>
      <c r="B136" s="3"/>
      <c r="C136" s="3"/>
      <c r="D136" s="3"/>
      <c r="E136" s="3">
        <v>26645</v>
      </c>
      <c r="F136" s="3">
        <v>30313</v>
      </c>
      <c r="G136" s="3">
        <v>26950</v>
      </c>
      <c r="H136" s="3">
        <v>26950</v>
      </c>
      <c r="I136" s="3">
        <v>26950</v>
      </c>
      <c r="J136" s="3">
        <v>26950</v>
      </c>
    </row>
    <row r="137" spans="1:11" hidden="1" x14ac:dyDescent="0.2">
      <c r="A137" s="3" t="s">
        <v>197</v>
      </c>
      <c r="B137" s="3">
        <v>4</v>
      </c>
      <c r="C137" s="3">
        <v>550</v>
      </c>
      <c r="D137" s="3">
        <f>ROUND(B137*C137,0)</f>
        <v>2200</v>
      </c>
      <c r="E137" s="3"/>
      <c r="F137" s="3"/>
      <c r="G137" s="3"/>
      <c r="H137" s="3"/>
      <c r="I137" s="3"/>
      <c r="J137" s="3"/>
    </row>
    <row r="138" spans="1:11" hidden="1" x14ac:dyDescent="0.2">
      <c r="A138" s="3" t="s">
        <v>1068</v>
      </c>
      <c r="B138" s="3">
        <v>3</v>
      </c>
      <c r="C138" s="3">
        <v>550</v>
      </c>
      <c r="D138" s="3">
        <f>ROUND(B138*C138,0)</f>
        <v>1650</v>
      </c>
      <c r="E138" s="3"/>
      <c r="F138" s="3"/>
      <c r="G138" s="3"/>
      <c r="H138" s="3"/>
      <c r="I138" s="3"/>
      <c r="J138" s="3"/>
    </row>
    <row r="139" spans="1:11" ht="15" hidden="1" x14ac:dyDescent="0.35">
      <c r="A139" s="3" t="s">
        <v>1238</v>
      </c>
      <c r="B139" s="3">
        <v>42</v>
      </c>
      <c r="C139" s="3">
        <v>550</v>
      </c>
      <c r="D139" s="30">
        <f>ROUND(B139*C139,0)</f>
        <v>23100</v>
      </c>
      <c r="E139" s="3"/>
      <c r="F139" s="3"/>
      <c r="G139" s="3"/>
      <c r="H139" s="3"/>
      <c r="I139" s="3"/>
      <c r="J139" s="3"/>
    </row>
    <row r="140" spans="1:11" hidden="1" x14ac:dyDescent="0.2">
      <c r="A140" s="3" t="s">
        <v>1086</v>
      </c>
      <c r="B140" s="3"/>
      <c r="C140" s="3"/>
      <c r="D140" s="3">
        <f>SUM(D137:D139)</f>
        <v>26950</v>
      </c>
      <c r="E140" s="3"/>
      <c r="F140" s="3"/>
      <c r="G140" s="3"/>
      <c r="H140" s="3"/>
      <c r="I140" s="3"/>
      <c r="J140" s="3"/>
    </row>
    <row r="141" spans="1:11" x14ac:dyDescent="0.2">
      <c r="A141" s="3"/>
      <c r="B141" s="3"/>
      <c r="C141" s="3"/>
      <c r="D141" s="3"/>
      <c r="E141" s="3"/>
      <c r="F141" s="3"/>
      <c r="G141" s="3"/>
      <c r="H141" s="3"/>
      <c r="I141" s="3"/>
      <c r="J141" s="3"/>
    </row>
    <row r="142" spans="1:11" ht="13.5" x14ac:dyDescent="0.25">
      <c r="A142" s="56" t="s">
        <v>921</v>
      </c>
      <c r="B142" s="3"/>
      <c r="C142" s="3"/>
      <c r="D142" s="3"/>
      <c r="E142" s="3">
        <v>49978</v>
      </c>
      <c r="F142" s="3">
        <v>62075</v>
      </c>
      <c r="G142" s="3">
        <v>72784</v>
      </c>
      <c r="H142" s="3">
        <v>72784</v>
      </c>
      <c r="I142" s="3">
        <v>72137</v>
      </c>
      <c r="J142" s="3">
        <v>72137</v>
      </c>
      <c r="K142" s="3"/>
    </row>
    <row r="143" spans="1:11" hidden="1" x14ac:dyDescent="0.2">
      <c r="A143" s="3" t="s">
        <v>770</v>
      </c>
      <c r="B143" s="3">
        <f>+D13</f>
        <v>178733</v>
      </c>
      <c r="C143" s="69">
        <v>1.6999999999999999E-3</v>
      </c>
      <c r="D143" s="3">
        <f t="shared" ref="D143:D150" si="5">ROUND(B143*C143,0)</f>
        <v>304</v>
      </c>
      <c r="E143" s="3"/>
      <c r="F143" s="3"/>
      <c r="G143" s="3"/>
      <c r="H143" s="3"/>
      <c r="I143" s="3"/>
      <c r="J143" s="3"/>
    </row>
    <row r="144" spans="1:11" hidden="1" x14ac:dyDescent="0.2">
      <c r="A144" s="3" t="s">
        <v>1290</v>
      </c>
      <c r="B144" s="3">
        <f>+D28</f>
        <v>916356</v>
      </c>
      <c r="C144" s="69">
        <v>1.83E-2</v>
      </c>
      <c r="D144" s="3">
        <f>ROUND(B144*C144,0)</f>
        <v>16769</v>
      </c>
      <c r="E144" s="3"/>
      <c r="F144" s="3"/>
      <c r="G144" s="3"/>
      <c r="H144" s="3"/>
      <c r="I144" s="3"/>
      <c r="J144" s="3"/>
    </row>
    <row r="145" spans="1:11" hidden="1" x14ac:dyDescent="0.2">
      <c r="A145" s="3" t="str">
        <f>+A106</f>
        <v>8103 Prosecutor</v>
      </c>
      <c r="B145" s="3">
        <f>+B106</f>
        <v>82940</v>
      </c>
      <c r="C145" s="69">
        <v>1.6999999999999999E-3</v>
      </c>
      <c r="D145" s="3">
        <f t="shared" si="5"/>
        <v>141</v>
      </c>
      <c r="E145" s="3"/>
      <c r="F145" s="3"/>
      <c r="G145" s="3"/>
      <c r="H145" s="3"/>
      <c r="I145" s="3"/>
      <c r="J145" s="3"/>
    </row>
    <row r="146" spans="1:11" hidden="1" x14ac:dyDescent="0.2">
      <c r="A146" s="3" t="s">
        <v>695</v>
      </c>
      <c r="B146" s="3">
        <f>+D71</f>
        <v>2700732</v>
      </c>
      <c r="C146" s="69">
        <v>1.83E-2</v>
      </c>
      <c r="D146" s="3">
        <f>ROUND(B146*C146,0)-16</f>
        <v>49407</v>
      </c>
      <c r="E146" s="3"/>
      <c r="F146" s="3"/>
      <c r="G146" s="3"/>
      <c r="H146" s="3"/>
      <c r="I146" s="3"/>
      <c r="J146" s="3"/>
    </row>
    <row r="147" spans="1:11" hidden="1" x14ac:dyDescent="0.2">
      <c r="A147" s="115" t="s">
        <v>771</v>
      </c>
      <c r="B147" s="3">
        <f>ROUND(B108,0)</f>
        <v>28694</v>
      </c>
      <c r="C147" s="69">
        <v>1.83E-2</v>
      </c>
      <c r="D147" s="3">
        <f t="shared" si="5"/>
        <v>525</v>
      </c>
      <c r="E147" s="3"/>
      <c r="F147" s="3"/>
      <c r="G147" s="3"/>
      <c r="H147" s="3"/>
      <c r="I147" s="3"/>
      <c r="J147" s="3"/>
    </row>
    <row r="148" spans="1:11" hidden="1" x14ac:dyDescent="0.2">
      <c r="A148" s="3" t="s">
        <v>1234</v>
      </c>
      <c r="B148" s="3">
        <f>+B109</f>
        <v>26765</v>
      </c>
      <c r="C148" s="69">
        <v>1.7299999999999999E-2</v>
      </c>
      <c r="D148" s="3">
        <f t="shared" si="5"/>
        <v>463</v>
      </c>
      <c r="E148" s="3"/>
      <c r="F148" s="3"/>
      <c r="G148" s="3"/>
      <c r="H148" s="3"/>
      <c r="I148" s="3"/>
      <c r="J148" s="3"/>
    </row>
    <row r="149" spans="1:11" hidden="1" x14ac:dyDescent="0.2">
      <c r="A149" s="3" t="s">
        <v>158</v>
      </c>
      <c r="B149" s="3">
        <f>+D85</f>
        <v>33757</v>
      </c>
      <c r="C149" s="69">
        <v>1.83E-2</v>
      </c>
      <c r="D149" s="3">
        <f t="shared" si="5"/>
        <v>618</v>
      </c>
      <c r="E149" s="3"/>
      <c r="F149" s="3"/>
      <c r="G149" s="3"/>
      <c r="H149" s="3"/>
      <c r="I149" s="3"/>
      <c r="J149" s="3"/>
    </row>
    <row r="150" spans="1:11" ht="15" hidden="1" x14ac:dyDescent="0.35">
      <c r="A150" s="115" t="s">
        <v>159</v>
      </c>
      <c r="B150" s="3">
        <f>+D90</f>
        <v>244876</v>
      </c>
      <c r="C150" s="69">
        <v>1.83E-2</v>
      </c>
      <c r="D150" s="30">
        <f t="shared" si="5"/>
        <v>4481</v>
      </c>
      <c r="E150" s="3"/>
      <c r="F150" s="3"/>
      <c r="G150" s="3"/>
      <c r="H150" s="3"/>
      <c r="I150" s="3"/>
      <c r="J150" s="3"/>
    </row>
    <row r="151" spans="1:11" hidden="1" x14ac:dyDescent="0.2">
      <c r="A151" s="3" t="s">
        <v>1086</v>
      </c>
      <c r="B151" s="3"/>
      <c r="C151" s="3"/>
      <c r="D151" s="3">
        <f>SUM(D143:D150)-3</f>
        <v>72705</v>
      </c>
      <c r="E151" s="3"/>
      <c r="F151" s="3"/>
      <c r="G151" s="3"/>
      <c r="H151" s="3"/>
      <c r="I151" s="3"/>
      <c r="J151" s="3"/>
    </row>
    <row r="152" spans="1:11" x14ac:dyDescent="0.2">
      <c r="A152" s="3"/>
      <c r="B152" s="3"/>
      <c r="C152" s="3"/>
      <c r="D152" s="3"/>
      <c r="E152" s="3"/>
      <c r="F152" s="3"/>
      <c r="G152" s="3"/>
      <c r="H152" s="3"/>
      <c r="I152" s="3"/>
      <c r="J152" s="3"/>
    </row>
    <row r="153" spans="1:11" ht="13.5" x14ac:dyDescent="0.25">
      <c r="A153" s="56" t="s">
        <v>120</v>
      </c>
      <c r="B153" s="3"/>
      <c r="C153" s="3"/>
      <c r="D153" s="3"/>
      <c r="E153" s="3">
        <v>855</v>
      </c>
      <c r="F153" s="3">
        <v>1035</v>
      </c>
      <c r="G153" s="3">
        <v>1065</v>
      </c>
      <c r="H153" s="3">
        <v>1065</v>
      </c>
      <c r="I153" s="3">
        <v>1065</v>
      </c>
      <c r="J153" s="3">
        <v>1065</v>
      </c>
      <c r="K153" s="3"/>
    </row>
    <row r="154" spans="1:11" hidden="1" x14ac:dyDescent="0.2">
      <c r="A154" s="3" t="s">
        <v>742</v>
      </c>
      <c r="B154" s="3">
        <v>4</v>
      </c>
      <c r="C154" s="3">
        <v>20</v>
      </c>
      <c r="D154" s="3">
        <f>ROUND(B154*C154,0)</f>
        <v>80</v>
      </c>
      <c r="E154" s="3"/>
      <c r="F154" s="3"/>
      <c r="G154" s="3"/>
      <c r="H154" s="3"/>
      <c r="I154" s="3"/>
      <c r="J154" s="3"/>
    </row>
    <row r="155" spans="1:11" hidden="1" x14ac:dyDescent="0.2">
      <c r="A155" s="3" t="s">
        <v>1290</v>
      </c>
      <c r="B155" s="3">
        <v>9</v>
      </c>
      <c r="C155" s="3">
        <v>20</v>
      </c>
      <c r="D155" s="3">
        <f>ROUND(B155*C155,0)</f>
        <v>180</v>
      </c>
      <c r="E155" s="3"/>
      <c r="F155" s="3"/>
      <c r="G155" s="3"/>
      <c r="H155" s="3"/>
      <c r="I155" s="3"/>
      <c r="J155" s="3"/>
    </row>
    <row r="156" spans="1:11" hidden="1" x14ac:dyDescent="0.2">
      <c r="A156" s="3" t="s">
        <v>695</v>
      </c>
      <c r="B156" s="3">
        <v>37</v>
      </c>
      <c r="C156" s="3">
        <v>20</v>
      </c>
      <c r="D156" s="3">
        <f>ROUND(B156*C156,0)</f>
        <v>740</v>
      </c>
      <c r="E156" s="3"/>
      <c r="F156" s="3"/>
      <c r="G156" s="3"/>
      <c r="H156" s="3"/>
      <c r="I156" s="3"/>
      <c r="J156" s="3"/>
    </row>
    <row r="157" spans="1:11" hidden="1" x14ac:dyDescent="0.2">
      <c r="A157" s="3" t="s">
        <v>743</v>
      </c>
      <c r="B157" s="3">
        <v>1</v>
      </c>
      <c r="C157" s="3">
        <v>20</v>
      </c>
      <c r="D157" s="3">
        <f>ROUND(B157*C157,0)</f>
        <v>20</v>
      </c>
      <c r="E157" s="3"/>
      <c r="F157" s="3"/>
      <c r="G157" s="3"/>
      <c r="H157" s="3"/>
      <c r="I157" s="3"/>
      <c r="J157" s="3"/>
    </row>
    <row r="158" spans="1:11" ht="15" hidden="1" x14ac:dyDescent="0.35">
      <c r="A158" s="3" t="s">
        <v>158</v>
      </c>
      <c r="B158" s="3">
        <f>+D85</f>
        <v>33757</v>
      </c>
      <c r="C158" s="116">
        <v>1.4E-3</v>
      </c>
      <c r="D158" s="30">
        <f>ROUND(B158*C158,0)-2</f>
        <v>45</v>
      </c>
      <c r="E158" s="3"/>
      <c r="F158" s="3"/>
      <c r="G158" s="3"/>
      <c r="H158" s="3"/>
      <c r="I158" s="3"/>
      <c r="J158" s="3"/>
    </row>
    <row r="159" spans="1:11" hidden="1" x14ac:dyDescent="0.2">
      <c r="A159" s="3" t="s">
        <v>1086</v>
      </c>
      <c r="B159" s="3"/>
      <c r="C159" s="3"/>
      <c r="D159" s="3">
        <f>SUM(D154:D158)</f>
        <v>1065</v>
      </c>
      <c r="E159" s="3"/>
      <c r="F159" s="3"/>
      <c r="G159" s="3"/>
      <c r="H159" s="3"/>
      <c r="I159" s="3"/>
      <c r="J159" s="3"/>
    </row>
    <row r="160" spans="1:11" ht="13.5" x14ac:dyDescent="0.25">
      <c r="A160" s="106"/>
      <c r="B160" s="3"/>
      <c r="C160" s="3"/>
      <c r="D160" s="3"/>
      <c r="E160" s="3"/>
      <c r="F160" s="3"/>
      <c r="G160" s="3"/>
      <c r="H160" s="3"/>
      <c r="I160" s="3"/>
      <c r="J160" s="3"/>
    </row>
    <row r="161" spans="1:10" ht="13.5" x14ac:dyDescent="0.25">
      <c r="A161" s="106" t="s">
        <v>2141</v>
      </c>
      <c r="B161" s="3"/>
      <c r="C161" s="3"/>
      <c r="D161" s="3"/>
      <c r="E161" s="3"/>
      <c r="F161" s="3"/>
      <c r="G161" s="3"/>
      <c r="H161" s="3">
        <v>34637</v>
      </c>
      <c r="I161" s="3">
        <v>0</v>
      </c>
      <c r="J161" s="3">
        <v>0</v>
      </c>
    </row>
    <row r="162" spans="1:10" x14ac:dyDescent="0.2">
      <c r="A162" s="65"/>
      <c r="B162" s="3"/>
      <c r="C162" s="3"/>
      <c r="D162" s="3"/>
      <c r="E162" s="3"/>
      <c r="F162" s="3"/>
      <c r="G162" s="3"/>
      <c r="H162" s="3"/>
      <c r="I162" s="3"/>
      <c r="J162" s="3"/>
    </row>
    <row r="163" spans="1:10" ht="13.5" x14ac:dyDescent="0.25">
      <c r="A163" s="106"/>
      <c r="B163" s="3"/>
      <c r="C163" s="3"/>
      <c r="D163" s="3"/>
      <c r="E163" s="3"/>
      <c r="F163" s="3"/>
      <c r="G163" s="3"/>
      <c r="H163" s="3"/>
      <c r="I163" s="3"/>
      <c r="J163" s="3"/>
    </row>
    <row r="164" spans="1:10" ht="13.5" x14ac:dyDescent="0.25">
      <c r="A164" s="56" t="s">
        <v>744</v>
      </c>
      <c r="B164" s="3"/>
      <c r="C164" s="3"/>
      <c r="D164" s="3"/>
      <c r="E164" s="3">
        <v>5179</v>
      </c>
      <c r="F164" s="3">
        <v>8599</v>
      </c>
      <c r="G164" s="3">
        <v>8599</v>
      </c>
      <c r="H164" s="3">
        <v>8599</v>
      </c>
      <c r="I164" s="3">
        <v>8599</v>
      </c>
      <c r="J164" s="3">
        <v>8599</v>
      </c>
    </row>
    <row r="165" spans="1:10" x14ac:dyDescent="0.2">
      <c r="A165" s="3" t="s">
        <v>745</v>
      </c>
      <c r="B165" s="3"/>
      <c r="C165" s="3"/>
      <c r="D165" s="3">
        <v>4038</v>
      </c>
      <c r="E165" s="3"/>
      <c r="F165" s="3"/>
      <c r="G165" s="3"/>
      <c r="H165" s="3"/>
      <c r="I165" s="3"/>
      <c r="J165" s="3"/>
    </row>
    <row r="166" spans="1:10" x14ac:dyDescent="0.2">
      <c r="A166" s="3" t="s">
        <v>1305</v>
      </c>
      <c r="B166" s="3"/>
      <c r="C166" s="3"/>
      <c r="D166" s="3">
        <v>2161</v>
      </c>
      <c r="E166" s="3"/>
      <c r="F166" s="3"/>
      <c r="G166" s="3"/>
      <c r="H166" s="3"/>
      <c r="I166" s="3"/>
      <c r="J166" s="3"/>
    </row>
    <row r="167" spans="1:10" ht="15" x14ac:dyDescent="0.35">
      <c r="A167" s="3" t="s">
        <v>1306</v>
      </c>
      <c r="B167" s="3"/>
      <c r="C167" s="3"/>
      <c r="D167" s="30">
        <v>2400</v>
      </c>
      <c r="E167" s="3"/>
      <c r="F167" s="3"/>
      <c r="G167" s="3"/>
      <c r="H167" s="3"/>
      <c r="I167" s="3"/>
      <c r="J167" s="3"/>
    </row>
    <row r="168" spans="1:10" x14ac:dyDescent="0.2">
      <c r="A168" s="3" t="s">
        <v>1086</v>
      </c>
      <c r="B168" s="3"/>
      <c r="C168" s="3"/>
      <c r="D168" s="3">
        <f>SUM(D165:D167)</f>
        <v>8599</v>
      </c>
      <c r="F168" s="3"/>
      <c r="G168" s="3"/>
      <c r="H168" s="3"/>
      <c r="I168" s="3"/>
      <c r="J168" s="3"/>
    </row>
    <row r="169" spans="1:10" x14ac:dyDescent="0.2">
      <c r="A169" s="3"/>
      <c r="B169" s="3"/>
      <c r="C169" s="3"/>
      <c r="D169" s="3"/>
      <c r="E169" s="3"/>
      <c r="F169" s="3"/>
      <c r="G169" s="3"/>
      <c r="H169" s="3"/>
      <c r="I169" s="3"/>
      <c r="J169" s="3"/>
    </row>
    <row r="170" spans="1:10" ht="13.5" x14ac:dyDescent="0.25">
      <c r="A170" s="56" t="s">
        <v>1307</v>
      </c>
      <c r="B170" s="3"/>
      <c r="C170" s="3"/>
      <c r="D170" s="3"/>
      <c r="E170" s="3">
        <v>14990</v>
      </c>
      <c r="F170" s="3">
        <v>25629</v>
      </c>
      <c r="G170" s="3">
        <v>28129</v>
      </c>
      <c r="H170" s="3">
        <v>10232</v>
      </c>
      <c r="I170" s="3">
        <v>10232</v>
      </c>
      <c r="J170" s="3">
        <v>10232</v>
      </c>
    </row>
    <row r="171" spans="1:10" x14ac:dyDescent="0.2">
      <c r="A171" s="3" t="s">
        <v>1308</v>
      </c>
      <c r="B171" s="3" t="s">
        <v>349</v>
      </c>
      <c r="C171" s="3"/>
      <c r="D171" s="3">
        <v>1600</v>
      </c>
      <c r="E171" s="3"/>
      <c r="F171" s="3"/>
      <c r="G171" s="3"/>
      <c r="H171" s="3"/>
      <c r="I171" s="3"/>
      <c r="J171" s="3"/>
    </row>
    <row r="172" spans="1:10" x14ac:dyDescent="0.2">
      <c r="A172" s="3" t="s">
        <v>782</v>
      </c>
      <c r="B172" s="3"/>
      <c r="C172" s="3"/>
      <c r="D172" s="3">
        <v>2100</v>
      </c>
      <c r="E172" s="3"/>
      <c r="F172" s="3"/>
      <c r="G172" s="3"/>
      <c r="H172" s="3"/>
      <c r="I172" s="3"/>
      <c r="J172" s="3"/>
    </row>
    <row r="173" spans="1:10" x14ac:dyDescent="0.2">
      <c r="A173" s="3" t="s">
        <v>783</v>
      </c>
      <c r="B173" s="3"/>
      <c r="C173" s="3"/>
      <c r="D173" s="3">
        <v>1500</v>
      </c>
      <c r="E173" s="3"/>
      <c r="F173" s="3"/>
      <c r="G173" s="3"/>
      <c r="H173" s="3"/>
      <c r="I173" s="3"/>
      <c r="J173" s="3"/>
    </row>
    <row r="174" spans="1:10" x14ac:dyDescent="0.2">
      <c r="A174" s="3" t="s">
        <v>2010</v>
      </c>
      <c r="B174" s="3"/>
      <c r="C174" s="3"/>
      <c r="D174" s="3">
        <v>0</v>
      </c>
      <c r="E174" s="3"/>
      <c r="F174" s="3"/>
      <c r="G174" s="3"/>
      <c r="H174" s="3"/>
      <c r="I174" s="3"/>
      <c r="J174" s="3"/>
    </row>
    <row r="175" spans="1:10" ht="15" x14ac:dyDescent="0.35">
      <c r="A175" s="3" t="s">
        <v>160</v>
      </c>
      <c r="B175" s="3"/>
      <c r="C175" s="3"/>
      <c r="D175" s="30">
        <v>5032</v>
      </c>
      <c r="E175" s="3"/>
      <c r="F175" s="3"/>
      <c r="G175" s="3"/>
      <c r="H175" s="3"/>
      <c r="I175" s="3"/>
      <c r="J175" s="3"/>
    </row>
    <row r="176" spans="1:10" x14ac:dyDescent="0.2">
      <c r="A176" s="3" t="s">
        <v>1086</v>
      </c>
      <c r="B176" s="3"/>
      <c r="C176" s="3"/>
      <c r="D176" s="3">
        <f>SUM(D171:D175)</f>
        <v>10232</v>
      </c>
      <c r="F176" s="3"/>
      <c r="G176" s="3"/>
      <c r="H176" s="3"/>
      <c r="I176" s="3"/>
      <c r="J176" s="3"/>
    </row>
    <row r="177" spans="1:10" x14ac:dyDescent="0.2">
      <c r="A177" s="3"/>
      <c r="B177" s="3"/>
      <c r="C177" s="3"/>
      <c r="D177" s="3"/>
      <c r="E177" s="3"/>
      <c r="F177" s="3"/>
      <c r="G177" s="3"/>
      <c r="H177" s="3"/>
      <c r="I177" s="3"/>
      <c r="J177" s="3"/>
    </row>
    <row r="178" spans="1:10" ht="13.5" x14ac:dyDescent="0.25">
      <c r="A178" s="56" t="s">
        <v>439</v>
      </c>
      <c r="B178" s="3"/>
      <c r="C178" s="3"/>
      <c r="D178" s="3"/>
      <c r="E178" s="3">
        <v>61381</v>
      </c>
      <c r="F178" s="3">
        <v>49150</v>
      </c>
      <c r="G178" s="3">
        <v>48750</v>
      </c>
      <c r="H178" s="3">
        <v>53450</v>
      </c>
      <c r="I178" s="3">
        <v>53450</v>
      </c>
      <c r="J178" s="3">
        <v>53450</v>
      </c>
    </row>
    <row r="179" spans="1:10" x14ac:dyDescent="0.2">
      <c r="A179" s="3" t="s">
        <v>440</v>
      </c>
      <c r="B179" s="3">
        <v>2</v>
      </c>
      <c r="C179" s="3">
        <v>900</v>
      </c>
      <c r="D179" s="3">
        <f>ROUND(B179*C179,0)</f>
        <v>1800</v>
      </c>
      <c r="E179" s="3"/>
      <c r="F179" s="3"/>
      <c r="G179" s="3"/>
      <c r="H179" s="3"/>
      <c r="I179" s="3"/>
      <c r="J179" s="3"/>
    </row>
    <row r="180" spans="1:10" x14ac:dyDescent="0.2">
      <c r="A180" s="3" t="s">
        <v>1226</v>
      </c>
      <c r="B180" s="3" t="s">
        <v>349</v>
      </c>
      <c r="C180" s="3" t="s">
        <v>349</v>
      </c>
      <c r="D180" s="3" t="s">
        <v>349</v>
      </c>
      <c r="E180" s="3"/>
      <c r="F180" s="3"/>
      <c r="G180" s="3"/>
      <c r="H180" s="3"/>
      <c r="I180" s="3"/>
      <c r="J180" s="3"/>
    </row>
    <row r="181" spans="1:10" x14ac:dyDescent="0.2">
      <c r="A181" s="3" t="s">
        <v>1069</v>
      </c>
      <c r="B181" s="3">
        <v>39</v>
      </c>
      <c r="C181" s="3">
        <v>900</v>
      </c>
      <c r="D181" s="3">
        <f t="shared" ref="D181:D189" si="6">ROUND(B181*C181,0)</f>
        <v>35100</v>
      </c>
      <c r="E181" s="3"/>
      <c r="F181" s="3"/>
      <c r="G181" s="3"/>
      <c r="H181" s="3"/>
      <c r="I181" s="3"/>
      <c r="J181" s="3"/>
    </row>
    <row r="182" spans="1:10" x14ac:dyDescent="0.2">
      <c r="A182" s="3" t="s">
        <v>1070</v>
      </c>
      <c r="B182" s="3">
        <v>13</v>
      </c>
      <c r="C182" s="3">
        <v>100</v>
      </c>
      <c r="D182" s="3">
        <f t="shared" si="6"/>
        <v>1300</v>
      </c>
      <c r="E182" s="3"/>
      <c r="F182" s="3"/>
      <c r="G182" s="3"/>
      <c r="H182" s="3"/>
      <c r="I182" s="3"/>
      <c r="J182" s="3"/>
    </row>
    <row r="183" spans="1:10" x14ac:dyDescent="0.2">
      <c r="A183" s="3" t="s">
        <v>1071</v>
      </c>
      <c r="B183" s="3">
        <v>7</v>
      </c>
      <c r="C183" s="3">
        <v>100</v>
      </c>
      <c r="D183" s="3">
        <f t="shared" si="6"/>
        <v>700</v>
      </c>
      <c r="E183" s="3"/>
      <c r="F183" s="3"/>
      <c r="G183" s="3"/>
      <c r="H183" s="3"/>
      <c r="I183" s="3"/>
      <c r="J183" s="3"/>
    </row>
    <row r="184" spans="1:10" x14ac:dyDescent="0.2">
      <c r="A184" s="3" t="s">
        <v>1072</v>
      </c>
      <c r="B184" s="3">
        <v>1</v>
      </c>
      <c r="C184" s="3">
        <v>100</v>
      </c>
      <c r="D184" s="3">
        <f t="shared" si="6"/>
        <v>100</v>
      </c>
      <c r="E184" s="3"/>
      <c r="F184" s="3"/>
      <c r="G184" s="3"/>
      <c r="H184" s="3"/>
      <c r="I184" s="3"/>
      <c r="J184" s="3"/>
    </row>
    <row r="185" spans="1:10" x14ac:dyDescent="0.2">
      <c r="A185" s="3" t="s">
        <v>441</v>
      </c>
      <c r="B185" s="3">
        <v>6</v>
      </c>
      <c r="C185" s="3">
        <v>900</v>
      </c>
      <c r="D185" s="3">
        <v>4500</v>
      </c>
      <c r="E185" s="3"/>
      <c r="F185" s="3"/>
      <c r="G185" s="3"/>
      <c r="H185" s="3"/>
      <c r="I185" s="3"/>
      <c r="J185" s="3"/>
    </row>
    <row r="186" spans="1:10" x14ac:dyDescent="0.2">
      <c r="A186" s="3" t="s">
        <v>1262</v>
      </c>
      <c r="B186" s="3">
        <v>3</v>
      </c>
      <c r="C186" s="3">
        <v>400</v>
      </c>
      <c r="D186" s="3">
        <f>ROUND(B186*C186,0)</f>
        <v>1200</v>
      </c>
      <c r="E186" s="3"/>
      <c r="F186" s="3"/>
      <c r="G186" s="3"/>
      <c r="H186" s="3"/>
      <c r="I186" s="3"/>
      <c r="J186" s="3"/>
    </row>
    <row r="187" spans="1:10" x14ac:dyDescent="0.2">
      <c r="A187" s="3" t="s">
        <v>1655</v>
      </c>
      <c r="B187" s="3">
        <v>1</v>
      </c>
      <c r="C187" s="3">
        <v>350</v>
      </c>
      <c r="D187" s="3">
        <f t="shared" si="6"/>
        <v>350</v>
      </c>
      <c r="E187" s="3"/>
      <c r="F187" s="3"/>
      <c r="G187" s="3"/>
      <c r="H187" s="3"/>
      <c r="I187" s="3"/>
      <c r="J187" s="3"/>
    </row>
    <row r="188" spans="1:10" x14ac:dyDescent="0.2">
      <c r="A188" s="3" t="s">
        <v>1231</v>
      </c>
      <c r="B188" s="3">
        <v>3</v>
      </c>
      <c r="C188" s="3">
        <v>200</v>
      </c>
      <c r="D188" s="3">
        <f t="shared" si="6"/>
        <v>600</v>
      </c>
      <c r="E188" s="3"/>
      <c r="F188" s="3"/>
      <c r="G188" s="3"/>
      <c r="H188" s="3"/>
      <c r="I188" s="3"/>
      <c r="J188" s="3"/>
    </row>
    <row r="189" spans="1:10" ht="15" x14ac:dyDescent="0.35">
      <c r="A189" s="3" t="s">
        <v>700</v>
      </c>
      <c r="B189" s="3">
        <v>39</v>
      </c>
      <c r="C189" s="3">
        <v>200</v>
      </c>
      <c r="D189" s="30">
        <f t="shared" si="6"/>
        <v>7800</v>
      </c>
      <c r="E189" s="3"/>
      <c r="F189" s="3"/>
      <c r="G189" s="3"/>
      <c r="H189" s="3"/>
      <c r="I189" s="3"/>
      <c r="J189" s="3"/>
    </row>
    <row r="190" spans="1:10" x14ac:dyDescent="0.2">
      <c r="A190" s="3" t="s">
        <v>1086</v>
      </c>
      <c r="B190" s="3"/>
      <c r="C190" s="3"/>
      <c r="D190" s="3">
        <f>SUM(D179:D189)</f>
        <v>53450</v>
      </c>
      <c r="F190" s="3"/>
      <c r="G190" s="3"/>
      <c r="H190" s="3"/>
      <c r="I190" s="3"/>
      <c r="J190" s="3"/>
    </row>
    <row r="191" spans="1:10" x14ac:dyDescent="0.2">
      <c r="C191" s="3"/>
      <c r="D191" s="3"/>
      <c r="E191" s="3"/>
      <c r="F191" s="3"/>
      <c r="G191" s="3"/>
      <c r="H191" s="3"/>
      <c r="I191" s="3"/>
      <c r="J191" s="3"/>
    </row>
    <row r="192" spans="1:10" ht="13.5" x14ac:dyDescent="0.25">
      <c r="A192" s="56" t="s">
        <v>701</v>
      </c>
      <c r="C192" s="3"/>
      <c r="D192" s="3"/>
      <c r="E192" s="3">
        <v>3443</v>
      </c>
      <c r="F192" s="3">
        <v>2019</v>
      </c>
      <c r="G192" s="3">
        <v>2019</v>
      </c>
      <c r="H192" s="3">
        <v>2019</v>
      </c>
      <c r="I192" s="3">
        <v>2019</v>
      </c>
      <c r="J192" s="3">
        <v>2019</v>
      </c>
    </row>
    <row r="193" spans="1:10" x14ac:dyDescent="0.2">
      <c r="A193" s="55" t="s">
        <v>702</v>
      </c>
      <c r="C193" s="3"/>
      <c r="D193" s="3">
        <v>2019</v>
      </c>
      <c r="F193" s="3"/>
      <c r="G193" s="3"/>
      <c r="H193" s="3"/>
      <c r="I193" s="3"/>
      <c r="J193" s="3"/>
    </row>
    <row r="194" spans="1:10" x14ac:dyDescent="0.2">
      <c r="C194" s="3"/>
      <c r="D194" s="3"/>
      <c r="E194" s="3"/>
      <c r="F194" s="3"/>
      <c r="G194" s="3"/>
      <c r="H194" s="3"/>
      <c r="I194" s="3"/>
      <c r="J194" s="3"/>
    </row>
    <row r="195" spans="1:10" ht="13.5" x14ac:dyDescent="0.25">
      <c r="A195" s="56" t="s">
        <v>618</v>
      </c>
      <c r="C195" s="3"/>
      <c r="D195" s="3"/>
      <c r="E195" s="3">
        <v>915</v>
      </c>
      <c r="F195" s="3">
        <v>1300</v>
      </c>
      <c r="G195" s="3">
        <v>1000</v>
      </c>
      <c r="H195" s="3">
        <v>1000</v>
      </c>
      <c r="I195" s="3">
        <v>1000</v>
      </c>
      <c r="J195" s="3">
        <v>1000</v>
      </c>
    </row>
    <row r="196" spans="1:10" x14ac:dyDescent="0.2">
      <c r="A196" s="55" t="s">
        <v>283</v>
      </c>
      <c r="B196" s="3" t="s">
        <v>349</v>
      </c>
      <c r="C196" s="3"/>
      <c r="D196" s="3">
        <v>1000</v>
      </c>
      <c r="F196" s="3"/>
      <c r="G196" s="3"/>
      <c r="H196" s="3"/>
      <c r="I196" s="3"/>
      <c r="J196" s="3"/>
    </row>
    <row r="197" spans="1:10" x14ac:dyDescent="0.2">
      <c r="C197" s="3"/>
      <c r="D197" s="3"/>
      <c r="E197" s="3"/>
      <c r="F197" s="3"/>
      <c r="G197" s="3"/>
      <c r="H197" s="3"/>
      <c r="I197" s="3"/>
      <c r="J197" s="3"/>
    </row>
    <row r="198" spans="1:10" ht="13.5" x14ac:dyDescent="0.25">
      <c r="A198" s="56" t="s">
        <v>1313</v>
      </c>
      <c r="C198" s="3"/>
      <c r="D198" s="3"/>
      <c r="E198" s="3">
        <v>21748</v>
      </c>
      <c r="F198" s="3">
        <v>23300</v>
      </c>
      <c r="G198" s="3">
        <v>23850</v>
      </c>
      <c r="H198" s="3">
        <v>23850</v>
      </c>
      <c r="I198" s="3">
        <v>23850</v>
      </c>
      <c r="J198" s="3">
        <v>23850</v>
      </c>
    </row>
    <row r="199" spans="1:10" x14ac:dyDescent="0.2">
      <c r="A199" s="55" t="s">
        <v>1618</v>
      </c>
      <c r="C199" s="3"/>
      <c r="D199" s="3">
        <v>2250</v>
      </c>
      <c r="E199" s="3"/>
      <c r="F199" s="3"/>
      <c r="G199" s="3"/>
      <c r="H199" s="3"/>
      <c r="I199" s="3"/>
      <c r="J199" s="3"/>
    </row>
    <row r="200" spans="1:10" ht="15" x14ac:dyDescent="0.35">
      <c r="A200" s="55" t="s">
        <v>751</v>
      </c>
      <c r="C200" s="3"/>
      <c r="D200" s="30">
        <v>21600</v>
      </c>
      <c r="E200" s="3"/>
      <c r="F200" s="3"/>
      <c r="G200" s="3"/>
      <c r="H200" s="3"/>
      <c r="I200" s="3"/>
      <c r="J200" s="3"/>
    </row>
    <row r="201" spans="1:10" x14ac:dyDescent="0.2">
      <c r="A201" s="55" t="s">
        <v>1086</v>
      </c>
      <c r="C201" s="3"/>
      <c r="D201" s="3">
        <f>SUM(D199:D200)</f>
        <v>23850</v>
      </c>
      <c r="E201" s="3"/>
      <c r="F201" s="3"/>
      <c r="G201" s="3"/>
      <c r="H201" s="3"/>
      <c r="I201" s="3"/>
      <c r="J201" s="3"/>
    </row>
    <row r="202" spans="1:10" x14ac:dyDescent="0.2">
      <c r="C202" s="3"/>
      <c r="D202" s="3"/>
      <c r="E202" s="3"/>
      <c r="F202" s="3"/>
      <c r="G202" s="3"/>
      <c r="H202" s="3"/>
      <c r="I202" s="3"/>
      <c r="J202" s="3"/>
    </row>
    <row r="203" spans="1:10" ht="13.5" x14ac:dyDescent="0.25">
      <c r="A203" s="56" t="s">
        <v>336</v>
      </c>
      <c r="C203" s="3"/>
      <c r="D203" s="3"/>
      <c r="E203" s="3">
        <v>4971</v>
      </c>
      <c r="F203" s="3">
        <v>5000</v>
      </c>
      <c r="G203" s="3">
        <v>5250</v>
      </c>
      <c r="H203" s="3">
        <v>5250</v>
      </c>
      <c r="I203" s="3">
        <v>5250</v>
      </c>
      <c r="J203" s="3">
        <v>5250</v>
      </c>
    </row>
    <row r="204" spans="1:10" x14ac:dyDescent="0.2">
      <c r="A204" s="55" t="s">
        <v>751</v>
      </c>
      <c r="C204" s="3"/>
      <c r="D204" s="3">
        <v>5250</v>
      </c>
      <c r="F204" s="3"/>
      <c r="G204" s="3"/>
      <c r="H204" s="3"/>
      <c r="I204" s="3"/>
      <c r="J204" s="3"/>
    </row>
    <row r="205" spans="1:10" x14ac:dyDescent="0.2">
      <c r="D205" s="3"/>
      <c r="E205" s="3"/>
      <c r="F205" s="3"/>
      <c r="G205" s="3"/>
      <c r="H205" s="3"/>
      <c r="I205" s="3"/>
      <c r="J205" s="3"/>
    </row>
    <row r="206" spans="1:10" ht="13.5" x14ac:dyDescent="0.25">
      <c r="A206" s="56" t="s">
        <v>1314</v>
      </c>
      <c r="D206" s="3"/>
      <c r="E206" s="3">
        <v>1452</v>
      </c>
      <c r="F206" s="3">
        <v>1600</v>
      </c>
      <c r="G206" s="3">
        <v>1500</v>
      </c>
      <c r="H206" s="3">
        <v>1500</v>
      </c>
      <c r="I206" s="3">
        <v>1500</v>
      </c>
      <c r="J206" s="3">
        <v>1500</v>
      </c>
    </row>
    <row r="207" spans="1:10" x14ac:dyDescent="0.2">
      <c r="A207" s="55" t="s">
        <v>751</v>
      </c>
      <c r="C207" s="3"/>
      <c r="D207" s="3">
        <v>1500</v>
      </c>
      <c r="F207" s="3"/>
      <c r="G207" s="3"/>
      <c r="H207" s="3"/>
      <c r="I207" s="3"/>
      <c r="J207" s="3"/>
    </row>
    <row r="208" spans="1:10" x14ac:dyDescent="0.2">
      <c r="C208" s="3"/>
      <c r="D208" s="3"/>
      <c r="E208" s="3"/>
      <c r="F208" s="3"/>
      <c r="G208" s="3"/>
      <c r="H208" s="3"/>
      <c r="I208" s="3"/>
      <c r="J208" s="3"/>
    </row>
    <row r="209" spans="1:10" ht="13.5" x14ac:dyDescent="0.25">
      <c r="A209" s="56" t="s">
        <v>1315</v>
      </c>
      <c r="C209" s="3"/>
      <c r="D209" s="3"/>
      <c r="E209" s="3">
        <v>264</v>
      </c>
      <c r="F209" s="3">
        <v>271</v>
      </c>
      <c r="G209" s="3">
        <v>304</v>
      </c>
      <c r="H209" s="3">
        <v>304</v>
      </c>
      <c r="I209" s="3">
        <v>304</v>
      </c>
      <c r="J209" s="3">
        <v>304</v>
      </c>
    </row>
    <row r="210" spans="1:10" x14ac:dyDescent="0.2">
      <c r="A210" s="55" t="s">
        <v>751</v>
      </c>
      <c r="C210" s="3"/>
      <c r="D210" s="3">
        <v>304</v>
      </c>
      <c r="F210" s="3"/>
      <c r="G210" s="3"/>
      <c r="H210" s="3"/>
      <c r="I210" s="3"/>
      <c r="J210" s="3"/>
    </row>
    <row r="211" spans="1:10" x14ac:dyDescent="0.2">
      <c r="C211" s="3"/>
      <c r="D211" s="3"/>
      <c r="E211" s="3"/>
      <c r="F211" s="3"/>
      <c r="G211" s="3"/>
      <c r="H211" s="3"/>
      <c r="I211" s="3"/>
      <c r="J211" s="3"/>
    </row>
    <row r="212" spans="1:10" x14ac:dyDescent="0.2">
      <c r="C212" s="3"/>
      <c r="D212" s="3"/>
      <c r="E212" s="3"/>
      <c r="F212" s="3"/>
      <c r="G212" s="3"/>
      <c r="H212" s="3"/>
      <c r="I212" s="3"/>
      <c r="J212" s="3"/>
    </row>
    <row r="213" spans="1:10" ht="13.5" x14ac:dyDescent="0.25">
      <c r="A213" s="56" t="s">
        <v>848</v>
      </c>
      <c r="C213" s="3"/>
      <c r="D213" s="3"/>
      <c r="E213" s="3">
        <v>64306</v>
      </c>
      <c r="F213" s="3">
        <v>68543</v>
      </c>
      <c r="G213" s="3">
        <v>65250</v>
      </c>
      <c r="H213" s="3">
        <v>65250</v>
      </c>
      <c r="I213" s="3">
        <v>65250</v>
      </c>
      <c r="J213" s="3">
        <v>65250</v>
      </c>
    </row>
    <row r="214" spans="1:10" x14ac:dyDescent="0.2">
      <c r="A214" s="55" t="s">
        <v>1120</v>
      </c>
      <c r="B214" s="3">
        <v>29000</v>
      </c>
      <c r="C214" s="58">
        <v>2.25</v>
      </c>
      <c r="D214" s="3">
        <f>ROUND(B214*C214,0)</f>
        <v>65250</v>
      </c>
      <c r="F214" s="3"/>
      <c r="G214" s="3"/>
      <c r="H214" s="3"/>
      <c r="I214" s="3"/>
      <c r="J214" s="3"/>
    </row>
    <row r="215" spans="1:10" x14ac:dyDescent="0.2">
      <c r="B215" s="3"/>
      <c r="C215" s="3"/>
      <c r="D215" s="3"/>
      <c r="E215" s="3"/>
      <c r="F215" s="3"/>
      <c r="G215" s="3"/>
      <c r="H215" s="3"/>
      <c r="I215" s="3"/>
      <c r="J215" s="3"/>
    </row>
    <row r="216" spans="1:10" ht="13.5" x14ac:dyDescent="0.25">
      <c r="A216" s="56" t="s">
        <v>849</v>
      </c>
      <c r="C216" s="66" t="s">
        <v>349</v>
      </c>
      <c r="D216" s="66" t="s">
        <v>349</v>
      </c>
      <c r="E216" s="3">
        <v>7493</v>
      </c>
      <c r="F216" s="3">
        <v>7200</v>
      </c>
      <c r="G216" s="3">
        <v>10100</v>
      </c>
      <c r="H216" s="3">
        <v>10100</v>
      </c>
      <c r="I216" s="3">
        <v>10100</v>
      </c>
      <c r="J216" s="3">
        <v>10100</v>
      </c>
    </row>
    <row r="217" spans="1:10" x14ac:dyDescent="0.2">
      <c r="A217" s="55" t="s">
        <v>309</v>
      </c>
      <c r="B217" s="3" t="s">
        <v>349</v>
      </c>
      <c r="C217" s="3"/>
      <c r="D217" s="3">
        <v>1200</v>
      </c>
      <c r="E217" s="3"/>
      <c r="F217" s="3"/>
      <c r="G217" s="3"/>
      <c r="H217" s="3"/>
      <c r="I217" s="3"/>
      <c r="J217" s="3"/>
    </row>
    <row r="218" spans="1:10" x14ac:dyDescent="0.2">
      <c r="A218" s="55" t="s">
        <v>426</v>
      </c>
      <c r="C218" s="3"/>
      <c r="D218" s="3">
        <v>250</v>
      </c>
      <c r="E218" s="3"/>
      <c r="F218" s="3"/>
      <c r="G218" s="3"/>
      <c r="H218" s="3"/>
      <c r="I218" s="3"/>
      <c r="J218" s="3"/>
    </row>
    <row r="219" spans="1:10" x14ac:dyDescent="0.2">
      <c r="A219" s="55" t="s">
        <v>688</v>
      </c>
      <c r="C219" s="3"/>
      <c r="D219" s="3">
        <v>100</v>
      </c>
      <c r="E219" s="3"/>
      <c r="F219" s="3"/>
      <c r="G219" s="3"/>
      <c r="H219" s="3"/>
      <c r="I219" s="3"/>
      <c r="J219" s="3"/>
    </row>
    <row r="220" spans="1:10" x14ac:dyDescent="0.2">
      <c r="A220" s="55" t="s">
        <v>29</v>
      </c>
      <c r="C220" s="3"/>
      <c r="D220" s="3">
        <v>3300</v>
      </c>
      <c r="E220" s="3"/>
      <c r="F220" s="3"/>
      <c r="G220" s="3"/>
      <c r="H220" s="3"/>
      <c r="I220" s="3"/>
      <c r="J220" s="3"/>
    </row>
    <row r="221" spans="1:10" x14ac:dyDescent="0.2">
      <c r="A221" s="55" t="s">
        <v>1392</v>
      </c>
      <c r="C221" s="3"/>
      <c r="D221" s="3">
        <v>450</v>
      </c>
      <c r="E221" s="3"/>
      <c r="F221" s="3"/>
      <c r="G221" s="3"/>
      <c r="H221" s="3"/>
      <c r="I221" s="3"/>
      <c r="J221" s="3"/>
    </row>
    <row r="222" spans="1:10" ht="15" x14ac:dyDescent="0.35">
      <c r="A222" s="55" t="s">
        <v>1330</v>
      </c>
      <c r="C222" s="30"/>
      <c r="D222" s="3">
        <v>100</v>
      </c>
      <c r="E222" s="3"/>
      <c r="F222" s="3"/>
      <c r="G222" s="3"/>
      <c r="H222" s="3"/>
      <c r="I222" s="3"/>
      <c r="J222" s="3"/>
    </row>
    <row r="223" spans="1:10" ht="15" x14ac:dyDescent="0.35">
      <c r="A223" s="55" t="s">
        <v>2011</v>
      </c>
      <c r="C223" s="30"/>
      <c r="D223" s="3">
        <v>2300</v>
      </c>
      <c r="E223" s="3"/>
      <c r="F223" s="3"/>
      <c r="G223" s="3"/>
      <c r="H223" s="3"/>
      <c r="I223" s="3"/>
      <c r="J223" s="3"/>
    </row>
    <row r="224" spans="1:10" ht="15" x14ac:dyDescent="0.35">
      <c r="A224" s="55" t="s">
        <v>2012</v>
      </c>
      <c r="C224" s="30"/>
      <c r="D224" s="3">
        <v>300</v>
      </c>
      <c r="E224" s="3"/>
      <c r="F224" s="3"/>
      <c r="G224" s="3"/>
      <c r="H224" s="3"/>
      <c r="I224" s="3"/>
      <c r="J224" s="3"/>
    </row>
    <row r="225" spans="1:10" ht="15" x14ac:dyDescent="0.35">
      <c r="A225" s="55" t="s">
        <v>1811</v>
      </c>
      <c r="C225" s="30"/>
      <c r="D225" s="3">
        <v>1500</v>
      </c>
      <c r="E225" s="3"/>
      <c r="F225" s="3"/>
      <c r="G225" s="3"/>
      <c r="H225" s="3"/>
      <c r="I225" s="3"/>
      <c r="J225" s="3"/>
    </row>
    <row r="226" spans="1:10" ht="27.75" x14ac:dyDescent="0.35">
      <c r="A226" s="120" t="s">
        <v>1748</v>
      </c>
      <c r="C226" s="30"/>
      <c r="D226" s="30">
        <v>600</v>
      </c>
      <c r="E226" s="3"/>
      <c r="F226" s="3"/>
      <c r="G226" s="3"/>
      <c r="H226" s="3"/>
      <c r="I226" s="3"/>
      <c r="J226" s="3"/>
    </row>
    <row r="227" spans="1:10" x14ac:dyDescent="0.2">
      <c r="A227" s="55" t="s">
        <v>1086</v>
      </c>
      <c r="C227" s="3"/>
      <c r="D227" s="3">
        <f>SUM(D217:D226)</f>
        <v>10100</v>
      </c>
      <c r="F227" s="3"/>
      <c r="G227" s="3"/>
      <c r="H227" s="3"/>
      <c r="I227" s="3"/>
      <c r="J227" s="3"/>
    </row>
    <row r="228" spans="1:10" x14ac:dyDescent="0.2">
      <c r="C228" s="3"/>
      <c r="D228" s="3"/>
      <c r="F228" s="3"/>
      <c r="G228" s="3"/>
      <c r="H228" s="3"/>
      <c r="I228" s="3"/>
      <c r="J228" s="3"/>
    </row>
    <row r="229" spans="1:10" x14ac:dyDescent="0.2">
      <c r="C229" s="3"/>
      <c r="D229" s="3"/>
      <c r="F229" s="3"/>
      <c r="G229" s="3"/>
      <c r="H229" s="3"/>
      <c r="I229" s="3"/>
      <c r="J229" s="3"/>
    </row>
    <row r="230" spans="1:10" ht="13.5" x14ac:dyDescent="0.25">
      <c r="A230" s="105" t="s">
        <v>723</v>
      </c>
      <c r="C230" s="66"/>
      <c r="D230" s="66" t="s">
        <v>349</v>
      </c>
      <c r="E230" s="3">
        <v>56876</v>
      </c>
      <c r="F230" s="3">
        <v>56946</v>
      </c>
      <c r="G230" s="3">
        <v>60932</v>
      </c>
      <c r="H230" s="3">
        <v>60932</v>
      </c>
      <c r="I230" s="3">
        <v>60932</v>
      </c>
      <c r="J230" s="3">
        <v>60932</v>
      </c>
    </row>
    <row r="231" spans="1:10" x14ac:dyDescent="0.2">
      <c r="A231" s="55" t="s">
        <v>915</v>
      </c>
      <c r="C231" s="3"/>
      <c r="D231" s="3">
        <v>60932</v>
      </c>
      <c r="F231" s="3"/>
      <c r="G231" s="3"/>
      <c r="H231" s="3"/>
      <c r="I231" s="3"/>
      <c r="J231" s="3"/>
    </row>
    <row r="232" spans="1:10" x14ac:dyDescent="0.2">
      <c r="C232" s="3"/>
      <c r="D232" s="3"/>
      <c r="E232" s="3"/>
      <c r="F232" s="3"/>
      <c r="G232" s="3"/>
      <c r="H232" s="3"/>
      <c r="I232" s="3"/>
      <c r="J232" s="3"/>
    </row>
    <row r="233" spans="1:10" ht="13.5" x14ac:dyDescent="0.25">
      <c r="A233" s="56" t="s">
        <v>724</v>
      </c>
      <c r="C233" s="66"/>
      <c r="D233" s="66" t="s">
        <v>349</v>
      </c>
      <c r="E233" s="3">
        <v>3911</v>
      </c>
      <c r="F233" s="3">
        <v>10350</v>
      </c>
      <c r="G233" s="3">
        <v>10350</v>
      </c>
      <c r="H233" s="3">
        <v>10350</v>
      </c>
      <c r="I233" s="3">
        <v>10350</v>
      </c>
      <c r="J233" s="3">
        <v>10350</v>
      </c>
    </row>
    <row r="234" spans="1:10" x14ac:dyDescent="0.2">
      <c r="A234" s="55" t="s">
        <v>725</v>
      </c>
      <c r="C234" s="3"/>
      <c r="D234" s="3">
        <v>10000</v>
      </c>
      <c r="E234" s="3"/>
      <c r="F234" s="3"/>
      <c r="G234" s="3"/>
      <c r="H234" s="3"/>
      <c r="I234" s="3"/>
      <c r="J234" s="3"/>
    </row>
    <row r="235" spans="1:10" ht="15" x14ac:dyDescent="0.35">
      <c r="A235" s="55" t="s">
        <v>482</v>
      </c>
      <c r="C235" s="30"/>
      <c r="D235" s="30">
        <v>350</v>
      </c>
      <c r="E235" s="3"/>
      <c r="F235" s="3"/>
      <c r="G235" s="3"/>
      <c r="H235" s="3"/>
      <c r="I235" s="3"/>
      <c r="J235" s="3"/>
    </row>
    <row r="236" spans="1:10" x14ac:dyDescent="0.2">
      <c r="A236" s="55" t="s">
        <v>1086</v>
      </c>
      <c r="C236" s="3"/>
      <c r="D236" s="3">
        <f>SUM(D234:D235)</f>
        <v>10350</v>
      </c>
      <c r="F236" s="3"/>
      <c r="G236" s="3"/>
      <c r="H236" s="3"/>
      <c r="I236" s="3"/>
      <c r="J236" s="3"/>
    </row>
    <row r="237" spans="1:10" x14ac:dyDescent="0.2">
      <c r="C237" s="3"/>
      <c r="D237" s="3"/>
      <c r="E237" s="3"/>
      <c r="F237" s="3"/>
      <c r="G237" s="3"/>
      <c r="H237" s="3"/>
      <c r="I237" s="3"/>
      <c r="J237" s="3"/>
    </row>
    <row r="238" spans="1:10" ht="13.5" x14ac:dyDescent="0.25">
      <c r="A238" s="56" t="s">
        <v>569</v>
      </c>
      <c r="C238" s="3"/>
      <c r="D238" s="3"/>
      <c r="E238" s="3">
        <v>4649</v>
      </c>
      <c r="F238" s="3">
        <v>15000</v>
      </c>
      <c r="G238" s="3">
        <v>15000</v>
      </c>
      <c r="H238" s="3">
        <v>15000</v>
      </c>
      <c r="I238" s="3">
        <v>15000</v>
      </c>
      <c r="J238" s="3">
        <v>15000</v>
      </c>
    </row>
    <row r="239" spans="1:10" x14ac:dyDescent="0.2">
      <c r="A239" s="37" t="s">
        <v>1393</v>
      </c>
      <c r="C239" s="3"/>
      <c r="D239" s="3">
        <v>15000</v>
      </c>
      <c r="E239" s="3"/>
      <c r="F239" s="3"/>
      <c r="G239" s="3"/>
      <c r="H239" s="3"/>
      <c r="I239" s="3"/>
      <c r="J239" s="3"/>
    </row>
    <row r="240" spans="1:10" x14ac:dyDescent="0.2">
      <c r="C240" s="3"/>
      <c r="D240" s="3"/>
      <c r="E240" s="3"/>
      <c r="F240" s="3"/>
      <c r="G240" s="3"/>
      <c r="H240" s="3"/>
      <c r="I240" s="3"/>
      <c r="J240" s="3"/>
    </row>
    <row r="241" spans="1:10" ht="13.5" x14ac:dyDescent="0.25">
      <c r="A241" s="56" t="s">
        <v>483</v>
      </c>
      <c r="C241" s="3"/>
      <c r="D241" s="3"/>
      <c r="E241" s="3">
        <v>43498</v>
      </c>
      <c r="F241" s="3">
        <v>38300</v>
      </c>
      <c r="G241" s="3">
        <v>38300</v>
      </c>
      <c r="H241" s="3">
        <v>38300</v>
      </c>
      <c r="I241" s="3">
        <v>38300</v>
      </c>
      <c r="J241" s="3">
        <v>38300</v>
      </c>
    </row>
    <row r="242" spans="1:10" x14ac:dyDescent="0.2">
      <c r="A242" s="55" t="s">
        <v>484</v>
      </c>
      <c r="C242" s="3"/>
      <c r="D242" s="3">
        <v>38300</v>
      </c>
      <c r="E242" s="3"/>
      <c r="F242" s="3"/>
      <c r="G242" s="3"/>
      <c r="H242" s="3"/>
      <c r="I242" s="3"/>
      <c r="J242" s="3"/>
    </row>
    <row r="243" spans="1:10" ht="15" x14ac:dyDescent="0.35">
      <c r="A243" s="55" t="s">
        <v>1733</v>
      </c>
      <c r="C243" s="3"/>
      <c r="D243" s="30">
        <v>0</v>
      </c>
      <c r="E243" s="3"/>
      <c r="F243" s="3"/>
      <c r="G243" s="3"/>
      <c r="H243" s="3"/>
      <c r="I243" s="3"/>
      <c r="J243" s="3"/>
    </row>
    <row r="244" spans="1:10" x14ac:dyDescent="0.2">
      <c r="C244" s="3"/>
      <c r="D244" s="3">
        <f>SUM(D242:D243)</f>
        <v>38300</v>
      </c>
      <c r="E244" s="3"/>
      <c r="F244" s="3"/>
      <c r="G244" s="3"/>
      <c r="H244" s="3"/>
      <c r="I244" s="3"/>
      <c r="J244" s="3"/>
    </row>
    <row r="245" spans="1:10" x14ac:dyDescent="0.2">
      <c r="C245" s="3"/>
      <c r="D245" s="3"/>
      <c r="E245" s="3"/>
      <c r="F245" s="3"/>
      <c r="G245" s="3"/>
      <c r="H245" s="3"/>
      <c r="I245" s="3"/>
      <c r="J245" s="3"/>
    </row>
    <row r="246" spans="1:10" ht="13.5" x14ac:dyDescent="0.25">
      <c r="A246" s="56" t="s">
        <v>696</v>
      </c>
      <c r="C246" s="3"/>
      <c r="D246" s="3"/>
      <c r="E246" s="3">
        <v>7937</v>
      </c>
      <c r="F246" s="3">
        <v>8641</v>
      </c>
      <c r="G246" s="3">
        <v>16231</v>
      </c>
      <c r="H246" s="3">
        <v>12231</v>
      </c>
      <c r="I246" s="3">
        <v>12231</v>
      </c>
      <c r="J246" s="3">
        <v>12231</v>
      </c>
    </row>
    <row r="247" spans="1:10" x14ac:dyDescent="0.2">
      <c r="A247" s="55" t="s">
        <v>697</v>
      </c>
      <c r="C247" s="3"/>
      <c r="D247" s="3">
        <v>2715</v>
      </c>
      <c r="E247" s="3"/>
      <c r="F247" s="3"/>
      <c r="G247" s="3"/>
      <c r="H247" s="3"/>
      <c r="I247" s="3"/>
      <c r="J247" s="3"/>
    </row>
    <row r="248" spans="1:10" x14ac:dyDescent="0.2">
      <c r="A248" s="55" t="s">
        <v>1751</v>
      </c>
      <c r="C248" s="3"/>
      <c r="D248" s="3">
        <v>5000</v>
      </c>
      <c r="E248" s="3"/>
      <c r="F248" s="3"/>
      <c r="G248" s="3"/>
      <c r="H248" s="3"/>
      <c r="I248" s="3"/>
      <c r="J248" s="3"/>
    </row>
    <row r="249" spans="1:10" ht="15" x14ac:dyDescent="0.35">
      <c r="A249" s="55" t="s">
        <v>2013</v>
      </c>
      <c r="C249" s="30"/>
      <c r="D249" s="3">
        <v>4000</v>
      </c>
      <c r="E249" s="3"/>
      <c r="F249" s="3"/>
      <c r="G249" s="3"/>
      <c r="H249" s="3"/>
      <c r="I249" s="3"/>
      <c r="J249" s="3"/>
    </row>
    <row r="250" spans="1:10" ht="15" x14ac:dyDescent="0.35">
      <c r="A250" s="55" t="s">
        <v>739</v>
      </c>
      <c r="C250" s="30"/>
      <c r="D250" s="30">
        <v>516</v>
      </c>
      <c r="E250" s="3"/>
      <c r="F250" s="3"/>
      <c r="G250" s="3"/>
      <c r="H250" s="3"/>
      <c r="I250" s="3"/>
      <c r="J250" s="3"/>
    </row>
    <row r="251" spans="1:10" x14ac:dyDescent="0.2">
      <c r="A251" s="55" t="s">
        <v>1086</v>
      </c>
      <c r="C251" s="3"/>
      <c r="D251" s="3">
        <f>SUM(D247:D250)</f>
        <v>12231</v>
      </c>
      <c r="E251" s="3"/>
      <c r="F251" s="3"/>
      <c r="G251" s="3"/>
      <c r="H251" s="3"/>
      <c r="I251" s="3"/>
      <c r="J251" s="3"/>
    </row>
    <row r="252" spans="1:10" x14ac:dyDescent="0.2">
      <c r="C252" s="3"/>
      <c r="D252" s="3"/>
      <c r="E252" s="3"/>
      <c r="F252" s="3"/>
      <c r="G252" s="3"/>
      <c r="H252" s="3"/>
      <c r="I252" s="3"/>
      <c r="J252" s="3"/>
    </row>
    <row r="253" spans="1:10" ht="13.5" x14ac:dyDescent="0.25">
      <c r="A253" s="56" t="s">
        <v>685</v>
      </c>
      <c r="B253" s="57"/>
      <c r="C253" s="3"/>
      <c r="D253" s="3"/>
      <c r="E253" s="3">
        <v>6085</v>
      </c>
      <c r="F253" s="3">
        <v>12200</v>
      </c>
      <c r="G253" s="3">
        <v>12200</v>
      </c>
      <c r="H253" s="3">
        <v>2951</v>
      </c>
      <c r="I253" s="3">
        <v>2951</v>
      </c>
      <c r="J253" s="3">
        <v>2951</v>
      </c>
    </row>
    <row r="254" spans="1:10" x14ac:dyDescent="0.2">
      <c r="A254" s="55" t="s">
        <v>686</v>
      </c>
      <c r="C254" s="3"/>
      <c r="D254" s="3">
        <v>2951</v>
      </c>
      <c r="E254" s="3"/>
      <c r="F254" s="3"/>
      <c r="G254" s="3"/>
      <c r="H254" s="3"/>
      <c r="I254" s="3"/>
      <c r="J254" s="3"/>
    </row>
    <row r="255" spans="1:10" x14ac:dyDescent="0.2">
      <c r="A255" s="55" t="s">
        <v>349</v>
      </c>
      <c r="C255" s="3"/>
      <c r="D255" s="3"/>
      <c r="E255" s="3"/>
      <c r="F255" s="3"/>
      <c r="G255" s="3"/>
      <c r="H255" s="3"/>
      <c r="I255" s="3"/>
      <c r="J255" s="3"/>
    </row>
    <row r="256" spans="1:10" ht="13.5" x14ac:dyDescent="0.25">
      <c r="A256" s="56" t="s">
        <v>902</v>
      </c>
      <c r="C256" s="66" t="s">
        <v>349</v>
      </c>
      <c r="D256" s="66" t="s">
        <v>349</v>
      </c>
      <c r="E256" s="3">
        <v>30430</v>
      </c>
      <c r="F256" s="3">
        <v>49000</v>
      </c>
      <c r="G256" s="3">
        <v>54000</v>
      </c>
      <c r="H256" s="3">
        <v>54000</v>
      </c>
      <c r="I256" s="3">
        <v>49000</v>
      </c>
      <c r="J256" s="3">
        <v>49000</v>
      </c>
    </row>
    <row r="257" spans="1:10" x14ac:dyDescent="0.2">
      <c r="A257" s="55" t="s">
        <v>1619</v>
      </c>
      <c r="C257" s="3"/>
      <c r="D257" s="3">
        <f>30000-5000</f>
        <v>25000</v>
      </c>
      <c r="E257" s="3"/>
      <c r="F257" s="3"/>
      <c r="G257" s="3"/>
      <c r="H257" s="3"/>
      <c r="I257" s="3"/>
      <c r="J257" s="3"/>
    </row>
    <row r="258" spans="1:10" x14ac:dyDescent="0.2">
      <c r="A258" s="55" t="s">
        <v>1102</v>
      </c>
      <c r="C258" s="3"/>
      <c r="D258" s="3">
        <v>5000</v>
      </c>
      <c r="E258" s="3"/>
      <c r="F258" s="3"/>
      <c r="G258" s="3"/>
      <c r="H258" s="3"/>
      <c r="I258" s="3"/>
      <c r="J258" s="3"/>
    </row>
    <row r="259" spans="1:10" x14ac:dyDescent="0.2">
      <c r="A259" s="55" t="s">
        <v>804</v>
      </c>
      <c r="C259" s="3"/>
      <c r="D259" s="3">
        <v>15000</v>
      </c>
      <c r="E259" s="3"/>
      <c r="F259" s="3"/>
      <c r="G259" s="3"/>
      <c r="H259" s="3"/>
      <c r="I259" s="3"/>
      <c r="J259" s="3"/>
    </row>
    <row r="260" spans="1:10" x14ac:dyDescent="0.2">
      <c r="A260" s="55" t="s">
        <v>163</v>
      </c>
      <c r="C260" s="3"/>
      <c r="D260" s="3">
        <v>3000</v>
      </c>
      <c r="E260" s="3"/>
      <c r="F260" s="3"/>
      <c r="G260" s="3"/>
      <c r="H260" s="3"/>
      <c r="I260" s="3"/>
      <c r="J260" s="3"/>
    </row>
    <row r="261" spans="1:10" ht="15" x14ac:dyDescent="0.35">
      <c r="A261" s="55" t="s">
        <v>1103</v>
      </c>
      <c r="C261" s="30"/>
      <c r="D261" s="30">
        <v>1000</v>
      </c>
      <c r="E261" s="3"/>
      <c r="F261" s="3"/>
      <c r="G261" s="3"/>
      <c r="H261" s="3"/>
      <c r="I261" s="3"/>
      <c r="J261" s="3"/>
    </row>
    <row r="262" spans="1:10" x14ac:dyDescent="0.2">
      <c r="A262" s="55" t="s">
        <v>1086</v>
      </c>
      <c r="C262" s="3"/>
      <c r="D262" s="3">
        <f>SUM(D257:D261)</f>
        <v>49000</v>
      </c>
      <c r="E262" s="3"/>
      <c r="F262" s="3"/>
      <c r="G262" s="3"/>
      <c r="H262" s="3"/>
      <c r="I262" s="3"/>
      <c r="J262" s="3"/>
    </row>
    <row r="263" spans="1:10" x14ac:dyDescent="0.2">
      <c r="C263" s="3"/>
      <c r="D263" s="3"/>
      <c r="E263" s="3"/>
      <c r="F263" s="3"/>
      <c r="G263" s="3"/>
      <c r="H263" s="3"/>
      <c r="I263" s="3"/>
      <c r="J263" s="3"/>
    </row>
    <row r="264" spans="1:10" ht="13.5" x14ac:dyDescent="0.25">
      <c r="A264" s="56" t="s">
        <v>1104</v>
      </c>
      <c r="C264" s="3"/>
      <c r="D264" s="3"/>
      <c r="E264" s="3">
        <v>100</v>
      </c>
      <c r="F264" s="3">
        <v>197</v>
      </c>
      <c r="G264" s="3">
        <v>197</v>
      </c>
      <c r="H264" s="3">
        <v>197</v>
      </c>
      <c r="I264" s="3">
        <v>197</v>
      </c>
      <c r="J264" s="3">
        <v>197</v>
      </c>
    </row>
    <row r="265" spans="1:10" x14ac:dyDescent="0.2">
      <c r="A265" s="55" t="s">
        <v>461</v>
      </c>
      <c r="C265" s="3"/>
      <c r="D265" s="3">
        <v>197</v>
      </c>
      <c r="E265" s="3"/>
      <c r="F265" s="3"/>
      <c r="G265" s="3"/>
      <c r="H265" s="3"/>
      <c r="I265" s="3"/>
      <c r="J265" s="3"/>
    </row>
    <row r="266" spans="1:10" x14ac:dyDescent="0.2">
      <c r="C266" s="3"/>
      <c r="D266" s="3"/>
      <c r="E266" s="3"/>
      <c r="F266" s="3"/>
      <c r="G266" s="3"/>
      <c r="H266" s="3"/>
      <c r="I266" s="3"/>
      <c r="J266" s="3"/>
    </row>
    <row r="267" spans="1:10" ht="13.5" x14ac:dyDescent="0.25">
      <c r="A267" s="76" t="s">
        <v>346</v>
      </c>
      <c r="C267" s="66" t="s">
        <v>349</v>
      </c>
      <c r="D267" s="66" t="s">
        <v>349</v>
      </c>
      <c r="E267" s="3">
        <v>500</v>
      </c>
      <c r="F267" s="3">
        <v>700</v>
      </c>
      <c r="G267" s="3">
        <v>700</v>
      </c>
      <c r="H267" s="3">
        <v>700</v>
      </c>
      <c r="I267" s="3">
        <v>700</v>
      </c>
      <c r="J267" s="3">
        <v>700</v>
      </c>
    </row>
    <row r="268" spans="1:10" x14ac:dyDescent="0.2">
      <c r="A268" s="55" t="s">
        <v>733</v>
      </c>
      <c r="B268" s="3"/>
      <c r="C268" s="3"/>
      <c r="D268" s="3">
        <v>500</v>
      </c>
      <c r="E268" s="3"/>
      <c r="F268" s="3"/>
      <c r="G268" s="3"/>
      <c r="H268" s="3"/>
      <c r="I268" s="3"/>
      <c r="J268" s="3"/>
    </row>
    <row r="269" spans="1:10" ht="15" x14ac:dyDescent="0.35">
      <c r="A269" s="55" t="s">
        <v>164</v>
      </c>
      <c r="C269" s="30"/>
      <c r="D269" s="30">
        <v>200</v>
      </c>
      <c r="E269" s="3"/>
      <c r="F269" s="3"/>
      <c r="G269" s="3"/>
      <c r="H269" s="3"/>
      <c r="I269" s="3"/>
      <c r="J269" s="3"/>
    </row>
    <row r="270" spans="1:10" x14ac:dyDescent="0.2">
      <c r="A270" s="55" t="s">
        <v>1086</v>
      </c>
      <c r="C270" s="3"/>
      <c r="D270" s="3">
        <f>SUM(D268:D269)</f>
        <v>700</v>
      </c>
      <c r="E270" s="3"/>
      <c r="F270" s="3"/>
      <c r="G270" s="3"/>
      <c r="H270" s="3"/>
      <c r="I270" s="3"/>
      <c r="J270" s="3"/>
    </row>
    <row r="271" spans="1:10" x14ac:dyDescent="0.2">
      <c r="C271" s="3"/>
      <c r="D271" s="3"/>
      <c r="E271" s="3"/>
      <c r="F271" s="3"/>
      <c r="G271" s="3"/>
      <c r="H271" s="3"/>
      <c r="I271" s="3"/>
      <c r="J271" s="3"/>
    </row>
    <row r="272" spans="1:10" ht="13.5" x14ac:dyDescent="0.25">
      <c r="A272" s="56" t="s">
        <v>62</v>
      </c>
      <c r="C272" s="66" t="s">
        <v>349</v>
      </c>
      <c r="D272" s="66" t="s">
        <v>349</v>
      </c>
      <c r="E272" s="3">
        <v>467</v>
      </c>
      <c r="F272" s="3">
        <v>5000</v>
      </c>
      <c r="G272" s="3">
        <v>5000</v>
      </c>
      <c r="H272" s="3">
        <v>5000</v>
      </c>
      <c r="I272" s="3">
        <v>5000</v>
      </c>
      <c r="J272" s="3">
        <v>5000</v>
      </c>
    </row>
    <row r="273" spans="1:10" x14ac:dyDescent="0.2">
      <c r="A273" s="55" t="s">
        <v>1311</v>
      </c>
      <c r="C273" s="3"/>
      <c r="D273" s="3">
        <v>5000</v>
      </c>
      <c r="F273" s="3"/>
      <c r="G273" s="3"/>
      <c r="H273" s="3"/>
      <c r="I273" s="3"/>
      <c r="J273" s="3"/>
    </row>
    <row r="274" spans="1:10" ht="15" x14ac:dyDescent="0.35">
      <c r="A274" s="55" t="s">
        <v>1154</v>
      </c>
      <c r="C274" s="30"/>
      <c r="D274" s="30">
        <v>0</v>
      </c>
      <c r="F274" s="3"/>
      <c r="G274" s="3"/>
      <c r="H274" s="3"/>
      <c r="I274" s="3"/>
      <c r="J274" s="3"/>
    </row>
    <row r="275" spans="1:10" x14ac:dyDescent="0.2">
      <c r="A275" s="55" t="s">
        <v>957</v>
      </c>
      <c r="C275" s="3"/>
      <c r="D275" s="3">
        <f>SUM(D273:D274)</f>
        <v>5000</v>
      </c>
      <c r="F275" s="3"/>
      <c r="G275" s="3"/>
      <c r="H275" s="3"/>
      <c r="I275" s="3"/>
      <c r="J275" s="3"/>
    </row>
    <row r="276" spans="1:10" x14ac:dyDescent="0.2">
      <c r="C276" s="3"/>
      <c r="D276" s="3"/>
      <c r="F276" s="3"/>
      <c r="G276" s="3"/>
      <c r="H276" s="3"/>
      <c r="I276" s="3"/>
      <c r="J276" s="3"/>
    </row>
    <row r="277" spans="1:10" ht="13.5" x14ac:dyDescent="0.25">
      <c r="A277" s="56" t="s">
        <v>21</v>
      </c>
      <c r="C277" s="66" t="s">
        <v>349</v>
      </c>
      <c r="D277" s="66" t="s">
        <v>349</v>
      </c>
      <c r="E277" s="3">
        <f>11577+265</f>
        <v>11842</v>
      </c>
      <c r="F277" s="3">
        <v>15637</v>
      </c>
      <c r="G277" s="3">
        <v>16287</v>
      </c>
      <c r="H277" s="3">
        <v>16287</v>
      </c>
      <c r="I277" s="3">
        <v>16287</v>
      </c>
      <c r="J277" s="3">
        <v>16287</v>
      </c>
    </row>
    <row r="278" spans="1:10" x14ac:dyDescent="0.2">
      <c r="A278" s="55" t="s">
        <v>1699</v>
      </c>
      <c r="B278" s="3" t="s">
        <v>349</v>
      </c>
      <c r="C278" s="3"/>
      <c r="D278" s="3">
        <v>3772</v>
      </c>
      <c r="E278" s="3"/>
      <c r="F278" s="3"/>
      <c r="G278" s="3"/>
      <c r="H278" s="3"/>
      <c r="I278" s="3"/>
      <c r="J278" s="3"/>
    </row>
    <row r="279" spans="1:10" x14ac:dyDescent="0.2">
      <c r="A279" s="55" t="s">
        <v>951</v>
      </c>
      <c r="C279" s="3"/>
      <c r="D279" s="3">
        <v>154</v>
      </c>
      <c r="E279" s="3"/>
      <c r="F279" s="3"/>
      <c r="G279" s="3"/>
      <c r="H279" s="3"/>
      <c r="I279" s="3"/>
      <c r="J279" s="3"/>
    </row>
    <row r="280" spans="1:10" x14ac:dyDescent="0.2">
      <c r="A280" s="55" t="s">
        <v>952</v>
      </c>
      <c r="C280" s="3"/>
      <c r="D280" s="3">
        <v>1548</v>
      </c>
      <c r="E280" s="3"/>
      <c r="F280" s="3"/>
      <c r="G280" s="3"/>
      <c r="H280" s="3"/>
      <c r="I280" s="3"/>
      <c r="J280" s="3"/>
    </row>
    <row r="281" spans="1:10" x14ac:dyDescent="0.2">
      <c r="A281" s="55" t="s">
        <v>1227</v>
      </c>
      <c r="C281" s="3"/>
      <c r="D281" s="3">
        <v>5000</v>
      </c>
      <c r="E281" s="3"/>
      <c r="F281" s="3"/>
      <c r="G281" s="3"/>
      <c r="H281" s="3"/>
      <c r="I281" s="3"/>
      <c r="J281" s="3"/>
    </row>
    <row r="282" spans="1:10" x14ac:dyDescent="0.2">
      <c r="A282" s="55" t="s">
        <v>2014</v>
      </c>
      <c r="C282" s="3"/>
      <c r="D282" s="3">
        <v>650</v>
      </c>
      <c r="E282" s="3"/>
      <c r="F282" s="3"/>
      <c r="G282" s="3"/>
      <c r="H282" s="3"/>
      <c r="I282" s="3"/>
      <c r="J282" s="3"/>
    </row>
    <row r="283" spans="1:10" x14ac:dyDescent="0.2">
      <c r="A283" s="55" t="s">
        <v>1228</v>
      </c>
      <c r="C283" s="3"/>
      <c r="D283" s="3">
        <v>1050</v>
      </c>
      <c r="E283" s="3"/>
      <c r="F283" s="3"/>
      <c r="G283" s="3"/>
      <c r="H283" s="3"/>
      <c r="I283" s="3"/>
      <c r="J283" s="3"/>
    </row>
    <row r="284" spans="1:10" ht="15" x14ac:dyDescent="0.35">
      <c r="A284" s="55" t="s">
        <v>953</v>
      </c>
      <c r="C284" s="30"/>
      <c r="D284" s="3">
        <v>463</v>
      </c>
      <c r="E284" s="3"/>
      <c r="F284" s="3"/>
      <c r="G284" s="3"/>
      <c r="H284" s="3"/>
      <c r="I284" s="3"/>
      <c r="J284" s="3"/>
    </row>
    <row r="285" spans="1:10" ht="15" x14ac:dyDescent="0.35">
      <c r="A285" s="55" t="s">
        <v>1659</v>
      </c>
      <c r="C285" s="30"/>
      <c r="D285" s="30">
        <v>3650</v>
      </c>
      <c r="E285" s="3"/>
      <c r="F285" s="3"/>
      <c r="G285" s="3"/>
      <c r="H285" s="3"/>
      <c r="I285" s="3"/>
      <c r="J285" s="3"/>
    </row>
    <row r="286" spans="1:10" x14ac:dyDescent="0.2">
      <c r="A286" s="55" t="s">
        <v>1086</v>
      </c>
      <c r="C286" s="3"/>
      <c r="D286" s="3">
        <f>SUM(D278:D285)</f>
        <v>16287</v>
      </c>
      <c r="E286" s="3"/>
      <c r="F286" s="3"/>
      <c r="G286" s="3"/>
      <c r="H286" s="3"/>
      <c r="I286" s="3"/>
      <c r="J286" s="3"/>
    </row>
    <row r="287" spans="1:10" x14ac:dyDescent="0.2">
      <c r="C287" s="3"/>
      <c r="D287" s="3"/>
      <c r="E287" s="3"/>
      <c r="F287" s="3"/>
      <c r="G287" s="3"/>
      <c r="H287" s="3"/>
      <c r="I287" s="3"/>
      <c r="J287" s="3"/>
    </row>
    <row r="288" spans="1:10" ht="13.5" x14ac:dyDescent="0.25">
      <c r="A288" s="56" t="s">
        <v>954</v>
      </c>
      <c r="C288" s="66" t="s">
        <v>349</v>
      </c>
      <c r="D288" s="66" t="s">
        <v>349</v>
      </c>
      <c r="E288" s="3">
        <v>163653</v>
      </c>
      <c r="F288" s="3">
        <v>120000</v>
      </c>
      <c r="G288" s="3">
        <v>100500</v>
      </c>
      <c r="H288" s="3">
        <v>100500</v>
      </c>
      <c r="I288" s="3">
        <v>100500</v>
      </c>
      <c r="J288" s="3">
        <v>100500</v>
      </c>
    </row>
    <row r="289" spans="1:10" x14ac:dyDescent="0.2">
      <c r="A289" s="37" t="s">
        <v>2151</v>
      </c>
      <c r="B289" s="3"/>
      <c r="C289" s="3">
        <v>0</v>
      </c>
      <c r="D289" s="65">
        <v>100500</v>
      </c>
      <c r="E289" s="3"/>
      <c r="F289" s="3"/>
      <c r="G289" s="3"/>
      <c r="H289" s="3"/>
      <c r="I289" s="3"/>
      <c r="J289" s="3"/>
    </row>
    <row r="290" spans="1:10" ht="15" x14ac:dyDescent="0.35">
      <c r="A290" s="37" t="s">
        <v>1944</v>
      </c>
      <c r="B290" s="3"/>
      <c r="C290" s="3"/>
      <c r="D290" s="96">
        <v>0</v>
      </c>
      <c r="E290" s="3"/>
      <c r="F290" s="3"/>
      <c r="G290" s="3"/>
      <c r="H290" s="3"/>
      <c r="I290" s="3"/>
      <c r="J290" s="3"/>
    </row>
    <row r="291" spans="1:10" x14ac:dyDescent="0.2">
      <c r="A291" s="37"/>
      <c r="B291" s="3"/>
      <c r="C291" s="3"/>
      <c r="D291" s="65">
        <f>SUM(D289:D290)</f>
        <v>100500</v>
      </c>
      <c r="E291" s="3"/>
      <c r="F291" s="3"/>
      <c r="G291" s="3"/>
      <c r="H291" s="3"/>
      <c r="I291" s="3"/>
      <c r="J291" s="3"/>
    </row>
    <row r="292" spans="1:10" x14ac:dyDescent="0.2">
      <c r="C292" s="3"/>
      <c r="D292" s="3"/>
      <c r="E292" s="3"/>
      <c r="F292" s="3"/>
      <c r="G292" s="3"/>
      <c r="H292" s="3"/>
      <c r="I292" s="3"/>
      <c r="J292" s="3"/>
    </row>
    <row r="293" spans="1:10" ht="13.5" x14ac:dyDescent="0.25">
      <c r="A293" s="56" t="s">
        <v>955</v>
      </c>
      <c r="C293" s="66" t="s">
        <v>349</v>
      </c>
      <c r="D293" s="66" t="s">
        <v>349</v>
      </c>
      <c r="E293" s="3">
        <v>10079</v>
      </c>
      <c r="F293" s="3">
        <v>7000</v>
      </c>
      <c r="G293" s="3">
        <v>7000</v>
      </c>
      <c r="H293" s="3">
        <v>7000</v>
      </c>
      <c r="I293" s="3">
        <v>7000</v>
      </c>
      <c r="J293" s="3">
        <v>7000</v>
      </c>
    </row>
    <row r="294" spans="1:10" x14ac:dyDescent="0.2">
      <c r="A294" s="55" t="s">
        <v>220</v>
      </c>
      <c r="C294" s="3"/>
      <c r="D294" s="3">
        <v>7000</v>
      </c>
      <c r="E294" s="3"/>
      <c r="F294" s="3"/>
      <c r="G294" s="3"/>
      <c r="H294" s="3"/>
      <c r="I294" s="3"/>
      <c r="J294" s="3"/>
    </row>
    <row r="295" spans="1:10" x14ac:dyDescent="0.2">
      <c r="C295" s="3"/>
      <c r="D295" s="3"/>
      <c r="E295" s="3"/>
      <c r="F295" s="3"/>
      <c r="G295" s="3"/>
      <c r="H295" s="3"/>
      <c r="I295" s="3"/>
      <c r="J295" s="3"/>
    </row>
    <row r="296" spans="1:10" ht="15" x14ac:dyDescent="0.35">
      <c r="A296" s="56" t="s">
        <v>956</v>
      </c>
      <c r="C296" s="3" t="s">
        <v>349</v>
      </c>
      <c r="D296" s="3" t="s">
        <v>349</v>
      </c>
      <c r="E296" s="30">
        <v>5852</v>
      </c>
      <c r="F296" s="30">
        <v>4000</v>
      </c>
      <c r="G296" s="30">
        <v>4000</v>
      </c>
      <c r="H296" s="30">
        <v>4000</v>
      </c>
      <c r="I296" s="30">
        <v>4000</v>
      </c>
      <c r="J296" s="30">
        <v>4000</v>
      </c>
    </row>
    <row r="297" spans="1:10" x14ac:dyDescent="0.2">
      <c r="A297" s="37" t="s">
        <v>1523</v>
      </c>
      <c r="C297" s="3"/>
      <c r="D297" s="3">
        <v>2000</v>
      </c>
      <c r="E297" s="3"/>
      <c r="F297" s="3"/>
      <c r="G297" s="3"/>
      <c r="H297" s="3"/>
      <c r="I297" s="3"/>
      <c r="J297" s="3"/>
    </row>
    <row r="298" spans="1:10" x14ac:dyDescent="0.2">
      <c r="A298" s="37" t="s">
        <v>1524</v>
      </c>
      <c r="C298" s="3"/>
      <c r="D298" s="3">
        <v>1000</v>
      </c>
      <c r="E298" s="3"/>
      <c r="F298" s="3"/>
      <c r="G298" s="3"/>
      <c r="H298" s="3"/>
      <c r="I298" s="3"/>
      <c r="J298" s="3"/>
    </row>
    <row r="299" spans="1:10" x14ac:dyDescent="0.2">
      <c r="A299" s="37" t="s">
        <v>1900</v>
      </c>
      <c r="C299" s="3"/>
      <c r="D299" s="3">
        <v>0</v>
      </c>
      <c r="E299" s="3"/>
      <c r="F299" s="3"/>
      <c r="G299" s="3"/>
      <c r="H299" s="3"/>
      <c r="I299" s="3"/>
      <c r="J299" s="3"/>
    </row>
    <row r="300" spans="1:10" ht="15" x14ac:dyDescent="0.35">
      <c r="A300" s="37" t="s">
        <v>1441</v>
      </c>
      <c r="C300" s="3"/>
      <c r="D300" s="30">
        <v>1000</v>
      </c>
      <c r="E300" s="30"/>
      <c r="F300" s="30"/>
      <c r="G300" s="30"/>
      <c r="H300" s="30"/>
      <c r="I300" s="30"/>
      <c r="J300" s="30"/>
    </row>
    <row r="301" spans="1:10" x14ac:dyDescent="0.2">
      <c r="D301" s="3">
        <f>SUM(D297:D300)</f>
        <v>4000</v>
      </c>
      <c r="E301" s="3"/>
      <c r="F301" s="3"/>
      <c r="G301" s="3"/>
      <c r="H301" s="3"/>
      <c r="I301" s="3"/>
      <c r="J301" s="3"/>
    </row>
    <row r="302" spans="1:10" x14ac:dyDescent="0.2">
      <c r="D302" s="3"/>
      <c r="E302" s="3"/>
      <c r="F302" s="3"/>
      <c r="G302" s="3"/>
      <c r="H302" s="3"/>
      <c r="I302" s="3"/>
      <c r="J302" s="3"/>
    </row>
    <row r="303" spans="1:10" x14ac:dyDescent="0.2">
      <c r="D303" s="3"/>
      <c r="E303" s="3"/>
      <c r="F303" s="3"/>
      <c r="G303" s="3"/>
      <c r="H303" s="3"/>
      <c r="I303" s="3"/>
      <c r="J303" s="3"/>
    </row>
    <row r="304" spans="1:10" x14ac:dyDescent="0.2">
      <c r="D304" s="3"/>
      <c r="E304" s="3"/>
      <c r="F304" s="3"/>
      <c r="G304" s="3"/>
      <c r="H304" s="3"/>
      <c r="I304" s="3"/>
      <c r="J304" s="3"/>
    </row>
    <row r="305" spans="1:12" ht="15" x14ac:dyDescent="0.35">
      <c r="A305" s="56"/>
      <c r="D305" s="3"/>
      <c r="E305" s="30"/>
      <c r="F305" s="30"/>
      <c r="G305" s="30"/>
      <c r="H305" s="30"/>
      <c r="I305" s="30"/>
      <c r="J305" s="30"/>
    </row>
    <row r="306" spans="1:12" x14ac:dyDescent="0.2">
      <c r="A306" s="128" t="s">
        <v>1186</v>
      </c>
      <c r="D306" s="3"/>
      <c r="E306" s="3">
        <f t="shared" ref="E306:J306" si="7">SUM(E2:E305)</f>
        <v>6085022</v>
      </c>
      <c r="F306" s="3">
        <f t="shared" si="7"/>
        <v>6682167</v>
      </c>
      <c r="G306" s="3">
        <f t="shared" si="7"/>
        <v>7224772</v>
      </c>
      <c r="H306" s="3">
        <f t="shared" si="7"/>
        <v>7208573</v>
      </c>
      <c r="I306" s="3">
        <f t="shared" si="7"/>
        <v>7166918</v>
      </c>
      <c r="J306" s="3">
        <f t="shared" si="7"/>
        <v>7166918</v>
      </c>
    </row>
    <row r="307" spans="1:12" ht="15" x14ac:dyDescent="0.35">
      <c r="A307" s="56"/>
      <c r="D307" s="3"/>
      <c r="E307" s="30"/>
      <c r="F307" s="30"/>
      <c r="G307" s="30"/>
      <c r="H307" s="30"/>
      <c r="I307" s="30"/>
      <c r="J307" s="30"/>
    </row>
    <row r="308" spans="1:12" x14ac:dyDescent="0.2">
      <c r="A308" s="55" t="s">
        <v>523</v>
      </c>
      <c r="E308" s="3">
        <f>SUM(E6:E160)</f>
        <v>5553001</v>
      </c>
      <c r="F308" s="3">
        <f>SUM(F6:F160)</f>
        <v>6146585</v>
      </c>
      <c r="G308" s="3">
        <f>SUM(G6:G162)</f>
        <v>6689324</v>
      </c>
      <c r="H308" s="3">
        <f>SUM(H6:H162)</f>
        <v>6699571</v>
      </c>
      <c r="I308" s="3">
        <f>SUM(I6:I162)</f>
        <v>6662916</v>
      </c>
      <c r="J308" s="3">
        <f>SUM(J6:J162)</f>
        <v>6662916</v>
      </c>
      <c r="K308" s="3">
        <f>+G308-F308</f>
        <v>542739</v>
      </c>
      <c r="L308" s="116">
        <f>+K308/F308</f>
        <v>8.8299275125943918E-2</v>
      </c>
    </row>
    <row r="309" spans="1:12" x14ac:dyDescent="0.2">
      <c r="A309" s="55" t="s">
        <v>818</v>
      </c>
      <c r="E309" s="3">
        <f t="shared" ref="E309:J309" si="8">SUM(E164:E277)</f>
        <v>352437</v>
      </c>
      <c r="F309" s="3">
        <f t="shared" si="8"/>
        <v>404582</v>
      </c>
      <c r="G309" s="3">
        <f t="shared" si="8"/>
        <v>423948</v>
      </c>
      <c r="H309" s="3">
        <f t="shared" si="8"/>
        <v>397502</v>
      </c>
      <c r="I309" s="3">
        <f t="shared" si="8"/>
        <v>392502</v>
      </c>
      <c r="J309" s="3">
        <f t="shared" si="8"/>
        <v>392502</v>
      </c>
      <c r="K309" s="3">
        <f t="shared" ref="K309:K310" si="9">+G309-F309</f>
        <v>19366</v>
      </c>
      <c r="L309" s="116">
        <f t="shared" ref="L309:L310" si="10">+K309/F309</f>
        <v>4.7866687099277772E-2</v>
      </c>
    </row>
    <row r="310" spans="1:12" ht="15" x14ac:dyDescent="0.35">
      <c r="A310" s="55" t="s">
        <v>819</v>
      </c>
      <c r="E310" s="30">
        <f t="shared" ref="E310:J310" si="11">SUM(E285:E296)</f>
        <v>179584</v>
      </c>
      <c r="F310" s="30">
        <f t="shared" si="11"/>
        <v>131000</v>
      </c>
      <c r="G310" s="30">
        <f>SUM(G285:G296)</f>
        <v>111500</v>
      </c>
      <c r="H310" s="30">
        <f>SUM(H285:H296)</f>
        <v>111500</v>
      </c>
      <c r="I310" s="30">
        <f t="shared" si="11"/>
        <v>111500</v>
      </c>
      <c r="J310" s="30">
        <f t="shared" si="11"/>
        <v>111500</v>
      </c>
      <c r="K310" s="3">
        <f t="shared" si="9"/>
        <v>-19500</v>
      </c>
      <c r="L310" s="116">
        <f t="shared" si="10"/>
        <v>-0.14885496183206107</v>
      </c>
    </row>
    <row r="311" spans="1:12" x14ac:dyDescent="0.2">
      <c r="A311" s="55" t="s">
        <v>1086</v>
      </c>
      <c r="E311" s="3">
        <f t="shared" ref="E311:J311" si="12">SUM(E308:E310)</f>
        <v>6085022</v>
      </c>
      <c r="F311" s="3">
        <f t="shared" si="12"/>
        <v>6682167</v>
      </c>
      <c r="G311" s="3">
        <f t="shared" si="12"/>
        <v>7224772</v>
      </c>
      <c r="H311" s="3">
        <f t="shared" ref="H311" si="13">SUM(H308:H310)</f>
        <v>7208573</v>
      </c>
      <c r="I311" s="3">
        <f t="shared" si="12"/>
        <v>7166918</v>
      </c>
      <c r="J311" s="3">
        <f t="shared" si="12"/>
        <v>7166918</v>
      </c>
    </row>
    <row r="313" spans="1:12" x14ac:dyDescent="0.2">
      <c r="I313" s="3">
        <f>+I311-H311</f>
        <v>-41655</v>
      </c>
    </row>
    <row r="317" spans="1:12" x14ac:dyDescent="0.2">
      <c r="J317" s="55">
        <v>6400278</v>
      </c>
    </row>
    <row r="319" spans="1:12" x14ac:dyDescent="0.2">
      <c r="J319" s="55">
        <v>6430367</v>
      </c>
    </row>
    <row r="320" spans="1:12" x14ac:dyDescent="0.2">
      <c r="J320" s="3" t="e">
        <f>+J319-#REF!</f>
        <v>#REF!</v>
      </c>
    </row>
  </sheetData>
  <mergeCells count="1">
    <mergeCell ref="A1:J1"/>
  </mergeCells>
  <phoneticPr fontId="0" type="noConversion"/>
  <printOptions gridLines="1"/>
  <pageMargins left="0.75" right="0.16" top="0.51" bottom="0.22" header="0.5" footer="0"/>
  <pageSetup scale="86" fitToHeight="12" orientation="landscape" r:id="rId1"/>
  <headerFooter alignWithMargins="0"/>
  <rowBreaks count="5" manualBreakCount="5">
    <brk id="29" max="9" man="1"/>
    <brk id="72" max="9" man="1"/>
    <brk id="201" max="9" man="1"/>
    <brk id="244" max="9" man="1"/>
    <brk id="287"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185"/>
  <sheetViews>
    <sheetView view="pageBreakPreview" zoomScaleNormal="100" zoomScaleSheetLayoutView="100" workbookViewId="0">
      <pane ySplit="5" topLeftCell="A101" activePane="bottomLeft" state="frozen"/>
      <selection pane="bottomLeft" sqref="A1:J1"/>
    </sheetView>
  </sheetViews>
  <sheetFormatPr defaultColWidth="9.140625" defaultRowHeight="12.75" x14ac:dyDescent="0.2"/>
  <cols>
    <col min="1" max="1" width="50.7109375" style="220" bestFit="1" customWidth="1"/>
    <col min="2" max="2" width="8.85546875" style="220" bestFit="1" customWidth="1"/>
    <col min="3" max="4" width="10.140625" style="220" customWidth="1"/>
    <col min="5" max="5" width="13.7109375" style="220" customWidth="1"/>
    <col min="6" max="6" width="10.28515625" style="220" bestFit="1" customWidth="1"/>
    <col min="7" max="7" width="10.85546875" style="220" bestFit="1" customWidth="1"/>
    <col min="8" max="8" width="13.5703125" style="220" bestFit="1" customWidth="1"/>
    <col min="9" max="9" width="10.28515625" style="220" bestFit="1" customWidth="1"/>
    <col min="10" max="10" width="9.5703125" style="220" customWidth="1"/>
    <col min="11" max="16384" width="9.140625" style="220"/>
  </cols>
  <sheetData>
    <row r="1" spans="1:11" x14ac:dyDescent="0.2">
      <c r="A1" s="261" t="s">
        <v>1965</v>
      </c>
      <c r="B1" s="262"/>
      <c r="C1" s="262"/>
      <c r="D1" s="262"/>
      <c r="E1" s="262"/>
      <c r="F1" s="262"/>
      <c r="G1" s="262"/>
      <c r="H1" s="262"/>
      <c r="I1" s="262"/>
      <c r="J1" s="262"/>
    </row>
    <row r="2" spans="1:11" ht="18.75" x14ac:dyDescent="0.3">
      <c r="A2" s="107" t="s">
        <v>1636</v>
      </c>
      <c r="B2" s="107"/>
      <c r="C2" s="107"/>
      <c r="D2" s="107"/>
      <c r="E2" s="107"/>
      <c r="F2" s="107"/>
    </row>
    <row r="3" spans="1:11" x14ac:dyDescent="0.2">
      <c r="B3" s="2"/>
      <c r="C3" s="2"/>
      <c r="D3" s="2"/>
      <c r="E3" s="2"/>
      <c r="F3" s="2"/>
    </row>
    <row r="4" spans="1:11" x14ac:dyDescent="0.2">
      <c r="B4" s="2"/>
      <c r="C4" s="2"/>
      <c r="D4" s="2"/>
      <c r="E4" s="15" t="s">
        <v>207</v>
      </c>
      <c r="F4" s="15" t="s">
        <v>208</v>
      </c>
      <c r="G4" s="15" t="s">
        <v>63</v>
      </c>
      <c r="H4" s="15" t="s">
        <v>362</v>
      </c>
      <c r="I4" s="15" t="s">
        <v>274</v>
      </c>
      <c r="J4" s="15" t="s">
        <v>305</v>
      </c>
    </row>
    <row r="5" spans="1:11" ht="15" x14ac:dyDescent="0.35">
      <c r="B5" s="2"/>
      <c r="C5" s="2"/>
      <c r="D5" s="2"/>
      <c r="E5" s="221" t="s">
        <v>1759</v>
      </c>
      <c r="F5" s="221" t="s">
        <v>1857</v>
      </c>
      <c r="G5" s="221" t="s">
        <v>1966</v>
      </c>
      <c r="H5" s="221" t="s">
        <v>1966</v>
      </c>
      <c r="I5" s="221" t="s">
        <v>1966</v>
      </c>
      <c r="J5" s="221" t="s">
        <v>1966</v>
      </c>
    </row>
    <row r="6" spans="1:11" ht="13.5" x14ac:dyDescent="0.25">
      <c r="A6" s="225" t="s">
        <v>229</v>
      </c>
      <c r="B6" s="2"/>
      <c r="C6" s="2"/>
      <c r="D6" s="2"/>
      <c r="E6" s="2">
        <v>50810</v>
      </c>
      <c r="F6" s="2">
        <v>59540</v>
      </c>
      <c r="G6" s="2">
        <v>61904</v>
      </c>
      <c r="H6" s="2">
        <v>61904</v>
      </c>
      <c r="I6" s="2">
        <v>61904</v>
      </c>
      <c r="J6" s="2">
        <v>61904</v>
      </c>
    </row>
    <row r="7" spans="1:11" x14ac:dyDescent="0.2">
      <c r="A7" s="220" t="s">
        <v>130</v>
      </c>
      <c r="B7" s="2">
        <v>52</v>
      </c>
      <c r="C7" s="2">
        <v>1168</v>
      </c>
      <c r="D7" s="2">
        <f>ROUND(B7*C7,0)</f>
        <v>60736</v>
      </c>
      <c r="E7" s="2"/>
      <c r="F7" s="2"/>
      <c r="G7" s="2"/>
      <c r="H7" s="2"/>
      <c r="I7" s="2"/>
      <c r="J7" s="2"/>
    </row>
    <row r="8" spans="1:11" ht="15" x14ac:dyDescent="0.35">
      <c r="A8" s="2" t="s">
        <v>2139</v>
      </c>
      <c r="B8" s="2">
        <v>1</v>
      </c>
      <c r="C8" s="2">
        <v>1168</v>
      </c>
      <c r="D8" s="10">
        <f>+C8</f>
        <v>1168</v>
      </c>
      <c r="E8" s="2"/>
      <c r="F8" s="2"/>
      <c r="G8" s="2"/>
      <c r="H8" s="2"/>
      <c r="I8" s="2"/>
      <c r="J8" s="2"/>
    </row>
    <row r="9" spans="1:11" x14ac:dyDescent="0.2">
      <c r="B9" s="2"/>
      <c r="C9" s="2"/>
      <c r="D9" s="2">
        <f>SUM(D7:D8)</f>
        <v>61904</v>
      </c>
      <c r="E9" s="2"/>
      <c r="F9" s="2"/>
      <c r="G9" s="2"/>
      <c r="H9" s="2"/>
      <c r="I9" s="2"/>
      <c r="J9" s="2"/>
    </row>
    <row r="10" spans="1:11" x14ac:dyDescent="0.2">
      <c r="B10" s="2"/>
      <c r="C10" s="2"/>
      <c r="D10" s="2"/>
      <c r="E10" s="2"/>
      <c r="F10" s="2"/>
      <c r="G10" s="2"/>
      <c r="H10" s="2"/>
      <c r="I10" s="2"/>
      <c r="J10" s="2"/>
    </row>
    <row r="11" spans="1:11" ht="13.5" x14ac:dyDescent="0.25">
      <c r="A11" s="225" t="s">
        <v>474</v>
      </c>
      <c r="B11" s="2"/>
      <c r="C11" s="2"/>
      <c r="D11" s="2"/>
      <c r="E11" s="2">
        <v>345339</v>
      </c>
      <c r="F11" s="2">
        <v>372953</v>
      </c>
      <c r="G11" s="2">
        <v>386433</v>
      </c>
      <c r="H11" s="2">
        <v>386433</v>
      </c>
      <c r="I11" s="2">
        <v>386433</v>
      </c>
      <c r="J11" s="2">
        <v>386433</v>
      </c>
      <c r="K11" s="2">
        <f>+J11-I11</f>
        <v>0</v>
      </c>
    </row>
    <row r="12" spans="1:11" x14ac:dyDescent="0.2">
      <c r="A12" s="220" t="s">
        <v>625</v>
      </c>
      <c r="B12" s="2">
        <v>52</v>
      </c>
      <c r="C12" s="2">
        <v>1000</v>
      </c>
      <c r="D12" s="2">
        <f t="shared" ref="D12:D20" si="0">ROUND(B12*C12,0)</f>
        <v>52000</v>
      </c>
      <c r="E12" s="2"/>
      <c r="F12" s="2"/>
      <c r="G12" s="2"/>
      <c r="H12" s="2"/>
      <c r="I12" s="2"/>
      <c r="J12" s="2"/>
    </row>
    <row r="13" spans="1:11" x14ac:dyDescent="0.2">
      <c r="A13" s="220" t="s">
        <v>625</v>
      </c>
      <c r="B13" s="2">
        <v>52</v>
      </c>
      <c r="C13" s="2">
        <v>1000</v>
      </c>
      <c r="D13" s="2">
        <f t="shared" si="0"/>
        <v>52000</v>
      </c>
      <c r="E13" s="2"/>
      <c r="F13" s="2"/>
      <c r="G13" s="2"/>
      <c r="H13" s="2"/>
      <c r="I13" s="2"/>
      <c r="J13" s="2"/>
    </row>
    <row r="14" spans="1:11" x14ac:dyDescent="0.2">
      <c r="A14" s="220" t="s">
        <v>625</v>
      </c>
      <c r="B14" s="2">
        <v>52</v>
      </c>
      <c r="C14" s="2">
        <v>1000</v>
      </c>
      <c r="D14" s="2">
        <f t="shared" si="0"/>
        <v>52000</v>
      </c>
      <c r="E14" s="2"/>
      <c r="F14" s="2"/>
      <c r="G14" s="2"/>
      <c r="H14" s="2"/>
      <c r="I14" s="2"/>
      <c r="J14" s="2"/>
    </row>
    <row r="15" spans="1:11" x14ac:dyDescent="0.2">
      <c r="A15" s="220" t="s">
        <v>625</v>
      </c>
      <c r="B15" s="2">
        <v>52</v>
      </c>
      <c r="C15" s="2">
        <v>1000</v>
      </c>
      <c r="D15" s="2">
        <f t="shared" si="0"/>
        <v>52000</v>
      </c>
      <c r="E15" s="2"/>
      <c r="F15" s="2"/>
      <c r="G15" s="2"/>
      <c r="H15" s="2"/>
      <c r="I15" s="2"/>
      <c r="J15" s="2"/>
    </row>
    <row r="16" spans="1:11" x14ac:dyDescent="0.2">
      <c r="A16" s="220" t="s">
        <v>625</v>
      </c>
      <c r="B16" s="2">
        <v>52</v>
      </c>
      <c r="C16" s="2">
        <v>1000</v>
      </c>
      <c r="D16" s="2">
        <f t="shared" si="0"/>
        <v>52000</v>
      </c>
      <c r="E16" s="2"/>
      <c r="F16" s="2"/>
      <c r="G16" s="2"/>
      <c r="H16" s="2"/>
      <c r="I16" s="2"/>
      <c r="J16" s="2"/>
    </row>
    <row r="17" spans="1:11" x14ac:dyDescent="0.2">
      <c r="A17" s="220" t="s">
        <v>625</v>
      </c>
      <c r="B17" s="2">
        <v>52</v>
      </c>
      <c r="C17" s="2">
        <v>1000</v>
      </c>
      <c r="D17" s="2">
        <f t="shared" si="0"/>
        <v>52000</v>
      </c>
      <c r="E17" s="2"/>
      <c r="F17" s="2"/>
      <c r="G17" s="2"/>
      <c r="H17" s="2"/>
      <c r="I17" s="2"/>
      <c r="J17" s="2"/>
    </row>
    <row r="18" spans="1:11" x14ac:dyDescent="0.2">
      <c r="A18" s="220" t="s">
        <v>625</v>
      </c>
      <c r="B18" s="2">
        <v>52</v>
      </c>
      <c r="C18" s="2">
        <v>903</v>
      </c>
      <c r="D18" s="2">
        <f t="shared" si="0"/>
        <v>46956</v>
      </c>
      <c r="E18" s="2"/>
      <c r="F18" s="2"/>
      <c r="G18" s="2"/>
      <c r="H18" s="2"/>
      <c r="I18" s="2"/>
      <c r="J18" s="2"/>
    </row>
    <row r="19" spans="1:11" x14ac:dyDescent="0.2">
      <c r="A19" s="220" t="s">
        <v>1963</v>
      </c>
      <c r="B19" s="2"/>
      <c r="C19" s="2"/>
      <c r="D19" s="2">
        <v>5101</v>
      </c>
      <c r="E19" s="2"/>
      <c r="F19" s="2"/>
      <c r="G19" s="2"/>
      <c r="H19" s="2"/>
      <c r="I19" s="2"/>
      <c r="J19" s="2"/>
    </row>
    <row r="20" spans="1:11" x14ac:dyDescent="0.2">
      <c r="A20" s="220" t="s">
        <v>1851</v>
      </c>
      <c r="B20" s="2">
        <v>480</v>
      </c>
      <c r="C20" s="2">
        <v>1</v>
      </c>
      <c r="D20" s="2">
        <f t="shared" si="0"/>
        <v>480</v>
      </c>
      <c r="E20" s="2"/>
      <c r="F20" s="2"/>
      <c r="G20" s="2"/>
      <c r="H20" s="2"/>
      <c r="I20" s="2"/>
      <c r="J20" s="2"/>
    </row>
    <row r="21" spans="1:11" x14ac:dyDescent="0.2">
      <c r="A21" s="2" t="s">
        <v>2139</v>
      </c>
      <c r="B21" s="2">
        <v>1</v>
      </c>
      <c r="C21" s="2">
        <f>SUM(C12:C18)</f>
        <v>6903</v>
      </c>
      <c r="D21" s="2">
        <f>+C21*B21</f>
        <v>6903</v>
      </c>
      <c r="E21" s="2"/>
      <c r="F21" s="2"/>
      <c r="G21" s="2"/>
      <c r="H21" s="2"/>
      <c r="I21" s="2"/>
      <c r="J21" s="2"/>
    </row>
    <row r="22" spans="1:11" x14ac:dyDescent="0.2">
      <c r="A22" s="220" t="s">
        <v>833</v>
      </c>
      <c r="B22" s="2"/>
      <c r="C22" s="11"/>
      <c r="D22" s="2">
        <v>993</v>
      </c>
      <c r="E22" s="2"/>
      <c r="F22" s="2"/>
      <c r="G22" s="2"/>
      <c r="H22" s="2"/>
      <c r="I22" s="2"/>
      <c r="J22" s="2"/>
    </row>
    <row r="23" spans="1:11" ht="15" x14ac:dyDescent="0.35">
      <c r="A23" s="220" t="s">
        <v>1540</v>
      </c>
      <c r="B23" s="2">
        <v>560</v>
      </c>
      <c r="C23" s="11">
        <f>+SUM(C12:C18)/40/7</f>
        <v>24.653571428571428</v>
      </c>
      <c r="D23" s="10">
        <f>ROUND(B23*C23,0)</f>
        <v>13806</v>
      </c>
      <c r="E23" s="2"/>
      <c r="F23" s="2"/>
      <c r="G23" s="2"/>
      <c r="H23" s="2"/>
      <c r="I23" s="2"/>
      <c r="J23" s="2"/>
    </row>
    <row r="24" spans="1:11" x14ac:dyDescent="0.2">
      <c r="A24" s="220" t="s">
        <v>1086</v>
      </c>
      <c r="B24" s="2"/>
      <c r="C24" s="2"/>
      <c r="D24" s="2">
        <f>SUM(D12:D23)</f>
        <v>386239</v>
      </c>
      <c r="E24" s="2"/>
      <c r="F24" s="2"/>
      <c r="G24" s="2"/>
      <c r="H24" s="2"/>
      <c r="I24" s="2"/>
      <c r="J24" s="2"/>
    </row>
    <row r="25" spans="1:11" x14ac:dyDescent="0.2">
      <c r="D25" s="2"/>
      <c r="E25" s="2"/>
      <c r="F25" s="2"/>
      <c r="G25" s="2"/>
      <c r="H25" s="2"/>
      <c r="I25" s="2"/>
      <c r="J25" s="2"/>
    </row>
    <row r="26" spans="1:11" ht="13.5" x14ac:dyDescent="0.25">
      <c r="A26" s="225" t="s">
        <v>626</v>
      </c>
      <c r="D26" s="2"/>
      <c r="E26" s="2">
        <v>947</v>
      </c>
      <c r="F26" s="2">
        <v>3788</v>
      </c>
      <c r="G26" s="2">
        <v>3864</v>
      </c>
      <c r="H26" s="2">
        <v>3864</v>
      </c>
      <c r="I26" s="2">
        <v>3864</v>
      </c>
      <c r="J26" s="2">
        <v>3864</v>
      </c>
    </row>
    <row r="27" spans="1:11" x14ac:dyDescent="0.2">
      <c r="A27" s="220" t="s">
        <v>130</v>
      </c>
      <c r="B27" s="2">
        <v>88.21</v>
      </c>
      <c r="C27" s="11">
        <f>ROUND((((+C7)/40)*1.5),2)</f>
        <v>43.8</v>
      </c>
      <c r="D27" s="2">
        <f>ROUND(B27*C27,0)</f>
        <v>3864</v>
      </c>
      <c r="E27" s="2"/>
      <c r="F27" s="2"/>
      <c r="G27" s="2"/>
      <c r="H27" s="2"/>
      <c r="I27" s="2"/>
      <c r="J27" s="2"/>
    </row>
    <row r="28" spans="1:11" x14ac:dyDescent="0.2">
      <c r="B28" s="2"/>
      <c r="C28" s="11"/>
      <c r="D28" s="2"/>
      <c r="E28" s="2"/>
      <c r="F28" s="2"/>
      <c r="G28" s="2"/>
      <c r="H28" s="2"/>
      <c r="I28" s="2"/>
      <c r="J28" s="2"/>
    </row>
    <row r="29" spans="1:11" ht="13.5" x14ac:dyDescent="0.25">
      <c r="A29" s="225" t="s">
        <v>133</v>
      </c>
      <c r="B29" s="55"/>
      <c r="C29" s="3"/>
      <c r="D29" s="3"/>
      <c r="E29" s="3">
        <v>24632</v>
      </c>
      <c r="F29" s="2">
        <v>37845</v>
      </c>
      <c r="G29" s="2">
        <v>37855</v>
      </c>
      <c r="H29" s="2">
        <v>37855</v>
      </c>
      <c r="I29" s="2">
        <v>37855</v>
      </c>
      <c r="J29" s="2">
        <v>37855</v>
      </c>
      <c r="K29" s="2">
        <f>+J29-I29</f>
        <v>0</v>
      </c>
    </row>
    <row r="30" spans="1:11" x14ac:dyDescent="0.2">
      <c r="A30" s="220" t="s">
        <v>1552</v>
      </c>
      <c r="B30" s="3">
        <v>800</v>
      </c>
      <c r="C30" s="58">
        <v>18.55</v>
      </c>
      <c r="D30" s="3">
        <f>ROUND(B30*C30,0)</f>
        <v>14840</v>
      </c>
      <c r="E30" s="2"/>
      <c r="F30" s="2"/>
      <c r="G30" s="2"/>
      <c r="H30" s="2"/>
      <c r="I30" s="2"/>
      <c r="J30" s="2"/>
    </row>
    <row r="31" spans="1:11" x14ac:dyDescent="0.2">
      <c r="A31" s="220" t="s">
        <v>436</v>
      </c>
      <c r="B31" s="3">
        <v>1040</v>
      </c>
      <c r="C31" s="58">
        <v>22.13</v>
      </c>
      <c r="D31" s="64">
        <f>ROUND(B31*C31,0)</f>
        <v>23015</v>
      </c>
      <c r="E31" s="2"/>
      <c r="F31" s="2"/>
      <c r="G31" s="2"/>
      <c r="H31" s="2"/>
      <c r="I31" s="2"/>
      <c r="J31" s="2"/>
    </row>
    <row r="32" spans="1:11" x14ac:dyDescent="0.2">
      <c r="B32" s="3"/>
      <c r="C32" s="58"/>
      <c r="D32" s="3">
        <f>SUM(D30:D31)</f>
        <v>37855</v>
      </c>
      <c r="E32" s="2"/>
      <c r="F32" s="2"/>
      <c r="G32" s="2"/>
      <c r="H32" s="2"/>
      <c r="I32" s="2"/>
      <c r="J32" s="2"/>
    </row>
    <row r="33" spans="1:10" x14ac:dyDescent="0.2">
      <c r="B33" s="3"/>
      <c r="C33" s="3"/>
      <c r="D33" s="3"/>
      <c r="E33" s="2"/>
      <c r="F33" s="2"/>
      <c r="G33" s="2"/>
      <c r="H33" s="2"/>
      <c r="I33" s="2"/>
      <c r="J33" s="2"/>
    </row>
    <row r="34" spans="1:10" ht="13.5" x14ac:dyDescent="0.25">
      <c r="A34" s="225" t="s">
        <v>789</v>
      </c>
      <c r="D34" s="2"/>
      <c r="E34" s="2">
        <v>50189</v>
      </c>
      <c r="F34" s="2">
        <v>31201</v>
      </c>
      <c r="G34" s="2">
        <v>31838</v>
      </c>
      <c r="H34" s="2">
        <v>31396</v>
      </c>
      <c r="I34" s="2">
        <v>31396</v>
      </c>
      <c r="J34" s="2">
        <v>31396</v>
      </c>
    </row>
    <row r="35" spans="1:10" x14ac:dyDescent="0.2">
      <c r="A35" s="220" t="s">
        <v>790</v>
      </c>
      <c r="B35" s="2" t="s">
        <v>349</v>
      </c>
      <c r="C35" s="11" t="s">
        <v>349</v>
      </c>
      <c r="D35" s="2" t="s">
        <v>349</v>
      </c>
      <c r="E35" s="2"/>
      <c r="F35" s="2"/>
      <c r="G35" s="2"/>
      <c r="H35" s="2"/>
      <c r="I35" s="2"/>
      <c r="J35" s="2"/>
    </row>
    <row r="36" spans="1:10" x14ac:dyDescent="0.2">
      <c r="A36" s="220" t="s">
        <v>791</v>
      </c>
      <c r="B36" s="2">
        <v>849</v>
      </c>
      <c r="C36" s="11">
        <f>+C23*1.5</f>
        <v>36.980357142857144</v>
      </c>
      <c r="D36" s="3">
        <f>ROUND(B36*C36,0)</f>
        <v>31396</v>
      </c>
      <c r="E36" s="2"/>
      <c r="F36" s="2"/>
      <c r="G36" s="2"/>
      <c r="H36" s="2"/>
      <c r="I36" s="2"/>
      <c r="J36" s="2"/>
    </row>
    <row r="37" spans="1:10" ht="15.6" customHeight="1" x14ac:dyDescent="0.2">
      <c r="B37" s="2"/>
      <c r="C37" s="11"/>
      <c r="D37" s="2"/>
      <c r="E37" s="2"/>
      <c r="F37" s="2"/>
      <c r="G37" s="2"/>
      <c r="H37" s="2"/>
      <c r="I37" s="2"/>
      <c r="J37" s="2"/>
    </row>
    <row r="38" spans="1:10" ht="13.5" x14ac:dyDescent="0.25">
      <c r="A38" s="225" t="s">
        <v>792</v>
      </c>
      <c r="D38" s="2"/>
      <c r="E38" s="2">
        <v>37284</v>
      </c>
      <c r="F38" s="2">
        <v>38658</v>
      </c>
      <c r="G38" s="2">
        <v>39926</v>
      </c>
      <c r="H38" s="2">
        <v>39787</v>
      </c>
      <c r="I38" s="2">
        <v>39787</v>
      </c>
      <c r="J38" s="2">
        <v>39787</v>
      </c>
    </row>
    <row r="39" spans="1:10" hidden="1" x14ac:dyDescent="0.2">
      <c r="A39" s="12" t="s">
        <v>1290</v>
      </c>
      <c r="B39" s="2">
        <f>+D7</f>
        <v>60736</v>
      </c>
      <c r="C39" s="13">
        <v>7.6499999999999999E-2</v>
      </c>
      <c r="D39" s="2">
        <f>ROUND(B39*C39,0)</f>
        <v>4646</v>
      </c>
      <c r="E39" s="2"/>
      <c r="F39" s="2"/>
      <c r="G39" s="2"/>
      <c r="H39" s="2"/>
      <c r="I39" s="2"/>
      <c r="J39" s="2"/>
    </row>
    <row r="40" spans="1:10" hidden="1" x14ac:dyDescent="0.2">
      <c r="A40" s="12" t="s">
        <v>695</v>
      </c>
      <c r="B40" s="2">
        <f>+D24</f>
        <v>386239</v>
      </c>
      <c r="C40" s="13">
        <v>7.6499999999999999E-2</v>
      </c>
      <c r="D40" s="2">
        <f>ROUND(B40*C40,0)</f>
        <v>29547</v>
      </c>
      <c r="E40" s="2"/>
      <c r="F40" s="2"/>
      <c r="G40" s="2"/>
      <c r="H40" s="2"/>
      <c r="I40" s="2"/>
      <c r="J40" s="2"/>
    </row>
    <row r="41" spans="1:10" hidden="1" x14ac:dyDescent="0.2">
      <c r="A41" s="12" t="s">
        <v>771</v>
      </c>
      <c r="B41" s="2">
        <f>+D27</f>
        <v>3864</v>
      </c>
      <c r="C41" s="13">
        <v>7.6499999999999999E-2</v>
      </c>
      <c r="D41" s="2">
        <f>ROUND(B41*C41,0)</f>
        <v>296</v>
      </c>
      <c r="E41" s="2"/>
      <c r="F41" s="2"/>
      <c r="G41" s="2"/>
      <c r="H41" s="2"/>
      <c r="I41" s="2"/>
      <c r="J41" s="2"/>
    </row>
    <row r="42" spans="1:10" hidden="1" x14ac:dyDescent="0.2">
      <c r="A42" s="12" t="s">
        <v>158</v>
      </c>
      <c r="B42" s="2">
        <f>+D32</f>
        <v>37855</v>
      </c>
      <c r="C42" s="13">
        <v>7.6499999999999999E-2</v>
      </c>
      <c r="D42" s="2">
        <f>ROUND(B42*C42,0)</f>
        <v>2896</v>
      </c>
      <c r="E42" s="2"/>
      <c r="F42" s="2"/>
      <c r="G42" s="2"/>
      <c r="H42" s="2"/>
      <c r="I42" s="2"/>
      <c r="J42" s="2"/>
    </row>
    <row r="43" spans="1:10" ht="15" hidden="1" x14ac:dyDescent="0.35">
      <c r="A43" s="12" t="s">
        <v>159</v>
      </c>
      <c r="B43" s="2">
        <f>+D36</f>
        <v>31396</v>
      </c>
      <c r="C43" s="13">
        <v>7.6499999999999999E-2</v>
      </c>
      <c r="D43" s="10">
        <f>ROUND(B43*C43,0)</f>
        <v>2402</v>
      </c>
      <c r="E43" s="2"/>
      <c r="F43" s="2"/>
      <c r="G43" s="2"/>
      <c r="H43" s="2"/>
      <c r="I43" s="2"/>
      <c r="J43" s="2"/>
    </row>
    <row r="44" spans="1:10" hidden="1" x14ac:dyDescent="0.2">
      <c r="A44" s="220" t="s">
        <v>1086</v>
      </c>
      <c r="D44" s="2">
        <f>SUM(D39:D43)</f>
        <v>39787</v>
      </c>
      <c r="E44" s="2"/>
      <c r="F44" s="2"/>
      <c r="G44" s="2"/>
      <c r="H44" s="2"/>
      <c r="I44" s="2"/>
      <c r="J44" s="2"/>
    </row>
    <row r="45" spans="1:10" x14ac:dyDescent="0.2">
      <c r="D45" s="2"/>
      <c r="E45" s="2"/>
      <c r="F45" s="2"/>
      <c r="G45" s="2"/>
      <c r="H45" s="2"/>
      <c r="I45" s="2"/>
      <c r="J45" s="2"/>
    </row>
    <row r="46" spans="1:10" ht="13.5" x14ac:dyDescent="0.25">
      <c r="A46" s="14" t="s">
        <v>905</v>
      </c>
      <c r="D46" s="2"/>
      <c r="E46" s="2">
        <v>50803</v>
      </c>
      <c r="F46" s="2">
        <v>52218</v>
      </c>
      <c r="G46" s="2">
        <v>68056</v>
      </c>
      <c r="H46" s="2">
        <v>67802</v>
      </c>
      <c r="I46" s="2">
        <v>67802</v>
      </c>
      <c r="J46" s="2">
        <v>67802</v>
      </c>
    </row>
    <row r="47" spans="1:10" hidden="1" x14ac:dyDescent="0.2">
      <c r="A47" s="12" t="s">
        <v>1290</v>
      </c>
      <c r="B47" s="2">
        <f>+B39+B41</f>
        <v>64600</v>
      </c>
      <c r="C47" s="228">
        <v>0.1406</v>
      </c>
      <c r="D47" s="2">
        <f>ROUND(B47*C47,0)</f>
        <v>9083</v>
      </c>
      <c r="E47" s="2"/>
      <c r="F47" s="2"/>
      <c r="G47" s="2"/>
      <c r="H47" s="2"/>
      <c r="I47" s="2"/>
      <c r="J47" s="2"/>
    </row>
    <row r="48" spans="1:10" ht="15" hidden="1" x14ac:dyDescent="0.35">
      <c r="A48" s="220" t="s">
        <v>1206</v>
      </c>
      <c r="B48" s="2">
        <f>+D24+D36</f>
        <v>417635</v>
      </c>
      <c r="C48" s="228">
        <v>0.1406</v>
      </c>
      <c r="D48" s="10">
        <f>ROUND(B48*C48,0)</f>
        <v>58719</v>
      </c>
      <c r="E48" s="2"/>
      <c r="F48" s="2"/>
      <c r="G48" s="2"/>
      <c r="H48" s="2"/>
      <c r="I48" s="2"/>
      <c r="J48" s="2"/>
    </row>
    <row r="49" spans="1:10" hidden="1" x14ac:dyDescent="0.2">
      <c r="A49" s="220" t="s">
        <v>1086</v>
      </c>
      <c r="D49" s="2">
        <f>SUM(D47:D48)</f>
        <v>67802</v>
      </c>
      <c r="E49" s="2"/>
      <c r="F49" s="2"/>
      <c r="G49" s="2"/>
      <c r="H49" s="2"/>
      <c r="I49" s="2"/>
      <c r="J49" s="2"/>
    </row>
    <row r="50" spans="1:10" x14ac:dyDescent="0.2">
      <c r="D50" s="2"/>
      <c r="E50" s="2"/>
      <c r="F50" s="2"/>
      <c r="G50" s="2"/>
      <c r="H50" s="2"/>
      <c r="I50" s="2"/>
      <c r="J50" s="2"/>
    </row>
    <row r="51" spans="1:10" ht="13.5" x14ac:dyDescent="0.25">
      <c r="A51" s="225" t="s">
        <v>971</v>
      </c>
      <c r="D51" s="2"/>
      <c r="E51" s="2">
        <v>153897</v>
      </c>
      <c r="F51" s="2">
        <v>156600</v>
      </c>
      <c r="G51" s="2">
        <v>159600</v>
      </c>
      <c r="H51" s="2">
        <v>158000</v>
      </c>
      <c r="I51" s="2">
        <v>158000</v>
      </c>
      <c r="J51" s="2">
        <v>158000</v>
      </c>
    </row>
    <row r="52" spans="1:10" x14ac:dyDescent="0.2">
      <c r="A52" s="220" t="s">
        <v>1559</v>
      </c>
      <c r="B52" s="2">
        <v>1</v>
      </c>
      <c r="C52" s="2">
        <v>19750</v>
      </c>
      <c r="D52" s="2">
        <f>ROUND(B52*C52,0)</f>
        <v>19750</v>
      </c>
      <c r="E52" s="2"/>
      <c r="F52" s="2"/>
      <c r="G52" s="2"/>
      <c r="H52" s="2"/>
      <c r="I52" s="2"/>
      <c r="J52" s="2"/>
    </row>
    <row r="53" spans="1:10" ht="15" x14ac:dyDescent="0.35">
      <c r="A53" s="220" t="s">
        <v>1560</v>
      </c>
      <c r="B53" s="2">
        <v>7</v>
      </c>
      <c r="C53" s="2">
        <v>19750</v>
      </c>
      <c r="D53" s="10">
        <f>ROUND(B53*C53,0)</f>
        <v>138250</v>
      </c>
      <c r="E53" s="2"/>
      <c r="F53" s="2"/>
      <c r="G53" s="2"/>
      <c r="H53" s="2"/>
      <c r="I53" s="2"/>
      <c r="J53" s="2"/>
    </row>
    <row r="54" spans="1:10" x14ac:dyDescent="0.2">
      <c r="A54" s="220" t="s">
        <v>690</v>
      </c>
      <c r="B54" s="2"/>
      <c r="C54" s="2"/>
      <c r="D54" s="2">
        <f>SUM(D52:D53)</f>
        <v>158000</v>
      </c>
      <c r="E54" s="2"/>
      <c r="F54" s="2"/>
      <c r="G54" s="2"/>
      <c r="H54" s="2"/>
      <c r="I54" s="2"/>
      <c r="J54" s="2"/>
    </row>
    <row r="55" spans="1:10" x14ac:dyDescent="0.2">
      <c r="D55" s="2"/>
      <c r="E55" s="2"/>
      <c r="F55" s="2"/>
      <c r="G55" s="2"/>
      <c r="H55" s="2"/>
      <c r="I55" s="2"/>
      <c r="J55" s="2"/>
    </row>
    <row r="56" spans="1:10" ht="13.5" x14ac:dyDescent="0.25">
      <c r="A56" s="225" t="s">
        <v>167</v>
      </c>
      <c r="D56" s="2"/>
      <c r="E56" s="2">
        <v>9559</v>
      </c>
      <c r="F56" s="2">
        <v>10220</v>
      </c>
      <c r="G56" s="2">
        <v>10220</v>
      </c>
      <c r="H56" s="2">
        <v>10220</v>
      </c>
      <c r="I56" s="2">
        <v>10220</v>
      </c>
      <c r="J56" s="2">
        <v>10220</v>
      </c>
    </row>
    <row r="57" spans="1:10" x14ac:dyDescent="0.2">
      <c r="A57" s="220" t="s">
        <v>268</v>
      </c>
      <c r="B57" s="2">
        <v>1</v>
      </c>
      <c r="C57" s="2">
        <v>1400</v>
      </c>
      <c r="D57" s="2">
        <f>ROUND(B57*C57,0)</f>
        <v>1400</v>
      </c>
      <c r="E57" s="2"/>
      <c r="F57" s="2"/>
      <c r="G57" s="2"/>
      <c r="H57" s="2"/>
      <c r="I57" s="2"/>
      <c r="J57" s="2"/>
    </row>
    <row r="58" spans="1:10" x14ac:dyDescent="0.2">
      <c r="A58" s="220" t="s">
        <v>534</v>
      </c>
      <c r="B58" s="2">
        <v>7</v>
      </c>
      <c r="C58" s="2">
        <v>1400</v>
      </c>
      <c r="D58" s="2">
        <f>ROUND(B58*C58,0)</f>
        <v>9800</v>
      </c>
      <c r="E58" s="2"/>
      <c r="F58" s="2"/>
      <c r="G58" s="2"/>
      <c r="H58" s="2"/>
      <c r="I58" s="2"/>
      <c r="J58" s="2"/>
    </row>
    <row r="59" spans="1:10" x14ac:dyDescent="0.2">
      <c r="A59" s="220" t="s">
        <v>535</v>
      </c>
      <c r="B59" s="2"/>
      <c r="C59" s="2"/>
      <c r="D59" s="17">
        <f>+C58*-0.1*7</f>
        <v>-980</v>
      </c>
      <c r="E59" s="2"/>
      <c r="F59" s="2"/>
      <c r="G59" s="2"/>
      <c r="H59" s="2"/>
      <c r="I59" s="2"/>
      <c r="J59" s="2"/>
    </row>
    <row r="60" spans="1:10" x14ac:dyDescent="0.2">
      <c r="A60" s="220" t="s">
        <v>690</v>
      </c>
      <c r="B60" s="2"/>
      <c r="C60" s="2"/>
      <c r="D60" s="2">
        <f>SUM(D57:D59)</f>
        <v>10220</v>
      </c>
      <c r="E60" s="2"/>
      <c r="F60" s="2"/>
      <c r="G60" s="2"/>
      <c r="H60" s="2"/>
      <c r="I60" s="2"/>
      <c r="J60" s="2"/>
    </row>
    <row r="61" spans="1:10" x14ac:dyDescent="0.2">
      <c r="D61" s="2"/>
      <c r="E61" s="2"/>
      <c r="F61" s="2"/>
      <c r="G61" s="2"/>
      <c r="H61" s="2"/>
      <c r="I61" s="2"/>
      <c r="J61" s="2"/>
    </row>
    <row r="62" spans="1:10" ht="13.5" x14ac:dyDescent="0.25">
      <c r="A62" s="225" t="s">
        <v>168</v>
      </c>
      <c r="D62" s="2"/>
      <c r="E62" s="2">
        <v>910</v>
      </c>
      <c r="F62" s="2">
        <v>1080</v>
      </c>
      <c r="G62" s="2">
        <v>1080</v>
      </c>
      <c r="H62" s="2">
        <v>1080</v>
      </c>
      <c r="I62" s="2">
        <v>1080</v>
      </c>
      <c r="J62" s="2">
        <v>1080</v>
      </c>
    </row>
    <row r="63" spans="1:10" hidden="1" x14ac:dyDescent="0.2">
      <c r="A63" s="12" t="s">
        <v>1290</v>
      </c>
      <c r="B63" s="2">
        <v>1</v>
      </c>
      <c r="C63" s="2">
        <v>135</v>
      </c>
      <c r="D63" s="2">
        <f>ROUND(B63*C63,0)</f>
        <v>135</v>
      </c>
      <c r="E63" s="2"/>
      <c r="F63" s="2"/>
      <c r="G63" s="2"/>
      <c r="H63" s="2"/>
      <c r="I63" s="2"/>
      <c r="J63" s="2"/>
    </row>
    <row r="64" spans="1:10" ht="15" hidden="1" x14ac:dyDescent="0.35">
      <c r="A64" s="12" t="s">
        <v>695</v>
      </c>
      <c r="B64" s="2">
        <v>7</v>
      </c>
      <c r="C64" s="2">
        <v>135</v>
      </c>
      <c r="D64" s="10">
        <f>ROUND(B64*C64,0)</f>
        <v>945</v>
      </c>
      <c r="E64" s="2"/>
      <c r="F64" s="2"/>
      <c r="G64" s="2"/>
      <c r="H64" s="2"/>
      <c r="I64" s="2"/>
      <c r="J64" s="2"/>
    </row>
    <row r="65" spans="1:10" hidden="1" x14ac:dyDescent="0.2">
      <c r="A65" s="220" t="s">
        <v>1086</v>
      </c>
      <c r="B65" s="2"/>
      <c r="C65" s="2"/>
      <c r="D65" s="2">
        <f>SUM(D63:D64)</f>
        <v>1080</v>
      </c>
      <c r="E65" s="2"/>
      <c r="F65" s="2"/>
      <c r="G65" s="2"/>
      <c r="H65" s="2"/>
      <c r="I65" s="2"/>
      <c r="J65" s="2"/>
    </row>
    <row r="66" spans="1:10" x14ac:dyDescent="0.2">
      <c r="D66" s="2"/>
      <c r="E66" s="2"/>
      <c r="F66" s="2"/>
      <c r="G66" s="2"/>
      <c r="H66" s="2"/>
      <c r="I66" s="2"/>
      <c r="J66" s="2"/>
    </row>
    <row r="67" spans="1:10" ht="13.5" x14ac:dyDescent="0.25">
      <c r="A67" s="225" t="s">
        <v>169</v>
      </c>
      <c r="D67" s="2"/>
      <c r="E67" s="2">
        <v>5009</v>
      </c>
      <c r="F67" s="2">
        <v>5000</v>
      </c>
      <c r="G67" s="2">
        <v>4400</v>
      </c>
      <c r="H67" s="2">
        <v>4400</v>
      </c>
      <c r="I67" s="2">
        <v>4400</v>
      </c>
      <c r="J67" s="2">
        <v>4400</v>
      </c>
    </row>
    <row r="68" spans="1:10" hidden="1" x14ac:dyDescent="0.2">
      <c r="A68" s="12" t="s">
        <v>1290</v>
      </c>
      <c r="B68" s="2">
        <v>1</v>
      </c>
      <c r="C68" s="2">
        <v>550</v>
      </c>
      <c r="D68" s="2">
        <f>ROUND(B68*C68,0)</f>
        <v>550</v>
      </c>
      <c r="E68" s="2"/>
      <c r="F68" s="2"/>
      <c r="G68" s="2"/>
      <c r="H68" s="2"/>
      <c r="I68" s="2"/>
      <c r="J68" s="2"/>
    </row>
    <row r="69" spans="1:10" ht="15" hidden="1" x14ac:dyDescent="0.35">
      <c r="A69" s="12" t="s">
        <v>695</v>
      </c>
      <c r="B69" s="2">
        <v>7</v>
      </c>
      <c r="C69" s="2">
        <v>550</v>
      </c>
      <c r="D69" s="10">
        <f>ROUND(B69*C69,0)</f>
        <v>3850</v>
      </c>
      <c r="E69" s="2"/>
      <c r="F69" s="2"/>
      <c r="G69" s="2"/>
      <c r="H69" s="2"/>
      <c r="I69" s="2"/>
      <c r="J69" s="2"/>
    </row>
    <row r="70" spans="1:10" hidden="1" x14ac:dyDescent="0.2">
      <c r="A70" s="220" t="s">
        <v>1086</v>
      </c>
      <c r="B70" s="2"/>
      <c r="C70" s="2"/>
      <c r="D70" s="2">
        <f>SUM(D68:D69)</f>
        <v>4400</v>
      </c>
      <c r="E70" s="2"/>
      <c r="F70" s="2"/>
      <c r="G70" s="2"/>
      <c r="H70" s="2"/>
      <c r="I70" s="2"/>
      <c r="J70" s="2"/>
    </row>
    <row r="71" spans="1:10" x14ac:dyDescent="0.2">
      <c r="E71" s="2"/>
      <c r="F71" s="2"/>
      <c r="G71" s="2"/>
      <c r="H71" s="2"/>
      <c r="I71" s="2"/>
      <c r="J71" s="2"/>
    </row>
    <row r="72" spans="1:10" ht="13.5" x14ac:dyDescent="0.25">
      <c r="A72" s="225" t="s">
        <v>170</v>
      </c>
      <c r="B72" s="118"/>
      <c r="E72" s="2">
        <v>658</v>
      </c>
      <c r="F72" s="2">
        <v>860</v>
      </c>
      <c r="G72" s="2">
        <v>889</v>
      </c>
      <c r="H72" s="2">
        <v>886</v>
      </c>
      <c r="I72" s="2">
        <v>886</v>
      </c>
      <c r="J72" s="2">
        <v>886</v>
      </c>
    </row>
    <row r="73" spans="1:10" hidden="1" x14ac:dyDescent="0.2">
      <c r="A73" s="12" t="s">
        <v>1290</v>
      </c>
      <c r="B73" s="2">
        <f>+B39</f>
        <v>60736</v>
      </c>
      <c r="C73" s="13">
        <v>1.6999999999999999E-3</v>
      </c>
      <c r="D73" s="2">
        <f>ROUND(B73*C73,0)</f>
        <v>103</v>
      </c>
      <c r="E73" s="2"/>
      <c r="F73" s="2"/>
      <c r="G73" s="2"/>
      <c r="H73" s="2"/>
      <c r="I73" s="2"/>
      <c r="J73" s="2"/>
    </row>
    <row r="74" spans="1:10" hidden="1" x14ac:dyDescent="0.2">
      <c r="A74" s="12" t="s">
        <v>695</v>
      </c>
      <c r="B74" s="2">
        <f>+D24</f>
        <v>386239</v>
      </c>
      <c r="C74" s="13">
        <v>1.6999999999999999E-3</v>
      </c>
      <c r="D74" s="2">
        <f>ROUND(B74*C74,0)</f>
        <v>657</v>
      </c>
      <c r="E74" s="2"/>
      <c r="F74" s="2"/>
      <c r="G74" s="2"/>
      <c r="H74" s="2"/>
      <c r="I74" s="2"/>
      <c r="J74" s="2"/>
    </row>
    <row r="75" spans="1:10" hidden="1" x14ac:dyDescent="0.2">
      <c r="A75" s="12" t="s">
        <v>1669</v>
      </c>
      <c r="B75" s="2">
        <f>+D27</f>
        <v>3864</v>
      </c>
      <c r="C75" s="13">
        <v>1.6999999999999999E-3</v>
      </c>
      <c r="D75" s="2">
        <f>ROUND(B75*C75,0)</f>
        <v>7</v>
      </c>
      <c r="F75" s="2"/>
      <c r="G75" s="2"/>
      <c r="H75" s="2"/>
      <c r="I75" s="2"/>
      <c r="J75" s="2"/>
    </row>
    <row r="76" spans="1:10" hidden="1" x14ac:dyDescent="0.2">
      <c r="A76" s="12" t="s">
        <v>158</v>
      </c>
      <c r="B76" s="2">
        <f>+D32</f>
        <v>37855</v>
      </c>
      <c r="C76" s="13">
        <v>1.6999999999999999E-3</v>
      </c>
      <c r="D76" s="2">
        <f>ROUND(B76*C76,0)</f>
        <v>64</v>
      </c>
      <c r="E76" s="2"/>
      <c r="F76" s="2"/>
      <c r="G76" s="2"/>
      <c r="H76" s="2"/>
      <c r="I76" s="2"/>
      <c r="J76" s="2"/>
    </row>
    <row r="77" spans="1:10" ht="15" hidden="1" x14ac:dyDescent="0.35">
      <c r="A77" s="12" t="s">
        <v>1670</v>
      </c>
      <c r="B77" s="2">
        <f>ROUND(D36,0)</f>
        <v>31396</v>
      </c>
      <c r="C77" s="13">
        <v>1.6999999999999999E-3</v>
      </c>
      <c r="D77" s="10">
        <f>ROUND(B77*C77,0)</f>
        <v>53</v>
      </c>
      <c r="E77" s="2"/>
      <c r="F77" s="2"/>
      <c r="G77" s="2"/>
      <c r="H77" s="2"/>
      <c r="I77" s="2"/>
      <c r="J77" s="2"/>
    </row>
    <row r="78" spans="1:10" hidden="1" x14ac:dyDescent="0.2">
      <c r="A78" s="220" t="s">
        <v>1086</v>
      </c>
      <c r="D78" s="2">
        <f>SUM(D73:D77)+2</f>
        <v>886</v>
      </c>
      <c r="E78" s="2"/>
      <c r="F78" s="2"/>
      <c r="G78" s="2"/>
      <c r="H78" s="2"/>
      <c r="I78" s="2"/>
      <c r="J78" s="2"/>
    </row>
    <row r="79" spans="1:10" x14ac:dyDescent="0.2">
      <c r="E79" s="2"/>
      <c r="F79" s="2"/>
      <c r="G79" s="2"/>
      <c r="H79" s="2"/>
      <c r="I79" s="2"/>
      <c r="J79" s="2"/>
    </row>
    <row r="80" spans="1:10" ht="13.5" x14ac:dyDescent="0.25">
      <c r="A80" s="225" t="s">
        <v>1183</v>
      </c>
      <c r="D80" s="2"/>
      <c r="E80" s="2">
        <v>169</v>
      </c>
      <c r="F80" s="2">
        <v>181</v>
      </c>
      <c r="G80" s="2">
        <v>181</v>
      </c>
      <c r="H80" s="2">
        <v>181</v>
      </c>
      <c r="I80" s="2">
        <v>181</v>
      </c>
      <c r="J80" s="2">
        <v>181</v>
      </c>
    </row>
    <row r="81" spans="1:10" hidden="1" x14ac:dyDescent="0.2">
      <c r="A81" s="12" t="s">
        <v>1290</v>
      </c>
      <c r="B81" s="2">
        <v>1</v>
      </c>
      <c r="C81" s="2">
        <v>20</v>
      </c>
      <c r="D81" s="2">
        <f>ROUND(B81*C81,0)</f>
        <v>20</v>
      </c>
      <c r="E81" s="2"/>
      <c r="F81" s="2"/>
      <c r="G81" s="2"/>
      <c r="H81" s="2"/>
      <c r="I81" s="2"/>
      <c r="J81" s="2"/>
    </row>
    <row r="82" spans="1:10" hidden="1" x14ac:dyDescent="0.2">
      <c r="A82" s="12" t="s">
        <v>695</v>
      </c>
      <c r="B82" s="2">
        <v>7</v>
      </c>
      <c r="C82" s="2">
        <v>20</v>
      </c>
      <c r="D82" s="2">
        <f>ROUND(B82*C82,0)</f>
        <v>140</v>
      </c>
      <c r="E82" s="2"/>
      <c r="F82" s="2"/>
      <c r="G82" s="2"/>
      <c r="H82" s="2"/>
      <c r="I82" s="2"/>
      <c r="J82" s="2"/>
    </row>
    <row r="83" spans="1:10" ht="15" hidden="1" x14ac:dyDescent="0.35">
      <c r="A83" s="12" t="s">
        <v>158</v>
      </c>
      <c r="B83" s="2">
        <f>+D30</f>
        <v>14840</v>
      </c>
      <c r="C83" s="13">
        <v>1.4E-3</v>
      </c>
      <c r="D83" s="10">
        <f>ROUND(B83*C83,0)</f>
        <v>21</v>
      </c>
      <c r="E83" s="2"/>
      <c r="F83" s="2"/>
      <c r="G83" s="2"/>
      <c r="H83" s="2"/>
      <c r="I83" s="2"/>
      <c r="J83" s="2"/>
    </row>
    <row r="84" spans="1:10" hidden="1" x14ac:dyDescent="0.2">
      <c r="A84" s="220" t="s">
        <v>1086</v>
      </c>
      <c r="D84" s="2">
        <f>SUM(D81:D83)</f>
        <v>181</v>
      </c>
      <c r="E84" s="2"/>
      <c r="F84" s="2"/>
      <c r="G84" s="2"/>
      <c r="H84" s="2"/>
      <c r="I84" s="2"/>
      <c r="J84" s="2"/>
    </row>
    <row r="85" spans="1:10" x14ac:dyDescent="0.2">
      <c r="D85" s="2"/>
      <c r="E85" s="2"/>
      <c r="F85" s="2"/>
      <c r="G85" s="2"/>
      <c r="H85" s="2"/>
      <c r="I85" s="2"/>
      <c r="J85" s="2"/>
    </row>
    <row r="86" spans="1:10" ht="13.5" x14ac:dyDescent="0.25">
      <c r="A86" s="225" t="s">
        <v>1184</v>
      </c>
      <c r="D86" s="2"/>
      <c r="E86" s="2">
        <v>4825</v>
      </c>
      <c r="F86" s="2">
        <v>4000</v>
      </c>
      <c r="G86" s="2">
        <v>4000</v>
      </c>
      <c r="H86" s="2">
        <v>4000</v>
      </c>
      <c r="I86" s="2">
        <v>4000</v>
      </c>
      <c r="J86" s="2">
        <v>4000</v>
      </c>
    </row>
    <row r="87" spans="1:10" ht="15" x14ac:dyDescent="0.35">
      <c r="A87" s="220" t="s">
        <v>676</v>
      </c>
      <c r="C87" s="2"/>
      <c r="D87" s="10">
        <v>4000</v>
      </c>
      <c r="E87" s="2"/>
      <c r="F87" s="2"/>
      <c r="G87" s="2"/>
      <c r="H87" s="2"/>
      <c r="I87" s="2"/>
      <c r="J87" s="2"/>
    </row>
    <row r="88" spans="1:10" x14ac:dyDescent="0.2">
      <c r="C88" s="2"/>
      <c r="D88" s="2">
        <v>4000</v>
      </c>
      <c r="E88" s="2"/>
      <c r="F88" s="2"/>
      <c r="G88" s="2"/>
      <c r="H88" s="2"/>
      <c r="I88" s="2"/>
      <c r="J88" s="2"/>
    </row>
    <row r="89" spans="1:10" ht="13.5" x14ac:dyDescent="0.25">
      <c r="A89" s="225" t="s">
        <v>677</v>
      </c>
      <c r="C89" s="2"/>
      <c r="D89" s="2"/>
      <c r="E89" s="2">
        <v>2133</v>
      </c>
      <c r="F89" s="2">
        <v>3500</v>
      </c>
      <c r="G89" s="2">
        <v>3500</v>
      </c>
      <c r="H89" s="2">
        <v>3500</v>
      </c>
      <c r="I89" s="2">
        <v>3500</v>
      </c>
      <c r="J89" s="2">
        <v>3500</v>
      </c>
    </row>
    <row r="90" spans="1:10" x14ac:dyDescent="0.2">
      <c r="A90" s="220" t="s">
        <v>1210</v>
      </c>
      <c r="C90" s="2"/>
      <c r="D90" s="2">
        <v>3500</v>
      </c>
      <c r="E90" s="2"/>
      <c r="F90" s="2"/>
      <c r="G90" s="2"/>
      <c r="H90" s="2"/>
      <c r="I90" s="2"/>
      <c r="J90" s="2"/>
    </row>
    <row r="91" spans="1:10" x14ac:dyDescent="0.2">
      <c r="A91" s="220" t="s">
        <v>349</v>
      </c>
      <c r="C91" s="2" t="s">
        <v>349</v>
      </c>
      <c r="D91" s="2" t="s">
        <v>349</v>
      </c>
      <c r="E91" s="2"/>
      <c r="F91" s="2"/>
      <c r="G91" s="2"/>
      <c r="H91" s="2"/>
      <c r="I91" s="2"/>
      <c r="J91" s="2"/>
    </row>
    <row r="92" spans="1:10" ht="13.5" x14ac:dyDescent="0.25">
      <c r="A92" s="225" t="s">
        <v>1211</v>
      </c>
      <c r="C92" s="2" t="s">
        <v>349</v>
      </c>
      <c r="D92" s="2" t="s">
        <v>349</v>
      </c>
      <c r="E92" s="2">
        <v>2348</v>
      </c>
      <c r="F92" s="2">
        <v>3300</v>
      </c>
      <c r="G92" s="2">
        <v>3300</v>
      </c>
      <c r="H92" s="2">
        <v>3300</v>
      </c>
      <c r="I92" s="2">
        <v>3300</v>
      </c>
      <c r="J92" s="2">
        <v>3300</v>
      </c>
    </row>
    <row r="93" spans="1:10" x14ac:dyDescent="0.2">
      <c r="A93" s="220" t="s">
        <v>186</v>
      </c>
      <c r="B93" s="2">
        <v>7</v>
      </c>
      <c r="C93" s="2">
        <v>400</v>
      </c>
      <c r="D93" s="2">
        <f>ROUND(B93*C93,0)</f>
        <v>2800</v>
      </c>
      <c r="E93" s="2"/>
      <c r="F93" s="2"/>
      <c r="G93" s="2"/>
      <c r="H93" s="2"/>
      <c r="I93" s="2"/>
      <c r="J93" s="2"/>
    </row>
    <row r="94" spans="1:10" ht="15" x14ac:dyDescent="0.35">
      <c r="A94" s="220" t="s">
        <v>194</v>
      </c>
      <c r="B94" s="2">
        <v>1</v>
      </c>
      <c r="C94" s="10">
        <v>500</v>
      </c>
      <c r="D94" s="10">
        <f>ROUND(B94*C94,0)</f>
        <v>500</v>
      </c>
      <c r="E94" s="2"/>
      <c r="F94" s="2"/>
      <c r="G94" s="2"/>
      <c r="H94" s="2"/>
      <c r="I94" s="2"/>
      <c r="J94" s="2"/>
    </row>
    <row r="95" spans="1:10" x14ac:dyDescent="0.2">
      <c r="A95" s="220" t="s">
        <v>1086</v>
      </c>
      <c r="C95" s="2">
        <f>SUM(C93:C94)</f>
        <v>900</v>
      </c>
      <c r="D95" s="2">
        <f>SUM(D93:D94)</f>
        <v>3300</v>
      </c>
      <c r="E95" s="2"/>
      <c r="F95" s="2"/>
      <c r="G95" s="2"/>
      <c r="H95" s="2"/>
      <c r="I95" s="2"/>
      <c r="J95" s="2"/>
    </row>
    <row r="96" spans="1:10" x14ac:dyDescent="0.2">
      <c r="C96" s="2"/>
      <c r="D96" s="2"/>
      <c r="E96" s="2"/>
      <c r="F96" s="2"/>
      <c r="G96" s="2"/>
      <c r="H96" s="2"/>
      <c r="I96" s="2"/>
      <c r="J96" s="2"/>
    </row>
    <row r="97" spans="1:10" ht="13.5" x14ac:dyDescent="0.25">
      <c r="A97" s="225" t="s">
        <v>195</v>
      </c>
      <c r="C97" s="2"/>
      <c r="D97" s="2"/>
      <c r="E97" s="2">
        <v>166</v>
      </c>
      <c r="F97" s="2">
        <v>270</v>
      </c>
      <c r="G97" s="2">
        <v>270</v>
      </c>
      <c r="H97" s="2">
        <v>270</v>
      </c>
      <c r="I97" s="2">
        <v>270</v>
      </c>
      <c r="J97" s="2">
        <v>270</v>
      </c>
    </row>
    <row r="98" spans="1:10" x14ac:dyDescent="0.2">
      <c r="A98" s="220" t="s">
        <v>970</v>
      </c>
      <c r="C98" s="2"/>
      <c r="D98" s="2">
        <v>270</v>
      </c>
      <c r="E98" s="2"/>
      <c r="F98" s="2"/>
      <c r="G98" s="2"/>
      <c r="H98" s="2"/>
      <c r="I98" s="2"/>
      <c r="J98" s="2"/>
    </row>
    <row r="99" spans="1:10" x14ac:dyDescent="0.2">
      <c r="C99" s="2"/>
      <c r="D99" s="2"/>
      <c r="E99" s="2"/>
      <c r="F99" s="2"/>
      <c r="G99" s="2"/>
      <c r="H99" s="2"/>
      <c r="I99" s="2"/>
      <c r="J99" s="2"/>
    </row>
    <row r="100" spans="1:10" ht="13.5" x14ac:dyDescent="0.25">
      <c r="A100" s="225" t="s">
        <v>713</v>
      </c>
      <c r="C100" s="2"/>
      <c r="D100" s="2"/>
      <c r="E100" s="2">
        <v>40555</v>
      </c>
      <c r="F100" s="2">
        <v>38010</v>
      </c>
      <c r="G100" s="2">
        <v>38260</v>
      </c>
      <c r="H100" s="2">
        <v>38260</v>
      </c>
      <c r="I100" s="2">
        <v>38260</v>
      </c>
      <c r="J100" s="2">
        <v>38260</v>
      </c>
    </row>
    <row r="101" spans="1:10" x14ac:dyDescent="0.2">
      <c r="A101" s="220" t="s">
        <v>820</v>
      </c>
      <c r="D101" s="2">
        <v>10250</v>
      </c>
      <c r="F101" s="2"/>
      <c r="G101" s="2"/>
      <c r="H101" s="2"/>
      <c r="I101" s="2"/>
      <c r="J101" s="2"/>
    </row>
    <row r="102" spans="1:10" x14ac:dyDescent="0.2">
      <c r="A102" s="220" t="s">
        <v>1770</v>
      </c>
      <c r="D102" s="2">
        <v>1600</v>
      </c>
      <c r="F102" s="2"/>
      <c r="G102" s="2"/>
      <c r="H102" s="2"/>
      <c r="I102" s="2"/>
      <c r="J102" s="2"/>
    </row>
    <row r="103" spans="1:10" x14ac:dyDescent="0.2">
      <c r="A103" s="220" t="s">
        <v>1810</v>
      </c>
      <c r="C103" s="2"/>
      <c r="D103" s="2">
        <v>5000</v>
      </c>
      <c r="F103" s="2"/>
      <c r="G103" s="2"/>
      <c r="H103" s="2"/>
      <c r="I103" s="2"/>
      <c r="J103" s="2"/>
    </row>
    <row r="104" spans="1:10" x14ac:dyDescent="0.2">
      <c r="A104" s="220" t="s">
        <v>1772</v>
      </c>
      <c r="C104" s="2"/>
      <c r="D104" s="2">
        <v>4500</v>
      </c>
      <c r="F104" s="2"/>
      <c r="G104" s="2"/>
      <c r="H104" s="2"/>
      <c r="I104" s="2"/>
      <c r="J104" s="2"/>
    </row>
    <row r="105" spans="1:10" x14ac:dyDescent="0.2">
      <c r="A105" s="220" t="s">
        <v>1700</v>
      </c>
      <c r="C105" s="2"/>
      <c r="D105" s="2">
        <v>1000</v>
      </c>
      <c r="F105" s="2"/>
      <c r="G105" s="2"/>
      <c r="H105" s="2"/>
      <c r="I105" s="2"/>
      <c r="J105" s="2"/>
    </row>
    <row r="106" spans="1:10" x14ac:dyDescent="0.2">
      <c r="A106" s="220" t="s">
        <v>1863</v>
      </c>
      <c r="C106" s="2"/>
      <c r="D106" s="2">
        <v>12000</v>
      </c>
      <c r="F106" s="2"/>
      <c r="G106" s="2"/>
      <c r="H106" s="2"/>
      <c r="I106" s="2"/>
      <c r="J106" s="2"/>
    </row>
    <row r="107" spans="1:10" ht="15" x14ac:dyDescent="0.35">
      <c r="A107" s="220" t="s">
        <v>1585</v>
      </c>
      <c r="D107" s="10">
        <v>3910</v>
      </c>
      <c r="F107" s="2"/>
      <c r="G107" s="2"/>
      <c r="H107" s="2"/>
      <c r="I107" s="2"/>
      <c r="J107" s="2"/>
    </row>
    <row r="108" spans="1:10" x14ac:dyDescent="0.2">
      <c r="A108" s="220" t="s">
        <v>1086</v>
      </c>
      <c r="C108" s="2"/>
      <c r="D108" s="2">
        <f>SUM(D101:D107)</f>
        <v>38260</v>
      </c>
      <c r="F108" s="2"/>
      <c r="G108" s="2"/>
      <c r="H108" s="2"/>
      <c r="I108" s="2"/>
      <c r="J108" s="2"/>
    </row>
    <row r="109" spans="1:10" x14ac:dyDescent="0.2">
      <c r="C109" s="2"/>
      <c r="D109" s="2"/>
      <c r="E109" s="2"/>
      <c r="F109" s="2"/>
      <c r="G109" s="2"/>
      <c r="H109" s="2"/>
      <c r="I109" s="2"/>
      <c r="J109" s="2"/>
    </row>
    <row r="110" spans="1:10" ht="13.5" x14ac:dyDescent="0.25">
      <c r="A110" s="16" t="s">
        <v>43</v>
      </c>
      <c r="D110" s="2"/>
      <c r="E110" s="2">
        <v>4180</v>
      </c>
      <c r="F110" s="2">
        <v>4188</v>
      </c>
      <c r="G110" s="2">
        <v>4481</v>
      </c>
      <c r="H110" s="2">
        <v>4481</v>
      </c>
      <c r="I110" s="2">
        <v>4481</v>
      </c>
      <c r="J110" s="2">
        <v>4481</v>
      </c>
    </row>
    <row r="111" spans="1:10" x14ac:dyDescent="0.2">
      <c r="A111" s="220" t="s">
        <v>1294</v>
      </c>
      <c r="D111" s="2">
        <v>4481</v>
      </c>
      <c r="E111" s="2"/>
      <c r="F111" s="2"/>
      <c r="G111" s="2"/>
      <c r="H111" s="2"/>
      <c r="I111" s="2"/>
      <c r="J111" s="2"/>
    </row>
    <row r="112" spans="1:10" x14ac:dyDescent="0.2">
      <c r="C112" s="2"/>
      <c r="D112" s="2"/>
      <c r="E112" s="2"/>
      <c r="F112" s="2"/>
      <c r="G112" s="2"/>
      <c r="H112" s="2"/>
      <c r="I112" s="2"/>
      <c r="J112" s="2"/>
    </row>
    <row r="113" spans="1:10" ht="13.5" x14ac:dyDescent="0.25">
      <c r="A113" s="56" t="s">
        <v>1859</v>
      </c>
      <c r="C113" s="2"/>
      <c r="D113" s="2"/>
      <c r="E113" s="2">
        <v>63</v>
      </c>
      <c r="F113" s="2">
        <v>1000</v>
      </c>
      <c r="G113" s="2">
        <v>1000</v>
      </c>
      <c r="H113" s="2">
        <v>1000</v>
      </c>
      <c r="I113" s="2">
        <v>1000</v>
      </c>
      <c r="J113" s="2">
        <v>1000</v>
      </c>
    </row>
    <row r="114" spans="1:10" x14ac:dyDescent="0.2">
      <c r="A114" s="220" t="s">
        <v>1897</v>
      </c>
      <c r="C114" s="2"/>
      <c r="D114" s="2">
        <v>1000</v>
      </c>
      <c r="E114" s="2"/>
      <c r="F114" s="2"/>
      <c r="G114" s="2"/>
      <c r="H114" s="2"/>
      <c r="I114" s="2"/>
      <c r="J114" s="2"/>
    </row>
    <row r="115" spans="1:10" ht="13.5" x14ac:dyDescent="0.25">
      <c r="A115" s="225" t="s">
        <v>6</v>
      </c>
      <c r="C115" s="2"/>
      <c r="D115" s="7" t="s">
        <v>349</v>
      </c>
      <c r="E115" s="2">
        <v>21778</v>
      </c>
      <c r="F115" s="2">
        <v>21589</v>
      </c>
      <c r="G115" s="2">
        <v>42345</v>
      </c>
      <c r="H115" s="2">
        <v>42345</v>
      </c>
      <c r="I115" s="2">
        <v>7345</v>
      </c>
      <c r="J115" s="2">
        <v>7345</v>
      </c>
    </row>
    <row r="116" spans="1:10" x14ac:dyDescent="0.2">
      <c r="A116" s="220" t="s">
        <v>7</v>
      </c>
      <c r="C116" s="2"/>
      <c r="D116" s="2">
        <v>2000</v>
      </c>
      <c r="E116" s="2"/>
      <c r="F116" s="2"/>
      <c r="G116" s="2"/>
      <c r="H116" s="2"/>
      <c r="I116" s="2"/>
      <c r="J116" s="2"/>
    </row>
    <row r="117" spans="1:10" x14ac:dyDescent="0.2">
      <c r="A117" s="220" t="s">
        <v>457</v>
      </c>
      <c r="C117" s="2"/>
      <c r="D117" s="2">
        <v>350</v>
      </c>
      <c r="E117" s="2"/>
      <c r="F117" s="2"/>
      <c r="G117" s="2"/>
      <c r="H117" s="2"/>
      <c r="I117" s="2"/>
      <c r="J117" s="2"/>
    </row>
    <row r="118" spans="1:10" x14ac:dyDescent="0.2">
      <c r="A118" s="220" t="s">
        <v>8</v>
      </c>
      <c r="C118" s="2"/>
      <c r="D118" s="2">
        <v>600</v>
      </c>
      <c r="E118" s="2"/>
      <c r="F118" s="2"/>
      <c r="G118" s="2"/>
      <c r="H118" s="2"/>
      <c r="I118" s="2"/>
      <c r="J118" s="2"/>
    </row>
    <row r="119" spans="1:10" x14ac:dyDescent="0.2">
      <c r="A119" s="220" t="s">
        <v>1501</v>
      </c>
      <c r="C119" s="1"/>
      <c r="D119" s="2">
        <v>3000</v>
      </c>
      <c r="E119" s="1"/>
      <c r="F119" s="1"/>
      <c r="G119" s="1"/>
      <c r="H119" s="1"/>
      <c r="I119" s="1"/>
      <c r="J119" s="1"/>
    </row>
    <row r="120" spans="1:10" x14ac:dyDescent="0.2">
      <c r="A120" s="220" t="s">
        <v>1839</v>
      </c>
      <c r="C120" s="1"/>
      <c r="D120" s="2">
        <v>0</v>
      </c>
      <c r="E120" s="1"/>
      <c r="F120" s="1"/>
      <c r="G120" s="1"/>
      <c r="H120" s="1"/>
      <c r="I120" s="1"/>
      <c r="J120" s="1"/>
    </row>
    <row r="121" spans="1:10" ht="15" x14ac:dyDescent="0.35">
      <c r="A121" s="220" t="s">
        <v>1586</v>
      </c>
      <c r="C121" s="1"/>
      <c r="D121" s="2">
        <v>600</v>
      </c>
      <c r="E121" s="71"/>
      <c r="F121" s="1"/>
      <c r="G121" s="1"/>
      <c r="H121" s="1"/>
      <c r="I121" s="1"/>
      <c r="J121" s="1"/>
    </row>
    <row r="122" spans="1:10" ht="15" x14ac:dyDescent="0.35">
      <c r="A122" s="220" t="s">
        <v>1261</v>
      </c>
      <c r="C122" s="71"/>
      <c r="D122" s="10">
        <v>795</v>
      </c>
      <c r="E122" s="2"/>
      <c r="F122" s="71"/>
      <c r="G122" s="71"/>
      <c r="H122" s="71"/>
      <c r="I122" s="71"/>
      <c r="J122" s="71"/>
    </row>
    <row r="123" spans="1:10" x14ac:dyDescent="0.2">
      <c r="A123" s="220" t="s">
        <v>1086</v>
      </c>
      <c r="C123" s="2"/>
      <c r="D123" s="2">
        <f>SUM(D116:D122)</f>
        <v>7345</v>
      </c>
      <c r="E123" s="2"/>
      <c r="F123" s="2"/>
      <c r="G123" s="2"/>
      <c r="H123" s="2"/>
      <c r="I123" s="2"/>
      <c r="J123" s="2"/>
    </row>
    <row r="124" spans="1:10" x14ac:dyDescent="0.2">
      <c r="C124" s="2"/>
      <c r="D124" s="2"/>
      <c r="F124" s="2"/>
      <c r="G124" s="2"/>
      <c r="H124" s="2"/>
      <c r="I124" s="2"/>
      <c r="J124" s="2"/>
    </row>
    <row r="125" spans="1:10" ht="13.5" x14ac:dyDescent="0.25">
      <c r="A125" s="225" t="s">
        <v>9</v>
      </c>
      <c r="C125" s="2"/>
      <c r="D125" s="2"/>
      <c r="E125" s="2">
        <v>699</v>
      </c>
      <c r="F125" s="2">
        <v>8000</v>
      </c>
      <c r="G125" s="2">
        <v>8000</v>
      </c>
      <c r="H125" s="2">
        <v>8000</v>
      </c>
      <c r="I125" s="2">
        <v>8000</v>
      </c>
      <c r="J125" s="2">
        <v>8000</v>
      </c>
    </row>
    <row r="126" spans="1:10" x14ac:dyDescent="0.2">
      <c r="A126" s="220" t="s">
        <v>891</v>
      </c>
      <c r="C126" s="2"/>
      <c r="D126" s="2">
        <v>8000</v>
      </c>
      <c r="E126" s="2"/>
      <c r="F126" s="2"/>
      <c r="G126" s="2"/>
      <c r="H126" s="2"/>
      <c r="I126" s="2"/>
      <c r="J126" s="2"/>
    </row>
    <row r="127" spans="1:10" x14ac:dyDescent="0.2">
      <c r="C127" s="2"/>
      <c r="E127" s="2"/>
      <c r="F127" s="2"/>
      <c r="G127" s="2"/>
      <c r="H127" s="2"/>
      <c r="I127" s="2"/>
      <c r="J127" s="2"/>
    </row>
    <row r="128" spans="1:10" ht="13.5" x14ac:dyDescent="0.25">
      <c r="A128" s="225" t="s">
        <v>1276</v>
      </c>
      <c r="C128" s="2"/>
      <c r="D128" s="2"/>
      <c r="E128" s="2">
        <v>1156</v>
      </c>
      <c r="F128" s="2">
        <v>7000</v>
      </c>
      <c r="G128" s="2">
        <v>9000</v>
      </c>
      <c r="H128" s="2">
        <v>9000</v>
      </c>
      <c r="I128" s="2">
        <v>9000</v>
      </c>
      <c r="J128" s="2">
        <v>9000</v>
      </c>
    </row>
    <row r="129" spans="1:10" x14ac:dyDescent="0.2">
      <c r="A129" s="220" t="s">
        <v>1440</v>
      </c>
      <c r="C129" s="2"/>
      <c r="D129" s="2">
        <v>7000</v>
      </c>
      <c r="E129" s="2"/>
      <c r="F129" s="2"/>
      <c r="G129" s="2"/>
      <c r="H129" s="2"/>
      <c r="I129" s="2"/>
      <c r="J129" s="2"/>
    </row>
    <row r="130" spans="1:10" x14ac:dyDescent="0.2">
      <c r="A130" s="220" t="s">
        <v>1553</v>
      </c>
      <c r="C130" s="2"/>
      <c r="D130" s="2">
        <v>1000</v>
      </c>
      <c r="E130" s="2"/>
      <c r="F130" s="2"/>
      <c r="G130" s="2"/>
      <c r="H130" s="2"/>
      <c r="I130" s="2"/>
      <c r="J130" s="2"/>
    </row>
    <row r="131" spans="1:10" ht="15" x14ac:dyDescent="0.35">
      <c r="A131" s="220" t="s">
        <v>1037</v>
      </c>
      <c r="C131" s="10"/>
      <c r="D131" s="10">
        <v>1000</v>
      </c>
      <c r="E131" s="2"/>
      <c r="F131" s="2"/>
      <c r="G131" s="2"/>
      <c r="H131" s="2"/>
      <c r="I131" s="2"/>
      <c r="J131" s="2"/>
    </row>
    <row r="132" spans="1:10" x14ac:dyDescent="0.2">
      <c r="A132" s="220" t="s">
        <v>1086</v>
      </c>
      <c r="C132" s="2"/>
      <c r="D132" s="2">
        <f>SUM(D129:D131)</f>
        <v>9000</v>
      </c>
      <c r="E132" s="2"/>
      <c r="F132" s="2"/>
      <c r="G132" s="2"/>
      <c r="H132" s="2"/>
      <c r="I132" s="2"/>
      <c r="J132" s="2"/>
    </row>
    <row r="133" spans="1:10" x14ac:dyDescent="0.2">
      <c r="C133" s="2"/>
      <c r="D133" s="2"/>
      <c r="I133" s="251"/>
      <c r="J133" s="256"/>
    </row>
    <row r="134" spans="1:10" ht="13.5" x14ac:dyDescent="0.25">
      <c r="A134" s="225" t="s">
        <v>104</v>
      </c>
      <c r="C134" s="2"/>
      <c r="D134" s="2"/>
      <c r="E134" s="2">
        <v>25360</v>
      </c>
      <c r="F134" s="2">
        <v>1000</v>
      </c>
      <c r="G134" s="2">
        <v>1000</v>
      </c>
      <c r="H134" s="2">
        <v>1000</v>
      </c>
      <c r="I134" s="2">
        <v>1000</v>
      </c>
      <c r="J134" s="2">
        <v>1000</v>
      </c>
    </row>
    <row r="135" spans="1:10" x14ac:dyDescent="0.2">
      <c r="A135" s="22" t="s">
        <v>1522</v>
      </c>
      <c r="C135" s="2"/>
      <c r="D135" s="2">
        <v>1000</v>
      </c>
      <c r="F135" s="2"/>
      <c r="G135" s="2"/>
      <c r="H135" s="2"/>
      <c r="I135" s="2"/>
      <c r="J135" s="2"/>
    </row>
    <row r="136" spans="1:10" x14ac:dyDescent="0.2">
      <c r="A136" s="22"/>
      <c r="C136" s="2"/>
      <c r="D136" s="2"/>
      <c r="F136" s="2"/>
      <c r="G136" s="2"/>
      <c r="H136" s="2"/>
      <c r="I136" s="2"/>
      <c r="J136" s="2"/>
    </row>
    <row r="137" spans="1:10" ht="13.5" x14ac:dyDescent="0.25">
      <c r="A137" s="225" t="s">
        <v>1898</v>
      </c>
      <c r="C137" s="2"/>
      <c r="D137" s="2"/>
      <c r="E137" s="2"/>
      <c r="F137" s="2">
        <v>6000</v>
      </c>
      <c r="G137" s="2">
        <v>6000</v>
      </c>
      <c r="H137" s="2">
        <v>6000</v>
      </c>
      <c r="I137" s="2">
        <v>6000</v>
      </c>
      <c r="J137" s="2">
        <v>6000</v>
      </c>
    </row>
    <row r="138" spans="1:10" x14ac:dyDescent="0.2">
      <c r="A138" s="22" t="s">
        <v>1899</v>
      </c>
      <c r="C138" s="2"/>
      <c r="D138" s="2">
        <v>6000</v>
      </c>
      <c r="I138" s="251"/>
      <c r="J138" s="256"/>
    </row>
    <row r="139" spans="1:10" x14ac:dyDescent="0.2">
      <c r="C139" s="2"/>
      <c r="D139" s="2"/>
      <c r="E139" s="2"/>
      <c r="F139" s="2"/>
      <c r="G139" s="2"/>
      <c r="H139" s="2"/>
      <c r="I139" s="2"/>
      <c r="J139" s="2"/>
    </row>
    <row r="140" spans="1:10" ht="13.5" x14ac:dyDescent="0.25">
      <c r="A140" s="225" t="s">
        <v>1247</v>
      </c>
      <c r="C140" s="2"/>
      <c r="D140" s="2">
        <v>100000</v>
      </c>
      <c r="E140" s="2">
        <v>125000</v>
      </c>
      <c r="F140" s="2">
        <v>100000</v>
      </c>
      <c r="G140" s="2">
        <v>100000</v>
      </c>
      <c r="H140" s="2">
        <v>100000</v>
      </c>
      <c r="I140" s="2">
        <v>100000</v>
      </c>
      <c r="J140" s="2">
        <v>100000</v>
      </c>
    </row>
    <row r="141" spans="1:10" x14ac:dyDescent="0.2">
      <c r="A141" s="220" t="s">
        <v>487</v>
      </c>
      <c r="C141" s="2"/>
      <c r="F141" s="2"/>
      <c r="G141" s="2"/>
      <c r="H141" s="2"/>
      <c r="I141" s="2"/>
      <c r="J141" s="2"/>
    </row>
    <row r="142" spans="1:10" x14ac:dyDescent="0.2">
      <c r="A142" s="220" t="s">
        <v>349</v>
      </c>
      <c r="C142" s="2"/>
      <c r="D142" s="2"/>
      <c r="E142" s="2"/>
      <c r="F142" s="2"/>
      <c r="G142" s="2"/>
      <c r="H142" s="2"/>
      <c r="I142" s="2"/>
      <c r="J142" s="2"/>
    </row>
    <row r="143" spans="1:10" ht="15" x14ac:dyDescent="0.35">
      <c r="A143" s="48" t="s">
        <v>1339</v>
      </c>
      <c r="E143" s="10">
        <v>2287</v>
      </c>
      <c r="F143" s="10">
        <v>0</v>
      </c>
      <c r="G143" s="10">
        <v>0</v>
      </c>
      <c r="H143" s="10">
        <v>0</v>
      </c>
      <c r="I143" s="10">
        <v>0</v>
      </c>
      <c r="J143" s="10">
        <v>0</v>
      </c>
    </row>
    <row r="144" spans="1:10" ht="15" x14ac:dyDescent="0.35">
      <c r="A144" s="48"/>
      <c r="B144" s="221" t="s">
        <v>1759</v>
      </c>
      <c r="C144" s="221" t="s">
        <v>1857</v>
      </c>
      <c r="D144" s="221" t="s">
        <v>1966</v>
      </c>
      <c r="E144" s="10"/>
      <c r="F144" s="10"/>
      <c r="G144" s="10"/>
      <c r="H144" s="10"/>
      <c r="I144" s="10"/>
      <c r="J144" s="10"/>
    </row>
    <row r="145" spans="1:10" x14ac:dyDescent="0.2">
      <c r="A145" s="79"/>
      <c r="B145" s="2">
        <v>0</v>
      </c>
      <c r="C145" s="2">
        <v>0</v>
      </c>
      <c r="D145" s="2">
        <v>0</v>
      </c>
      <c r="E145" s="2"/>
      <c r="F145" s="2"/>
      <c r="G145" s="2"/>
      <c r="H145" s="2"/>
      <c r="I145" s="2"/>
      <c r="J145" s="2"/>
    </row>
    <row r="146" spans="1:10" x14ac:dyDescent="0.2">
      <c r="A146" s="220" t="s">
        <v>1167</v>
      </c>
      <c r="C146" s="2"/>
      <c r="D146" s="2"/>
      <c r="E146" s="2">
        <f t="shared" ref="E146:J146" si="1">SUM(E6:E143)</f>
        <v>960756</v>
      </c>
      <c r="F146" s="2">
        <f t="shared" si="1"/>
        <v>968001</v>
      </c>
      <c r="G146" s="2">
        <f t="shared" si="1"/>
        <v>1027402</v>
      </c>
      <c r="H146" s="2">
        <f t="shared" si="1"/>
        <v>1024964</v>
      </c>
      <c r="I146" s="2">
        <f t="shared" si="1"/>
        <v>989964</v>
      </c>
      <c r="J146" s="2">
        <f t="shared" si="1"/>
        <v>989964</v>
      </c>
    </row>
    <row r="148" spans="1:10" x14ac:dyDescent="0.2">
      <c r="A148" s="220" t="s">
        <v>523</v>
      </c>
      <c r="E148" s="2">
        <f t="shared" ref="E148:J148" si="2">SUM(E6:E80)</f>
        <v>730206</v>
      </c>
      <c r="F148" s="2">
        <f t="shared" si="2"/>
        <v>770144</v>
      </c>
      <c r="G148" s="2">
        <f t="shared" si="2"/>
        <v>806246</v>
      </c>
      <c r="H148" s="2">
        <f t="shared" si="2"/>
        <v>803808</v>
      </c>
      <c r="I148" s="2">
        <f t="shared" si="2"/>
        <v>803808</v>
      </c>
      <c r="J148" s="2">
        <f t="shared" si="2"/>
        <v>803808</v>
      </c>
    </row>
    <row r="149" spans="1:10" x14ac:dyDescent="0.2">
      <c r="A149" s="220" t="s">
        <v>818</v>
      </c>
      <c r="E149" s="2">
        <f t="shared" ref="E149:J149" si="3">SUM(E86:E128)</f>
        <v>77903</v>
      </c>
      <c r="F149" s="2">
        <f t="shared" si="3"/>
        <v>90857</v>
      </c>
      <c r="G149" s="2">
        <f t="shared" si="3"/>
        <v>114156</v>
      </c>
      <c r="H149" s="2">
        <f t="shared" si="3"/>
        <v>114156</v>
      </c>
      <c r="I149" s="2">
        <f t="shared" si="3"/>
        <v>79156</v>
      </c>
      <c r="J149" s="2">
        <f t="shared" si="3"/>
        <v>79156</v>
      </c>
    </row>
    <row r="150" spans="1:10" ht="15" x14ac:dyDescent="0.35">
      <c r="A150" s="220" t="s">
        <v>819</v>
      </c>
      <c r="E150" s="10">
        <f t="shared" ref="E150:J150" si="4">SUM(E134:E143)</f>
        <v>152647</v>
      </c>
      <c r="F150" s="10">
        <f t="shared" si="4"/>
        <v>107000</v>
      </c>
      <c r="G150" s="10">
        <f t="shared" si="4"/>
        <v>107000</v>
      </c>
      <c r="H150" s="10">
        <f t="shared" si="4"/>
        <v>107000</v>
      </c>
      <c r="I150" s="10">
        <f t="shared" si="4"/>
        <v>107000</v>
      </c>
      <c r="J150" s="10">
        <f t="shared" si="4"/>
        <v>107000</v>
      </c>
    </row>
    <row r="151" spans="1:10" x14ac:dyDescent="0.2">
      <c r="A151" s="220" t="s">
        <v>1086</v>
      </c>
      <c r="E151" s="2">
        <f t="shared" ref="E151:J151" si="5">SUM(E148:E150)</f>
        <v>960756</v>
      </c>
      <c r="F151" s="2">
        <f t="shared" si="5"/>
        <v>968001</v>
      </c>
      <c r="G151" s="2">
        <f t="shared" si="5"/>
        <v>1027402</v>
      </c>
      <c r="H151" s="2">
        <f t="shared" ref="H151" si="6">SUM(H148:H150)</f>
        <v>1024964</v>
      </c>
      <c r="I151" s="2">
        <f t="shared" si="5"/>
        <v>989964</v>
      </c>
      <c r="J151" s="2">
        <f t="shared" si="5"/>
        <v>989964</v>
      </c>
    </row>
    <row r="152" spans="1:10" x14ac:dyDescent="0.2">
      <c r="G152" s="118"/>
      <c r="H152" s="118"/>
      <c r="I152" s="118"/>
      <c r="J152" s="118"/>
    </row>
    <row r="153" spans="1:10" x14ac:dyDescent="0.2">
      <c r="G153" s="118"/>
      <c r="H153" s="118"/>
      <c r="I153" s="118"/>
      <c r="J153" s="147">
        <f>+J151-I151</f>
        <v>0</v>
      </c>
    </row>
    <row r="154" spans="1:10" x14ac:dyDescent="0.2">
      <c r="G154" s="118"/>
      <c r="H154" s="118"/>
      <c r="I154" s="118"/>
      <c r="J154" s="118"/>
    </row>
    <row r="155" spans="1:10" x14ac:dyDescent="0.2">
      <c r="G155" s="118"/>
      <c r="H155" s="118"/>
      <c r="I155" s="118"/>
      <c r="J155" s="118"/>
    </row>
    <row r="156" spans="1:10" x14ac:dyDescent="0.2">
      <c r="G156" s="118"/>
      <c r="H156" s="118"/>
      <c r="I156" s="118"/>
      <c r="J156" s="118"/>
    </row>
    <row r="157" spans="1:10" x14ac:dyDescent="0.2">
      <c r="G157" s="118"/>
      <c r="H157" s="118"/>
      <c r="I157" s="118"/>
      <c r="J157" s="118"/>
    </row>
    <row r="158" spans="1:10" x14ac:dyDescent="0.2">
      <c r="G158" s="118"/>
      <c r="H158" s="118"/>
      <c r="I158" s="118"/>
      <c r="J158" s="118"/>
    </row>
    <row r="159" spans="1:10" x14ac:dyDescent="0.2">
      <c r="G159" s="118"/>
      <c r="H159" s="118"/>
      <c r="I159" s="118"/>
      <c r="J159" s="118"/>
    </row>
    <row r="160" spans="1:10" x14ac:dyDescent="0.2">
      <c r="G160" s="118"/>
      <c r="H160" s="118"/>
      <c r="I160" s="118"/>
      <c r="J160" s="118"/>
    </row>
    <row r="161" spans="7:10" x14ac:dyDescent="0.2">
      <c r="G161" s="118"/>
      <c r="H161" s="118"/>
      <c r="I161" s="118"/>
      <c r="J161" s="118"/>
    </row>
    <row r="162" spans="7:10" x14ac:dyDescent="0.2">
      <c r="G162" s="118"/>
      <c r="H162" s="118"/>
      <c r="I162" s="118"/>
      <c r="J162" s="118"/>
    </row>
    <row r="163" spans="7:10" x14ac:dyDescent="0.2">
      <c r="G163" s="118"/>
      <c r="H163" s="118"/>
      <c r="I163" s="118"/>
      <c r="J163" s="118"/>
    </row>
    <row r="164" spans="7:10" x14ac:dyDescent="0.2">
      <c r="G164" s="118"/>
      <c r="H164" s="118"/>
      <c r="I164" s="118"/>
      <c r="J164" s="118"/>
    </row>
    <row r="165" spans="7:10" x14ac:dyDescent="0.2">
      <c r="G165" s="118"/>
      <c r="H165" s="118"/>
      <c r="I165" s="118"/>
      <c r="J165" s="118"/>
    </row>
    <row r="166" spans="7:10" x14ac:dyDescent="0.2">
      <c r="G166" s="118"/>
      <c r="H166" s="118"/>
      <c r="I166" s="118"/>
      <c r="J166" s="118"/>
    </row>
    <row r="167" spans="7:10" x14ac:dyDescent="0.2">
      <c r="G167" s="118"/>
      <c r="H167" s="118"/>
      <c r="I167" s="118"/>
      <c r="J167" s="118"/>
    </row>
    <row r="168" spans="7:10" x14ac:dyDescent="0.2">
      <c r="G168" s="118"/>
      <c r="H168" s="118"/>
      <c r="I168" s="118"/>
      <c r="J168" s="118"/>
    </row>
    <row r="169" spans="7:10" x14ac:dyDescent="0.2">
      <c r="G169" s="118"/>
      <c r="H169" s="118"/>
      <c r="I169" s="118"/>
      <c r="J169" s="118"/>
    </row>
    <row r="170" spans="7:10" x14ac:dyDescent="0.2">
      <c r="G170" s="118"/>
      <c r="H170" s="118"/>
      <c r="I170" s="118"/>
      <c r="J170" s="118"/>
    </row>
    <row r="171" spans="7:10" x14ac:dyDescent="0.2">
      <c r="G171" s="118"/>
      <c r="H171" s="118"/>
      <c r="I171" s="118"/>
      <c r="J171" s="118"/>
    </row>
    <row r="172" spans="7:10" x14ac:dyDescent="0.2">
      <c r="G172" s="118"/>
      <c r="H172" s="118"/>
      <c r="I172" s="118"/>
      <c r="J172" s="118"/>
    </row>
    <row r="173" spans="7:10" x14ac:dyDescent="0.2">
      <c r="G173" s="118"/>
      <c r="H173" s="118"/>
      <c r="I173" s="118"/>
      <c r="J173" s="118"/>
    </row>
    <row r="174" spans="7:10" x14ac:dyDescent="0.2">
      <c r="G174" s="118"/>
      <c r="H174" s="118"/>
      <c r="I174" s="118"/>
      <c r="J174" s="118"/>
    </row>
    <row r="175" spans="7:10" x14ac:dyDescent="0.2">
      <c r="G175" s="118"/>
      <c r="H175" s="118"/>
      <c r="I175" s="118"/>
      <c r="J175" s="118"/>
    </row>
    <row r="176" spans="7:10" x14ac:dyDescent="0.2">
      <c r="G176" s="118"/>
      <c r="H176" s="118"/>
      <c r="I176" s="118"/>
      <c r="J176" s="118"/>
    </row>
    <row r="177" spans="7:10" x14ac:dyDescent="0.2">
      <c r="G177" s="118"/>
      <c r="H177" s="118"/>
      <c r="I177" s="118"/>
      <c r="J177" s="118"/>
    </row>
    <row r="178" spans="7:10" x14ac:dyDescent="0.2">
      <c r="G178" s="118"/>
      <c r="H178" s="118"/>
      <c r="I178" s="118"/>
      <c r="J178" s="118"/>
    </row>
    <row r="179" spans="7:10" x14ac:dyDescent="0.2">
      <c r="G179" s="118"/>
      <c r="H179" s="118"/>
      <c r="I179" s="118"/>
      <c r="J179" s="118"/>
    </row>
    <row r="180" spans="7:10" x14ac:dyDescent="0.2">
      <c r="G180" s="118"/>
      <c r="H180" s="118"/>
      <c r="I180" s="118"/>
      <c r="J180" s="118"/>
    </row>
    <row r="181" spans="7:10" x14ac:dyDescent="0.2">
      <c r="G181" s="118"/>
      <c r="H181" s="118"/>
      <c r="I181" s="118"/>
      <c r="J181" s="118"/>
    </row>
    <row r="182" spans="7:10" x14ac:dyDescent="0.2">
      <c r="G182" s="118"/>
      <c r="H182" s="118"/>
    </row>
    <row r="183" spans="7:10" x14ac:dyDescent="0.2">
      <c r="G183" s="118"/>
      <c r="H183" s="118"/>
    </row>
    <row r="184" spans="7:10" x14ac:dyDescent="0.2">
      <c r="G184" s="118"/>
      <c r="H184" s="118"/>
    </row>
    <row r="185" spans="7:10" x14ac:dyDescent="0.2">
      <c r="G185" s="118"/>
      <c r="H185" s="118"/>
    </row>
  </sheetData>
  <mergeCells count="1">
    <mergeCell ref="A1:J1"/>
  </mergeCells>
  <phoneticPr fontId="0" type="noConversion"/>
  <printOptions gridLines="1"/>
  <pageMargins left="0.75" right="0.16" top="0.51" bottom="0.22" header="0.5" footer="0.5"/>
  <pageSetup scale="86" fitToHeight="17" orientation="landscape" r:id="rId1"/>
  <headerFooter alignWithMargins="0"/>
  <rowBreaks count="2" manualBreakCount="2">
    <brk id="55" max="9" man="1"/>
    <brk id="114" max="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236"/>
  <sheetViews>
    <sheetView view="pageBreakPreview" zoomScaleNormal="100" zoomScaleSheetLayoutView="100" workbookViewId="0">
      <pane ySplit="5" topLeftCell="A127" activePane="bottomLeft" state="frozen"/>
      <selection pane="bottomLeft" sqref="A1:J1"/>
    </sheetView>
  </sheetViews>
  <sheetFormatPr defaultColWidth="8.85546875" defaultRowHeight="12.75" customHeight="1" x14ac:dyDescent="0.2"/>
  <cols>
    <col min="1" max="1" width="44.42578125" style="220" customWidth="1"/>
    <col min="2" max="2" width="9.5703125" style="220" bestFit="1" customWidth="1"/>
    <col min="3" max="3" width="10.140625" style="220" customWidth="1"/>
    <col min="4" max="4" width="12" style="220" customWidth="1"/>
    <col min="5" max="6" width="9.140625" style="220" bestFit="1" customWidth="1"/>
    <col min="7" max="7" width="11" style="2" bestFit="1" customWidth="1"/>
    <col min="8" max="8" width="14.140625" style="2" bestFit="1" customWidth="1"/>
    <col min="9" max="10" width="9.5703125" style="220" customWidth="1"/>
    <col min="11" max="16384" width="8.85546875" style="220"/>
  </cols>
  <sheetData>
    <row r="1" spans="1:10" x14ac:dyDescent="0.2">
      <c r="A1" s="261" t="s">
        <v>1965</v>
      </c>
      <c r="B1" s="261"/>
      <c r="C1" s="261"/>
      <c r="D1" s="261"/>
      <c r="E1" s="261"/>
      <c r="F1" s="261"/>
      <c r="G1" s="261"/>
      <c r="H1" s="261"/>
      <c r="I1" s="261"/>
      <c r="J1" s="261"/>
    </row>
    <row r="2" spans="1:10" ht="18.75" x14ac:dyDescent="0.3">
      <c r="A2" s="107" t="s">
        <v>1637</v>
      </c>
      <c r="B2" s="107"/>
      <c r="C2" s="107"/>
      <c r="D2" s="107"/>
      <c r="E2" s="107"/>
      <c r="F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993</v>
      </c>
      <c r="B6" s="2"/>
      <c r="C6" s="11"/>
      <c r="D6" s="2"/>
      <c r="E6" s="2">
        <v>45400</v>
      </c>
      <c r="F6" s="59">
        <v>43316</v>
      </c>
      <c r="G6" s="59">
        <v>44149</v>
      </c>
      <c r="H6" s="59">
        <v>44149</v>
      </c>
      <c r="I6" s="59">
        <v>45050</v>
      </c>
      <c r="J6" s="59">
        <v>45050</v>
      </c>
    </row>
    <row r="7" spans="1:10" x14ac:dyDescent="0.2">
      <c r="A7" s="220" t="s">
        <v>118</v>
      </c>
      <c r="B7" s="2">
        <v>52</v>
      </c>
      <c r="C7" s="2">
        <v>850</v>
      </c>
      <c r="D7" s="2">
        <f>ROUND(B7*C7,0)</f>
        <v>44200</v>
      </c>
      <c r="E7" s="2"/>
      <c r="F7" s="2"/>
      <c r="I7" s="2"/>
      <c r="J7" s="2"/>
    </row>
    <row r="8" spans="1:10" ht="15" x14ac:dyDescent="0.35">
      <c r="A8" s="2" t="s">
        <v>2139</v>
      </c>
      <c r="B8" s="2">
        <v>1</v>
      </c>
      <c r="C8" s="2">
        <v>850</v>
      </c>
      <c r="D8" s="10">
        <f>+C8*B8</f>
        <v>850</v>
      </c>
      <c r="E8" s="2"/>
      <c r="F8" s="2"/>
      <c r="I8" s="2"/>
      <c r="J8" s="2"/>
    </row>
    <row r="9" spans="1:10" x14ac:dyDescent="0.2">
      <c r="A9" s="220" t="s">
        <v>1086</v>
      </c>
      <c r="B9" s="2"/>
      <c r="C9" s="2"/>
      <c r="D9" s="2">
        <f>SUM(D7:D8)</f>
        <v>45050</v>
      </c>
      <c r="E9" s="2"/>
      <c r="F9" s="2"/>
      <c r="I9" s="2"/>
      <c r="J9" s="2"/>
    </row>
    <row r="10" spans="1:10" x14ac:dyDescent="0.2">
      <c r="B10" s="2"/>
      <c r="C10" s="2"/>
      <c r="D10" s="2"/>
      <c r="E10" s="2"/>
      <c r="F10" s="2"/>
      <c r="I10" s="2"/>
      <c r="J10" s="2"/>
    </row>
    <row r="11" spans="1:10" ht="13.5" x14ac:dyDescent="0.25">
      <c r="A11" s="225" t="s">
        <v>994</v>
      </c>
      <c r="B11" s="2"/>
      <c r="C11" s="2"/>
      <c r="D11" s="2"/>
      <c r="E11" s="2">
        <v>76861</v>
      </c>
      <c r="F11" s="2">
        <v>80126</v>
      </c>
      <c r="G11" s="2">
        <v>81638</v>
      </c>
      <c r="H11" s="2">
        <v>81638</v>
      </c>
      <c r="I11" s="2">
        <v>83312</v>
      </c>
      <c r="J11" s="2">
        <v>83312</v>
      </c>
    </row>
    <row r="12" spans="1:10" x14ac:dyDescent="0.2">
      <c r="A12" s="220" t="s">
        <v>343</v>
      </c>
      <c r="B12" s="2">
        <v>52</v>
      </c>
      <c r="C12" s="2">
        <v>1543</v>
      </c>
      <c r="D12" s="2">
        <f>ROUND(B12*C12,0)</f>
        <v>80236</v>
      </c>
      <c r="E12" s="2"/>
      <c r="F12" s="2"/>
      <c r="I12" s="2"/>
      <c r="J12" s="2"/>
    </row>
    <row r="13" spans="1:10" x14ac:dyDescent="0.2">
      <c r="A13" s="2" t="s">
        <v>2139</v>
      </c>
      <c r="B13" s="2">
        <v>1</v>
      </c>
      <c r="C13" s="2">
        <v>1543</v>
      </c>
      <c r="D13" s="2">
        <f>+C13*B13</f>
        <v>1543</v>
      </c>
      <c r="E13" s="2"/>
      <c r="F13" s="2"/>
      <c r="I13" s="2"/>
      <c r="J13" s="2"/>
    </row>
    <row r="14" spans="1:10" ht="15" x14ac:dyDescent="0.35">
      <c r="A14" s="220" t="s">
        <v>833</v>
      </c>
      <c r="B14" s="2"/>
      <c r="C14" s="2"/>
      <c r="D14" s="10">
        <f>+C12-10</f>
        <v>1533</v>
      </c>
      <c r="E14" s="2"/>
      <c r="F14" s="67"/>
      <c r="G14" s="67"/>
      <c r="H14" s="67"/>
      <c r="I14" s="67"/>
      <c r="J14" s="67"/>
    </row>
    <row r="15" spans="1:10" x14ac:dyDescent="0.2">
      <c r="A15" s="220" t="s">
        <v>1086</v>
      </c>
      <c r="B15" s="2"/>
      <c r="C15" s="2"/>
      <c r="D15" s="2">
        <f>SUM(D12:D14)</f>
        <v>83312</v>
      </c>
      <c r="E15" s="2"/>
      <c r="F15" s="2"/>
      <c r="I15" s="2"/>
      <c r="J15" s="2"/>
    </row>
    <row r="16" spans="1:10" x14ac:dyDescent="0.2">
      <c r="B16" s="2"/>
      <c r="C16" s="2"/>
      <c r="D16" s="2"/>
      <c r="E16" s="2"/>
      <c r="F16" s="2"/>
      <c r="I16" s="2"/>
      <c r="J16" s="2"/>
    </row>
    <row r="17" spans="1:10" ht="13.5" x14ac:dyDescent="0.25">
      <c r="A17" s="225" t="s">
        <v>995</v>
      </c>
      <c r="B17" s="2"/>
      <c r="C17" s="2"/>
      <c r="D17" s="2"/>
      <c r="E17" s="2">
        <v>37072</v>
      </c>
      <c r="F17" s="2">
        <v>126360</v>
      </c>
      <c r="G17" s="2">
        <v>132059</v>
      </c>
      <c r="H17" s="2">
        <v>132059</v>
      </c>
      <c r="I17" s="2">
        <v>134338</v>
      </c>
      <c r="J17" s="2">
        <v>134338</v>
      </c>
    </row>
    <row r="18" spans="1:10" x14ac:dyDescent="0.2">
      <c r="A18" s="220" t="s">
        <v>549</v>
      </c>
      <c r="B18" s="2">
        <v>52</v>
      </c>
      <c r="C18" s="2">
        <v>1220</v>
      </c>
      <c r="D18" s="2">
        <f>ROUND(B18*C18,0)</f>
        <v>63440</v>
      </c>
      <c r="E18" s="2"/>
      <c r="F18" s="2"/>
      <c r="I18" s="2"/>
      <c r="J18" s="2"/>
    </row>
    <row r="19" spans="1:10" x14ac:dyDescent="0.2">
      <c r="A19" s="220" t="s">
        <v>539</v>
      </c>
      <c r="B19" s="2">
        <v>52</v>
      </c>
      <c r="C19" s="2">
        <v>1298</v>
      </c>
      <c r="D19" s="2">
        <f>ROUND(B19*C19,0)</f>
        <v>67496</v>
      </c>
      <c r="E19" s="2"/>
      <c r="F19" s="2"/>
      <c r="I19" s="2"/>
      <c r="J19" s="2"/>
    </row>
    <row r="20" spans="1:10" x14ac:dyDescent="0.2">
      <c r="A20" s="2" t="s">
        <v>2139</v>
      </c>
      <c r="B20" s="2">
        <v>1</v>
      </c>
      <c r="C20" s="2">
        <f>SUM(C18:C19)</f>
        <v>2518</v>
      </c>
      <c r="D20" s="2">
        <f>+C20*B20</f>
        <v>2518</v>
      </c>
      <c r="E20" s="2"/>
      <c r="F20" s="2"/>
      <c r="I20" s="2"/>
      <c r="J20" s="2"/>
    </row>
    <row r="21" spans="1:10" ht="15" x14ac:dyDescent="0.35">
      <c r="A21" s="220" t="s">
        <v>833</v>
      </c>
      <c r="B21" s="2"/>
      <c r="C21" s="2"/>
      <c r="D21" s="10">
        <v>884</v>
      </c>
      <c r="E21" s="2"/>
      <c r="F21" s="59"/>
      <c r="G21" s="59"/>
      <c r="H21" s="59"/>
      <c r="I21" s="59"/>
      <c r="J21" s="59"/>
    </row>
    <row r="22" spans="1:10" x14ac:dyDescent="0.2">
      <c r="A22" s="220" t="s">
        <v>1086</v>
      </c>
      <c r="B22" s="2"/>
      <c r="C22" s="2"/>
      <c r="D22" s="2">
        <f>SUM(D18:D21)</f>
        <v>134338</v>
      </c>
      <c r="E22" s="2"/>
      <c r="F22" s="2"/>
      <c r="I22" s="2"/>
      <c r="J22" s="2"/>
    </row>
    <row r="23" spans="1:10" x14ac:dyDescent="0.2">
      <c r="D23" s="2"/>
      <c r="E23" s="2"/>
      <c r="F23" s="2"/>
      <c r="I23" s="2"/>
      <c r="J23" s="2"/>
    </row>
    <row r="24" spans="1:10" ht="13.5" x14ac:dyDescent="0.25">
      <c r="A24" s="225" t="s">
        <v>996</v>
      </c>
      <c r="D24" s="2"/>
      <c r="E24" s="2">
        <v>36408</v>
      </c>
      <c r="F24" s="2">
        <v>27868</v>
      </c>
      <c r="G24" s="2">
        <v>27098</v>
      </c>
      <c r="H24" s="2">
        <v>27098</v>
      </c>
      <c r="I24" s="2">
        <v>27647</v>
      </c>
      <c r="J24" s="2">
        <v>27647</v>
      </c>
    </row>
    <row r="25" spans="1:10" x14ac:dyDescent="0.2">
      <c r="A25" s="220" t="s">
        <v>1525</v>
      </c>
      <c r="B25" s="2">
        <v>1456</v>
      </c>
      <c r="C25" s="11">
        <v>18.63</v>
      </c>
      <c r="D25" s="2">
        <f>ROUND(B25*C25,0)</f>
        <v>27125</v>
      </c>
      <c r="E25" s="2"/>
      <c r="F25" s="59"/>
      <c r="G25" s="59"/>
      <c r="H25" s="59"/>
      <c r="I25" s="59"/>
      <c r="J25" s="59"/>
    </row>
    <row r="26" spans="1:10" x14ac:dyDescent="0.2">
      <c r="A26" s="2" t="s">
        <v>2139</v>
      </c>
      <c r="B26" s="2">
        <v>28</v>
      </c>
      <c r="C26" s="11">
        <v>18.63</v>
      </c>
      <c r="D26" s="2">
        <f>ROUND(B26*C26,0)</f>
        <v>522</v>
      </c>
      <c r="E26" s="2"/>
      <c r="F26" s="59"/>
      <c r="G26" s="59"/>
      <c r="H26" s="59"/>
      <c r="I26" s="59"/>
      <c r="J26" s="59"/>
    </row>
    <row r="27" spans="1:10" x14ac:dyDescent="0.2">
      <c r="A27" s="220" t="s">
        <v>1086</v>
      </c>
      <c r="B27" s="2"/>
      <c r="C27" s="11"/>
      <c r="D27" s="2">
        <f>SUM(D25:D26)</f>
        <v>27647</v>
      </c>
      <c r="E27" s="2"/>
      <c r="F27" s="2"/>
      <c r="I27" s="2"/>
      <c r="J27" s="2"/>
    </row>
    <row r="28" spans="1:10" x14ac:dyDescent="0.2">
      <c r="D28" s="2"/>
      <c r="E28" s="2"/>
      <c r="F28" s="2"/>
      <c r="I28" s="2"/>
      <c r="J28" s="2"/>
    </row>
    <row r="29" spans="1:10" ht="13.5" x14ac:dyDescent="0.25">
      <c r="A29" s="48" t="s">
        <v>87</v>
      </c>
      <c r="B29" s="2"/>
      <c r="C29" s="11"/>
      <c r="D29" s="2"/>
      <c r="E29" s="2">
        <v>298</v>
      </c>
      <c r="F29" s="2">
        <v>4412</v>
      </c>
      <c r="G29" s="2">
        <v>4440</v>
      </c>
      <c r="H29" s="2">
        <v>4440</v>
      </c>
      <c r="I29" s="2">
        <v>4432</v>
      </c>
      <c r="J29" s="2">
        <v>4432</v>
      </c>
    </row>
    <row r="30" spans="1:10" x14ac:dyDescent="0.2">
      <c r="A30" s="47" t="s">
        <v>1502</v>
      </c>
      <c r="B30" s="2">
        <v>102</v>
      </c>
      <c r="C30" s="11">
        <f>+C7/40*1.5</f>
        <v>31.875</v>
      </c>
      <c r="D30" s="2">
        <f>C30*B30</f>
        <v>3251.25</v>
      </c>
      <c r="E30" s="2"/>
      <c r="F30" s="2"/>
      <c r="I30" s="2"/>
      <c r="J30" s="2"/>
    </row>
    <row r="31" spans="1:10" ht="15" x14ac:dyDescent="0.35">
      <c r="A31" s="47" t="s">
        <v>1962</v>
      </c>
      <c r="B31" s="2">
        <v>25</v>
      </c>
      <c r="C31" s="11">
        <f>(+C18+C19)/40/2*1.5</f>
        <v>47.212500000000006</v>
      </c>
      <c r="D31" s="10">
        <f>C31*B31</f>
        <v>1180.3125000000002</v>
      </c>
      <c r="E31" s="2"/>
      <c r="F31" s="2"/>
      <c r="I31" s="2"/>
      <c r="J31" s="2"/>
    </row>
    <row r="32" spans="1:10" x14ac:dyDescent="0.2">
      <c r="A32" s="220" t="s">
        <v>1086</v>
      </c>
      <c r="B32" s="2"/>
      <c r="C32" s="11"/>
      <c r="D32" s="2">
        <f>SUM(D30:D31)</f>
        <v>4431.5625</v>
      </c>
      <c r="E32" s="2"/>
      <c r="F32" s="2"/>
      <c r="I32" s="2"/>
      <c r="J32" s="2"/>
    </row>
    <row r="33" spans="1:10" x14ac:dyDescent="0.2">
      <c r="A33" s="15"/>
      <c r="B33" s="2"/>
      <c r="C33" s="11"/>
      <c r="D33" s="2"/>
      <c r="E33" s="2"/>
      <c r="F33" s="2"/>
      <c r="I33" s="2"/>
      <c r="J33" s="2"/>
    </row>
    <row r="34" spans="1:10" ht="13.5" x14ac:dyDescent="0.25">
      <c r="A34" s="225" t="s">
        <v>997</v>
      </c>
      <c r="B34" s="68"/>
      <c r="D34" s="2"/>
      <c r="E34" s="2">
        <v>18089</v>
      </c>
      <c r="F34" s="2">
        <v>21580</v>
      </c>
      <c r="G34" s="2">
        <v>22138</v>
      </c>
      <c r="H34" s="2">
        <v>22138</v>
      </c>
      <c r="I34" s="2">
        <v>22550</v>
      </c>
      <c r="J34" s="2">
        <v>22550</v>
      </c>
    </row>
    <row r="35" spans="1:10" hidden="1" x14ac:dyDescent="0.2">
      <c r="A35" s="12" t="s">
        <v>1087</v>
      </c>
      <c r="B35" s="2">
        <f>D9</f>
        <v>45050</v>
      </c>
      <c r="C35" s="13">
        <v>7.6499999999999999E-2</v>
      </c>
      <c r="D35" s="2">
        <f>ROUND(B35*C35,0)</f>
        <v>3446</v>
      </c>
      <c r="E35" s="2"/>
      <c r="F35" s="2"/>
      <c r="I35" s="2"/>
      <c r="J35" s="2"/>
    </row>
    <row r="36" spans="1:10" hidden="1" x14ac:dyDescent="0.2">
      <c r="A36" s="12" t="s">
        <v>1088</v>
      </c>
      <c r="B36" s="2">
        <f>+D15</f>
        <v>83312</v>
      </c>
      <c r="C36" s="13">
        <v>7.6499999999999999E-2</v>
      </c>
      <c r="D36" s="2">
        <f>ROUND(B36*C36,0)</f>
        <v>6373</v>
      </c>
      <c r="E36" s="2"/>
      <c r="F36" s="2"/>
      <c r="I36" s="2"/>
      <c r="J36" s="2"/>
    </row>
    <row r="37" spans="1:10" hidden="1" x14ac:dyDescent="0.2">
      <c r="A37" s="12" t="s">
        <v>1089</v>
      </c>
      <c r="B37" s="2">
        <f>+D22</f>
        <v>134338</v>
      </c>
      <c r="C37" s="13">
        <v>7.6499999999999999E-2</v>
      </c>
      <c r="D37" s="2">
        <f>ROUND(B37*C37,0)</f>
        <v>10277</v>
      </c>
      <c r="E37" s="2"/>
      <c r="F37" s="2"/>
      <c r="I37" s="2"/>
      <c r="J37" s="2"/>
    </row>
    <row r="38" spans="1:10" hidden="1" x14ac:dyDescent="0.2">
      <c r="A38" s="12" t="s">
        <v>1090</v>
      </c>
      <c r="B38" s="2">
        <f>+D27</f>
        <v>27647</v>
      </c>
      <c r="C38" s="13">
        <v>7.6499999999999999E-2</v>
      </c>
      <c r="D38" s="2">
        <f>ROUND(B38*C38,0)</f>
        <v>2115</v>
      </c>
      <c r="E38" s="2"/>
      <c r="F38" s="2"/>
      <c r="I38" s="2"/>
      <c r="J38" s="2"/>
    </row>
    <row r="39" spans="1:10" ht="15" hidden="1" x14ac:dyDescent="0.35">
      <c r="A39" s="12" t="s">
        <v>1225</v>
      </c>
      <c r="B39" s="2">
        <f>+D32</f>
        <v>4431.5625</v>
      </c>
      <c r="C39" s="13">
        <v>7.6499999999999999E-2</v>
      </c>
      <c r="D39" s="10">
        <f>ROUND(B39*C39,0)</f>
        <v>339</v>
      </c>
      <c r="E39" s="2"/>
      <c r="F39" s="2"/>
      <c r="I39" s="2"/>
      <c r="J39" s="2"/>
    </row>
    <row r="40" spans="1:10" hidden="1" x14ac:dyDescent="0.2">
      <c r="A40" s="220" t="s">
        <v>1086</v>
      </c>
      <c r="B40" s="2"/>
      <c r="C40" s="13"/>
      <c r="D40" s="2">
        <f>SUM(D35:D39)</f>
        <v>22550</v>
      </c>
      <c r="E40" s="2"/>
      <c r="F40" s="2"/>
      <c r="I40" s="2"/>
      <c r="J40" s="2"/>
    </row>
    <row r="41" spans="1:10" x14ac:dyDescent="0.2">
      <c r="D41" s="2"/>
      <c r="E41" s="2"/>
      <c r="F41" s="2"/>
      <c r="I41" s="2"/>
      <c r="J41" s="2"/>
    </row>
    <row r="42" spans="1:10" ht="13.5" x14ac:dyDescent="0.25">
      <c r="A42" s="14" t="s">
        <v>998</v>
      </c>
      <c r="D42" s="2"/>
      <c r="E42" s="2">
        <v>19639</v>
      </c>
      <c r="F42" s="2">
        <v>28395</v>
      </c>
      <c r="G42" s="2">
        <v>36876</v>
      </c>
      <c r="H42" s="2">
        <v>36876</v>
      </c>
      <c r="I42" s="2">
        <v>37559</v>
      </c>
      <c r="J42" s="2">
        <v>37559</v>
      </c>
    </row>
    <row r="43" spans="1:10" hidden="1" x14ac:dyDescent="0.2">
      <c r="A43" s="12" t="s">
        <v>1087</v>
      </c>
      <c r="B43" s="2">
        <f>D9</f>
        <v>45050</v>
      </c>
      <c r="C43" s="228">
        <v>0.1406</v>
      </c>
      <c r="D43" s="2">
        <f>ROUND(B43*C43,0)</f>
        <v>6334</v>
      </c>
      <c r="E43" s="2"/>
      <c r="F43" s="2"/>
      <c r="I43" s="2"/>
      <c r="J43" s="2"/>
    </row>
    <row r="44" spans="1:10" hidden="1" x14ac:dyDescent="0.2">
      <c r="A44" s="12" t="s">
        <v>1088</v>
      </c>
      <c r="B44" s="2">
        <f>+D15</f>
        <v>83312</v>
      </c>
      <c r="C44" s="228">
        <v>0.1406</v>
      </c>
      <c r="D44" s="2">
        <f>ROUND(B44*C44,0)</f>
        <v>11714</v>
      </c>
      <c r="E44" s="2"/>
      <c r="F44" s="11"/>
      <c r="I44" s="2"/>
      <c r="J44" s="2"/>
    </row>
    <row r="45" spans="1:10" hidden="1" x14ac:dyDescent="0.2">
      <c r="A45" s="12" t="s">
        <v>1089</v>
      </c>
      <c r="B45" s="2">
        <f>+D22</f>
        <v>134338</v>
      </c>
      <c r="C45" s="228">
        <v>0.1406</v>
      </c>
      <c r="D45" s="2">
        <f>ROUND(B45*C45,0)</f>
        <v>18888</v>
      </c>
      <c r="E45" s="2"/>
      <c r="F45" s="2"/>
      <c r="I45" s="2"/>
      <c r="J45" s="2"/>
    </row>
    <row r="46" spans="1:10" ht="15" hidden="1" x14ac:dyDescent="0.35">
      <c r="A46" s="12" t="s">
        <v>1503</v>
      </c>
      <c r="B46" s="2">
        <f>+D32</f>
        <v>4431.5625</v>
      </c>
      <c r="C46" s="228">
        <v>0.1406</v>
      </c>
      <c r="D46" s="10">
        <f>ROUND(B46*C46,0)</f>
        <v>623</v>
      </c>
      <c r="E46" s="2"/>
      <c r="F46" s="59"/>
      <c r="G46" s="59"/>
      <c r="H46" s="59"/>
      <c r="I46" s="59"/>
      <c r="J46" s="59"/>
    </row>
    <row r="47" spans="1:10" hidden="1" x14ac:dyDescent="0.2">
      <c r="A47" s="220" t="s">
        <v>1086</v>
      </c>
      <c r="D47" s="2">
        <f>SUM(D43:D46)</f>
        <v>37559</v>
      </c>
      <c r="E47" s="2"/>
      <c r="F47" s="59"/>
      <c r="G47" s="59"/>
      <c r="H47" s="59"/>
      <c r="I47" s="59"/>
      <c r="J47" s="59"/>
    </row>
    <row r="48" spans="1:10" x14ac:dyDescent="0.2">
      <c r="D48" s="2"/>
      <c r="E48" s="2"/>
      <c r="F48" s="2"/>
      <c r="I48" s="2"/>
      <c r="J48" s="2"/>
    </row>
    <row r="49" spans="1:10" ht="13.5" x14ac:dyDescent="0.25">
      <c r="A49" s="225" t="s">
        <v>999</v>
      </c>
      <c r="D49" s="2"/>
      <c r="E49" s="2">
        <v>57711</v>
      </c>
      <c r="F49" s="2">
        <v>78300</v>
      </c>
      <c r="G49" s="2">
        <v>79800</v>
      </c>
      <c r="H49" s="2">
        <v>79000</v>
      </c>
      <c r="I49" s="2">
        <v>79000</v>
      </c>
      <c r="J49" s="2">
        <v>79000</v>
      </c>
    </row>
    <row r="50" spans="1:10" x14ac:dyDescent="0.2">
      <c r="A50" s="220" t="s">
        <v>199</v>
      </c>
      <c r="B50" s="2">
        <v>4</v>
      </c>
      <c r="C50" s="2">
        <v>19750</v>
      </c>
      <c r="D50" s="2">
        <f>ROUND(B50*C50,0)</f>
        <v>79000</v>
      </c>
      <c r="E50" s="2"/>
      <c r="F50" s="2"/>
      <c r="I50" s="2"/>
      <c r="J50" s="2"/>
    </row>
    <row r="51" spans="1:10" x14ac:dyDescent="0.2">
      <c r="D51" s="2"/>
      <c r="E51" s="2"/>
      <c r="F51" s="2"/>
      <c r="I51" s="2"/>
      <c r="J51" s="2"/>
    </row>
    <row r="52" spans="1:10" ht="13.5" x14ac:dyDescent="0.25">
      <c r="A52" s="225" t="s">
        <v>1000</v>
      </c>
      <c r="D52" s="2"/>
      <c r="E52" s="2">
        <v>2390</v>
      </c>
      <c r="F52" s="59">
        <v>5040</v>
      </c>
      <c r="G52" s="59">
        <v>5040</v>
      </c>
      <c r="H52" s="59">
        <v>5040</v>
      </c>
      <c r="I52" s="59">
        <v>5040</v>
      </c>
      <c r="J52" s="59">
        <v>5040</v>
      </c>
    </row>
    <row r="53" spans="1:10" x14ac:dyDescent="0.2">
      <c r="A53" s="220" t="s">
        <v>369</v>
      </c>
      <c r="B53" s="2">
        <v>4</v>
      </c>
      <c r="C53" s="2">
        <v>1400</v>
      </c>
      <c r="D53" s="2">
        <f>ROUND(B53*C53,0)</f>
        <v>5600</v>
      </c>
      <c r="E53" s="2"/>
      <c r="F53" s="2"/>
      <c r="I53" s="2"/>
      <c r="J53" s="2"/>
    </row>
    <row r="54" spans="1:10" ht="15" x14ac:dyDescent="0.35">
      <c r="A54" s="220" t="s">
        <v>201</v>
      </c>
      <c r="B54" s="2"/>
      <c r="C54" s="2"/>
      <c r="D54" s="10">
        <f>-C53*B53*0.1</f>
        <v>-560</v>
      </c>
      <c r="E54" s="2"/>
      <c r="F54" s="2"/>
      <c r="I54" s="2"/>
      <c r="J54" s="2"/>
    </row>
    <row r="55" spans="1:10" x14ac:dyDescent="0.2">
      <c r="A55" s="220" t="s">
        <v>690</v>
      </c>
      <c r="B55" s="2"/>
      <c r="C55" s="2"/>
      <c r="D55" s="2">
        <f>SUM(D53:D54)</f>
        <v>5040</v>
      </c>
      <c r="E55" s="2"/>
      <c r="F55" s="2"/>
      <c r="I55" s="2"/>
      <c r="J55" s="2"/>
    </row>
    <row r="56" spans="1:10" x14ac:dyDescent="0.2">
      <c r="D56" s="2"/>
      <c r="E56" s="2"/>
      <c r="F56" s="2"/>
      <c r="I56" s="2"/>
      <c r="J56" s="2"/>
    </row>
    <row r="57" spans="1:10" ht="13.5" x14ac:dyDescent="0.25">
      <c r="A57" s="225" t="s">
        <v>1001</v>
      </c>
      <c r="D57" s="2"/>
      <c r="E57" s="2">
        <v>395</v>
      </c>
      <c r="F57" s="2">
        <v>540</v>
      </c>
      <c r="G57" s="2">
        <v>540</v>
      </c>
      <c r="H57" s="2">
        <v>540</v>
      </c>
      <c r="I57" s="2">
        <v>540</v>
      </c>
      <c r="J57" s="2">
        <v>540</v>
      </c>
    </row>
    <row r="58" spans="1:10" hidden="1" x14ac:dyDescent="0.2">
      <c r="A58" s="220" t="s">
        <v>369</v>
      </c>
      <c r="B58" s="2">
        <v>4</v>
      </c>
      <c r="C58" s="2">
        <v>135</v>
      </c>
      <c r="D58" s="2">
        <f>ROUND(B58*C58,0)</f>
        <v>540</v>
      </c>
      <c r="E58" s="2"/>
      <c r="F58" s="2"/>
      <c r="I58" s="2"/>
      <c r="J58" s="2"/>
    </row>
    <row r="59" spans="1:10" x14ac:dyDescent="0.2">
      <c r="D59" s="2"/>
      <c r="E59" s="2"/>
      <c r="F59" s="2"/>
      <c r="I59" s="2"/>
      <c r="J59" s="2"/>
    </row>
    <row r="60" spans="1:10" ht="13.5" x14ac:dyDescent="0.25">
      <c r="A60" s="225" t="s">
        <v>1002</v>
      </c>
      <c r="D60" s="2"/>
      <c r="E60" s="2">
        <v>2012</v>
      </c>
      <c r="F60" s="2">
        <v>2500</v>
      </c>
      <c r="G60" s="2">
        <v>2200</v>
      </c>
      <c r="H60" s="2">
        <v>2200</v>
      </c>
      <c r="I60" s="2">
        <v>2200</v>
      </c>
      <c r="J60" s="2">
        <v>2200</v>
      </c>
    </row>
    <row r="61" spans="1:10" hidden="1" x14ac:dyDescent="0.2">
      <c r="A61" s="220" t="s">
        <v>369</v>
      </c>
      <c r="B61" s="2">
        <v>4</v>
      </c>
      <c r="C61" s="2">
        <v>550</v>
      </c>
      <c r="D61" s="2">
        <f>ROUND(B61*C61,0)</f>
        <v>2200</v>
      </c>
      <c r="E61" s="2"/>
      <c r="F61" s="59"/>
      <c r="G61" s="59"/>
      <c r="H61" s="59"/>
      <c r="I61" s="59"/>
      <c r="J61" s="59"/>
    </row>
    <row r="62" spans="1:10" x14ac:dyDescent="0.2">
      <c r="D62" s="2"/>
      <c r="E62" s="2"/>
      <c r="F62" s="3"/>
      <c r="G62" s="3"/>
      <c r="H62" s="3"/>
      <c r="I62" s="3"/>
      <c r="J62" s="3"/>
    </row>
    <row r="63" spans="1:10" ht="13.5" x14ac:dyDescent="0.25">
      <c r="A63" s="225" t="s">
        <v>1003</v>
      </c>
      <c r="D63" s="2"/>
      <c r="E63" s="2">
        <v>5172</v>
      </c>
      <c r="F63" s="3">
        <v>9162</v>
      </c>
      <c r="G63" s="3">
        <v>10119</v>
      </c>
      <c r="H63" s="3">
        <v>10119</v>
      </c>
      <c r="I63" s="3">
        <v>10304</v>
      </c>
      <c r="J63" s="3">
        <v>10304</v>
      </c>
    </row>
    <row r="64" spans="1:10" hidden="1" x14ac:dyDescent="0.2">
      <c r="A64" s="12" t="s">
        <v>1087</v>
      </c>
      <c r="B64" s="2">
        <f>+D9</f>
        <v>45050</v>
      </c>
      <c r="C64" s="13">
        <v>1.6999999999999999E-3</v>
      </c>
      <c r="D64" s="2">
        <f>ROUND(B64*C64,0)</f>
        <v>77</v>
      </c>
      <c r="E64" s="2"/>
      <c r="F64" s="3"/>
      <c r="G64" s="3"/>
      <c r="H64" s="3"/>
      <c r="I64" s="3"/>
      <c r="J64" s="3"/>
    </row>
    <row r="65" spans="1:10" hidden="1" x14ac:dyDescent="0.2">
      <c r="A65" s="12" t="s">
        <v>1092</v>
      </c>
      <c r="B65" s="2">
        <f>+D15</f>
        <v>83312</v>
      </c>
      <c r="C65" s="13">
        <v>4.0899999999999999E-2</v>
      </c>
      <c r="D65" s="2">
        <f>ROUND(B65*C65,0)</f>
        <v>3407</v>
      </c>
      <c r="E65" s="2"/>
      <c r="F65" s="3"/>
      <c r="G65" s="3"/>
      <c r="H65" s="3"/>
      <c r="I65" s="3"/>
      <c r="J65" s="3"/>
    </row>
    <row r="66" spans="1:10" hidden="1" x14ac:dyDescent="0.2">
      <c r="A66" s="12" t="s">
        <v>421</v>
      </c>
      <c r="B66" s="2">
        <f>+D22</f>
        <v>134338</v>
      </c>
      <c r="C66" s="13">
        <v>4.0899999999999999E-2</v>
      </c>
      <c r="D66" s="2">
        <f>ROUND(B66*C66,0)</f>
        <v>5494</v>
      </c>
      <c r="E66" s="2"/>
      <c r="F66" s="3"/>
      <c r="G66" s="3"/>
      <c r="H66" s="3"/>
      <c r="I66" s="3"/>
      <c r="J66" s="3"/>
    </row>
    <row r="67" spans="1:10" hidden="1" x14ac:dyDescent="0.2">
      <c r="A67" s="12" t="s">
        <v>1093</v>
      </c>
      <c r="B67" s="2">
        <f>+D27</f>
        <v>27647</v>
      </c>
      <c r="C67" s="13">
        <v>4.0899999999999999E-2</v>
      </c>
      <c r="D67" s="2">
        <f>ROUND(B67*C67,0)</f>
        <v>1131</v>
      </c>
      <c r="E67" s="2"/>
      <c r="F67" s="3"/>
      <c r="G67" s="3"/>
      <c r="H67" s="3"/>
      <c r="I67" s="3"/>
      <c r="J67" s="3"/>
    </row>
    <row r="68" spans="1:10" ht="15" hidden="1" x14ac:dyDescent="0.35">
      <c r="A68" s="12" t="s">
        <v>1504</v>
      </c>
      <c r="B68" s="2">
        <f>+D32</f>
        <v>4431.5625</v>
      </c>
      <c r="C68" s="13">
        <v>4.0899999999999999E-2</v>
      </c>
      <c r="D68" s="10">
        <f>ROUND(B68*C68,0)</f>
        <v>181</v>
      </c>
      <c r="E68" s="2"/>
      <c r="F68" s="3"/>
      <c r="G68" s="3"/>
      <c r="H68" s="3"/>
      <c r="I68" s="3"/>
      <c r="J68" s="3"/>
    </row>
    <row r="69" spans="1:10" hidden="1" x14ac:dyDescent="0.2">
      <c r="A69" s="220" t="s">
        <v>1086</v>
      </c>
      <c r="D69" s="2">
        <f>SUM(D64:D68)+14</f>
        <v>10304</v>
      </c>
      <c r="E69" s="2"/>
      <c r="F69" s="3"/>
      <c r="G69" s="3"/>
      <c r="H69" s="3"/>
      <c r="I69" s="3"/>
      <c r="J69" s="3"/>
    </row>
    <row r="70" spans="1:10" x14ac:dyDescent="0.2">
      <c r="D70" s="2"/>
      <c r="E70" s="2"/>
      <c r="F70" s="3"/>
      <c r="G70" s="3"/>
      <c r="H70" s="3"/>
      <c r="I70" s="3"/>
      <c r="J70" s="3"/>
    </row>
    <row r="71" spans="1:10" ht="13.5" x14ac:dyDescent="0.25">
      <c r="A71" s="225" t="s">
        <v>1004</v>
      </c>
      <c r="D71" s="2"/>
      <c r="E71" s="2">
        <v>73</v>
      </c>
      <c r="F71" s="3">
        <v>100</v>
      </c>
      <c r="G71" s="3">
        <v>100</v>
      </c>
      <c r="H71" s="3">
        <v>100</v>
      </c>
      <c r="I71" s="3">
        <v>100</v>
      </c>
      <c r="J71" s="3">
        <v>100</v>
      </c>
    </row>
    <row r="72" spans="1:10" hidden="1" x14ac:dyDescent="0.2">
      <c r="A72" s="12" t="s">
        <v>1087</v>
      </c>
      <c r="B72" s="2">
        <v>1</v>
      </c>
      <c r="C72" s="2">
        <v>20</v>
      </c>
      <c r="D72" s="2">
        <f>ROUND(B72*C72,0)</f>
        <v>20</v>
      </c>
      <c r="E72" s="2"/>
      <c r="F72" s="3"/>
      <c r="G72" s="3"/>
      <c r="H72" s="3"/>
      <c r="I72" s="3"/>
      <c r="J72" s="3"/>
    </row>
    <row r="73" spans="1:10" hidden="1" x14ac:dyDescent="0.2">
      <c r="A73" s="12" t="s">
        <v>1088</v>
      </c>
      <c r="B73" s="2">
        <v>1</v>
      </c>
      <c r="C73" s="2">
        <v>20</v>
      </c>
      <c r="D73" s="2">
        <f>ROUND(B73*C73,0)</f>
        <v>20</v>
      </c>
      <c r="E73" s="2"/>
      <c r="F73" s="3"/>
      <c r="G73" s="3"/>
      <c r="H73" s="3"/>
      <c r="I73" s="3"/>
      <c r="J73" s="3"/>
    </row>
    <row r="74" spans="1:10" hidden="1" x14ac:dyDescent="0.2">
      <c r="A74" s="12" t="s">
        <v>1089</v>
      </c>
      <c r="B74" s="2">
        <v>2</v>
      </c>
      <c r="C74" s="2">
        <v>20</v>
      </c>
      <c r="D74" s="2">
        <f>ROUND(B74*C74,0)</f>
        <v>40</v>
      </c>
      <c r="E74" s="2"/>
      <c r="F74" s="3"/>
      <c r="G74" s="3"/>
      <c r="H74" s="3"/>
      <c r="I74" s="3"/>
      <c r="J74" s="3"/>
    </row>
    <row r="75" spans="1:10" hidden="1" x14ac:dyDescent="0.2">
      <c r="A75" s="12" t="s">
        <v>1741</v>
      </c>
      <c r="B75" s="2">
        <v>1</v>
      </c>
      <c r="C75" s="2">
        <v>20</v>
      </c>
      <c r="D75" s="2">
        <f>ROUND(B75*C75,0)</f>
        <v>20</v>
      </c>
      <c r="E75" s="2"/>
      <c r="F75" s="3"/>
      <c r="G75" s="3"/>
      <c r="H75" s="3"/>
      <c r="I75" s="3"/>
      <c r="J75" s="3"/>
    </row>
    <row r="76" spans="1:10" hidden="1" x14ac:dyDescent="0.2">
      <c r="A76" s="12" t="s">
        <v>1742</v>
      </c>
      <c r="B76" s="2">
        <v>0</v>
      </c>
      <c r="C76" s="13">
        <v>1.4E-3</v>
      </c>
      <c r="D76" s="17">
        <f>ROUND(B76*C76,0)</f>
        <v>0</v>
      </c>
      <c r="E76" s="2"/>
      <c r="F76" s="3"/>
      <c r="G76" s="3"/>
      <c r="H76" s="3"/>
      <c r="I76" s="3"/>
      <c r="J76" s="3"/>
    </row>
    <row r="77" spans="1:10" hidden="1" x14ac:dyDescent="0.2">
      <c r="A77" s="220" t="s">
        <v>1086</v>
      </c>
      <c r="B77" s="2" t="s">
        <v>349</v>
      </c>
      <c r="C77" s="13" t="s">
        <v>349</v>
      </c>
      <c r="D77" s="2">
        <f>SUM(D72:D76)</f>
        <v>100</v>
      </c>
      <c r="E77" s="2"/>
      <c r="F77" s="67"/>
      <c r="G77" s="67"/>
      <c r="H77" s="67"/>
      <c r="I77" s="67"/>
      <c r="J77" s="67"/>
    </row>
    <row r="78" spans="1:10" hidden="1" x14ac:dyDescent="0.2">
      <c r="B78" s="2"/>
      <c r="C78" s="13"/>
      <c r="D78" s="2"/>
      <c r="E78" s="2"/>
      <c r="F78" s="67"/>
      <c r="G78" s="67"/>
      <c r="H78" s="67"/>
      <c r="I78" s="67"/>
      <c r="J78" s="67"/>
    </row>
    <row r="79" spans="1:10" x14ac:dyDescent="0.2">
      <c r="B79" s="2"/>
      <c r="C79" s="11"/>
      <c r="E79" s="2"/>
      <c r="F79" s="67"/>
      <c r="I79" s="2"/>
      <c r="J79" s="2"/>
    </row>
    <row r="80" spans="1:10" x14ac:dyDescent="0.2">
      <c r="B80" s="2"/>
      <c r="C80" s="11"/>
      <c r="E80" s="2"/>
      <c r="F80" s="67"/>
      <c r="I80" s="2"/>
      <c r="J80" s="2"/>
    </row>
    <row r="81" spans="1:10" ht="13.5" x14ac:dyDescent="0.25">
      <c r="A81" s="225" t="s">
        <v>1005</v>
      </c>
      <c r="D81" s="2"/>
      <c r="E81" s="2">
        <v>893</v>
      </c>
      <c r="F81" s="3">
        <v>2995</v>
      </c>
      <c r="G81" s="2">
        <v>4295</v>
      </c>
      <c r="H81" s="2">
        <v>4295</v>
      </c>
      <c r="I81" s="2">
        <v>4295</v>
      </c>
      <c r="J81" s="2">
        <v>4295</v>
      </c>
    </row>
    <row r="82" spans="1:10" x14ac:dyDescent="0.2">
      <c r="A82" s="55" t="s">
        <v>1419</v>
      </c>
      <c r="B82" s="55"/>
      <c r="C82" s="55"/>
      <c r="D82" s="3">
        <v>2500</v>
      </c>
      <c r="E82" s="3"/>
      <c r="F82" s="3"/>
      <c r="I82" s="2"/>
      <c r="J82" s="2"/>
    </row>
    <row r="83" spans="1:10" x14ac:dyDescent="0.2">
      <c r="A83" s="55" t="s">
        <v>2042</v>
      </c>
      <c r="B83" s="55"/>
      <c r="C83" s="55">
        <v>1</v>
      </c>
      <c r="D83" s="3">
        <v>615</v>
      </c>
      <c r="E83" s="3"/>
      <c r="F83" s="67"/>
      <c r="I83" s="2"/>
      <c r="J83" s="2"/>
    </row>
    <row r="84" spans="1:10" ht="15" x14ac:dyDescent="0.35">
      <c r="A84" s="55" t="s">
        <v>2043</v>
      </c>
      <c r="B84" s="55"/>
      <c r="C84" s="55">
        <v>1</v>
      </c>
      <c r="D84" s="30">
        <v>1180</v>
      </c>
      <c r="E84" s="3"/>
      <c r="F84" s="3"/>
      <c r="I84" s="2"/>
      <c r="J84" s="2"/>
    </row>
    <row r="85" spans="1:10" x14ac:dyDescent="0.2">
      <c r="A85" s="55"/>
      <c r="B85" s="55"/>
      <c r="C85" s="55"/>
      <c r="D85" s="3">
        <f>SUM(D82:D84)</f>
        <v>4295</v>
      </c>
      <c r="E85" s="3"/>
      <c r="F85" s="3"/>
      <c r="I85" s="2"/>
      <c r="J85" s="2"/>
    </row>
    <row r="86" spans="1:10" x14ac:dyDescent="0.2">
      <c r="A86" s="55" t="s">
        <v>349</v>
      </c>
      <c r="B86" s="55"/>
      <c r="C86" s="55"/>
      <c r="D86" s="3" t="s">
        <v>349</v>
      </c>
      <c r="E86" s="3"/>
      <c r="F86" s="3"/>
      <c r="I86" s="2"/>
      <c r="J86" s="2"/>
    </row>
    <row r="87" spans="1:10" ht="13.5" x14ac:dyDescent="0.25">
      <c r="A87" s="199" t="s">
        <v>1841</v>
      </c>
      <c r="B87" s="167"/>
      <c r="C87" s="167"/>
      <c r="D87" s="167"/>
      <c r="E87" s="3">
        <v>0</v>
      </c>
      <c r="F87" s="3">
        <v>1350</v>
      </c>
      <c r="G87" s="2">
        <v>2850</v>
      </c>
      <c r="H87" s="2">
        <v>1350</v>
      </c>
      <c r="I87" s="2">
        <v>1350</v>
      </c>
      <c r="J87" s="2">
        <v>1350</v>
      </c>
    </row>
    <row r="88" spans="1:10" x14ac:dyDescent="0.2">
      <c r="A88" s="169"/>
      <c r="B88" s="200" t="s">
        <v>217</v>
      </c>
      <c r="C88" s="200" t="s">
        <v>1427</v>
      </c>
      <c r="D88" s="200"/>
      <c r="E88" s="3"/>
      <c r="F88" s="3"/>
      <c r="I88" s="2"/>
      <c r="J88" s="2"/>
    </row>
    <row r="89" spans="1:10" x14ac:dyDescent="0.2">
      <c r="A89" s="167" t="s">
        <v>2044</v>
      </c>
      <c r="B89" s="167">
        <v>3</v>
      </c>
      <c r="C89" s="167">
        <v>450</v>
      </c>
      <c r="D89" s="167">
        <f>C89*B89</f>
        <v>1350</v>
      </c>
      <c r="E89" s="3"/>
      <c r="F89" s="3"/>
      <c r="I89" s="2"/>
      <c r="J89" s="2"/>
    </row>
    <row r="90" spans="1:10" x14ac:dyDescent="0.2">
      <c r="A90" s="167" t="s">
        <v>2045</v>
      </c>
      <c r="B90" s="167">
        <v>0</v>
      </c>
      <c r="C90" s="167">
        <v>300</v>
      </c>
      <c r="D90" s="167">
        <f>C90*B90</f>
        <v>0</v>
      </c>
      <c r="E90" s="3"/>
      <c r="F90" s="3"/>
      <c r="I90" s="2"/>
      <c r="J90" s="2"/>
    </row>
    <row r="91" spans="1:10" x14ac:dyDescent="0.2">
      <c r="A91" s="201" t="s">
        <v>1086</v>
      </c>
      <c r="B91" s="167"/>
      <c r="C91" s="167"/>
      <c r="D91" s="167">
        <f>SUM(D89:D90)</f>
        <v>1350</v>
      </c>
      <c r="E91" s="3"/>
      <c r="F91" s="3"/>
      <c r="I91" s="2"/>
      <c r="J91" s="2"/>
    </row>
    <row r="92" spans="1:10" ht="13.5" x14ac:dyDescent="0.25">
      <c r="A92" s="56"/>
      <c r="B92" s="55"/>
      <c r="C92" s="55"/>
      <c r="D92" s="55"/>
      <c r="E92" s="3"/>
      <c r="F92" s="3"/>
      <c r="I92" s="2"/>
      <c r="J92" s="2"/>
    </row>
    <row r="93" spans="1:10" ht="13.5" x14ac:dyDescent="0.25">
      <c r="A93" s="56" t="s">
        <v>1006</v>
      </c>
      <c r="B93" s="55"/>
      <c r="C93" s="55"/>
      <c r="D93" s="3"/>
      <c r="E93" s="3">
        <v>645</v>
      </c>
      <c r="F93" s="3">
        <v>655</v>
      </c>
      <c r="G93" s="2">
        <v>770</v>
      </c>
      <c r="H93" s="2">
        <v>770</v>
      </c>
      <c r="I93" s="2">
        <v>770</v>
      </c>
      <c r="J93" s="2">
        <v>770</v>
      </c>
    </row>
    <row r="94" spans="1:10" ht="15" x14ac:dyDescent="0.35">
      <c r="A94" s="55" t="s">
        <v>2046</v>
      </c>
      <c r="B94" s="55"/>
      <c r="C94" s="55"/>
      <c r="D94" s="30">
        <v>770</v>
      </c>
      <c r="E94" s="3"/>
      <c r="F94" s="3"/>
      <c r="I94" s="2"/>
      <c r="J94" s="2"/>
    </row>
    <row r="95" spans="1:10" x14ac:dyDescent="0.2">
      <c r="A95" s="55"/>
      <c r="B95" s="55"/>
      <c r="C95" s="55"/>
      <c r="D95" s="3">
        <f>SUM(D94:D94)</f>
        <v>770</v>
      </c>
      <c r="E95" s="3"/>
      <c r="F95" s="3"/>
      <c r="I95" s="2"/>
      <c r="J95" s="2"/>
    </row>
    <row r="96" spans="1:10" x14ac:dyDescent="0.2">
      <c r="A96" s="55"/>
      <c r="B96" s="55"/>
      <c r="C96" s="55"/>
      <c r="D96" s="3"/>
      <c r="E96" s="3"/>
      <c r="F96" s="3"/>
      <c r="I96" s="2"/>
      <c r="J96" s="2"/>
    </row>
    <row r="97" spans="1:10" x14ac:dyDescent="0.2">
      <c r="A97" s="202" t="s">
        <v>76</v>
      </c>
      <c r="B97" s="55"/>
      <c r="C97" s="55"/>
      <c r="D97" s="55"/>
      <c r="E97" s="3">
        <v>8</v>
      </c>
      <c r="F97" s="3">
        <v>25</v>
      </c>
      <c r="G97" s="2">
        <v>200</v>
      </c>
      <c r="H97" s="2">
        <v>200</v>
      </c>
      <c r="I97" s="2">
        <v>200</v>
      </c>
      <c r="J97" s="2">
        <v>200</v>
      </c>
    </row>
    <row r="98" spans="1:10" x14ac:dyDescent="0.2">
      <c r="A98" s="3" t="s">
        <v>280</v>
      </c>
      <c r="B98" s="55"/>
      <c r="C98" s="55"/>
      <c r="D98" s="55">
        <v>200</v>
      </c>
      <c r="E98" s="3"/>
      <c r="F98" s="3"/>
      <c r="I98" s="2"/>
      <c r="J98" s="2"/>
    </row>
    <row r="99" spans="1:10" x14ac:dyDescent="0.2">
      <c r="E99" s="2"/>
      <c r="F99" s="67"/>
      <c r="I99" s="2"/>
      <c r="J99" s="2"/>
    </row>
    <row r="100" spans="1:10" ht="13.5" x14ac:dyDescent="0.25">
      <c r="A100" s="56" t="s">
        <v>1007</v>
      </c>
      <c r="B100" s="55"/>
      <c r="C100" s="55"/>
      <c r="D100" s="55"/>
      <c r="E100" s="2">
        <v>1721</v>
      </c>
      <c r="F100" s="67">
        <v>1806</v>
      </c>
      <c r="G100" s="67">
        <v>2475</v>
      </c>
      <c r="H100" s="67">
        <v>2475</v>
      </c>
      <c r="I100" s="67">
        <v>2475</v>
      </c>
      <c r="J100" s="67">
        <v>2475</v>
      </c>
    </row>
    <row r="101" spans="1:10" x14ac:dyDescent="0.2">
      <c r="A101" s="55" t="s">
        <v>2047</v>
      </c>
      <c r="B101" s="3">
        <v>1100</v>
      </c>
      <c r="C101" s="58">
        <v>2.25</v>
      </c>
      <c r="D101" s="3">
        <f>+C101*B101</f>
        <v>2475</v>
      </c>
      <c r="E101" s="2"/>
      <c r="F101" s="67"/>
      <c r="G101" s="67"/>
      <c r="H101" s="67"/>
      <c r="I101" s="67"/>
      <c r="J101" s="67"/>
    </row>
    <row r="102" spans="1:10" x14ac:dyDescent="0.2">
      <c r="B102" s="2"/>
      <c r="D102" s="13"/>
      <c r="E102" s="2"/>
      <c r="F102" s="3"/>
      <c r="G102" s="3"/>
      <c r="H102" s="3"/>
      <c r="I102" s="3"/>
      <c r="J102" s="3"/>
    </row>
    <row r="103" spans="1:10" ht="13.5" x14ac:dyDescent="0.25">
      <c r="A103" s="225" t="s">
        <v>1008</v>
      </c>
      <c r="B103" s="2"/>
      <c r="D103" s="13"/>
      <c r="E103" s="2">
        <v>1810</v>
      </c>
      <c r="F103" s="3">
        <v>2730</v>
      </c>
      <c r="G103" s="3">
        <v>2730</v>
      </c>
      <c r="H103" s="3">
        <v>2730</v>
      </c>
      <c r="I103" s="3">
        <v>2730</v>
      </c>
      <c r="J103" s="3">
        <v>2730</v>
      </c>
    </row>
    <row r="104" spans="1:10" x14ac:dyDescent="0.2">
      <c r="A104" s="220" t="s">
        <v>820</v>
      </c>
      <c r="B104" s="2"/>
      <c r="D104" s="2">
        <v>750</v>
      </c>
      <c r="E104" s="2"/>
      <c r="F104" s="3"/>
      <c r="G104" s="3"/>
      <c r="H104" s="3"/>
      <c r="I104" s="3"/>
      <c r="J104" s="3"/>
    </row>
    <row r="105" spans="1:10" x14ac:dyDescent="0.2">
      <c r="A105" s="2" t="s">
        <v>760</v>
      </c>
      <c r="B105" s="2">
        <v>1</v>
      </c>
      <c r="C105" s="2">
        <v>1020</v>
      </c>
      <c r="D105" s="2">
        <f>C105*B105</f>
        <v>1020</v>
      </c>
      <c r="E105" s="2"/>
      <c r="F105" s="3"/>
      <c r="G105" s="3"/>
      <c r="H105" s="3"/>
      <c r="I105" s="3"/>
      <c r="J105" s="3"/>
    </row>
    <row r="106" spans="1:10" x14ac:dyDescent="0.2">
      <c r="A106" s="2" t="s">
        <v>761</v>
      </c>
      <c r="B106" s="2">
        <v>1</v>
      </c>
      <c r="C106" s="2">
        <v>480</v>
      </c>
      <c r="D106" s="2">
        <f>C106*B106</f>
        <v>480</v>
      </c>
      <c r="E106" s="2"/>
      <c r="F106" s="67"/>
      <c r="G106" s="67"/>
      <c r="H106" s="67"/>
      <c r="I106" s="67"/>
      <c r="J106" s="67"/>
    </row>
    <row r="107" spans="1:10" ht="15" x14ac:dyDescent="0.35">
      <c r="A107" s="2" t="s">
        <v>762</v>
      </c>
      <c r="B107" s="2">
        <v>1</v>
      </c>
      <c r="C107" s="2">
        <v>480</v>
      </c>
      <c r="D107" s="10">
        <f>C107*B107</f>
        <v>480</v>
      </c>
      <c r="E107" s="2"/>
      <c r="F107" s="3"/>
      <c r="G107" s="3"/>
      <c r="H107" s="3"/>
      <c r="I107" s="3"/>
      <c r="J107" s="3"/>
    </row>
    <row r="108" spans="1:10" x14ac:dyDescent="0.2">
      <c r="A108" s="220" t="s">
        <v>1086</v>
      </c>
      <c r="B108" s="2"/>
      <c r="D108" s="2">
        <f>SUM(D104:D107)</f>
        <v>2730</v>
      </c>
      <c r="E108" s="2"/>
      <c r="F108" s="3"/>
      <c r="G108" s="3"/>
      <c r="H108" s="3"/>
      <c r="I108" s="3"/>
      <c r="J108" s="3"/>
    </row>
    <row r="109" spans="1:10" x14ac:dyDescent="0.2">
      <c r="B109" s="2"/>
      <c r="D109" s="2"/>
      <c r="E109" s="2"/>
      <c r="F109" s="3"/>
      <c r="G109" s="3"/>
      <c r="H109" s="3"/>
      <c r="I109" s="3"/>
      <c r="J109" s="3"/>
    </row>
    <row r="110" spans="1:10" x14ac:dyDescent="0.2">
      <c r="D110" s="2"/>
      <c r="E110" s="2"/>
      <c r="F110" s="3"/>
      <c r="G110" s="3"/>
      <c r="H110" s="3"/>
      <c r="I110" s="3"/>
      <c r="J110" s="3"/>
    </row>
    <row r="111" spans="1:10" ht="13.5" x14ac:dyDescent="0.25">
      <c r="A111" s="225" t="s">
        <v>1009</v>
      </c>
      <c r="D111" s="2"/>
      <c r="E111" s="2">
        <v>330</v>
      </c>
      <c r="F111" s="3">
        <v>815</v>
      </c>
      <c r="G111" s="3">
        <v>890</v>
      </c>
      <c r="H111" s="3">
        <v>890</v>
      </c>
      <c r="I111" s="3">
        <v>890</v>
      </c>
      <c r="J111" s="3">
        <v>890</v>
      </c>
    </row>
    <row r="112" spans="1:10" x14ac:dyDescent="0.2">
      <c r="A112" s="220" t="s">
        <v>1933</v>
      </c>
      <c r="B112" s="2">
        <v>1</v>
      </c>
      <c r="C112" s="220">
        <v>175</v>
      </c>
      <c r="D112" s="2">
        <f>C112*B112</f>
        <v>175</v>
      </c>
      <c r="E112" s="2"/>
      <c r="F112" s="3"/>
      <c r="G112" s="3"/>
      <c r="H112" s="3"/>
      <c r="I112" s="3"/>
      <c r="J112" s="3"/>
    </row>
    <row r="113" spans="1:10" x14ac:dyDescent="0.2">
      <c r="A113" s="220" t="s">
        <v>1934</v>
      </c>
      <c r="B113" s="2">
        <v>0</v>
      </c>
      <c r="C113" s="220">
        <v>125</v>
      </c>
      <c r="D113" s="2">
        <f t="shared" ref="D113:D119" si="0">C113*B113</f>
        <v>0</v>
      </c>
      <c r="E113" s="2"/>
      <c r="F113" s="3"/>
      <c r="G113" s="3"/>
      <c r="H113" s="3"/>
      <c r="I113" s="3"/>
      <c r="J113" s="3"/>
    </row>
    <row r="114" spans="1:10" x14ac:dyDescent="0.2">
      <c r="A114" s="220" t="s">
        <v>1935</v>
      </c>
      <c r="B114" s="2">
        <v>0</v>
      </c>
      <c r="C114" s="220">
        <v>125</v>
      </c>
      <c r="D114" s="2">
        <f t="shared" si="0"/>
        <v>0</v>
      </c>
      <c r="E114" s="2"/>
      <c r="F114" s="3"/>
      <c r="G114" s="3"/>
      <c r="H114" s="3"/>
      <c r="I114" s="3"/>
      <c r="J114" s="3"/>
    </row>
    <row r="115" spans="1:10" x14ac:dyDescent="0.2">
      <c r="A115" s="220" t="s">
        <v>1386</v>
      </c>
      <c r="B115" s="2">
        <v>2</v>
      </c>
      <c r="C115" s="220">
        <v>75</v>
      </c>
      <c r="D115" s="2">
        <f t="shared" si="0"/>
        <v>150</v>
      </c>
      <c r="E115" s="2"/>
      <c r="F115" s="3"/>
      <c r="G115" s="3"/>
      <c r="H115" s="3"/>
      <c r="I115" s="3"/>
      <c r="J115" s="3"/>
    </row>
    <row r="116" spans="1:10" x14ac:dyDescent="0.2">
      <c r="A116" s="220" t="s">
        <v>152</v>
      </c>
      <c r="B116" s="2">
        <v>3</v>
      </c>
      <c r="C116" s="220">
        <v>30</v>
      </c>
      <c r="D116" s="2">
        <f t="shared" si="0"/>
        <v>90</v>
      </c>
      <c r="E116" s="2"/>
      <c r="F116" s="3"/>
      <c r="G116" s="3"/>
      <c r="H116" s="3"/>
      <c r="I116" s="3"/>
      <c r="J116" s="3"/>
    </row>
    <row r="117" spans="1:10" x14ac:dyDescent="0.2">
      <c r="A117" s="220" t="s">
        <v>1387</v>
      </c>
      <c r="B117" s="2">
        <v>0</v>
      </c>
      <c r="C117" s="220">
        <v>85</v>
      </c>
      <c r="D117" s="2">
        <f t="shared" si="0"/>
        <v>0</v>
      </c>
      <c r="E117" s="2"/>
      <c r="F117" s="3"/>
      <c r="G117" s="3"/>
      <c r="H117" s="3"/>
      <c r="I117" s="3"/>
      <c r="J117" s="3"/>
    </row>
    <row r="118" spans="1:10" x14ac:dyDescent="0.2">
      <c r="A118" s="220" t="s">
        <v>1388</v>
      </c>
      <c r="B118" s="2">
        <v>3</v>
      </c>
      <c r="C118" s="220">
        <v>75</v>
      </c>
      <c r="D118" s="2">
        <f t="shared" si="0"/>
        <v>225</v>
      </c>
      <c r="E118" s="2"/>
      <c r="F118" s="3"/>
      <c r="G118" s="3"/>
      <c r="H118" s="3"/>
      <c r="I118" s="3"/>
      <c r="J118" s="3"/>
    </row>
    <row r="119" spans="1:10" ht="15" x14ac:dyDescent="0.35">
      <c r="A119" s="220" t="s">
        <v>1936</v>
      </c>
      <c r="B119" s="2">
        <v>1</v>
      </c>
      <c r="C119" s="220">
        <v>250</v>
      </c>
      <c r="D119" s="10">
        <f t="shared" si="0"/>
        <v>250</v>
      </c>
      <c r="E119" s="2"/>
      <c r="F119" s="3"/>
      <c r="G119" s="3"/>
      <c r="H119" s="3"/>
      <c r="I119" s="3"/>
      <c r="J119" s="3"/>
    </row>
    <row r="120" spans="1:10" x14ac:dyDescent="0.2">
      <c r="A120" s="220" t="s">
        <v>1086</v>
      </c>
      <c r="D120" s="2">
        <f>SUM(D112:D119)</f>
        <v>890</v>
      </c>
      <c r="E120" s="2"/>
      <c r="F120" s="3"/>
      <c r="G120" s="3"/>
      <c r="H120" s="3"/>
      <c r="I120" s="3"/>
      <c r="J120" s="3"/>
    </row>
    <row r="121" spans="1:10" x14ac:dyDescent="0.2">
      <c r="D121" s="2"/>
      <c r="E121" s="2"/>
      <c r="F121" s="3"/>
      <c r="G121" s="3"/>
      <c r="H121" s="3"/>
      <c r="I121" s="3"/>
      <c r="J121" s="3"/>
    </row>
    <row r="122" spans="1:10" ht="13.5" x14ac:dyDescent="0.25">
      <c r="A122" s="16" t="s">
        <v>1010</v>
      </c>
      <c r="D122" s="2"/>
      <c r="E122" s="2">
        <v>1909</v>
      </c>
      <c r="F122" s="3">
        <v>2300</v>
      </c>
      <c r="G122" s="3">
        <v>2461</v>
      </c>
      <c r="H122" s="3">
        <v>2461</v>
      </c>
      <c r="I122" s="3">
        <v>2461</v>
      </c>
      <c r="J122" s="3">
        <v>2461</v>
      </c>
    </row>
    <row r="123" spans="1:10" x14ac:dyDescent="0.2">
      <c r="A123" s="220" t="s">
        <v>749</v>
      </c>
      <c r="D123" s="2">
        <v>2461</v>
      </c>
      <c r="E123" s="2"/>
      <c r="F123" s="3"/>
      <c r="G123" s="3"/>
      <c r="H123" s="3"/>
      <c r="I123" s="3"/>
      <c r="J123" s="3"/>
    </row>
    <row r="124" spans="1:10" x14ac:dyDescent="0.2">
      <c r="D124" s="2"/>
      <c r="E124" s="2"/>
      <c r="F124" s="3"/>
      <c r="G124" s="3"/>
      <c r="H124" s="3"/>
      <c r="I124" s="3"/>
      <c r="J124" s="3"/>
    </row>
    <row r="125" spans="1:10" ht="13.5" x14ac:dyDescent="0.25">
      <c r="A125" s="225" t="s">
        <v>1011</v>
      </c>
      <c r="D125" s="2"/>
      <c r="E125" s="2">
        <v>0</v>
      </c>
      <c r="F125" s="67">
        <v>0</v>
      </c>
      <c r="G125" s="67">
        <v>0</v>
      </c>
      <c r="H125" s="67">
        <v>0</v>
      </c>
      <c r="I125" s="67">
        <v>0</v>
      </c>
      <c r="J125" s="67">
        <v>0</v>
      </c>
    </row>
    <row r="126" spans="1:10" x14ac:dyDescent="0.2">
      <c r="A126" s="220" t="s">
        <v>1420</v>
      </c>
      <c r="D126" s="2">
        <v>0</v>
      </c>
      <c r="E126" s="2"/>
      <c r="F126" s="3"/>
      <c r="G126" s="3"/>
      <c r="H126" s="3"/>
      <c r="I126" s="3"/>
      <c r="J126" s="3"/>
    </row>
    <row r="127" spans="1:10" x14ac:dyDescent="0.2">
      <c r="D127" s="2"/>
      <c r="E127" s="2"/>
      <c r="F127" s="3"/>
      <c r="G127" s="3"/>
      <c r="H127" s="3"/>
      <c r="I127" s="3"/>
      <c r="J127" s="3"/>
    </row>
    <row r="128" spans="1:10" ht="13.5" x14ac:dyDescent="0.25">
      <c r="A128" s="106" t="s">
        <v>1421</v>
      </c>
      <c r="B128" s="203"/>
      <c r="C128" s="66"/>
      <c r="D128" s="66"/>
      <c r="E128" s="66">
        <v>0</v>
      </c>
      <c r="F128" s="67">
        <v>2300</v>
      </c>
      <c r="G128" s="67">
        <v>2100</v>
      </c>
      <c r="H128" s="67">
        <v>2100</v>
      </c>
      <c r="I128" s="67">
        <v>2100</v>
      </c>
      <c r="J128" s="67">
        <v>2100</v>
      </c>
    </row>
    <row r="129" spans="1:10" x14ac:dyDescent="0.2">
      <c r="A129" s="3" t="s">
        <v>2048</v>
      </c>
      <c r="B129" s="3">
        <v>1</v>
      </c>
      <c r="C129" s="3">
        <v>1200</v>
      </c>
      <c r="D129" s="66">
        <f>C129*B129</f>
        <v>1200</v>
      </c>
      <c r="E129" s="66"/>
      <c r="F129" s="3"/>
      <c r="G129" s="67"/>
      <c r="H129" s="67"/>
      <c r="I129" s="67"/>
      <c r="J129" s="67"/>
    </row>
    <row r="130" spans="1:10" ht="15" x14ac:dyDescent="0.35">
      <c r="A130" s="3" t="s">
        <v>2049</v>
      </c>
      <c r="B130" s="3">
        <v>1</v>
      </c>
      <c r="C130" s="3">
        <v>900</v>
      </c>
      <c r="D130" s="204">
        <v>900</v>
      </c>
      <c r="E130" s="66"/>
      <c r="F130" s="3"/>
      <c r="G130" s="67"/>
      <c r="H130" s="67"/>
      <c r="I130" s="67"/>
      <c r="J130" s="67"/>
    </row>
    <row r="131" spans="1:10" x14ac:dyDescent="0.2">
      <c r="A131" s="205" t="s">
        <v>1086</v>
      </c>
      <c r="B131" s="3"/>
      <c r="C131" s="3"/>
      <c r="D131" s="66">
        <f>SUM(D129:D130)</f>
        <v>2100</v>
      </c>
      <c r="E131" s="66"/>
      <c r="F131" s="3"/>
      <c r="G131" s="67"/>
      <c r="H131" s="67"/>
      <c r="I131" s="67"/>
      <c r="J131" s="67"/>
    </row>
    <row r="132" spans="1:10" x14ac:dyDescent="0.2">
      <c r="A132" s="205"/>
      <c r="B132" s="3"/>
      <c r="C132" s="3"/>
      <c r="D132" s="66"/>
      <c r="E132" s="66"/>
      <c r="F132" s="3"/>
      <c r="G132" s="67"/>
      <c r="H132" s="67"/>
      <c r="I132" s="67"/>
      <c r="J132" s="67"/>
    </row>
    <row r="133" spans="1:10" ht="13.5" x14ac:dyDescent="0.25">
      <c r="A133" s="56" t="s">
        <v>1012</v>
      </c>
      <c r="B133" s="55"/>
      <c r="C133" s="55"/>
      <c r="D133" s="3"/>
      <c r="E133" s="3">
        <v>4570</v>
      </c>
      <c r="F133" s="3">
        <v>3500</v>
      </c>
      <c r="G133" s="67">
        <v>4500</v>
      </c>
      <c r="H133" s="67">
        <v>4500</v>
      </c>
      <c r="I133" s="67">
        <v>4500</v>
      </c>
      <c r="J133" s="67">
        <v>4500</v>
      </c>
    </row>
    <row r="134" spans="1:10" x14ac:dyDescent="0.2">
      <c r="A134" s="55" t="s">
        <v>2050</v>
      </c>
      <c r="B134" s="55"/>
      <c r="C134" s="55"/>
      <c r="D134" s="3">
        <v>4500</v>
      </c>
      <c r="E134" s="3"/>
      <c r="F134" s="3"/>
      <c r="G134" s="67"/>
      <c r="H134" s="67"/>
      <c r="I134" s="67"/>
      <c r="J134" s="67"/>
    </row>
    <row r="135" spans="1:10" x14ac:dyDescent="0.2">
      <c r="D135" s="2"/>
      <c r="E135" s="2"/>
      <c r="F135" s="3"/>
      <c r="G135" s="67"/>
      <c r="H135" s="67"/>
      <c r="I135" s="67"/>
      <c r="J135" s="67"/>
    </row>
    <row r="136" spans="1:10" ht="13.5" x14ac:dyDescent="0.25">
      <c r="A136" s="106" t="s">
        <v>508</v>
      </c>
      <c r="B136" s="137"/>
      <c r="C136" s="137"/>
      <c r="D136" s="137"/>
      <c r="E136" s="3">
        <v>2019</v>
      </c>
      <c r="F136" s="3">
        <v>2073</v>
      </c>
      <c r="G136" s="67">
        <v>1998</v>
      </c>
      <c r="H136" s="67">
        <v>1998</v>
      </c>
      <c r="I136" s="67">
        <v>1998</v>
      </c>
      <c r="J136" s="67">
        <v>1998</v>
      </c>
    </row>
    <row r="137" spans="1:10" x14ac:dyDescent="0.2">
      <c r="A137" s="3" t="s">
        <v>2051</v>
      </c>
      <c r="B137" s="3"/>
      <c r="C137" s="3"/>
      <c r="D137" s="3">
        <v>1998</v>
      </c>
      <c r="E137" s="3"/>
      <c r="F137" s="3"/>
      <c r="G137" s="67"/>
      <c r="H137" s="67"/>
      <c r="I137" s="67"/>
      <c r="J137" s="67"/>
    </row>
    <row r="138" spans="1:10" x14ac:dyDescent="0.2">
      <c r="A138" s="3" t="s">
        <v>2052</v>
      </c>
      <c r="B138" s="3"/>
      <c r="C138" s="3"/>
      <c r="D138" s="3"/>
      <c r="E138" s="3"/>
      <c r="F138" s="3"/>
      <c r="G138" s="67"/>
      <c r="H138" s="67"/>
      <c r="I138" s="67"/>
      <c r="J138" s="67"/>
    </row>
    <row r="139" spans="1:10" x14ac:dyDescent="0.2">
      <c r="D139" s="2"/>
      <c r="E139" s="2"/>
      <c r="F139" s="3"/>
      <c r="G139" s="67"/>
      <c r="H139" s="67"/>
      <c r="I139" s="67"/>
      <c r="J139" s="67"/>
    </row>
    <row r="140" spans="1:10" ht="13.5" x14ac:dyDescent="0.25">
      <c r="A140" s="56" t="s">
        <v>1013</v>
      </c>
      <c r="B140" s="55"/>
      <c r="C140" s="55"/>
      <c r="D140" s="55"/>
      <c r="E140" s="3">
        <v>1227</v>
      </c>
      <c r="F140" s="3">
        <v>2125</v>
      </c>
      <c r="G140" s="67">
        <v>2380</v>
      </c>
      <c r="H140" s="67">
        <v>2380</v>
      </c>
      <c r="I140" s="67">
        <v>2380</v>
      </c>
      <c r="J140" s="67">
        <v>2380</v>
      </c>
    </row>
    <row r="141" spans="1:10" x14ac:dyDescent="0.2">
      <c r="A141" s="55" t="s">
        <v>2053</v>
      </c>
      <c r="B141" s="55"/>
      <c r="C141" s="55"/>
      <c r="D141" s="3">
        <v>2380</v>
      </c>
      <c r="E141" s="3"/>
      <c r="F141" s="3"/>
      <c r="G141" s="67"/>
      <c r="H141" s="67"/>
      <c r="I141" s="67"/>
      <c r="J141" s="67"/>
    </row>
    <row r="142" spans="1:10" x14ac:dyDescent="0.2">
      <c r="A142" s="37" t="s">
        <v>2054</v>
      </c>
      <c r="B142" s="55"/>
      <c r="C142" s="55"/>
      <c r="D142" s="3"/>
      <c r="E142" s="3"/>
      <c r="F142" s="3"/>
      <c r="G142" s="67"/>
      <c r="H142" s="67"/>
      <c r="I142" s="67"/>
      <c r="J142" s="67"/>
    </row>
    <row r="143" spans="1:10" x14ac:dyDescent="0.2">
      <c r="D143" s="2"/>
      <c r="E143" s="2"/>
      <c r="F143" s="3"/>
      <c r="G143" s="67"/>
      <c r="H143" s="67"/>
      <c r="I143" s="67"/>
      <c r="J143" s="67"/>
    </row>
    <row r="144" spans="1:10" ht="13.5" x14ac:dyDescent="0.25">
      <c r="A144" s="56" t="s">
        <v>1014</v>
      </c>
      <c r="B144" s="55"/>
      <c r="C144" s="55"/>
      <c r="D144" s="136"/>
      <c r="E144" s="3">
        <v>0</v>
      </c>
      <c r="F144" s="3">
        <v>900</v>
      </c>
      <c r="G144" s="67">
        <v>900</v>
      </c>
      <c r="H144" s="67">
        <v>900</v>
      </c>
      <c r="I144" s="67">
        <v>900</v>
      </c>
      <c r="J144" s="67">
        <v>900</v>
      </c>
    </row>
    <row r="145" spans="1:10" x14ac:dyDescent="0.2">
      <c r="A145" s="55" t="s">
        <v>1201</v>
      </c>
      <c r="B145" s="55"/>
      <c r="C145" s="55"/>
      <c r="D145" s="3">
        <v>500</v>
      </c>
      <c r="E145" s="3"/>
      <c r="F145" s="3"/>
      <c r="G145" s="67"/>
      <c r="H145" s="67"/>
      <c r="I145" s="67"/>
      <c r="J145" s="67"/>
    </row>
    <row r="146" spans="1:10" ht="15" x14ac:dyDescent="0.35">
      <c r="A146" s="55" t="s">
        <v>196</v>
      </c>
      <c r="B146" s="55"/>
      <c r="C146" s="55"/>
      <c r="D146" s="30">
        <v>400</v>
      </c>
      <c r="E146" s="3"/>
      <c r="F146" s="3"/>
      <c r="G146" s="67"/>
      <c r="H146" s="67"/>
      <c r="I146" s="67"/>
      <c r="J146" s="67"/>
    </row>
    <row r="147" spans="1:10" x14ac:dyDescent="0.2">
      <c r="A147" s="206" t="s">
        <v>1086</v>
      </c>
      <c r="B147" s="55"/>
      <c r="C147" s="55"/>
      <c r="D147" s="3">
        <f>SUM(D145:D146)</f>
        <v>900</v>
      </c>
      <c r="E147" s="3"/>
      <c r="F147" s="3"/>
      <c r="G147" s="67"/>
      <c r="H147" s="67"/>
      <c r="I147" s="67"/>
      <c r="J147" s="67"/>
    </row>
    <row r="148" spans="1:10" x14ac:dyDescent="0.2">
      <c r="A148" s="55"/>
      <c r="B148" s="55"/>
      <c r="C148" s="55"/>
      <c r="D148" s="3"/>
      <c r="E148" s="3"/>
      <c r="F148" s="3"/>
      <c r="G148" s="67"/>
      <c r="H148" s="67"/>
      <c r="I148" s="67"/>
      <c r="J148" s="67"/>
    </row>
    <row r="149" spans="1:10" ht="15" x14ac:dyDescent="0.35">
      <c r="A149" s="106" t="s">
        <v>509</v>
      </c>
      <c r="B149" s="66"/>
      <c r="C149" s="66"/>
      <c r="D149" s="66"/>
      <c r="E149" s="30">
        <v>0</v>
      </c>
      <c r="F149" s="30">
        <v>2500</v>
      </c>
      <c r="G149" s="30">
        <v>2500</v>
      </c>
      <c r="H149" s="30">
        <v>2500</v>
      </c>
      <c r="I149" s="30">
        <v>2500</v>
      </c>
      <c r="J149" s="30">
        <v>2500</v>
      </c>
    </row>
    <row r="150" spans="1:10" ht="12.75" customHeight="1" x14ac:dyDescent="0.35">
      <c r="A150" s="3" t="s">
        <v>2055</v>
      </c>
      <c r="B150" s="3"/>
      <c r="C150" s="3"/>
      <c r="D150" s="3">
        <v>2500</v>
      </c>
      <c r="E150" s="3"/>
      <c r="F150" s="3"/>
      <c r="G150" s="3"/>
      <c r="H150" s="30"/>
      <c r="I150" s="30"/>
      <c r="J150" s="30"/>
    </row>
    <row r="151" spans="1:10" ht="12.75" customHeight="1" x14ac:dyDescent="0.25">
      <c r="A151" s="53" t="s">
        <v>349</v>
      </c>
      <c r="D151" s="2"/>
      <c r="E151" s="2"/>
      <c r="F151" s="2"/>
      <c r="I151" s="2"/>
      <c r="J151" s="2"/>
    </row>
    <row r="152" spans="1:10" ht="12.75" customHeight="1" x14ac:dyDescent="0.2">
      <c r="A152" s="19" t="s">
        <v>1167</v>
      </c>
      <c r="D152" s="2"/>
      <c r="E152" s="2">
        <f t="shared" ref="E152:J152" si="1">SUM(E6:E150)</f>
        <v>316652</v>
      </c>
      <c r="F152" s="2">
        <f t="shared" si="1"/>
        <v>453773</v>
      </c>
      <c r="G152" s="2">
        <f t="shared" si="1"/>
        <v>477246</v>
      </c>
      <c r="H152" s="2">
        <f t="shared" si="1"/>
        <v>474946</v>
      </c>
      <c r="I152" s="2">
        <f t="shared" si="1"/>
        <v>481621</v>
      </c>
      <c r="J152" s="2">
        <f t="shared" si="1"/>
        <v>481621</v>
      </c>
    </row>
    <row r="153" spans="1:10" ht="12.75" customHeight="1" x14ac:dyDescent="0.2">
      <c r="A153" s="19"/>
      <c r="D153" s="2"/>
      <c r="E153" s="2"/>
      <c r="F153" s="2"/>
      <c r="I153" s="2"/>
      <c r="J153" s="2"/>
    </row>
    <row r="154" spans="1:10" ht="12.75" customHeight="1" x14ac:dyDescent="0.2">
      <c r="A154" s="220" t="s">
        <v>523</v>
      </c>
      <c r="E154" s="2">
        <f>SUM(E6:E77)</f>
        <v>301520</v>
      </c>
      <c r="F154" s="2">
        <f>SUM(F6:F77)</f>
        <v>427699</v>
      </c>
      <c r="G154" s="2">
        <f>SUM(G6:G80)</f>
        <v>446197</v>
      </c>
      <c r="H154" s="2">
        <f>SUM(H6:H80)</f>
        <v>445397</v>
      </c>
      <c r="I154" s="2">
        <f>SUM(I6:I80)</f>
        <v>452072</v>
      </c>
      <c r="J154" s="2">
        <f>SUM(J6:J80)</f>
        <v>452072</v>
      </c>
    </row>
    <row r="155" spans="1:10" ht="12.75" customHeight="1" x14ac:dyDescent="0.2">
      <c r="A155" s="220" t="s">
        <v>818</v>
      </c>
      <c r="E155" s="2">
        <f t="shared" ref="E155:J155" si="2">SUM(E81:E147)</f>
        <v>15132</v>
      </c>
      <c r="F155" s="2">
        <f t="shared" si="2"/>
        <v>23574</v>
      </c>
      <c r="G155" s="2">
        <f t="shared" si="2"/>
        <v>28549</v>
      </c>
      <c r="H155" s="2">
        <f t="shared" si="2"/>
        <v>27049</v>
      </c>
      <c r="I155" s="2">
        <f t="shared" si="2"/>
        <v>27049</v>
      </c>
      <c r="J155" s="2">
        <f t="shared" si="2"/>
        <v>27049</v>
      </c>
    </row>
    <row r="156" spans="1:10" ht="12.75" customHeight="1" x14ac:dyDescent="0.35">
      <c r="A156" s="220" t="s">
        <v>819</v>
      </c>
      <c r="E156" s="10">
        <f t="shared" ref="E156:J156" si="3">+SUM(E149:E150)</f>
        <v>0</v>
      </c>
      <c r="F156" s="10">
        <f t="shared" si="3"/>
        <v>2500</v>
      </c>
      <c r="G156" s="10">
        <f t="shared" si="3"/>
        <v>2500</v>
      </c>
      <c r="H156" s="10">
        <f t="shared" si="3"/>
        <v>2500</v>
      </c>
      <c r="I156" s="10">
        <f t="shared" si="3"/>
        <v>2500</v>
      </c>
      <c r="J156" s="10">
        <f t="shared" si="3"/>
        <v>2500</v>
      </c>
    </row>
    <row r="157" spans="1:10" ht="12.75" customHeight="1" x14ac:dyDescent="0.2">
      <c r="E157" s="2">
        <f t="shared" ref="E157:J157" si="4">SUM(E154:E156)</f>
        <v>316652</v>
      </c>
      <c r="F157" s="2">
        <f t="shared" si="4"/>
        <v>453773</v>
      </c>
      <c r="G157" s="2">
        <f t="shared" si="4"/>
        <v>477246</v>
      </c>
      <c r="H157" s="2">
        <f t="shared" si="4"/>
        <v>474946</v>
      </c>
      <c r="I157" s="2">
        <f t="shared" si="4"/>
        <v>481621</v>
      </c>
      <c r="J157" s="2">
        <f t="shared" si="4"/>
        <v>481621</v>
      </c>
    </row>
    <row r="158" spans="1:10" ht="12.75" customHeight="1" x14ac:dyDescent="0.2">
      <c r="I158" s="2"/>
      <c r="J158" s="2"/>
    </row>
    <row r="159" spans="1:10" ht="12.75" customHeight="1" x14ac:dyDescent="0.2">
      <c r="I159" s="2">
        <v>447884</v>
      </c>
      <c r="J159" s="2"/>
    </row>
    <row r="160" spans="1:10" ht="12.75" customHeight="1" x14ac:dyDescent="0.2">
      <c r="I160" s="2"/>
      <c r="J160" s="2"/>
    </row>
    <row r="161" spans="7:10" ht="12.75" customHeight="1" x14ac:dyDescent="0.2">
      <c r="I161" s="2">
        <f>+I159-I157</f>
        <v>-33737</v>
      </c>
      <c r="J161" s="2"/>
    </row>
    <row r="162" spans="7:10" ht="12.75" customHeight="1" x14ac:dyDescent="0.2">
      <c r="I162" s="2"/>
      <c r="J162" s="2"/>
    </row>
    <row r="163" spans="7:10" ht="12.75" customHeight="1" x14ac:dyDescent="0.2">
      <c r="G163" s="220"/>
      <c r="H163" s="220"/>
      <c r="J163" s="2"/>
    </row>
    <row r="164" spans="7:10" ht="12.75" customHeight="1" x14ac:dyDescent="0.2">
      <c r="G164" s="220"/>
      <c r="H164" s="220"/>
      <c r="J164" s="2"/>
    </row>
    <row r="165" spans="7:10" ht="12.75" customHeight="1" x14ac:dyDescent="0.2">
      <c r="G165" s="220"/>
      <c r="H165" s="220"/>
      <c r="J165" s="2"/>
    </row>
    <row r="166" spans="7:10" ht="12.75" customHeight="1" x14ac:dyDescent="0.2">
      <c r="G166" s="220"/>
      <c r="H166" s="220"/>
      <c r="J166" s="2"/>
    </row>
    <row r="167" spans="7:10" ht="12.75" customHeight="1" x14ac:dyDescent="0.2">
      <c r="G167" s="220"/>
      <c r="H167" s="220"/>
      <c r="J167" s="2"/>
    </row>
    <row r="168" spans="7:10" ht="12.75" customHeight="1" x14ac:dyDescent="0.2">
      <c r="G168" s="220"/>
      <c r="H168" s="220"/>
      <c r="J168" s="2"/>
    </row>
    <row r="169" spans="7:10" ht="12.75" customHeight="1" x14ac:dyDescent="0.2">
      <c r="G169" s="220"/>
      <c r="H169" s="220"/>
      <c r="J169" s="2"/>
    </row>
    <row r="170" spans="7:10" ht="12.75" customHeight="1" x14ac:dyDescent="0.2">
      <c r="G170" s="220"/>
      <c r="H170" s="220"/>
      <c r="J170" s="2"/>
    </row>
    <row r="171" spans="7:10" ht="12.75" customHeight="1" x14ac:dyDescent="0.2">
      <c r="G171" s="220"/>
      <c r="H171" s="220"/>
      <c r="J171" s="2"/>
    </row>
    <row r="172" spans="7:10" ht="12.75" customHeight="1" x14ac:dyDescent="0.2">
      <c r="G172" s="220"/>
      <c r="H172" s="220"/>
      <c r="J172" s="2"/>
    </row>
    <row r="173" spans="7:10" ht="12.75" customHeight="1" x14ac:dyDescent="0.2">
      <c r="G173" s="220"/>
      <c r="H173" s="220"/>
      <c r="J173" s="2"/>
    </row>
    <row r="174" spans="7:10" ht="12.75" customHeight="1" x14ac:dyDescent="0.2">
      <c r="G174" s="220"/>
      <c r="H174" s="220"/>
      <c r="J174" s="2"/>
    </row>
    <row r="175" spans="7:10" ht="12.75" customHeight="1" x14ac:dyDescent="0.2">
      <c r="G175" s="220"/>
      <c r="H175" s="220"/>
      <c r="J175" s="2"/>
    </row>
    <row r="176" spans="7:10" ht="12.75" customHeight="1" x14ac:dyDescent="0.2">
      <c r="G176" s="220"/>
      <c r="H176" s="220"/>
      <c r="J176" s="2"/>
    </row>
    <row r="177" spans="7:10" ht="12.75" customHeight="1" x14ac:dyDescent="0.2">
      <c r="G177" s="220"/>
      <c r="H177" s="220"/>
      <c r="J177" s="2"/>
    </row>
    <row r="178" spans="7:10" ht="12.75" customHeight="1" x14ac:dyDescent="0.2">
      <c r="G178" s="220"/>
      <c r="H178" s="220"/>
      <c r="J178" s="2"/>
    </row>
    <row r="179" spans="7:10" ht="12.75" customHeight="1" x14ac:dyDescent="0.2">
      <c r="G179" s="220"/>
      <c r="H179" s="220"/>
      <c r="J179" s="2"/>
    </row>
    <row r="180" spans="7:10" ht="12.75" customHeight="1" x14ac:dyDescent="0.2">
      <c r="G180" s="220"/>
      <c r="H180" s="220"/>
      <c r="J180" s="2"/>
    </row>
    <row r="181" spans="7:10" ht="12.75" customHeight="1" x14ac:dyDescent="0.2">
      <c r="G181" s="220"/>
      <c r="H181" s="220"/>
    </row>
    <row r="182" spans="7:10" ht="12.75" customHeight="1" x14ac:dyDescent="0.2">
      <c r="G182" s="220"/>
      <c r="H182" s="220"/>
    </row>
    <row r="183" spans="7:10" ht="12.75" customHeight="1" x14ac:dyDescent="0.2">
      <c r="G183" s="220"/>
      <c r="H183" s="220"/>
    </row>
    <row r="184" spans="7:10" ht="12.75" customHeight="1" x14ac:dyDescent="0.2">
      <c r="G184" s="220"/>
      <c r="H184" s="220"/>
    </row>
    <row r="185" spans="7:10" ht="12.75" customHeight="1" x14ac:dyDescent="0.2">
      <c r="G185" s="220"/>
      <c r="H185" s="220"/>
    </row>
    <row r="186" spans="7:10" ht="12.75" customHeight="1" x14ac:dyDescent="0.2">
      <c r="G186" s="220"/>
      <c r="H186" s="220"/>
    </row>
    <row r="187" spans="7:10" ht="12.75" customHeight="1" x14ac:dyDescent="0.2">
      <c r="G187" s="220"/>
      <c r="H187" s="220"/>
    </row>
    <row r="188" spans="7:10" ht="12.75" customHeight="1" x14ac:dyDescent="0.2">
      <c r="G188" s="220"/>
      <c r="H188" s="220"/>
    </row>
    <row r="189" spans="7:10" ht="12.75" customHeight="1" x14ac:dyDescent="0.2">
      <c r="G189" s="220"/>
      <c r="H189" s="220"/>
    </row>
    <row r="190" spans="7:10" ht="12.75" customHeight="1" x14ac:dyDescent="0.2">
      <c r="G190" s="220"/>
      <c r="H190" s="220"/>
    </row>
    <row r="191" spans="7:10" ht="12.75" customHeight="1" x14ac:dyDescent="0.2">
      <c r="G191" s="220"/>
      <c r="H191" s="220"/>
    </row>
    <row r="192" spans="7:10" ht="12.75" customHeight="1" x14ac:dyDescent="0.2">
      <c r="G192" s="220"/>
      <c r="H192" s="220"/>
    </row>
    <row r="193" spans="7:8" ht="12.75" customHeight="1" x14ac:dyDescent="0.2">
      <c r="G193" s="220"/>
      <c r="H193" s="220"/>
    </row>
    <row r="194" spans="7:8" ht="12.75" customHeight="1" x14ac:dyDescent="0.2">
      <c r="G194" s="220"/>
      <c r="H194" s="220"/>
    </row>
    <row r="195" spans="7:8" ht="12.75" customHeight="1" x14ac:dyDescent="0.2">
      <c r="G195" s="220"/>
      <c r="H195" s="220"/>
    </row>
    <row r="196" spans="7:8" ht="12.75" customHeight="1" x14ac:dyDescent="0.2">
      <c r="G196" s="220"/>
      <c r="H196" s="220"/>
    </row>
    <row r="197" spans="7:8" ht="12.75" customHeight="1" x14ac:dyDescent="0.2">
      <c r="G197" s="220"/>
      <c r="H197" s="220"/>
    </row>
    <row r="198" spans="7:8" ht="12.75" customHeight="1" x14ac:dyDescent="0.2">
      <c r="G198" s="220"/>
      <c r="H198" s="220"/>
    </row>
    <row r="199" spans="7:8" ht="12.75" customHeight="1" x14ac:dyDescent="0.2">
      <c r="G199" s="220"/>
      <c r="H199" s="220"/>
    </row>
    <row r="200" spans="7:8" ht="12.75" customHeight="1" x14ac:dyDescent="0.2">
      <c r="G200" s="220"/>
      <c r="H200" s="220"/>
    </row>
    <row r="201" spans="7:8" ht="12.75" customHeight="1" x14ac:dyDescent="0.2">
      <c r="G201" s="220"/>
      <c r="H201" s="220"/>
    </row>
    <row r="202" spans="7:8" ht="12.75" customHeight="1" x14ac:dyDescent="0.2">
      <c r="G202" s="220"/>
      <c r="H202" s="220"/>
    </row>
    <row r="203" spans="7:8" ht="12.75" customHeight="1" x14ac:dyDescent="0.2">
      <c r="G203" s="220"/>
      <c r="H203" s="220"/>
    </row>
    <row r="204" spans="7:8" ht="12.75" customHeight="1" x14ac:dyDescent="0.2">
      <c r="G204" s="220"/>
      <c r="H204" s="220"/>
    </row>
    <row r="205" spans="7:8" ht="12.75" customHeight="1" x14ac:dyDescent="0.2">
      <c r="G205" s="220"/>
      <c r="H205" s="220"/>
    </row>
    <row r="206" spans="7:8" ht="12.75" customHeight="1" x14ac:dyDescent="0.2">
      <c r="G206" s="220"/>
      <c r="H206" s="220"/>
    </row>
    <row r="207" spans="7:8" ht="12.75" customHeight="1" x14ac:dyDescent="0.2">
      <c r="G207" s="220"/>
      <c r="H207" s="220"/>
    </row>
    <row r="208" spans="7:8" ht="12.75" customHeight="1" x14ac:dyDescent="0.2">
      <c r="G208" s="220"/>
      <c r="H208" s="220"/>
    </row>
    <row r="209" spans="7:8" ht="12.75" customHeight="1" x14ac:dyDescent="0.2">
      <c r="G209" s="220"/>
      <c r="H209" s="220"/>
    </row>
    <row r="210" spans="7:8" ht="12.75" customHeight="1" x14ac:dyDescent="0.2">
      <c r="G210" s="220"/>
      <c r="H210" s="220"/>
    </row>
    <row r="211" spans="7:8" ht="12.75" customHeight="1" x14ac:dyDescent="0.2">
      <c r="G211" s="220"/>
      <c r="H211" s="220"/>
    </row>
    <row r="212" spans="7:8" ht="12.75" customHeight="1" x14ac:dyDescent="0.2">
      <c r="G212" s="220"/>
      <c r="H212" s="220"/>
    </row>
    <row r="213" spans="7:8" ht="12.75" customHeight="1" x14ac:dyDescent="0.2">
      <c r="G213" s="220"/>
      <c r="H213" s="220"/>
    </row>
    <row r="214" spans="7:8" ht="12.75" customHeight="1" x14ac:dyDescent="0.2">
      <c r="G214" s="220"/>
      <c r="H214" s="220"/>
    </row>
    <row r="215" spans="7:8" ht="12.75" customHeight="1" x14ac:dyDescent="0.2">
      <c r="G215" s="220"/>
      <c r="H215" s="220"/>
    </row>
    <row r="216" spans="7:8" ht="12.75" customHeight="1" x14ac:dyDescent="0.2">
      <c r="G216" s="220"/>
      <c r="H216" s="220"/>
    </row>
    <row r="217" spans="7:8" ht="12.75" customHeight="1" x14ac:dyDescent="0.2">
      <c r="G217" s="220"/>
      <c r="H217" s="220"/>
    </row>
    <row r="218" spans="7:8" ht="12.75" customHeight="1" x14ac:dyDescent="0.2">
      <c r="G218" s="220"/>
      <c r="H218" s="220"/>
    </row>
    <row r="219" spans="7:8" ht="12.75" customHeight="1" x14ac:dyDescent="0.2">
      <c r="G219" s="220"/>
      <c r="H219" s="220"/>
    </row>
    <row r="220" spans="7:8" ht="12.75" customHeight="1" x14ac:dyDescent="0.2">
      <c r="G220" s="220"/>
      <c r="H220" s="220"/>
    </row>
    <row r="221" spans="7:8" ht="12.75" customHeight="1" x14ac:dyDescent="0.2">
      <c r="G221" s="220"/>
      <c r="H221" s="220"/>
    </row>
    <row r="222" spans="7:8" ht="12.75" customHeight="1" x14ac:dyDescent="0.2">
      <c r="G222" s="220"/>
      <c r="H222" s="220"/>
    </row>
    <row r="223" spans="7:8" ht="12.75" customHeight="1" x14ac:dyDescent="0.2">
      <c r="G223" s="220"/>
      <c r="H223" s="220"/>
    </row>
    <row r="224" spans="7:8" ht="12.75" customHeight="1" x14ac:dyDescent="0.2">
      <c r="G224" s="220"/>
      <c r="H224" s="220"/>
    </row>
    <row r="225" spans="7:8" ht="12.75" customHeight="1" x14ac:dyDescent="0.2">
      <c r="G225" s="220"/>
      <c r="H225" s="220"/>
    </row>
    <row r="226" spans="7:8" ht="12.75" customHeight="1" x14ac:dyDescent="0.2">
      <c r="G226" s="220"/>
      <c r="H226" s="220"/>
    </row>
    <row r="227" spans="7:8" ht="12.75" customHeight="1" x14ac:dyDescent="0.2">
      <c r="G227" s="220"/>
      <c r="H227" s="220"/>
    </row>
    <row r="228" spans="7:8" ht="12.75" customHeight="1" x14ac:dyDescent="0.2">
      <c r="G228" s="220"/>
      <c r="H228" s="220"/>
    </row>
    <row r="229" spans="7:8" ht="12.75" customHeight="1" x14ac:dyDescent="0.2">
      <c r="G229" s="220"/>
      <c r="H229" s="220"/>
    </row>
    <row r="230" spans="7:8" ht="12.75" customHeight="1" x14ac:dyDescent="0.2">
      <c r="G230" s="220"/>
      <c r="H230" s="220"/>
    </row>
    <row r="231" spans="7:8" ht="12.75" customHeight="1" x14ac:dyDescent="0.2">
      <c r="G231" s="220"/>
      <c r="H231" s="220"/>
    </row>
    <row r="232" spans="7:8" ht="12.75" customHeight="1" x14ac:dyDescent="0.2">
      <c r="G232" s="220"/>
      <c r="H232" s="220"/>
    </row>
    <row r="233" spans="7:8" ht="12.75" customHeight="1" x14ac:dyDescent="0.2">
      <c r="G233" s="220"/>
      <c r="H233" s="220"/>
    </row>
    <row r="234" spans="7:8" ht="12.75" customHeight="1" x14ac:dyDescent="0.2">
      <c r="G234" s="220"/>
      <c r="H234" s="220"/>
    </row>
    <row r="235" spans="7:8" ht="12.75" customHeight="1" x14ac:dyDescent="0.2">
      <c r="G235" s="220"/>
      <c r="H235" s="220"/>
    </row>
    <row r="236" spans="7:8" ht="12.75" customHeight="1" x14ac:dyDescent="0.2">
      <c r="G236" s="220"/>
      <c r="H236" s="220"/>
    </row>
  </sheetData>
  <mergeCells count="1">
    <mergeCell ref="A1:J1"/>
  </mergeCells>
  <phoneticPr fontId="5" type="noConversion"/>
  <printOptions gridLines="1"/>
  <pageMargins left="0.75" right="0.16" top="0.51" bottom="0.22" header="0.5" footer="0.5"/>
  <pageSetup scale="85" fitToHeight="4" orientation="landscape" r:id="rId1"/>
  <headerFooter alignWithMargins="0"/>
  <rowBreaks count="1" manualBreakCount="1">
    <brk id="121" max="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151"/>
  <sheetViews>
    <sheetView view="pageBreakPreview" zoomScaleNormal="100" zoomScaleSheetLayoutView="100" workbookViewId="0">
      <pane ySplit="5" topLeftCell="A124" activePane="bottomLeft" state="frozen"/>
      <selection pane="bottomLeft" sqref="A1:J1"/>
    </sheetView>
  </sheetViews>
  <sheetFormatPr defaultColWidth="8.85546875" defaultRowHeight="12.75" x14ac:dyDescent="0.2"/>
  <cols>
    <col min="1" max="1" width="44.42578125" style="220" customWidth="1"/>
    <col min="2" max="2" width="8.7109375" style="220" bestFit="1" customWidth="1"/>
    <col min="3" max="3" width="9.7109375" style="220" bestFit="1" customWidth="1"/>
    <col min="4" max="4" width="11" style="220" bestFit="1" customWidth="1"/>
    <col min="5" max="5" width="13.7109375" style="220" customWidth="1"/>
    <col min="6" max="6" width="10.28515625" style="220" bestFit="1" customWidth="1"/>
    <col min="7" max="7" width="14.42578125" style="220" bestFit="1" customWidth="1"/>
    <col min="8" max="8" width="14" style="220" bestFit="1" customWidth="1"/>
    <col min="9" max="10" width="9.5703125" style="220" customWidth="1"/>
    <col min="11" max="11" width="0" style="220" hidden="1" customWidth="1"/>
    <col min="12" max="16384" width="8.85546875" style="220"/>
  </cols>
  <sheetData>
    <row r="1" spans="1:10" x14ac:dyDescent="0.2">
      <c r="A1" s="261" t="s">
        <v>1965</v>
      </c>
      <c r="B1" s="262"/>
      <c r="C1" s="262"/>
      <c r="D1" s="262"/>
      <c r="E1" s="262"/>
      <c r="F1" s="262"/>
      <c r="G1" s="262"/>
      <c r="H1" s="262"/>
      <c r="I1" s="262"/>
      <c r="J1" s="262"/>
    </row>
    <row r="2" spans="1:10" ht="18.75" x14ac:dyDescent="0.3">
      <c r="A2" s="107" t="s">
        <v>1638</v>
      </c>
      <c r="B2" s="107"/>
      <c r="C2" s="107"/>
      <c r="D2" s="107"/>
      <c r="E2" s="107"/>
      <c r="F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2</v>
      </c>
      <c r="B6" s="2"/>
      <c r="C6" s="2"/>
      <c r="D6" s="2"/>
      <c r="E6" s="2">
        <v>53821</v>
      </c>
      <c r="F6" s="2">
        <v>54756</v>
      </c>
      <c r="G6" s="2">
        <v>55809</v>
      </c>
      <c r="H6" s="2">
        <v>55809</v>
      </c>
      <c r="I6" s="2">
        <v>56922</v>
      </c>
      <c r="J6" s="2">
        <v>56922</v>
      </c>
    </row>
    <row r="7" spans="1:10" x14ac:dyDescent="0.2">
      <c r="A7" s="220" t="s">
        <v>395</v>
      </c>
      <c r="B7" s="2">
        <v>52</v>
      </c>
      <c r="C7" s="2">
        <v>1074</v>
      </c>
      <c r="D7" s="2">
        <f>ROUND(B7*C7,0)</f>
        <v>55848</v>
      </c>
      <c r="E7" s="2"/>
      <c r="F7" s="2"/>
      <c r="G7" s="2"/>
      <c r="H7" s="2"/>
      <c r="I7" s="2"/>
      <c r="J7" s="2"/>
    </row>
    <row r="8" spans="1:10" ht="15" x14ac:dyDescent="0.35">
      <c r="A8" s="2" t="s">
        <v>2139</v>
      </c>
      <c r="B8" s="2">
        <v>1</v>
      </c>
      <c r="C8" s="2">
        <v>1074</v>
      </c>
      <c r="D8" s="10">
        <f>ROUND(B8*C8,0)</f>
        <v>1074</v>
      </c>
      <c r="E8" s="2"/>
      <c r="F8" s="2"/>
      <c r="G8" s="2"/>
      <c r="H8" s="2"/>
      <c r="I8" s="2"/>
      <c r="J8" s="2"/>
    </row>
    <row r="9" spans="1:10" x14ac:dyDescent="0.2">
      <c r="A9" s="220" t="s">
        <v>1086</v>
      </c>
      <c r="B9" s="2"/>
      <c r="C9" s="2"/>
      <c r="D9" s="2">
        <f>SUM(D7:D8)</f>
        <v>56922</v>
      </c>
      <c r="E9" s="2"/>
      <c r="F9" s="2"/>
      <c r="G9" s="2"/>
      <c r="H9" s="2"/>
      <c r="I9" s="2"/>
      <c r="J9" s="2"/>
    </row>
    <row r="10" spans="1:10" x14ac:dyDescent="0.2">
      <c r="B10" s="2"/>
      <c r="C10" s="2"/>
      <c r="D10" s="2"/>
      <c r="E10" s="2"/>
      <c r="F10" s="2"/>
      <c r="G10" s="2"/>
      <c r="H10" s="2"/>
      <c r="I10" s="2"/>
      <c r="J10" s="2"/>
    </row>
    <row r="11" spans="1:10" ht="13.5" x14ac:dyDescent="0.25">
      <c r="A11" s="225" t="s">
        <v>213</v>
      </c>
      <c r="B11" s="2"/>
      <c r="C11" s="2"/>
      <c r="D11" s="2"/>
      <c r="E11" s="2">
        <v>201233</v>
      </c>
      <c r="F11" s="2">
        <v>207443</v>
      </c>
      <c r="G11" s="2">
        <v>211391</v>
      </c>
      <c r="H11" s="2">
        <v>211391</v>
      </c>
      <c r="I11" s="2">
        <v>215568</v>
      </c>
      <c r="J11" s="2">
        <v>215568</v>
      </c>
    </row>
    <row r="12" spans="1:10" x14ac:dyDescent="0.2">
      <c r="A12" s="220" t="s">
        <v>214</v>
      </c>
      <c r="B12" s="2">
        <v>52</v>
      </c>
      <c r="C12" s="2">
        <v>2205</v>
      </c>
      <c r="D12" s="2">
        <f>ROUND(B12*C12,0)</f>
        <v>114660</v>
      </c>
      <c r="E12" s="2"/>
      <c r="F12" s="2"/>
      <c r="G12" s="2"/>
      <c r="H12" s="2"/>
      <c r="I12" s="2"/>
      <c r="J12" s="2"/>
    </row>
    <row r="13" spans="1:10" x14ac:dyDescent="0.2">
      <c r="A13" s="220" t="s">
        <v>1363</v>
      </c>
      <c r="B13" s="2">
        <v>52</v>
      </c>
      <c r="C13" s="2">
        <v>1821</v>
      </c>
      <c r="D13" s="2">
        <f>ROUND(B13*C13,0)</f>
        <v>94692</v>
      </c>
      <c r="E13" s="2"/>
      <c r="F13" s="2"/>
      <c r="G13" s="2"/>
      <c r="H13" s="2"/>
      <c r="I13" s="2"/>
      <c r="J13" s="2"/>
    </row>
    <row r="14" spans="1:10" x14ac:dyDescent="0.2">
      <c r="A14" s="2" t="s">
        <v>2139</v>
      </c>
      <c r="B14" s="2">
        <v>1</v>
      </c>
      <c r="C14" s="2">
        <f>SUM(C12:C13)</f>
        <v>4026</v>
      </c>
      <c r="D14" s="2">
        <f>ROUND(B14*C14,0)</f>
        <v>4026</v>
      </c>
      <c r="E14" s="2"/>
      <c r="F14" s="2"/>
      <c r="G14" s="2"/>
      <c r="H14" s="2"/>
      <c r="I14" s="2"/>
      <c r="J14" s="2"/>
    </row>
    <row r="15" spans="1:10" ht="15" x14ac:dyDescent="0.35">
      <c r="A15" s="220" t="s">
        <v>833</v>
      </c>
      <c r="B15" s="2" t="s">
        <v>349</v>
      </c>
      <c r="C15" s="2" t="s">
        <v>349</v>
      </c>
      <c r="D15" s="10">
        <f>+C12-15</f>
        <v>2190</v>
      </c>
      <c r="E15" s="2"/>
      <c r="F15" s="2"/>
      <c r="G15" s="2"/>
      <c r="H15" s="2"/>
      <c r="I15" s="2"/>
      <c r="J15" s="2"/>
    </row>
    <row r="16" spans="1:10" x14ac:dyDescent="0.2">
      <c r="A16" s="220" t="s">
        <v>1086</v>
      </c>
      <c r="B16" s="2"/>
      <c r="C16" s="2"/>
      <c r="D16" s="2">
        <f>SUM(D12:D15)</f>
        <v>215568</v>
      </c>
      <c r="E16" s="2"/>
      <c r="F16" s="2"/>
      <c r="G16" s="2"/>
      <c r="H16" s="2"/>
      <c r="I16" s="2"/>
      <c r="J16" s="2"/>
    </row>
    <row r="17" spans="1:10" x14ac:dyDescent="0.2">
      <c r="B17" s="2"/>
      <c r="C17" s="2"/>
      <c r="D17" s="2"/>
      <c r="E17" s="2"/>
      <c r="F17" s="2"/>
      <c r="G17" s="2"/>
      <c r="H17" s="2"/>
      <c r="I17" s="2"/>
      <c r="J17" s="2"/>
    </row>
    <row r="18" spans="1:10" ht="13.5" x14ac:dyDescent="0.25">
      <c r="A18" s="225" t="s">
        <v>1925</v>
      </c>
      <c r="B18" s="2"/>
      <c r="C18" s="2"/>
      <c r="D18" s="2"/>
      <c r="E18" s="2"/>
      <c r="F18" s="2">
        <v>65260</v>
      </c>
      <c r="G18" s="2">
        <v>66515</v>
      </c>
      <c r="H18" s="2">
        <v>66515</v>
      </c>
      <c r="I18" s="2">
        <v>67840</v>
      </c>
      <c r="J18" s="2">
        <v>67840</v>
      </c>
    </row>
    <row r="19" spans="1:10" x14ac:dyDescent="0.2">
      <c r="A19" s="220" t="s">
        <v>1969</v>
      </c>
      <c r="B19" s="2">
        <v>52</v>
      </c>
      <c r="C19" s="2">
        <v>1280</v>
      </c>
      <c r="D19" s="2">
        <f>ROUND(B19*C19,0)</f>
        <v>66560</v>
      </c>
      <c r="E19" s="2"/>
      <c r="F19" s="2"/>
      <c r="G19" s="2"/>
      <c r="H19" s="2"/>
      <c r="I19" s="2"/>
      <c r="J19" s="2"/>
    </row>
    <row r="20" spans="1:10" x14ac:dyDescent="0.2">
      <c r="A20" s="2" t="s">
        <v>2139</v>
      </c>
      <c r="B20" s="2">
        <v>1</v>
      </c>
      <c r="C20" s="2">
        <v>1280</v>
      </c>
      <c r="D20" s="2">
        <f>ROUND(B20*C20,0)</f>
        <v>1280</v>
      </c>
      <c r="E20" s="2"/>
      <c r="F20" s="2"/>
      <c r="G20" s="2"/>
      <c r="H20" s="2"/>
      <c r="I20" s="2"/>
      <c r="J20" s="2"/>
    </row>
    <row r="21" spans="1:10" ht="15" x14ac:dyDescent="0.35">
      <c r="A21" s="220" t="s">
        <v>833</v>
      </c>
      <c r="B21" s="2" t="s">
        <v>349</v>
      </c>
      <c r="C21" s="2" t="s">
        <v>349</v>
      </c>
      <c r="D21" s="10">
        <v>0</v>
      </c>
      <c r="E21" s="2"/>
      <c r="F21" s="2"/>
      <c r="G21" s="2"/>
      <c r="H21" s="2"/>
      <c r="I21" s="2"/>
      <c r="J21" s="2"/>
    </row>
    <row r="22" spans="1:10" x14ac:dyDescent="0.2">
      <c r="A22" s="220" t="s">
        <v>1086</v>
      </c>
      <c r="B22" s="2"/>
      <c r="C22" s="2"/>
      <c r="D22" s="2">
        <f>SUM(D19:D21)</f>
        <v>67840</v>
      </c>
      <c r="E22" s="2"/>
      <c r="F22" s="2"/>
      <c r="G22" s="2"/>
      <c r="H22" s="2"/>
      <c r="I22" s="2"/>
      <c r="J22" s="2"/>
    </row>
    <row r="23" spans="1:10" x14ac:dyDescent="0.2">
      <c r="B23" s="2"/>
      <c r="C23" s="2"/>
      <c r="D23" s="2"/>
      <c r="E23" s="2"/>
      <c r="F23" s="2"/>
      <c r="G23" s="2"/>
      <c r="H23" s="2"/>
      <c r="I23" s="2"/>
      <c r="J23" s="2"/>
    </row>
    <row r="24" spans="1:10" ht="13.5" x14ac:dyDescent="0.25">
      <c r="A24" s="225" t="s">
        <v>689</v>
      </c>
      <c r="D24" s="2"/>
      <c r="E24" s="2">
        <v>29638</v>
      </c>
      <c r="F24" s="2">
        <v>19120</v>
      </c>
      <c r="G24" s="2">
        <v>19120</v>
      </c>
      <c r="H24" s="2">
        <v>18480</v>
      </c>
      <c r="I24" s="2">
        <v>18480</v>
      </c>
      <c r="J24" s="2">
        <v>18480</v>
      </c>
    </row>
    <row r="25" spans="1:10" x14ac:dyDescent="0.2">
      <c r="A25" s="220" t="s">
        <v>1708</v>
      </c>
      <c r="B25" s="2">
        <v>1320</v>
      </c>
      <c r="C25" s="11">
        <v>14</v>
      </c>
      <c r="D25" s="2">
        <f>ROUND(B25*C25,0)</f>
        <v>18480</v>
      </c>
      <c r="E25" s="2"/>
      <c r="F25" s="2"/>
      <c r="G25" s="2"/>
      <c r="H25" s="2"/>
      <c r="I25" s="2"/>
      <c r="J25" s="2"/>
    </row>
    <row r="26" spans="1:10" ht="15" x14ac:dyDescent="0.35">
      <c r="A26" s="220" t="s">
        <v>1468</v>
      </c>
      <c r="B26" s="2">
        <v>0</v>
      </c>
      <c r="C26" s="11">
        <v>10</v>
      </c>
      <c r="D26" s="10">
        <f>+C26*B26</f>
        <v>0</v>
      </c>
      <c r="E26" s="2"/>
      <c r="F26" s="2"/>
      <c r="G26" s="2"/>
      <c r="H26" s="2"/>
      <c r="I26" s="2"/>
      <c r="J26" s="2"/>
    </row>
    <row r="27" spans="1:10" x14ac:dyDescent="0.2">
      <c r="B27" s="2"/>
      <c r="C27" s="13"/>
      <c r="D27" s="2">
        <f>SUM(D25:D26)</f>
        <v>18480</v>
      </c>
      <c r="E27" s="2"/>
      <c r="F27" s="2"/>
      <c r="G27" s="2"/>
      <c r="H27" s="2"/>
      <c r="I27" s="2"/>
      <c r="J27" s="2"/>
    </row>
    <row r="28" spans="1:10" x14ac:dyDescent="0.2">
      <c r="B28" s="2"/>
      <c r="C28" s="13"/>
      <c r="D28" s="2"/>
      <c r="E28" s="2"/>
      <c r="F28" s="2"/>
      <c r="G28" s="2"/>
      <c r="H28" s="2"/>
      <c r="I28" s="2"/>
      <c r="J28" s="2"/>
    </row>
    <row r="29" spans="1:10" x14ac:dyDescent="0.2">
      <c r="B29" s="2"/>
      <c r="C29" s="13"/>
      <c r="D29" s="2"/>
      <c r="E29" s="2"/>
      <c r="F29" s="2"/>
      <c r="G29" s="2"/>
      <c r="H29" s="2"/>
      <c r="I29" s="2"/>
      <c r="J29" s="2"/>
    </row>
    <row r="30" spans="1:10" ht="13.5" x14ac:dyDescent="0.25">
      <c r="A30" s="48" t="s">
        <v>1662</v>
      </c>
      <c r="B30" s="2"/>
      <c r="C30" s="13"/>
      <c r="D30" s="2"/>
      <c r="E30" s="2">
        <v>305</v>
      </c>
      <c r="F30" s="2">
        <v>0</v>
      </c>
      <c r="G30" s="2">
        <v>1776</v>
      </c>
      <c r="H30" s="2">
        <v>706</v>
      </c>
      <c r="I30" s="2">
        <v>720</v>
      </c>
      <c r="J30" s="2">
        <v>720</v>
      </c>
    </row>
    <row r="31" spans="1:10" x14ac:dyDescent="0.2">
      <c r="A31" s="47" t="s">
        <v>2112</v>
      </c>
      <c r="B31" s="2">
        <v>15</v>
      </c>
      <c r="C31" s="213">
        <f>+C19/40*1.5</f>
        <v>48</v>
      </c>
      <c r="D31" s="2">
        <f>C31*B31</f>
        <v>720</v>
      </c>
      <c r="E31" s="2"/>
      <c r="F31" s="2"/>
      <c r="G31" s="2"/>
      <c r="H31" s="2"/>
      <c r="I31" s="2"/>
      <c r="J31" s="2"/>
    </row>
    <row r="32" spans="1:10" x14ac:dyDescent="0.2">
      <c r="B32" s="2"/>
      <c r="C32" s="13"/>
      <c r="D32" s="2"/>
      <c r="E32" s="2"/>
      <c r="F32" s="2"/>
      <c r="G32" s="2"/>
      <c r="H32" s="2"/>
      <c r="I32" s="2"/>
      <c r="J32" s="2"/>
    </row>
    <row r="33" spans="1:10" ht="13.5" x14ac:dyDescent="0.25">
      <c r="A33" s="225" t="s">
        <v>175</v>
      </c>
      <c r="D33" s="2"/>
      <c r="E33" s="2">
        <v>21860</v>
      </c>
      <c r="F33" s="2">
        <v>26513</v>
      </c>
      <c r="G33" s="2">
        <v>26991</v>
      </c>
      <c r="H33" s="2">
        <v>26916</v>
      </c>
      <c r="I33" s="2">
        <v>27422</v>
      </c>
      <c r="J33" s="2">
        <v>27422</v>
      </c>
    </row>
    <row r="34" spans="1:10" hidden="1" x14ac:dyDescent="0.2">
      <c r="A34" s="12" t="s">
        <v>770</v>
      </c>
      <c r="B34" s="2">
        <f>+D7</f>
        <v>55848</v>
      </c>
      <c r="C34" s="13">
        <v>7.6499999999999999E-2</v>
      </c>
      <c r="D34" s="2">
        <f>ROUND(B34*C34,0)</f>
        <v>4272</v>
      </c>
      <c r="E34" s="2"/>
      <c r="F34" s="2"/>
      <c r="G34" s="2"/>
      <c r="H34" s="2"/>
      <c r="I34" s="2"/>
      <c r="J34" s="2"/>
    </row>
    <row r="35" spans="1:10" hidden="1" x14ac:dyDescent="0.2">
      <c r="A35" s="12" t="s">
        <v>1290</v>
      </c>
      <c r="B35" s="2">
        <f>+D16</f>
        <v>215568</v>
      </c>
      <c r="C35" s="13">
        <v>7.6499999999999999E-2</v>
      </c>
      <c r="D35" s="2">
        <f>ROUND(B35*C35,0)</f>
        <v>16491</v>
      </c>
      <c r="E35" s="2"/>
      <c r="F35" s="2"/>
      <c r="G35" s="2"/>
      <c r="H35" s="2"/>
      <c r="I35" s="2"/>
      <c r="J35" s="2"/>
    </row>
    <row r="36" spans="1:10" hidden="1" x14ac:dyDescent="0.2">
      <c r="A36" s="32">
        <v>8104</v>
      </c>
      <c r="B36" s="2">
        <f>+D22</f>
        <v>67840</v>
      </c>
      <c r="C36" s="13">
        <v>7.6499999999999999E-2</v>
      </c>
      <c r="D36" s="2">
        <f>ROUND(B36*C36,0)</f>
        <v>5190</v>
      </c>
      <c r="E36" s="2"/>
      <c r="F36" s="2"/>
      <c r="G36" s="2"/>
      <c r="H36" s="2"/>
      <c r="I36" s="2"/>
      <c r="J36" s="2"/>
    </row>
    <row r="37" spans="1:10" hidden="1" x14ac:dyDescent="0.2">
      <c r="A37" s="12" t="s">
        <v>158</v>
      </c>
      <c r="B37" s="2">
        <f>+D27</f>
        <v>18480</v>
      </c>
      <c r="C37" s="13">
        <v>7.6499999999999999E-2</v>
      </c>
      <c r="D37" s="2">
        <f>ROUND(B37*C37,0)</f>
        <v>1414</v>
      </c>
      <c r="E37" s="2"/>
      <c r="F37" s="2"/>
      <c r="G37" s="2"/>
      <c r="H37" s="2"/>
      <c r="I37" s="2"/>
      <c r="J37" s="2"/>
    </row>
    <row r="38" spans="1:10" ht="15" hidden="1" x14ac:dyDescent="0.35">
      <c r="A38" s="12" t="s">
        <v>159</v>
      </c>
      <c r="B38" s="2">
        <f>+D31</f>
        <v>720</v>
      </c>
      <c r="C38" s="13">
        <v>7.6499999999999999E-2</v>
      </c>
      <c r="D38" s="10">
        <f>ROUND(B38*C38,0)</f>
        <v>55</v>
      </c>
      <c r="E38" s="2"/>
      <c r="F38" s="2"/>
      <c r="G38" s="2"/>
      <c r="H38" s="2"/>
      <c r="I38" s="2"/>
      <c r="J38" s="2"/>
    </row>
    <row r="39" spans="1:10" hidden="1" x14ac:dyDescent="0.2">
      <c r="A39" s="220" t="s">
        <v>1086</v>
      </c>
      <c r="D39" s="2">
        <f>SUM(D34:D38)</f>
        <v>27422</v>
      </c>
      <c r="E39" s="2"/>
      <c r="F39" s="2"/>
      <c r="G39" s="2"/>
      <c r="H39" s="2"/>
      <c r="I39" s="2"/>
      <c r="J39" s="2"/>
    </row>
    <row r="40" spans="1:10" x14ac:dyDescent="0.2">
      <c r="D40" s="2"/>
      <c r="E40" s="2"/>
      <c r="F40" s="2"/>
      <c r="G40" s="2"/>
      <c r="H40" s="2"/>
      <c r="I40" s="2"/>
      <c r="J40" s="2"/>
    </row>
    <row r="41" spans="1:10" ht="13.5" x14ac:dyDescent="0.25">
      <c r="A41" s="14" t="s">
        <v>176</v>
      </c>
      <c r="D41" s="2"/>
      <c r="E41" s="2">
        <v>28508</v>
      </c>
      <c r="F41" s="2">
        <v>36577</v>
      </c>
      <c r="G41" s="2">
        <v>46921</v>
      </c>
      <c r="H41" s="2">
        <v>46872</v>
      </c>
      <c r="I41" s="2">
        <v>47800</v>
      </c>
      <c r="J41" s="2">
        <v>47800</v>
      </c>
    </row>
    <row r="42" spans="1:10" hidden="1" x14ac:dyDescent="0.2">
      <c r="A42" s="12" t="s">
        <v>770</v>
      </c>
      <c r="B42" s="2">
        <f>+B34</f>
        <v>55848</v>
      </c>
      <c r="C42" s="228">
        <v>0.1406</v>
      </c>
      <c r="D42" s="2">
        <f>ROUND(B42*C42,0)</f>
        <v>7852</v>
      </c>
      <c r="E42" s="2"/>
      <c r="F42" s="2"/>
      <c r="G42" s="2"/>
      <c r="H42" s="2"/>
      <c r="I42" s="2"/>
      <c r="J42" s="2"/>
    </row>
    <row r="43" spans="1:10" hidden="1" x14ac:dyDescent="0.2">
      <c r="A43" s="12" t="s">
        <v>1290</v>
      </c>
      <c r="B43" s="2">
        <f>+D16</f>
        <v>215568</v>
      </c>
      <c r="C43" s="228">
        <v>0.1406</v>
      </c>
      <c r="D43" s="2">
        <f>ROUND(B43*C43,0)</f>
        <v>30309</v>
      </c>
      <c r="E43" s="2"/>
      <c r="F43" s="2"/>
      <c r="G43" s="2"/>
      <c r="H43" s="2"/>
      <c r="I43" s="2"/>
      <c r="J43" s="2"/>
    </row>
    <row r="44" spans="1:10" hidden="1" x14ac:dyDescent="0.2">
      <c r="A44" s="32">
        <v>8104</v>
      </c>
      <c r="B44" s="2">
        <f>++B36</f>
        <v>67840</v>
      </c>
      <c r="C44" s="228">
        <v>0.1406</v>
      </c>
      <c r="D44" s="2">
        <f>ROUND(B44*C44,0)</f>
        <v>9538</v>
      </c>
      <c r="E44" s="2"/>
      <c r="F44" s="2"/>
      <c r="G44" s="2"/>
      <c r="H44" s="2"/>
      <c r="I44" s="2"/>
      <c r="J44" s="2"/>
    </row>
    <row r="45" spans="1:10" ht="15" hidden="1" x14ac:dyDescent="0.35">
      <c r="A45" s="32">
        <v>8111</v>
      </c>
      <c r="B45" s="2">
        <f>+B38</f>
        <v>720</v>
      </c>
      <c r="C45" s="228">
        <v>0.1406</v>
      </c>
      <c r="D45" s="10">
        <f>ROUND(B45*C45,0)</f>
        <v>101</v>
      </c>
      <c r="E45" s="2"/>
      <c r="F45" s="2"/>
      <c r="G45" s="2"/>
      <c r="H45" s="2"/>
      <c r="I45" s="2"/>
      <c r="J45" s="2"/>
    </row>
    <row r="46" spans="1:10" hidden="1" x14ac:dyDescent="0.2">
      <c r="A46" s="220" t="s">
        <v>1086</v>
      </c>
      <c r="B46" s="220" t="s">
        <v>349</v>
      </c>
      <c r="C46" s="2" t="s">
        <v>349</v>
      </c>
      <c r="D46" s="2">
        <f>SUM(D42:D45)</f>
        <v>47800</v>
      </c>
      <c r="E46" s="2"/>
      <c r="F46" s="2"/>
      <c r="G46" s="2"/>
      <c r="H46" s="2"/>
      <c r="I46" s="2"/>
      <c r="J46" s="2"/>
    </row>
    <row r="47" spans="1:10" x14ac:dyDescent="0.2">
      <c r="D47" s="2"/>
      <c r="E47" s="2"/>
      <c r="F47" s="2"/>
      <c r="G47" s="2"/>
      <c r="H47" s="2"/>
      <c r="I47" s="2"/>
      <c r="J47" s="2"/>
    </row>
    <row r="48" spans="1:10" ht="13.5" x14ac:dyDescent="0.25">
      <c r="A48" s="225" t="s">
        <v>571</v>
      </c>
      <c r="D48" s="2"/>
      <c r="E48" s="2">
        <v>57711</v>
      </c>
      <c r="F48" s="2">
        <v>78300</v>
      </c>
      <c r="G48" s="2">
        <v>79800</v>
      </c>
      <c r="H48" s="2">
        <v>79000</v>
      </c>
      <c r="I48" s="2">
        <v>79000</v>
      </c>
      <c r="J48" s="2">
        <v>79000</v>
      </c>
    </row>
    <row r="49" spans="1:10" x14ac:dyDescent="0.2">
      <c r="A49" s="220" t="s">
        <v>369</v>
      </c>
      <c r="B49" s="2">
        <v>4</v>
      </c>
      <c r="C49" s="2">
        <v>19750</v>
      </c>
      <c r="D49" s="2">
        <f>ROUND(B49*C49,0)</f>
        <v>79000</v>
      </c>
      <c r="E49" s="2"/>
      <c r="F49" s="2"/>
      <c r="G49" s="2"/>
      <c r="H49" s="2"/>
      <c r="I49" s="2"/>
      <c r="J49" s="2"/>
    </row>
    <row r="50" spans="1:10" x14ac:dyDescent="0.2">
      <c r="D50" s="2"/>
      <c r="E50" s="2"/>
      <c r="F50" s="2"/>
      <c r="G50" s="2"/>
      <c r="H50" s="2"/>
      <c r="I50" s="2"/>
      <c r="J50" s="2"/>
    </row>
    <row r="51" spans="1:10" ht="13.5" x14ac:dyDescent="0.25">
      <c r="A51" s="225" t="s">
        <v>857</v>
      </c>
      <c r="D51" s="2"/>
      <c r="E51" s="2">
        <v>3585</v>
      </c>
      <c r="F51" s="2">
        <v>5040</v>
      </c>
      <c r="G51" s="2">
        <v>5040</v>
      </c>
      <c r="H51" s="2">
        <v>5040</v>
      </c>
      <c r="I51" s="2">
        <v>5040</v>
      </c>
      <c r="J51" s="2">
        <v>5040</v>
      </c>
    </row>
    <row r="52" spans="1:10" x14ac:dyDescent="0.2">
      <c r="A52" s="220" t="s">
        <v>369</v>
      </c>
      <c r="B52" s="2">
        <v>4</v>
      </c>
      <c r="C52" s="2">
        <v>1400</v>
      </c>
      <c r="D52" s="2">
        <f>ROUND(B52*C52,0)</f>
        <v>5600</v>
      </c>
      <c r="E52" s="2"/>
      <c r="F52" s="2"/>
      <c r="G52" s="2"/>
      <c r="H52" s="2"/>
      <c r="I52" s="2"/>
      <c r="J52" s="2"/>
    </row>
    <row r="53" spans="1:10" ht="15" x14ac:dyDescent="0.35">
      <c r="A53" s="220" t="s">
        <v>201</v>
      </c>
      <c r="D53" s="10">
        <f>+C52*-0.1*4</f>
        <v>-560</v>
      </c>
      <c r="E53" s="2"/>
      <c r="F53" s="2"/>
      <c r="G53" s="2"/>
      <c r="H53" s="2"/>
      <c r="I53" s="2"/>
      <c r="J53" s="2"/>
    </row>
    <row r="54" spans="1:10" x14ac:dyDescent="0.2">
      <c r="A54" s="220" t="s">
        <v>1086</v>
      </c>
      <c r="D54" s="2">
        <f>SUM(D52:D53)</f>
        <v>5040</v>
      </c>
      <c r="E54" s="2"/>
      <c r="F54" s="2"/>
      <c r="G54" s="2"/>
      <c r="H54" s="2"/>
      <c r="I54" s="2"/>
      <c r="J54" s="2"/>
    </row>
    <row r="55" spans="1:10" x14ac:dyDescent="0.2">
      <c r="D55" s="2"/>
      <c r="E55" s="2"/>
      <c r="F55" s="2"/>
      <c r="G55" s="2"/>
      <c r="H55" s="2"/>
      <c r="I55" s="2"/>
      <c r="J55" s="2"/>
    </row>
    <row r="56" spans="1:10" ht="13.5" x14ac:dyDescent="0.25">
      <c r="A56" s="225" t="s">
        <v>680</v>
      </c>
      <c r="D56" s="2"/>
      <c r="E56" s="2">
        <v>564</v>
      </c>
      <c r="F56" s="2">
        <v>540</v>
      </c>
      <c r="G56" s="2">
        <v>540</v>
      </c>
      <c r="H56" s="2">
        <v>540</v>
      </c>
      <c r="I56" s="2">
        <v>540</v>
      </c>
      <c r="J56" s="2">
        <v>540</v>
      </c>
    </row>
    <row r="57" spans="1:10" hidden="1" x14ac:dyDescent="0.2">
      <c r="A57" s="220" t="s">
        <v>369</v>
      </c>
      <c r="B57" s="2">
        <v>4</v>
      </c>
      <c r="C57" s="2">
        <v>135</v>
      </c>
      <c r="D57" s="2">
        <f>ROUND(B57*C57,0)</f>
        <v>540</v>
      </c>
      <c r="E57" s="2"/>
      <c r="F57" s="2"/>
      <c r="G57" s="2"/>
      <c r="H57" s="2"/>
      <c r="I57" s="2"/>
      <c r="J57" s="2"/>
    </row>
    <row r="58" spans="1:10" x14ac:dyDescent="0.2">
      <c r="D58" s="2"/>
      <c r="E58" s="2"/>
      <c r="F58" s="2"/>
      <c r="G58" s="2"/>
      <c r="H58" s="2"/>
      <c r="I58" s="2"/>
      <c r="J58" s="2"/>
    </row>
    <row r="59" spans="1:10" ht="13.5" x14ac:dyDescent="0.25">
      <c r="A59" s="225" t="s">
        <v>681</v>
      </c>
      <c r="D59" s="2"/>
      <c r="E59" s="2">
        <v>2924</v>
      </c>
      <c r="F59" s="2">
        <v>2500</v>
      </c>
      <c r="G59" s="2">
        <v>2200</v>
      </c>
      <c r="H59" s="2">
        <v>2200</v>
      </c>
      <c r="I59" s="2">
        <v>2200</v>
      </c>
      <c r="J59" s="2">
        <v>2200</v>
      </c>
    </row>
    <row r="60" spans="1:10" hidden="1" x14ac:dyDescent="0.2">
      <c r="A60" s="220" t="s">
        <v>369</v>
      </c>
      <c r="B60" s="2">
        <v>4</v>
      </c>
      <c r="C60" s="2">
        <v>550</v>
      </c>
      <c r="D60" s="2">
        <f>ROUND(B60*C60,0)</f>
        <v>2200</v>
      </c>
      <c r="E60" s="2"/>
      <c r="F60" s="2"/>
      <c r="G60" s="2"/>
      <c r="H60" s="2"/>
      <c r="I60" s="2"/>
      <c r="J60" s="2"/>
    </row>
    <row r="61" spans="1:10" x14ac:dyDescent="0.2">
      <c r="D61" s="2"/>
      <c r="E61" s="2"/>
      <c r="F61" s="2"/>
      <c r="G61" s="2"/>
      <c r="H61" s="2"/>
      <c r="I61" s="2"/>
      <c r="J61" s="2"/>
    </row>
    <row r="62" spans="1:10" ht="13.5" x14ac:dyDescent="0.25">
      <c r="A62" s="225" t="s">
        <v>682</v>
      </c>
      <c r="D62" s="2"/>
      <c r="E62" s="2">
        <v>2968</v>
      </c>
      <c r="F62" s="2">
        <v>4574</v>
      </c>
      <c r="G62" s="2">
        <v>5106</v>
      </c>
      <c r="H62" s="2">
        <v>5115</v>
      </c>
      <c r="I62" s="2">
        <v>5215</v>
      </c>
      <c r="J62" s="2">
        <v>5215</v>
      </c>
    </row>
    <row r="63" spans="1:10" hidden="1" x14ac:dyDescent="0.2">
      <c r="A63" s="12" t="s">
        <v>770</v>
      </c>
      <c r="B63" s="2">
        <f>+B42</f>
        <v>55848</v>
      </c>
      <c r="C63" s="13">
        <v>1.6999999999999999E-3</v>
      </c>
      <c r="D63" s="2">
        <f>ROUND(B63*C63,0)</f>
        <v>95</v>
      </c>
      <c r="E63" s="2"/>
      <c r="F63" s="2"/>
      <c r="G63" s="2"/>
      <c r="H63" s="2"/>
      <c r="I63" s="2"/>
      <c r="J63" s="2"/>
    </row>
    <row r="64" spans="1:10" hidden="1" x14ac:dyDescent="0.2">
      <c r="A64" s="12" t="s">
        <v>1290</v>
      </c>
      <c r="B64" s="2">
        <f>+D16</f>
        <v>215568</v>
      </c>
      <c r="C64" s="13">
        <v>1.7899999999999999E-2</v>
      </c>
      <c r="D64" s="2">
        <f>ROUND(B64*C64,0)</f>
        <v>3859</v>
      </c>
      <c r="E64" s="2"/>
      <c r="F64" s="2"/>
      <c r="G64" s="2"/>
      <c r="H64" s="2"/>
      <c r="I64" s="2"/>
      <c r="J64" s="2"/>
    </row>
    <row r="65" spans="1:10" hidden="1" x14ac:dyDescent="0.2">
      <c r="A65" s="32">
        <v>8104</v>
      </c>
      <c r="B65" s="2">
        <f>+B44</f>
        <v>67840</v>
      </c>
      <c r="C65" s="13">
        <v>1.7899999999999999E-2</v>
      </c>
      <c r="D65" s="2">
        <f>ROUND(B65*C65,0)</f>
        <v>1214</v>
      </c>
      <c r="E65" s="2"/>
      <c r="F65" s="2"/>
      <c r="G65" s="2"/>
      <c r="H65" s="2"/>
      <c r="I65" s="2"/>
      <c r="J65" s="2"/>
    </row>
    <row r="66" spans="1:10" hidden="1" x14ac:dyDescent="0.2">
      <c r="A66" s="12" t="s">
        <v>158</v>
      </c>
      <c r="B66" s="2">
        <f>+B37</f>
        <v>18480</v>
      </c>
      <c r="C66" s="13">
        <v>1.6999999999999999E-3</v>
      </c>
      <c r="D66" s="2">
        <f t="shared" ref="D66:D67" si="0">ROUND(B66*C66,0)</f>
        <v>31</v>
      </c>
      <c r="E66" s="2"/>
      <c r="F66" s="2"/>
      <c r="G66" s="2"/>
      <c r="H66" s="2"/>
      <c r="I66" s="2"/>
      <c r="J66" s="2"/>
    </row>
    <row r="67" spans="1:10" ht="15" hidden="1" x14ac:dyDescent="0.35">
      <c r="A67" s="12" t="s">
        <v>159</v>
      </c>
      <c r="B67" s="2">
        <f>+B45</f>
        <v>720</v>
      </c>
      <c r="C67" s="13">
        <v>1.7899999999999999E-2</v>
      </c>
      <c r="D67" s="10">
        <f t="shared" si="0"/>
        <v>13</v>
      </c>
      <c r="E67" s="2"/>
      <c r="F67" s="2"/>
      <c r="G67" s="2"/>
      <c r="H67" s="2"/>
      <c r="I67" s="2"/>
      <c r="J67" s="2"/>
    </row>
    <row r="68" spans="1:10" hidden="1" x14ac:dyDescent="0.2">
      <c r="A68" s="220" t="s">
        <v>1086</v>
      </c>
      <c r="D68" s="2">
        <f>SUM(D63:D67)+3</f>
        <v>5215</v>
      </c>
      <c r="E68" s="2"/>
      <c r="F68" s="2"/>
      <c r="G68" s="2"/>
      <c r="H68" s="2"/>
      <c r="I68" s="2"/>
      <c r="J68" s="2"/>
    </row>
    <row r="69" spans="1:10" x14ac:dyDescent="0.2">
      <c r="D69" s="2"/>
      <c r="E69" s="2"/>
      <c r="F69" s="2"/>
      <c r="G69" s="2"/>
      <c r="H69" s="2"/>
      <c r="I69" s="2"/>
      <c r="J69" s="2"/>
    </row>
    <row r="70" spans="1:10" ht="13.5" x14ac:dyDescent="0.25">
      <c r="A70" s="225" t="s">
        <v>310</v>
      </c>
      <c r="D70" s="2"/>
      <c r="E70" s="2">
        <v>74</v>
      </c>
      <c r="F70" s="2">
        <v>107</v>
      </c>
      <c r="G70" s="2">
        <v>107</v>
      </c>
      <c r="H70" s="2">
        <v>107</v>
      </c>
      <c r="I70" s="2">
        <v>107</v>
      </c>
      <c r="J70" s="2">
        <v>107</v>
      </c>
    </row>
    <row r="71" spans="1:10" hidden="1" x14ac:dyDescent="0.2">
      <c r="A71" s="12" t="s">
        <v>770</v>
      </c>
      <c r="B71" s="2">
        <v>1</v>
      </c>
      <c r="C71" s="2">
        <v>20</v>
      </c>
      <c r="D71" s="2">
        <f>ROUND(B71*C71,0)</f>
        <v>20</v>
      </c>
      <c r="E71" s="2"/>
      <c r="F71" s="2"/>
      <c r="G71" s="2"/>
      <c r="H71" s="2"/>
      <c r="I71" s="2"/>
      <c r="J71" s="2"/>
    </row>
    <row r="72" spans="1:10" hidden="1" x14ac:dyDescent="0.2">
      <c r="A72" s="12" t="s">
        <v>1290</v>
      </c>
      <c r="B72" s="2">
        <v>2</v>
      </c>
      <c r="C72" s="2">
        <v>20</v>
      </c>
      <c r="D72" s="2">
        <f>ROUND(B72*C72,0)</f>
        <v>40</v>
      </c>
      <c r="E72" s="2"/>
      <c r="F72" s="2"/>
      <c r="G72" s="2"/>
      <c r="H72" s="2"/>
      <c r="I72" s="2"/>
      <c r="J72" s="2"/>
    </row>
    <row r="73" spans="1:10" hidden="1" x14ac:dyDescent="0.2">
      <c r="A73" s="32">
        <v>8104</v>
      </c>
      <c r="B73" s="2">
        <v>1</v>
      </c>
      <c r="C73" s="2">
        <v>20</v>
      </c>
      <c r="D73" s="2">
        <f>ROUND(B73*C73,0)</f>
        <v>20</v>
      </c>
      <c r="E73" s="2"/>
      <c r="F73" s="2"/>
      <c r="G73" s="2"/>
      <c r="H73" s="2"/>
      <c r="I73" s="2"/>
      <c r="J73" s="2"/>
    </row>
    <row r="74" spans="1:10" ht="15" hidden="1" x14ac:dyDescent="0.35">
      <c r="A74" s="12" t="s">
        <v>158</v>
      </c>
      <c r="B74" s="2">
        <f>D27</f>
        <v>18480</v>
      </c>
      <c r="C74" s="13">
        <v>1.4E-3</v>
      </c>
      <c r="D74" s="10">
        <f>ROUND(B74*C74,0)</f>
        <v>26</v>
      </c>
      <c r="E74" s="2"/>
      <c r="F74" s="2"/>
      <c r="G74" s="2"/>
      <c r="H74" s="2"/>
      <c r="I74" s="2"/>
      <c r="J74" s="2"/>
    </row>
    <row r="75" spans="1:10" hidden="1" x14ac:dyDescent="0.2">
      <c r="A75" s="220" t="s">
        <v>1086</v>
      </c>
      <c r="D75" s="2">
        <f>SUM(D71:D74)</f>
        <v>106</v>
      </c>
      <c r="E75" s="2"/>
      <c r="F75" s="2"/>
      <c r="G75" s="2"/>
      <c r="H75" s="2"/>
      <c r="I75" s="2"/>
      <c r="J75" s="2"/>
    </row>
    <row r="76" spans="1:10" x14ac:dyDescent="0.2">
      <c r="D76" s="2"/>
      <c r="E76" s="2"/>
      <c r="F76" s="2"/>
      <c r="G76" s="2"/>
      <c r="H76" s="2"/>
      <c r="I76" s="2"/>
      <c r="J76" s="2"/>
    </row>
    <row r="77" spans="1:10" x14ac:dyDescent="0.2">
      <c r="D77" s="2"/>
      <c r="E77" s="2"/>
      <c r="F77" s="2"/>
      <c r="G77" s="2"/>
      <c r="H77" s="2"/>
      <c r="I77" s="2"/>
      <c r="J77" s="2"/>
    </row>
    <row r="78" spans="1:10" ht="13.5" x14ac:dyDescent="0.25">
      <c r="A78" s="225" t="s">
        <v>311</v>
      </c>
      <c r="D78" s="2"/>
      <c r="E78" s="2">
        <v>1391</v>
      </c>
      <c r="F78" s="2">
        <v>1600</v>
      </c>
      <c r="G78" s="2">
        <v>1600</v>
      </c>
      <c r="H78" s="2">
        <v>1600</v>
      </c>
      <c r="I78" s="2">
        <v>1600</v>
      </c>
      <c r="J78" s="2">
        <v>1600</v>
      </c>
    </row>
    <row r="79" spans="1:10" x14ac:dyDescent="0.2">
      <c r="A79" s="220" t="s">
        <v>312</v>
      </c>
      <c r="C79" s="2"/>
      <c r="D79" s="2">
        <v>1600</v>
      </c>
      <c r="F79" s="2"/>
      <c r="G79" s="2"/>
      <c r="H79" s="2"/>
      <c r="I79" s="2"/>
      <c r="J79" s="2"/>
    </row>
    <row r="80" spans="1:10" x14ac:dyDescent="0.2">
      <c r="C80" s="2"/>
      <c r="D80" s="2"/>
      <c r="E80" s="2"/>
      <c r="F80" s="2"/>
      <c r="G80" s="2"/>
      <c r="H80" s="2"/>
      <c r="I80" s="2"/>
      <c r="J80" s="2"/>
    </row>
    <row r="81" spans="1:10" ht="13.5" x14ac:dyDescent="0.25">
      <c r="A81" s="225" t="s">
        <v>1364</v>
      </c>
      <c r="C81" s="2"/>
      <c r="D81" s="2"/>
      <c r="E81" s="2">
        <v>86</v>
      </c>
      <c r="F81" s="2">
        <v>1250</v>
      </c>
      <c r="G81" s="2">
        <v>1250</v>
      </c>
      <c r="H81" s="2">
        <v>1250</v>
      </c>
      <c r="I81" s="2">
        <v>1250</v>
      </c>
      <c r="J81" s="2">
        <v>1250</v>
      </c>
    </row>
    <row r="82" spans="1:10" x14ac:dyDescent="0.2">
      <c r="A82" s="22" t="s">
        <v>1396</v>
      </c>
      <c r="C82" s="2"/>
      <c r="D82" s="2"/>
      <c r="E82" s="2"/>
      <c r="F82" s="2"/>
      <c r="G82" s="2"/>
      <c r="H82" s="2"/>
      <c r="I82" s="2"/>
      <c r="J82" s="2"/>
    </row>
    <row r="83" spans="1:10" x14ac:dyDescent="0.2">
      <c r="A83" s="22" t="s">
        <v>1801</v>
      </c>
      <c r="C83" s="2"/>
      <c r="D83" s="220">
        <v>500</v>
      </c>
      <c r="I83" s="251"/>
      <c r="J83" s="256"/>
    </row>
    <row r="84" spans="1:10" ht="15" x14ac:dyDescent="0.35">
      <c r="A84" s="22" t="s">
        <v>1926</v>
      </c>
      <c r="C84" s="2"/>
      <c r="D84" s="10">
        <v>750</v>
      </c>
      <c r="I84" s="251"/>
      <c r="J84" s="256"/>
    </row>
    <row r="85" spans="1:10" x14ac:dyDescent="0.2">
      <c r="A85" s="22"/>
      <c r="C85" s="2"/>
      <c r="D85" s="220">
        <f>SUM(D83:D84)</f>
        <v>1250</v>
      </c>
      <c r="I85" s="251"/>
      <c r="J85" s="256"/>
    </row>
    <row r="86" spans="1:10" x14ac:dyDescent="0.2">
      <c r="C86" s="17"/>
      <c r="D86" s="2"/>
      <c r="E86" s="2"/>
      <c r="F86" s="2"/>
      <c r="G86" s="2"/>
      <c r="H86" s="2"/>
      <c r="I86" s="2"/>
      <c r="J86" s="2"/>
    </row>
    <row r="87" spans="1:10" ht="13.5" x14ac:dyDescent="0.25">
      <c r="A87" s="225" t="s">
        <v>1860</v>
      </c>
      <c r="C87" s="17"/>
      <c r="D87" s="2"/>
      <c r="E87" s="2">
        <v>170</v>
      </c>
      <c r="F87" s="2">
        <v>450</v>
      </c>
      <c r="G87" s="2">
        <v>450</v>
      </c>
      <c r="H87" s="2">
        <v>450</v>
      </c>
      <c r="I87" s="2">
        <v>450</v>
      </c>
      <c r="J87" s="2">
        <v>450</v>
      </c>
    </row>
    <row r="88" spans="1:10" x14ac:dyDescent="0.2">
      <c r="A88" s="220" t="s">
        <v>2113</v>
      </c>
      <c r="C88" s="17"/>
      <c r="D88" s="2">
        <v>450</v>
      </c>
      <c r="E88" s="2"/>
      <c r="F88" s="2"/>
      <c r="G88" s="2"/>
      <c r="H88" s="2"/>
      <c r="I88" s="2"/>
      <c r="J88" s="2"/>
    </row>
    <row r="89" spans="1:10" x14ac:dyDescent="0.2">
      <c r="C89" s="17"/>
      <c r="D89" s="2"/>
      <c r="E89" s="2"/>
      <c r="F89" s="2"/>
      <c r="G89" s="2"/>
      <c r="H89" s="2"/>
      <c r="I89" s="2"/>
      <c r="J89" s="2"/>
    </row>
    <row r="90" spans="1:10" ht="13.5" x14ac:dyDescent="0.25">
      <c r="A90" s="225" t="s">
        <v>319</v>
      </c>
      <c r="C90" s="2"/>
      <c r="D90" s="2"/>
      <c r="E90" s="2">
        <v>302</v>
      </c>
      <c r="F90" s="2">
        <v>100</v>
      </c>
      <c r="G90" s="2">
        <v>100</v>
      </c>
      <c r="H90" s="2">
        <v>100</v>
      </c>
      <c r="I90" s="2">
        <v>100</v>
      </c>
      <c r="J90" s="2">
        <v>100</v>
      </c>
    </row>
    <row r="91" spans="1:10" x14ac:dyDescent="0.2">
      <c r="A91" s="220" t="s">
        <v>977</v>
      </c>
      <c r="C91" s="2"/>
      <c r="D91" s="2">
        <v>100</v>
      </c>
      <c r="E91" s="2"/>
      <c r="F91" s="2"/>
      <c r="G91" s="2"/>
      <c r="H91" s="2"/>
      <c r="I91" s="2"/>
      <c r="J91" s="2"/>
    </row>
    <row r="92" spans="1:10" x14ac:dyDescent="0.2">
      <c r="C92" s="2"/>
      <c r="D92" s="2"/>
      <c r="E92" s="2"/>
      <c r="F92" s="2"/>
      <c r="G92" s="2"/>
      <c r="H92" s="2"/>
      <c r="I92" s="2"/>
      <c r="J92" s="2"/>
    </row>
    <row r="93" spans="1:10" ht="13.5" x14ac:dyDescent="0.25">
      <c r="A93" s="225" t="s">
        <v>758</v>
      </c>
      <c r="C93" s="2"/>
      <c r="D93" s="2"/>
      <c r="E93" s="2">
        <v>112</v>
      </c>
      <c r="F93" s="2">
        <v>380</v>
      </c>
      <c r="G93" s="2">
        <v>400</v>
      </c>
      <c r="H93" s="2">
        <v>400</v>
      </c>
      <c r="I93" s="2">
        <v>400</v>
      </c>
      <c r="J93" s="2">
        <v>400</v>
      </c>
    </row>
    <row r="94" spans="1:10" x14ac:dyDescent="0.2">
      <c r="A94" s="220" t="s">
        <v>344</v>
      </c>
      <c r="B94" s="2" t="s">
        <v>349</v>
      </c>
      <c r="C94" s="2"/>
      <c r="D94" s="2">
        <v>400</v>
      </c>
      <c r="E94" s="2"/>
      <c r="F94" s="2"/>
      <c r="G94" s="2"/>
      <c r="H94" s="2"/>
      <c r="I94" s="2"/>
      <c r="J94" s="2"/>
    </row>
    <row r="95" spans="1:10" x14ac:dyDescent="0.2">
      <c r="C95" s="2"/>
      <c r="D95" s="2"/>
      <c r="E95" s="2"/>
      <c r="F95" s="2"/>
      <c r="G95" s="2"/>
      <c r="H95" s="2"/>
      <c r="I95" s="2"/>
      <c r="J95" s="2"/>
    </row>
    <row r="96" spans="1:10" ht="13.5" x14ac:dyDescent="0.25">
      <c r="A96" s="225" t="s">
        <v>1344</v>
      </c>
      <c r="C96" s="2"/>
      <c r="D96" s="2"/>
      <c r="E96" s="2">
        <v>2934</v>
      </c>
      <c r="F96" s="2">
        <v>2990</v>
      </c>
      <c r="G96" s="2">
        <v>2990</v>
      </c>
      <c r="H96" s="2">
        <v>2990</v>
      </c>
      <c r="I96" s="2">
        <v>2990</v>
      </c>
      <c r="J96" s="2">
        <v>2990</v>
      </c>
    </row>
    <row r="97" spans="1:10" x14ac:dyDescent="0.2">
      <c r="A97" s="220" t="s">
        <v>820</v>
      </c>
      <c r="C97" s="2"/>
      <c r="D97" s="2">
        <v>800</v>
      </c>
      <c r="E97" s="2"/>
      <c r="F97" s="2"/>
      <c r="G97" s="2"/>
      <c r="H97" s="2"/>
      <c r="I97" s="2"/>
      <c r="J97" s="2"/>
    </row>
    <row r="98" spans="1:10" x14ac:dyDescent="0.2">
      <c r="A98" s="220" t="s">
        <v>1866</v>
      </c>
      <c r="C98" s="2"/>
      <c r="D98" s="2">
        <v>150</v>
      </c>
      <c r="E98" s="2"/>
      <c r="F98" s="2"/>
      <c r="G98" s="2"/>
      <c r="H98" s="2"/>
      <c r="I98" s="2"/>
      <c r="J98" s="2"/>
    </row>
    <row r="99" spans="1:10" ht="15" x14ac:dyDescent="0.35">
      <c r="A99" s="220" t="s">
        <v>1160</v>
      </c>
      <c r="C99" s="10"/>
      <c r="D99" s="10">
        <v>2040</v>
      </c>
      <c r="E99" s="2"/>
      <c r="F99" s="2"/>
      <c r="G99" s="2"/>
      <c r="H99" s="2"/>
      <c r="I99" s="2"/>
      <c r="J99" s="2"/>
    </row>
    <row r="100" spans="1:10" x14ac:dyDescent="0.2">
      <c r="A100" s="220" t="s">
        <v>1086</v>
      </c>
      <c r="C100" s="2"/>
      <c r="D100" s="2">
        <f>SUM(D97:D99)</f>
        <v>2990</v>
      </c>
      <c r="E100" s="2"/>
      <c r="F100" s="2"/>
      <c r="G100" s="2"/>
      <c r="H100" s="2"/>
      <c r="I100" s="2"/>
      <c r="J100" s="2"/>
    </row>
    <row r="101" spans="1:10" x14ac:dyDescent="0.2">
      <c r="C101" s="17"/>
      <c r="D101" s="2"/>
      <c r="E101" s="2"/>
      <c r="F101" s="2"/>
      <c r="G101" s="2"/>
      <c r="H101" s="2"/>
      <c r="I101" s="2"/>
      <c r="J101" s="2"/>
    </row>
    <row r="102" spans="1:10" ht="13.5" x14ac:dyDescent="0.25">
      <c r="A102" s="225" t="s">
        <v>111</v>
      </c>
      <c r="C102" s="2"/>
      <c r="D102" s="2"/>
      <c r="E102" s="2">
        <v>1776</v>
      </c>
      <c r="F102" s="2">
        <v>2505</v>
      </c>
      <c r="G102" s="2">
        <v>2505</v>
      </c>
      <c r="H102" s="2">
        <v>2505</v>
      </c>
      <c r="I102" s="2">
        <v>2505</v>
      </c>
      <c r="J102" s="2">
        <v>2505</v>
      </c>
    </row>
    <row r="103" spans="1:10" x14ac:dyDescent="0.2">
      <c r="A103" s="220" t="s">
        <v>112</v>
      </c>
      <c r="C103" s="2"/>
      <c r="D103" s="2">
        <v>550</v>
      </c>
      <c r="E103" s="2"/>
      <c r="F103" s="2"/>
      <c r="G103" s="2"/>
      <c r="H103" s="2"/>
      <c r="I103" s="2"/>
      <c r="J103" s="2"/>
    </row>
    <row r="104" spans="1:10" x14ac:dyDescent="0.2">
      <c r="A104" s="220" t="s">
        <v>1187</v>
      </c>
      <c r="C104" s="2"/>
      <c r="D104" s="2">
        <v>25</v>
      </c>
      <c r="E104" s="2"/>
      <c r="F104" s="2"/>
      <c r="G104" s="2"/>
      <c r="H104" s="2"/>
      <c r="I104" s="2"/>
      <c r="J104" s="2"/>
    </row>
    <row r="105" spans="1:10" x14ac:dyDescent="0.2">
      <c r="A105" s="220" t="s">
        <v>1927</v>
      </c>
      <c r="C105" s="2"/>
      <c r="D105" s="2">
        <v>80</v>
      </c>
      <c r="E105" s="2"/>
      <c r="F105" s="2"/>
      <c r="G105" s="2"/>
      <c r="H105" s="2"/>
      <c r="I105" s="2"/>
      <c r="J105" s="2"/>
    </row>
    <row r="106" spans="1:10" x14ac:dyDescent="0.2">
      <c r="A106" s="220" t="s">
        <v>1599</v>
      </c>
      <c r="C106" s="2"/>
      <c r="D106" s="2">
        <v>150</v>
      </c>
      <c r="E106" s="2"/>
      <c r="F106" s="2"/>
      <c r="G106" s="2"/>
      <c r="H106" s="2"/>
      <c r="I106" s="2"/>
      <c r="J106" s="2"/>
    </row>
    <row r="107" spans="1:10" x14ac:dyDescent="0.2">
      <c r="A107" s="220" t="s">
        <v>1928</v>
      </c>
      <c r="C107" s="2"/>
      <c r="D107" s="2">
        <v>150</v>
      </c>
      <c r="E107" s="2"/>
      <c r="F107" s="2"/>
      <c r="G107" s="2"/>
      <c r="H107" s="2"/>
      <c r="I107" s="2"/>
      <c r="J107" s="2"/>
    </row>
    <row r="108" spans="1:10" x14ac:dyDescent="0.2">
      <c r="A108" s="220" t="s">
        <v>1929</v>
      </c>
      <c r="C108" s="2"/>
      <c r="D108" s="2">
        <v>150</v>
      </c>
      <c r="E108" s="2"/>
      <c r="F108" s="2"/>
      <c r="G108" s="2"/>
      <c r="H108" s="2"/>
      <c r="I108" s="2"/>
      <c r="J108" s="2"/>
    </row>
    <row r="109" spans="1:10" x14ac:dyDescent="0.2">
      <c r="A109" s="220" t="s">
        <v>978</v>
      </c>
      <c r="C109" s="2"/>
      <c r="D109" s="2">
        <v>100</v>
      </c>
      <c r="E109" s="2"/>
      <c r="F109" s="2"/>
      <c r="G109" s="2"/>
      <c r="H109" s="2"/>
      <c r="I109" s="2"/>
      <c r="J109" s="2"/>
    </row>
    <row r="110" spans="1:10" x14ac:dyDescent="0.2">
      <c r="A110" s="220" t="s">
        <v>1709</v>
      </c>
      <c r="C110" s="2"/>
      <c r="D110" s="2">
        <v>100</v>
      </c>
      <c r="E110" s="2"/>
      <c r="F110" s="2"/>
      <c r="G110" s="2"/>
      <c r="H110" s="2"/>
      <c r="I110" s="2"/>
      <c r="J110" s="2"/>
    </row>
    <row r="111" spans="1:10" ht="15" x14ac:dyDescent="0.35">
      <c r="A111" s="220" t="s">
        <v>93</v>
      </c>
      <c r="C111" s="10"/>
      <c r="D111" s="10">
        <v>1200</v>
      </c>
      <c r="E111" s="2"/>
      <c r="F111" s="2"/>
      <c r="G111" s="2"/>
      <c r="H111" s="2"/>
      <c r="I111" s="2"/>
      <c r="J111" s="2"/>
    </row>
    <row r="112" spans="1:10" x14ac:dyDescent="0.2">
      <c r="A112" s="220" t="s">
        <v>1086</v>
      </c>
      <c r="C112" s="2"/>
      <c r="D112" s="2">
        <f>SUM(D103:D111)</f>
        <v>2505</v>
      </c>
      <c r="E112" s="2"/>
      <c r="F112" s="2"/>
      <c r="G112" s="2"/>
      <c r="H112" s="2"/>
      <c r="I112" s="2"/>
      <c r="J112" s="2"/>
    </row>
    <row r="113" spans="1:10" x14ac:dyDescent="0.2">
      <c r="C113" s="17"/>
      <c r="D113" s="2"/>
      <c r="E113" s="2"/>
      <c r="I113" s="251"/>
      <c r="J113" s="256"/>
    </row>
    <row r="114" spans="1:10" ht="13.5" x14ac:dyDescent="0.25">
      <c r="A114" s="16" t="s">
        <v>969</v>
      </c>
      <c r="C114" s="2"/>
      <c r="D114" s="2"/>
      <c r="E114" s="2">
        <v>2653</v>
      </c>
      <c r="F114" s="2">
        <v>1888</v>
      </c>
      <c r="G114" s="2">
        <v>2020</v>
      </c>
      <c r="H114" s="2">
        <v>2020</v>
      </c>
      <c r="I114" s="2">
        <v>2020</v>
      </c>
      <c r="J114" s="2">
        <v>2020</v>
      </c>
    </row>
    <row r="115" spans="1:10" x14ac:dyDescent="0.2">
      <c r="A115" s="220" t="s">
        <v>746</v>
      </c>
      <c r="C115" s="2"/>
      <c r="D115" s="2">
        <v>2020</v>
      </c>
      <c r="E115" s="2"/>
      <c r="F115" s="2"/>
      <c r="G115" s="2"/>
      <c r="H115" s="2"/>
      <c r="I115" s="2"/>
      <c r="J115" s="2"/>
    </row>
    <row r="116" spans="1:10" x14ac:dyDescent="0.2">
      <c r="C116" s="2"/>
      <c r="D116" s="2"/>
      <c r="E116" s="2"/>
      <c r="I116" s="251"/>
      <c r="J116" s="256"/>
    </row>
    <row r="117" spans="1:10" ht="13.5" x14ac:dyDescent="0.25">
      <c r="A117" s="225" t="s">
        <v>615</v>
      </c>
      <c r="C117" s="2"/>
      <c r="D117" s="2"/>
      <c r="E117" s="2">
        <v>1711</v>
      </c>
      <c r="F117" s="2">
        <v>500</v>
      </c>
      <c r="G117" s="2">
        <v>500</v>
      </c>
      <c r="H117" s="2">
        <v>500</v>
      </c>
      <c r="I117" s="2">
        <v>500</v>
      </c>
      <c r="J117" s="2">
        <v>500</v>
      </c>
    </row>
    <row r="118" spans="1:10" x14ac:dyDescent="0.2">
      <c r="A118" s="220" t="s">
        <v>1326</v>
      </c>
      <c r="C118" s="2"/>
      <c r="D118" s="2">
        <v>500</v>
      </c>
      <c r="E118" s="2"/>
      <c r="F118" s="2"/>
      <c r="G118" s="2"/>
      <c r="H118" s="2"/>
      <c r="I118" s="2"/>
      <c r="J118" s="2"/>
    </row>
    <row r="119" spans="1:10" x14ac:dyDescent="0.2">
      <c r="C119" s="2"/>
      <c r="D119" s="2"/>
      <c r="E119" s="2"/>
      <c r="F119" s="2"/>
      <c r="G119" s="2"/>
      <c r="H119" s="2"/>
      <c r="I119" s="2"/>
      <c r="J119" s="2"/>
    </row>
    <row r="120" spans="1:10" ht="13.5" x14ac:dyDescent="0.25">
      <c r="A120" s="225" t="s">
        <v>1327</v>
      </c>
      <c r="C120" s="2"/>
      <c r="D120" s="2"/>
      <c r="E120" s="2">
        <v>3974</v>
      </c>
      <c r="F120" s="2">
        <v>5175</v>
      </c>
      <c r="G120" s="2">
        <v>5175</v>
      </c>
      <c r="H120" s="2">
        <v>5175</v>
      </c>
      <c r="I120" s="2">
        <v>5175</v>
      </c>
      <c r="J120" s="2">
        <v>5175</v>
      </c>
    </row>
    <row r="121" spans="1:10" x14ac:dyDescent="0.2">
      <c r="A121" s="220" t="s">
        <v>738</v>
      </c>
      <c r="C121" s="2"/>
      <c r="D121" s="2">
        <v>1350</v>
      </c>
      <c r="E121" s="2"/>
      <c r="F121" s="2"/>
      <c r="G121" s="2"/>
      <c r="H121" s="2"/>
      <c r="I121" s="2"/>
      <c r="J121" s="2"/>
    </row>
    <row r="122" spans="1:10" x14ac:dyDescent="0.2">
      <c r="A122" s="220" t="s">
        <v>1600</v>
      </c>
      <c r="C122" s="2"/>
      <c r="D122" s="2">
        <v>825</v>
      </c>
      <c r="E122" s="2"/>
      <c r="F122" s="2"/>
      <c r="G122" s="2"/>
      <c r="H122" s="2"/>
      <c r="I122" s="2"/>
      <c r="J122" s="2"/>
    </row>
    <row r="123" spans="1:10" ht="15" x14ac:dyDescent="0.35">
      <c r="A123" s="220" t="s">
        <v>1465</v>
      </c>
      <c r="C123" s="2"/>
      <c r="D123" s="10">
        <v>3000</v>
      </c>
      <c r="E123" s="2"/>
      <c r="F123" s="2"/>
      <c r="G123" s="2"/>
      <c r="H123" s="2"/>
      <c r="I123" s="2"/>
      <c r="J123" s="2"/>
    </row>
    <row r="124" spans="1:10" x14ac:dyDescent="0.2">
      <c r="A124" s="220" t="s">
        <v>1086</v>
      </c>
      <c r="C124" s="2"/>
      <c r="D124" s="2">
        <f>SUM(D121:D123)</f>
        <v>5175</v>
      </c>
      <c r="E124" s="2"/>
      <c r="F124" s="2"/>
      <c r="G124" s="2"/>
      <c r="H124" s="2"/>
      <c r="I124" s="2"/>
      <c r="J124" s="2"/>
    </row>
    <row r="125" spans="1:10" x14ac:dyDescent="0.2">
      <c r="C125" s="2"/>
      <c r="D125" s="2"/>
      <c r="E125" s="2"/>
      <c r="F125" s="2"/>
      <c r="G125" s="2"/>
      <c r="H125" s="2"/>
      <c r="I125" s="2"/>
      <c r="J125" s="2"/>
    </row>
    <row r="126" spans="1:10" ht="13.5" x14ac:dyDescent="0.25">
      <c r="A126" s="225" t="s">
        <v>895</v>
      </c>
      <c r="C126" s="2"/>
      <c r="D126" s="2"/>
      <c r="E126" s="2">
        <v>560</v>
      </c>
      <c r="F126" s="2">
        <v>1000</v>
      </c>
      <c r="G126" s="2">
        <v>1500</v>
      </c>
      <c r="H126" s="2">
        <v>1500</v>
      </c>
      <c r="I126" s="2">
        <v>1500</v>
      </c>
      <c r="J126" s="2">
        <v>1500</v>
      </c>
    </row>
    <row r="127" spans="1:10" x14ac:dyDescent="0.2">
      <c r="A127" s="220" t="s">
        <v>1510</v>
      </c>
      <c r="C127" s="2"/>
      <c r="D127" s="2">
        <v>1500</v>
      </c>
      <c r="E127" s="2"/>
      <c r="F127" s="2"/>
      <c r="G127" s="2"/>
      <c r="H127" s="2"/>
      <c r="I127" s="2"/>
      <c r="J127" s="2"/>
    </row>
    <row r="128" spans="1:10" x14ac:dyDescent="0.2">
      <c r="C128" s="2"/>
      <c r="D128" s="2"/>
      <c r="E128" s="2"/>
      <c r="F128" s="2"/>
      <c r="G128" s="2"/>
      <c r="H128" s="2"/>
      <c r="I128" s="2"/>
      <c r="J128" s="2"/>
    </row>
    <row r="129" spans="1:10" ht="13.5" x14ac:dyDescent="0.25">
      <c r="A129" s="225" t="s">
        <v>105</v>
      </c>
      <c r="C129" s="2"/>
      <c r="D129" s="2"/>
      <c r="E129" s="2">
        <v>2968</v>
      </c>
      <c r="F129" s="2">
        <v>2500</v>
      </c>
      <c r="G129" s="2">
        <v>2500</v>
      </c>
      <c r="H129" s="2">
        <v>2500</v>
      </c>
      <c r="I129" s="2">
        <v>2500</v>
      </c>
      <c r="J129" s="2">
        <v>2500</v>
      </c>
    </row>
    <row r="130" spans="1:10" x14ac:dyDescent="0.2">
      <c r="A130" s="22" t="s">
        <v>1802</v>
      </c>
      <c r="C130" s="2"/>
      <c r="D130" s="2">
        <v>2000</v>
      </c>
      <c r="E130" s="2"/>
      <c r="I130" s="251"/>
      <c r="J130" s="256"/>
    </row>
    <row r="131" spans="1:10" ht="15" x14ac:dyDescent="0.35">
      <c r="A131" s="22" t="s">
        <v>1466</v>
      </c>
      <c r="C131" s="2"/>
      <c r="D131" s="10">
        <v>500</v>
      </c>
      <c r="E131" s="2"/>
      <c r="I131" s="251"/>
      <c r="J131" s="256"/>
    </row>
    <row r="132" spans="1:10" x14ac:dyDescent="0.2">
      <c r="A132" s="22" t="s">
        <v>1086</v>
      </c>
      <c r="C132" s="2"/>
      <c r="D132" s="2">
        <f>SUM(D130:D131)</f>
        <v>2500</v>
      </c>
      <c r="E132" s="2"/>
      <c r="I132" s="251"/>
      <c r="J132" s="256"/>
    </row>
    <row r="133" spans="1:10" x14ac:dyDescent="0.2">
      <c r="A133" s="22"/>
      <c r="C133" s="2"/>
      <c r="D133" s="2"/>
      <c r="E133" s="2"/>
      <c r="I133" s="251"/>
      <c r="J133" s="256"/>
    </row>
    <row r="134" spans="1:10" x14ac:dyDescent="0.2">
      <c r="C134" s="2"/>
      <c r="D134" s="2"/>
      <c r="E134" s="2"/>
      <c r="F134" s="2"/>
      <c r="G134" s="2"/>
      <c r="H134" s="2"/>
      <c r="I134" s="2"/>
      <c r="J134" s="2"/>
    </row>
    <row r="135" spans="1:10" ht="13.5" x14ac:dyDescent="0.25">
      <c r="A135" s="225" t="s">
        <v>896</v>
      </c>
      <c r="C135" s="2"/>
      <c r="D135" s="2"/>
      <c r="E135" s="2">
        <v>0</v>
      </c>
      <c r="F135" s="2">
        <v>100</v>
      </c>
      <c r="G135" s="2">
        <v>100</v>
      </c>
      <c r="H135" s="2">
        <v>100</v>
      </c>
      <c r="I135" s="2">
        <v>100</v>
      </c>
      <c r="J135" s="2">
        <v>100</v>
      </c>
    </row>
    <row r="136" spans="1:10" x14ac:dyDescent="0.2">
      <c r="A136" s="220" t="s">
        <v>1295</v>
      </c>
      <c r="C136" s="2"/>
      <c r="D136" s="2">
        <v>100</v>
      </c>
      <c r="E136" s="2"/>
      <c r="F136" s="2"/>
      <c r="G136" s="2"/>
      <c r="H136" s="2"/>
      <c r="I136" s="2"/>
      <c r="J136" s="2"/>
    </row>
    <row r="137" spans="1:10" x14ac:dyDescent="0.2">
      <c r="C137" s="2"/>
      <c r="D137" s="2"/>
      <c r="E137" s="2"/>
      <c r="F137" s="2"/>
      <c r="G137" s="2"/>
      <c r="H137" s="2"/>
      <c r="I137" s="2"/>
      <c r="J137" s="2"/>
    </row>
    <row r="138" spans="1:10" ht="13.5" x14ac:dyDescent="0.25">
      <c r="A138" s="225" t="s">
        <v>667</v>
      </c>
      <c r="C138" s="2"/>
      <c r="D138" s="2"/>
      <c r="E138" s="2">
        <v>1166</v>
      </c>
      <c r="F138" s="2">
        <v>1500</v>
      </c>
      <c r="G138" s="2">
        <v>1500</v>
      </c>
      <c r="H138" s="2">
        <v>1500</v>
      </c>
      <c r="I138" s="2">
        <v>1500</v>
      </c>
      <c r="J138" s="2">
        <v>1500</v>
      </c>
    </row>
    <row r="139" spans="1:10" x14ac:dyDescent="0.2">
      <c r="A139" s="220" t="s">
        <v>1710</v>
      </c>
      <c r="C139" s="2"/>
      <c r="D139" s="2">
        <v>1500</v>
      </c>
      <c r="E139" s="2"/>
      <c r="F139" s="2"/>
      <c r="G139" s="2"/>
      <c r="H139" s="2"/>
      <c r="I139" s="2"/>
      <c r="J139" s="2"/>
    </row>
    <row r="140" spans="1:10" x14ac:dyDescent="0.2">
      <c r="C140" s="18"/>
      <c r="D140" s="2"/>
      <c r="E140" s="2"/>
      <c r="F140" s="2"/>
      <c r="G140" s="2"/>
      <c r="H140" s="2"/>
      <c r="I140" s="2"/>
      <c r="J140" s="2"/>
    </row>
    <row r="141" spans="1:10" ht="15" x14ac:dyDescent="0.35">
      <c r="A141" s="225" t="s">
        <v>668</v>
      </c>
      <c r="C141" s="2"/>
      <c r="D141" s="10">
        <v>0</v>
      </c>
      <c r="E141" s="10">
        <v>1825</v>
      </c>
      <c r="F141" s="10">
        <v>0</v>
      </c>
      <c r="G141" s="10">
        <v>2000</v>
      </c>
      <c r="H141" s="10">
        <v>2000</v>
      </c>
      <c r="I141" s="10">
        <v>2000</v>
      </c>
      <c r="J141" s="10">
        <v>2000</v>
      </c>
    </row>
    <row r="142" spans="1:10" x14ac:dyDescent="0.2">
      <c r="A142" s="220" t="s">
        <v>1467</v>
      </c>
      <c r="C142" s="2"/>
    </row>
    <row r="143" spans="1:10" x14ac:dyDescent="0.2">
      <c r="C143" s="2"/>
      <c r="D143" s="2"/>
      <c r="E143" s="3"/>
    </row>
    <row r="144" spans="1:10" x14ac:dyDescent="0.2">
      <c r="A144" s="220" t="s">
        <v>1167</v>
      </c>
      <c r="C144" s="2"/>
      <c r="D144" s="2"/>
      <c r="E144" s="2">
        <f t="shared" ref="E144:J144" si="1">SUM(E6:E143)</f>
        <v>424819</v>
      </c>
      <c r="F144" s="2">
        <f t="shared" si="1"/>
        <v>522668</v>
      </c>
      <c r="G144" s="2">
        <f t="shared" si="1"/>
        <v>545906</v>
      </c>
      <c r="H144" s="2">
        <f t="shared" si="1"/>
        <v>543281</v>
      </c>
      <c r="I144" s="2">
        <f t="shared" si="1"/>
        <v>551444</v>
      </c>
      <c r="J144" s="2">
        <f t="shared" si="1"/>
        <v>551444</v>
      </c>
    </row>
    <row r="145" spans="1:10" x14ac:dyDescent="0.2">
      <c r="C145" s="2"/>
    </row>
    <row r="146" spans="1:10" x14ac:dyDescent="0.2">
      <c r="A146" s="220" t="s">
        <v>523</v>
      </c>
      <c r="E146" s="2">
        <f t="shared" ref="E146:J146" si="2">SUM(E6:E76)</f>
        <v>403191</v>
      </c>
      <c r="F146" s="2">
        <f t="shared" si="2"/>
        <v>500730</v>
      </c>
      <c r="G146" s="2">
        <f t="shared" si="2"/>
        <v>521316</v>
      </c>
      <c r="H146" s="2">
        <f t="shared" si="2"/>
        <v>518691</v>
      </c>
      <c r="I146" s="2">
        <f t="shared" si="2"/>
        <v>526854</v>
      </c>
      <c r="J146" s="2">
        <f t="shared" si="2"/>
        <v>526854</v>
      </c>
    </row>
    <row r="147" spans="1:10" x14ac:dyDescent="0.2">
      <c r="A147" s="220" t="s">
        <v>818</v>
      </c>
      <c r="E147" s="2">
        <f t="shared" ref="E147:J147" si="3">SUM(E78:E138)</f>
        <v>19803</v>
      </c>
      <c r="F147" s="2">
        <f t="shared" si="3"/>
        <v>21938</v>
      </c>
      <c r="G147" s="2">
        <f t="shared" si="3"/>
        <v>22590</v>
      </c>
      <c r="H147" s="2">
        <f t="shared" ref="H147" si="4">SUM(H78:H138)</f>
        <v>22590</v>
      </c>
      <c r="I147" s="2">
        <f t="shared" si="3"/>
        <v>22590</v>
      </c>
      <c r="J147" s="2">
        <f t="shared" si="3"/>
        <v>22590</v>
      </c>
    </row>
    <row r="148" spans="1:10" ht="15" x14ac:dyDescent="0.35">
      <c r="A148" s="220" t="s">
        <v>819</v>
      </c>
      <c r="E148" s="10">
        <f t="shared" ref="E148:J148" si="5">SUM(E141:E143)</f>
        <v>1825</v>
      </c>
      <c r="F148" s="10">
        <f t="shared" si="5"/>
        <v>0</v>
      </c>
      <c r="G148" s="10">
        <f t="shared" si="5"/>
        <v>2000</v>
      </c>
      <c r="H148" s="10">
        <f t="shared" si="5"/>
        <v>2000</v>
      </c>
      <c r="I148" s="10">
        <f t="shared" si="5"/>
        <v>2000</v>
      </c>
      <c r="J148" s="10">
        <f t="shared" si="5"/>
        <v>2000</v>
      </c>
    </row>
    <row r="149" spans="1:10" x14ac:dyDescent="0.2">
      <c r="A149" s="220" t="s">
        <v>1086</v>
      </c>
      <c r="E149" s="2">
        <f t="shared" ref="E149:J149" si="6">SUM(E146:E148)</f>
        <v>424819</v>
      </c>
      <c r="F149" s="2">
        <f t="shared" si="6"/>
        <v>522668</v>
      </c>
      <c r="G149" s="2">
        <f t="shared" si="6"/>
        <v>545906</v>
      </c>
      <c r="H149" s="2">
        <f t="shared" ref="H149" si="7">SUM(H146:H148)</f>
        <v>543281</v>
      </c>
      <c r="I149" s="2">
        <f t="shared" si="6"/>
        <v>551444</v>
      </c>
      <c r="J149" s="2">
        <f t="shared" si="6"/>
        <v>551444</v>
      </c>
    </row>
    <row r="151" spans="1:10" x14ac:dyDescent="0.2">
      <c r="I151" s="2">
        <f>+I149-H149</f>
        <v>8163</v>
      </c>
    </row>
  </sheetData>
  <mergeCells count="1">
    <mergeCell ref="A1:J1"/>
  </mergeCells>
  <phoneticPr fontId="0" type="noConversion"/>
  <printOptions gridLines="1"/>
  <pageMargins left="0.75" right="0.16" top="0.51" bottom="0.22" header="0.5" footer="0.5"/>
  <pageSetup scale="89" fitToHeight="16"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K366"/>
  <sheetViews>
    <sheetView view="pageBreakPreview" zoomScaleNormal="100" zoomScaleSheetLayoutView="100" workbookViewId="0">
      <pane ySplit="5" topLeftCell="A326" activePane="bottomLeft" state="frozen"/>
      <selection pane="bottomLeft" sqref="A1:J1"/>
    </sheetView>
  </sheetViews>
  <sheetFormatPr defaultColWidth="51.140625" defaultRowHeight="12.75" x14ac:dyDescent="0.2"/>
  <cols>
    <col min="1" max="1" width="51.140625" style="220" customWidth="1"/>
    <col min="2" max="6" width="10.85546875" style="220" customWidth="1"/>
    <col min="7" max="7" width="11.7109375" style="220" bestFit="1" customWidth="1"/>
    <col min="8" max="8" width="13.5703125" style="220" bestFit="1" customWidth="1"/>
    <col min="9" max="9" width="11.28515625" style="220" bestFit="1" customWidth="1"/>
    <col min="10" max="10" width="10.85546875" style="220" customWidth="1"/>
    <col min="11" max="73" width="12.7109375" style="220" customWidth="1"/>
    <col min="74" max="16384" width="51.140625" style="220"/>
  </cols>
  <sheetData>
    <row r="1" spans="1:10" x14ac:dyDescent="0.2">
      <c r="A1" s="261" t="s">
        <v>1965</v>
      </c>
      <c r="B1" s="262"/>
      <c r="C1" s="262"/>
      <c r="D1" s="262"/>
      <c r="E1" s="262"/>
      <c r="F1" s="262"/>
      <c r="G1" s="262"/>
      <c r="H1" s="262"/>
      <c r="I1" s="262"/>
      <c r="J1" s="262"/>
    </row>
    <row r="2" spans="1:10" ht="18.75" x14ac:dyDescent="0.3">
      <c r="A2" s="107" t="s">
        <v>1632</v>
      </c>
      <c r="B2" s="107"/>
      <c r="C2" s="107"/>
      <c r="D2" s="107"/>
      <c r="E2" s="107"/>
      <c r="F2" s="107"/>
    </row>
    <row r="3" spans="1:10" x14ac:dyDescent="0.2">
      <c r="B3" s="2"/>
      <c r="C3" s="2"/>
      <c r="D3" s="2"/>
      <c r="E3" s="2"/>
      <c r="F3" s="2"/>
    </row>
    <row r="4" spans="1:10" x14ac:dyDescent="0.2">
      <c r="B4" s="2"/>
      <c r="C4" s="2"/>
      <c r="D4" s="2"/>
      <c r="E4" s="15" t="s">
        <v>207</v>
      </c>
      <c r="F4" s="15" t="s">
        <v>208</v>
      </c>
      <c r="G4" s="15" t="s">
        <v>63</v>
      </c>
      <c r="H4" s="15" t="s">
        <v>362</v>
      </c>
      <c r="I4" s="15" t="s">
        <v>274</v>
      </c>
      <c r="J4" s="15" t="s">
        <v>305</v>
      </c>
    </row>
    <row r="5" spans="1:10" ht="15" x14ac:dyDescent="0.35">
      <c r="B5" s="2"/>
      <c r="C5" s="2"/>
      <c r="D5" s="2"/>
      <c r="E5" s="221" t="s">
        <v>1759</v>
      </c>
      <c r="F5" s="221" t="s">
        <v>1857</v>
      </c>
      <c r="G5" s="221" t="s">
        <v>1966</v>
      </c>
      <c r="H5" s="221" t="s">
        <v>1966</v>
      </c>
      <c r="I5" s="221" t="s">
        <v>1966</v>
      </c>
      <c r="J5" s="221" t="s">
        <v>1966</v>
      </c>
    </row>
    <row r="6" spans="1:10" ht="13.5" x14ac:dyDescent="0.25">
      <c r="A6" s="225" t="s">
        <v>669</v>
      </c>
      <c r="B6" s="2"/>
      <c r="C6" s="2"/>
      <c r="D6" s="2"/>
      <c r="E6" s="2">
        <v>40914</v>
      </c>
      <c r="F6" s="2">
        <v>41756</v>
      </c>
      <c r="G6" s="2">
        <v>43407</v>
      </c>
      <c r="H6" s="2">
        <v>43407</v>
      </c>
      <c r="I6" s="2">
        <v>43407</v>
      </c>
      <c r="J6" s="2">
        <v>43407</v>
      </c>
    </row>
    <row r="7" spans="1:10" x14ac:dyDescent="0.2">
      <c r="A7" s="220" t="s">
        <v>351</v>
      </c>
      <c r="B7" s="2">
        <v>52</v>
      </c>
      <c r="C7" s="2">
        <v>819</v>
      </c>
      <c r="D7" s="2">
        <f>ROUND(B7*C7,0)</f>
        <v>42588</v>
      </c>
      <c r="E7" s="2"/>
      <c r="F7" s="2"/>
      <c r="G7" s="2"/>
      <c r="H7" s="2"/>
      <c r="I7" s="2"/>
      <c r="J7" s="2"/>
    </row>
    <row r="8" spans="1:10" ht="15" x14ac:dyDescent="0.35">
      <c r="A8" s="2" t="s">
        <v>2139</v>
      </c>
      <c r="B8" s="2">
        <v>1</v>
      </c>
      <c r="C8" s="2">
        <v>819</v>
      </c>
      <c r="D8" s="10">
        <f>ROUND(B8*C8,0)</f>
        <v>819</v>
      </c>
      <c r="E8" s="2"/>
      <c r="F8" s="2"/>
      <c r="G8" s="2"/>
      <c r="H8" s="2"/>
      <c r="I8" s="2"/>
      <c r="J8" s="2"/>
    </row>
    <row r="9" spans="1:10" x14ac:dyDescent="0.2">
      <c r="A9" s="220" t="s">
        <v>1086</v>
      </c>
      <c r="B9" s="2"/>
      <c r="C9" s="2"/>
      <c r="D9" s="2">
        <f>SUM(D7:D8)</f>
        <v>43407</v>
      </c>
      <c r="E9" s="2"/>
      <c r="F9" s="2"/>
      <c r="G9" s="2"/>
      <c r="H9" s="2"/>
      <c r="I9" s="2"/>
      <c r="J9" s="2"/>
    </row>
    <row r="10" spans="1:10" x14ac:dyDescent="0.2">
      <c r="B10" s="2"/>
      <c r="C10" s="2"/>
      <c r="D10" s="2"/>
      <c r="E10" s="2"/>
      <c r="F10" s="2"/>
      <c r="G10" s="2"/>
      <c r="H10" s="2"/>
      <c r="I10" s="2"/>
      <c r="J10" s="2"/>
    </row>
    <row r="11" spans="1:10" ht="13.5" x14ac:dyDescent="0.25">
      <c r="A11" s="225" t="s">
        <v>1178</v>
      </c>
      <c r="B11" s="2"/>
      <c r="C11" s="2"/>
      <c r="D11" s="2"/>
      <c r="E11" s="2">
        <v>209821</v>
      </c>
      <c r="F11" s="2">
        <v>238887</v>
      </c>
      <c r="G11" s="2">
        <v>275602</v>
      </c>
      <c r="H11" s="2">
        <v>275602</v>
      </c>
      <c r="I11" s="2">
        <v>277298</v>
      </c>
      <c r="J11" s="2">
        <v>277298</v>
      </c>
    </row>
    <row r="12" spans="1:10" x14ac:dyDescent="0.2">
      <c r="A12" s="220" t="s">
        <v>209</v>
      </c>
      <c r="B12" s="2">
        <v>52</v>
      </c>
      <c r="C12" s="2">
        <v>1635</v>
      </c>
      <c r="D12" s="2">
        <f>ROUND(B12*C12,0)</f>
        <v>85020</v>
      </c>
      <c r="E12" s="2"/>
      <c r="F12" s="2"/>
      <c r="G12" s="2"/>
      <c r="H12" s="2"/>
      <c r="I12" s="2"/>
      <c r="J12" s="2"/>
    </row>
    <row r="13" spans="1:10" x14ac:dyDescent="0.2">
      <c r="A13" s="220" t="s">
        <v>1026</v>
      </c>
      <c r="B13" s="2">
        <v>52</v>
      </c>
      <c r="C13" s="2">
        <v>1189</v>
      </c>
      <c r="D13" s="2">
        <f>ROUND(B13*C13,0)</f>
        <v>61828</v>
      </c>
      <c r="E13" s="2"/>
      <c r="F13" s="2"/>
      <c r="G13" s="2"/>
      <c r="H13" s="2"/>
      <c r="I13" s="2"/>
      <c r="J13" s="2"/>
    </row>
    <row r="14" spans="1:10" x14ac:dyDescent="0.2">
      <c r="A14" s="220" t="s">
        <v>210</v>
      </c>
      <c r="B14" s="2">
        <v>52</v>
      </c>
      <c r="C14" s="2">
        <v>1197</v>
      </c>
      <c r="D14" s="2">
        <f>ROUND(B14*C14,0)</f>
        <v>62244</v>
      </c>
      <c r="E14" s="2"/>
      <c r="F14" s="2"/>
      <c r="G14" s="2"/>
      <c r="H14" s="2"/>
      <c r="I14" s="2"/>
      <c r="J14" s="2"/>
    </row>
    <row r="15" spans="1:10" x14ac:dyDescent="0.2">
      <c r="A15" s="220" t="s">
        <v>1970</v>
      </c>
      <c r="B15" s="2">
        <v>52</v>
      </c>
      <c r="C15" s="2">
        <v>1058</v>
      </c>
      <c r="D15" s="2">
        <f>ROUND(B15*C15,0)</f>
        <v>55016</v>
      </c>
      <c r="E15" s="2"/>
      <c r="F15" s="2"/>
      <c r="G15" s="2"/>
      <c r="H15" s="2"/>
      <c r="I15" s="2"/>
      <c r="J15" s="2"/>
    </row>
    <row r="16" spans="1:10" x14ac:dyDescent="0.2">
      <c r="A16" s="220" t="s">
        <v>628</v>
      </c>
      <c r="B16" s="2">
        <v>112</v>
      </c>
      <c r="C16" s="11">
        <f>AVERAGE(C13:C15)/40*1.5</f>
        <v>43.05</v>
      </c>
      <c r="D16" s="2">
        <f>+C16*B16</f>
        <v>4821.5999999999995</v>
      </c>
      <c r="E16" s="2"/>
      <c r="F16" s="2"/>
      <c r="G16" s="2"/>
      <c r="H16" s="2"/>
      <c r="I16" s="2"/>
      <c r="J16" s="2"/>
    </row>
    <row r="17" spans="1:10" x14ac:dyDescent="0.2">
      <c r="A17" s="2" t="s">
        <v>2139</v>
      </c>
      <c r="B17" s="2">
        <v>1</v>
      </c>
      <c r="C17" s="2">
        <f>SUM(C12:C15)</f>
        <v>5079</v>
      </c>
      <c r="D17" s="2">
        <f>ROUND(B17*C17,0)</f>
        <v>5079</v>
      </c>
      <c r="E17" s="2"/>
      <c r="F17" s="2"/>
      <c r="G17" s="2"/>
      <c r="H17" s="2"/>
      <c r="I17" s="2"/>
      <c r="J17" s="2"/>
    </row>
    <row r="18" spans="1:10" ht="15" x14ac:dyDescent="0.35">
      <c r="A18" s="220" t="s">
        <v>833</v>
      </c>
      <c r="B18" s="2"/>
      <c r="C18" s="2"/>
      <c r="D18" s="10">
        <v>3289</v>
      </c>
      <c r="E18" s="2"/>
      <c r="F18" s="2"/>
      <c r="G18" s="2"/>
      <c r="H18" s="2"/>
      <c r="I18" s="2"/>
      <c r="J18" s="2"/>
    </row>
    <row r="19" spans="1:10" x14ac:dyDescent="0.2">
      <c r="A19" s="220" t="s">
        <v>1086</v>
      </c>
      <c r="B19" s="2"/>
      <c r="C19" s="2"/>
      <c r="D19" s="2">
        <f>SUM(D12:D18)</f>
        <v>277297.59999999998</v>
      </c>
      <c r="E19" s="2"/>
      <c r="F19" s="2"/>
      <c r="G19" s="2"/>
      <c r="H19" s="2"/>
      <c r="I19" s="2"/>
      <c r="J19" s="2"/>
    </row>
    <row r="20" spans="1:10" x14ac:dyDescent="0.2">
      <c r="B20" s="2"/>
      <c r="C20" s="2"/>
      <c r="D20" s="2"/>
      <c r="E20" s="2"/>
      <c r="F20" s="2"/>
      <c r="G20" s="2"/>
      <c r="H20" s="2"/>
      <c r="I20" s="2"/>
      <c r="J20" s="2"/>
    </row>
    <row r="21" spans="1:10" ht="13.5" x14ac:dyDescent="0.25">
      <c r="A21" s="225" t="s">
        <v>619</v>
      </c>
      <c r="B21" s="2"/>
      <c r="C21" s="2"/>
      <c r="D21" s="2"/>
      <c r="E21" s="2">
        <v>769779</v>
      </c>
      <c r="F21" s="2">
        <v>802628</v>
      </c>
      <c r="G21" s="2">
        <v>844343</v>
      </c>
      <c r="H21" s="2">
        <v>844343</v>
      </c>
      <c r="I21" s="2">
        <v>844343</v>
      </c>
      <c r="J21" s="2">
        <v>844343</v>
      </c>
    </row>
    <row r="22" spans="1:10" x14ac:dyDescent="0.2">
      <c r="A22" s="139" t="s">
        <v>1854</v>
      </c>
      <c r="B22" s="2">
        <v>52</v>
      </c>
      <c r="C22" s="118">
        <v>932</v>
      </c>
      <c r="D22" s="2">
        <f t="shared" ref="D22:D33" si="0">+C22*B22</f>
        <v>48464</v>
      </c>
      <c r="E22" s="2"/>
      <c r="F22" s="2"/>
      <c r="G22" s="2"/>
      <c r="H22" s="2"/>
      <c r="I22" s="2"/>
      <c r="J22" s="2"/>
    </row>
    <row r="23" spans="1:10" x14ac:dyDescent="0.2">
      <c r="A23" s="139" t="s">
        <v>1854</v>
      </c>
      <c r="B23" s="2">
        <v>52</v>
      </c>
      <c r="C23" s="118">
        <v>846</v>
      </c>
      <c r="D23" s="2">
        <f t="shared" si="0"/>
        <v>43992</v>
      </c>
      <c r="E23" s="2"/>
      <c r="F23" s="2"/>
      <c r="G23" s="2"/>
      <c r="H23" s="2"/>
      <c r="I23" s="2"/>
      <c r="J23" s="2"/>
    </row>
    <row r="24" spans="1:10" x14ac:dyDescent="0.2">
      <c r="A24" s="139" t="s">
        <v>1854</v>
      </c>
      <c r="B24" s="2">
        <v>52</v>
      </c>
      <c r="C24" s="118">
        <v>884</v>
      </c>
      <c r="D24" s="2">
        <f t="shared" si="0"/>
        <v>45968</v>
      </c>
      <c r="E24" s="2"/>
      <c r="F24" s="2"/>
      <c r="G24" s="2"/>
      <c r="H24" s="2"/>
      <c r="I24" s="2"/>
      <c r="J24" s="2"/>
    </row>
    <row r="25" spans="1:10" x14ac:dyDescent="0.2">
      <c r="A25" s="139" t="s">
        <v>1854</v>
      </c>
      <c r="B25" s="2">
        <v>52</v>
      </c>
      <c r="C25" s="118">
        <v>932</v>
      </c>
      <c r="D25" s="2">
        <f t="shared" si="0"/>
        <v>48464</v>
      </c>
      <c r="E25" s="2"/>
      <c r="F25" s="2"/>
      <c r="G25" s="2"/>
      <c r="H25" s="2"/>
      <c r="I25" s="2"/>
      <c r="J25" s="2"/>
    </row>
    <row r="26" spans="1:10" x14ac:dyDescent="0.2">
      <c r="A26" s="139" t="s">
        <v>1854</v>
      </c>
      <c r="B26" s="2">
        <v>52</v>
      </c>
      <c r="C26" s="118">
        <v>918</v>
      </c>
      <c r="D26" s="2">
        <f t="shared" si="0"/>
        <v>47736</v>
      </c>
      <c r="E26" s="2"/>
      <c r="F26" s="2"/>
      <c r="G26" s="2"/>
      <c r="H26" s="2"/>
      <c r="I26" s="2"/>
      <c r="J26" s="2"/>
    </row>
    <row r="27" spans="1:10" x14ac:dyDescent="0.2">
      <c r="A27" s="139" t="s">
        <v>1854</v>
      </c>
      <c r="B27" s="2">
        <v>52</v>
      </c>
      <c r="C27" s="118">
        <v>884</v>
      </c>
      <c r="D27" s="2">
        <f t="shared" si="0"/>
        <v>45968</v>
      </c>
      <c r="E27" s="2"/>
      <c r="F27" s="2"/>
      <c r="G27" s="2"/>
      <c r="H27" s="2"/>
      <c r="I27" s="2"/>
      <c r="J27" s="2"/>
    </row>
    <row r="28" spans="1:10" x14ac:dyDescent="0.2">
      <c r="A28" s="139" t="s">
        <v>1854</v>
      </c>
      <c r="B28" s="2">
        <v>52</v>
      </c>
      <c r="C28" s="118">
        <v>932</v>
      </c>
      <c r="D28" s="2">
        <f t="shared" si="0"/>
        <v>48464</v>
      </c>
      <c r="E28" s="2"/>
      <c r="F28" s="2"/>
      <c r="G28" s="2"/>
      <c r="H28" s="2"/>
      <c r="I28" s="2"/>
      <c r="J28" s="2"/>
    </row>
    <row r="29" spans="1:10" x14ac:dyDescent="0.2">
      <c r="A29" s="139" t="s">
        <v>1854</v>
      </c>
      <c r="B29" s="2">
        <v>52</v>
      </c>
      <c r="C29" s="118">
        <v>846</v>
      </c>
      <c r="D29" s="2">
        <f t="shared" si="0"/>
        <v>43992</v>
      </c>
      <c r="E29" s="2"/>
      <c r="F29" s="2"/>
      <c r="G29" s="2"/>
      <c r="H29" s="2"/>
      <c r="I29" s="2"/>
      <c r="J29" s="2"/>
    </row>
    <row r="30" spans="1:10" x14ac:dyDescent="0.2">
      <c r="A30" s="139" t="s">
        <v>1854</v>
      </c>
      <c r="B30" s="2">
        <v>52</v>
      </c>
      <c r="C30" s="118">
        <v>846</v>
      </c>
      <c r="D30" s="2">
        <f t="shared" si="0"/>
        <v>43992</v>
      </c>
      <c r="E30" s="2"/>
      <c r="F30" s="2"/>
      <c r="G30" s="2"/>
      <c r="H30" s="2"/>
      <c r="I30" s="2"/>
      <c r="J30" s="2"/>
    </row>
    <row r="31" spans="1:10" x14ac:dyDescent="0.2">
      <c r="A31" s="139" t="s">
        <v>1854</v>
      </c>
      <c r="B31" s="2">
        <v>52</v>
      </c>
      <c r="C31" s="118">
        <v>932</v>
      </c>
      <c r="D31" s="2">
        <f t="shared" si="0"/>
        <v>48464</v>
      </c>
      <c r="E31" s="2"/>
      <c r="F31" s="2"/>
      <c r="G31" s="2"/>
      <c r="H31" s="2"/>
      <c r="I31" s="2"/>
      <c r="J31" s="2"/>
    </row>
    <row r="32" spans="1:10" x14ac:dyDescent="0.2">
      <c r="A32" s="139" t="s">
        <v>1854</v>
      </c>
      <c r="B32" s="2">
        <v>52</v>
      </c>
      <c r="C32" s="118">
        <v>932</v>
      </c>
      <c r="D32" s="2">
        <f t="shared" si="0"/>
        <v>48464</v>
      </c>
      <c r="E32" s="2"/>
      <c r="F32" s="2"/>
      <c r="G32" s="2"/>
      <c r="H32" s="2"/>
      <c r="I32" s="2"/>
      <c r="J32" s="2"/>
    </row>
    <row r="33" spans="1:10" x14ac:dyDescent="0.2">
      <c r="A33" s="139" t="s">
        <v>1854</v>
      </c>
      <c r="B33" s="2">
        <v>52</v>
      </c>
      <c r="C33" s="118">
        <v>932</v>
      </c>
      <c r="D33" s="2">
        <f t="shared" si="0"/>
        <v>48464</v>
      </c>
      <c r="E33" s="2"/>
      <c r="F33" s="2"/>
      <c r="G33" s="2"/>
      <c r="H33" s="2"/>
      <c r="I33" s="2"/>
      <c r="J33" s="2"/>
    </row>
    <row r="34" spans="1:10" x14ac:dyDescent="0.2">
      <c r="A34" s="139" t="s">
        <v>1855</v>
      </c>
      <c r="B34" s="2">
        <v>52</v>
      </c>
      <c r="C34" s="118">
        <v>981</v>
      </c>
      <c r="D34" s="2">
        <f t="shared" ref="D34:D39" si="1">+C34*B34</f>
        <v>51012</v>
      </c>
      <c r="E34" s="2"/>
      <c r="F34" s="2"/>
      <c r="G34" s="2"/>
      <c r="H34" s="2"/>
      <c r="I34" s="2"/>
      <c r="J34" s="2"/>
    </row>
    <row r="35" spans="1:10" x14ac:dyDescent="0.2">
      <c r="A35" s="139" t="s">
        <v>1855</v>
      </c>
      <c r="B35" s="2">
        <v>52</v>
      </c>
      <c r="C35" s="118">
        <v>910</v>
      </c>
      <c r="D35" s="2">
        <f t="shared" si="1"/>
        <v>47320</v>
      </c>
      <c r="E35" s="2"/>
      <c r="F35" s="2"/>
      <c r="G35" s="2"/>
      <c r="H35" s="2"/>
      <c r="I35" s="2"/>
      <c r="J35" s="2"/>
    </row>
    <row r="36" spans="1:10" x14ac:dyDescent="0.2">
      <c r="A36" s="139" t="s">
        <v>1196</v>
      </c>
      <c r="B36" s="2">
        <v>52</v>
      </c>
      <c r="C36" s="118">
        <v>1058</v>
      </c>
      <c r="D36" s="2">
        <f t="shared" si="1"/>
        <v>55016</v>
      </c>
      <c r="E36" s="2"/>
      <c r="F36" s="2"/>
      <c r="G36" s="2"/>
      <c r="H36" s="2"/>
      <c r="I36" s="2"/>
      <c r="J36" s="2"/>
    </row>
    <row r="37" spans="1:10" x14ac:dyDescent="0.2">
      <c r="A37" s="139" t="s">
        <v>1568</v>
      </c>
      <c r="B37" s="2">
        <v>52</v>
      </c>
      <c r="C37" s="118">
        <v>664</v>
      </c>
      <c r="D37" s="2">
        <f>+C37*B37</f>
        <v>34528</v>
      </c>
      <c r="E37" s="2"/>
      <c r="F37" s="2"/>
      <c r="G37" s="2"/>
      <c r="H37" s="2"/>
      <c r="I37" s="2"/>
      <c r="J37" s="2"/>
    </row>
    <row r="38" spans="1:10" x14ac:dyDescent="0.2">
      <c r="A38" s="139" t="s">
        <v>1568</v>
      </c>
      <c r="B38" s="2">
        <v>52</v>
      </c>
      <c r="C38" s="118">
        <v>664</v>
      </c>
      <c r="D38" s="2">
        <f t="shared" si="1"/>
        <v>34528</v>
      </c>
      <c r="E38" s="2"/>
      <c r="F38" s="2"/>
      <c r="G38" s="2"/>
      <c r="H38" s="2"/>
      <c r="I38" s="2"/>
      <c r="J38" s="2"/>
    </row>
    <row r="39" spans="1:10" x14ac:dyDescent="0.2">
      <c r="A39" s="139" t="s">
        <v>1568</v>
      </c>
      <c r="B39" s="2">
        <v>52</v>
      </c>
      <c r="C39" s="118">
        <v>674</v>
      </c>
      <c r="D39" s="2">
        <f t="shared" si="1"/>
        <v>35048</v>
      </c>
      <c r="E39" s="2"/>
      <c r="F39" s="2"/>
      <c r="G39" s="2"/>
      <c r="H39" s="2"/>
      <c r="I39" s="2"/>
      <c r="J39" s="2"/>
    </row>
    <row r="40" spans="1:10" x14ac:dyDescent="0.2">
      <c r="A40" s="119" t="s">
        <v>1555</v>
      </c>
      <c r="B40" s="2"/>
      <c r="C40" s="2"/>
      <c r="D40" s="25">
        <v>3325</v>
      </c>
      <c r="E40" s="2"/>
      <c r="F40" s="2"/>
      <c r="G40" s="2"/>
      <c r="H40" s="2"/>
      <c r="I40" s="2"/>
      <c r="J40" s="2"/>
    </row>
    <row r="41" spans="1:10" x14ac:dyDescent="0.2">
      <c r="A41" s="2" t="s">
        <v>2139</v>
      </c>
      <c r="B41" s="2">
        <v>1</v>
      </c>
      <c r="C41" s="2">
        <f>SUM(C22:C39)</f>
        <v>15767</v>
      </c>
      <c r="D41" s="2">
        <f>ROUND(B41*C41,0)</f>
        <v>15767</v>
      </c>
      <c r="E41" s="2"/>
      <c r="F41" s="2"/>
      <c r="G41" s="2"/>
      <c r="H41" s="2"/>
      <c r="I41" s="2"/>
      <c r="J41" s="2"/>
    </row>
    <row r="42" spans="1:10" ht="15" x14ac:dyDescent="0.35">
      <c r="A42" s="220" t="s">
        <v>833</v>
      </c>
      <c r="B42" s="2" t="s">
        <v>349</v>
      </c>
      <c r="C42" s="11" t="s">
        <v>732</v>
      </c>
      <c r="D42" s="10">
        <f>-33+5400</f>
        <v>5367</v>
      </c>
      <c r="E42" s="2"/>
      <c r="F42" s="2"/>
      <c r="G42" s="2"/>
      <c r="H42" s="2"/>
      <c r="I42" s="2"/>
      <c r="J42" s="2"/>
    </row>
    <row r="43" spans="1:10" x14ac:dyDescent="0.2">
      <c r="A43" s="220" t="s">
        <v>1086</v>
      </c>
      <c r="D43" s="2">
        <f>SUM(D22:D42)</f>
        <v>844343</v>
      </c>
      <c r="E43" s="2"/>
      <c r="F43" s="2"/>
      <c r="G43" s="2"/>
      <c r="H43" s="2"/>
      <c r="I43" s="2"/>
      <c r="J43" s="2"/>
    </row>
    <row r="44" spans="1:10" x14ac:dyDescent="0.2">
      <c r="D44" s="2"/>
      <c r="E44" s="2"/>
      <c r="F44" s="2"/>
      <c r="G44" s="2"/>
      <c r="H44" s="2"/>
      <c r="I44" s="2"/>
      <c r="J44" s="2"/>
    </row>
    <row r="45" spans="1:10" ht="13.5" x14ac:dyDescent="0.25">
      <c r="A45" s="225" t="s">
        <v>481</v>
      </c>
      <c r="B45" s="5"/>
      <c r="C45" s="5"/>
      <c r="D45" s="2" t="s">
        <v>349</v>
      </c>
      <c r="E45" s="2">
        <v>18652</v>
      </c>
      <c r="F45" s="2">
        <v>30000</v>
      </c>
      <c r="G45" s="2">
        <v>30000</v>
      </c>
      <c r="H45" s="2">
        <v>30000</v>
      </c>
      <c r="I45" s="2">
        <v>30000</v>
      </c>
      <c r="J45" s="2">
        <v>30000</v>
      </c>
    </row>
    <row r="46" spans="1:10" x14ac:dyDescent="0.2">
      <c r="A46" s="5" t="s">
        <v>449</v>
      </c>
      <c r="B46" s="2"/>
      <c r="C46" s="11"/>
      <c r="D46" s="2"/>
      <c r="E46" s="2"/>
      <c r="F46" s="2"/>
      <c r="G46" s="2"/>
      <c r="H46" s="2"/>
      <c r="I46" s="2"/>
      <c r="J46" s="2"/>
    </row>
    <row r="47" spans="1:10" x14ac:dyDescent="0.2">
      <c r="A47" s="220" t="s">
        <v>452</v>
      </c>
      <c r="B47" s="2" t="s">
        <v>349</v>
      </c>
      <c r="C47" s="11"/>
      <c r="D47" s="2">
        <v>7000</v>
      </c>
      <c r="E47" s="2"/>
      <c r="F47" s="2"/>
      <c r="G47" s="2"/>
      <c r="H47" s="2"/>
      <c r="I47" s="2"/>
      <c r="J47" s="2"/>
    </row>
    <row r="48" spans="1:10" x14ac:dyDescent="0.2">
      <c r="A48" s="220" t="s">
        <v>450</v>
      </c>
      <c r="B48" s="2"/>
      <c r="C48" s="11"/>
      <c r="D48" s="2"/>
      <c r="E48" s="2"/>
      <c r="F48" s="2"/>
      <c r="G48" s="2"/>
      <c r="H48" s="2"/>
      <c r="I48" s="2"/>
      <c r="J48" s="2"/>
    </row>
    <row r="49" spans="1:10" ht="15" x14ac:dyDescent="0.35">
      <c r="A49" s="220" t="s">
        <v>451</v>
      </c>
      <c r="B49" s="2"/>
      <c r="C49" s="11"/>
      <c r="D49" s="10">
        <v>23000</v>
      </c>
      <c r="E49" s="2"/>
      <c r="F49" s="2"/>
      <c r="G49" s="2"/>
      <c r="H49" s="2"/>
      <c r="I49" s="2"/>
      <c r="J49" s="2"/>
    </row>
    <row r="50" spans="1:10" x14ac:dyDescent="0.2">
      <c r="A50" s="220" t="s">
        <v>1086</v>
      </c>
      <c r="B50" s="2"/>
      <c r="C50" s="11"/>
      <c r="D50" s="2">
        <f>SUM(D46:D49)</f>
        <v>30000</v>
      </c>
      <c r="E50" s="2"/>
      <c r="F50" s="2"/>
      <c r="G50" s="2"/>
      <c r="H50" s="2"/>
      <c r="I50" s="2"/>
      <c r="J50" s="2"/>
    </row>
    <row r="51" spans="1:10" x14ac:dyDescent="0.2">
      <c r="D51" s="2"/>
      <c r="E51" s="2"/>
      <c r="F51" s="2"/>
      <c r="G51" s="2"/>
      <c r="H51" s="2"/>
      <c r="I51" s="2"/>
      <c r="J51" s="2"/>
    </row>
    <row r="52" spans="1:10" ht="13.5" x14ac:dyDescent="0.25">
      <c r="A52" s="225" t="s">
        <v>657</v>
      </c>
      <c r="D52" s="2"/>
      <c r="E52" s="2">
        <v>12473</v>
      </c>
      <c r="F52" s="2">
        <v>24960</v>
      </c>
      <c r="G52" s="2">
        <v>25920</v>
      </c>
      <c r="H52" s="2">
        <v>25920</v>
      </c>
      <c r="I52" s="2">
        <v>25920</v>
      </c>
      <c r="J52" s="2">
        <v>25920</v>
      </c>
    </row>
    <row r="53" spans="1:10" x14ac:dyDescent="0.2">
      <c r="A53" s="220" t="s">
        <v>1365</v>
      </c>
      <c r="B53" s="25">
        <v>1920</v>
      </c>
      <c r="C53" s="149">
        <v>13.5</v>
      </c>
      <c r="D53" s="25">
        <f>ROUND(B53*C53,0)</f>
        <v>25920</v>
      </c>
      <c r="E53" s="2"/>
      <c r="F53" s="2"/>
      <c r="G53" s="2"/>
      <c r="H53" s="2"/>
      <c r="I53" s="2"/>
      <c r="J53" s="2"/>
    </row>
    <row r="54" spans="1:10" x14ac:dyDescent="0.2">
      <c r="A54" s="220" t="s">
        <v>349</v>
      </c>
      <c r="D54" s="2" t="s">
        <v>349</v>
      </c>
      <c r="E54" s="2"/>
      <c r="F54" s="2"/>
      <c r="G54" s="2"/>
      <c r="H54" s="2"/>
      <c r="I54" s="2"/>
      <c r="J54" s="2"/>
    </row>
    <row r="55" spans="1:10" ht="13.5" x14ac:dyDescent="0.25">
      <c r="A55" s="225" t="s">
        <v>665</v>
      </c>
      <c r="D55" s="7" t="s">
        <v>349</v>
      </c>
      <c r="E55" s="2">
        <v>73414</v>
      </c>
      <c r="F55" s="2">
        <v>81500</v>
      </c>
      <c r="G55" s="2">
        <v>81500</v>
      </c>
      <c r="H55" s="2">
        <v>81500</v>
      </c>
      <c r="I55" s="2">
        <v>81500</v>
      </c>
      <c r="J55" s="2">
        <v>81500</v>
      </c>
    </row>
    <row r="56" spans="1:10" x14ac:dyDescent="0.2">
      <c r="A56" s="220" t="s">
        <v>450</v>
      </c>
      <c r="B56" s="2" t="s">
        <v>349</v>
      </c>
      <c r="D56" s="2" t="s">
        <v>349</v>
      </c>
      <c r="E56" s="2"/>
      <c r="F56" s="2"/>
      <c r="G56" s="2"/>
      <c r="H56" s="2"/>
      <c r="I56" s="2"/>
      <c r="J56" s="2"/>
    </row>
    <row r="57" spans="1:10" x14ac:dyDescent="0.2">
      <c r="A57" s="220" t="s">
        <v>451</v>
      </c>
      <c r="B57" s="2"/>
      <c r="D57" s="2">
        <v>76500</v>
      </c>
      <c r="E57" s="2"/>
      <c r="F57" s="2"/>
      <c r="G57" s="2"/>
      <c r="H57" s="2"/>
      <c r="I57" s="2"/>
      <c r="J57" s="2"/>
    </row>
    <row r="58" spans="1:10" x14ac:dyDescent="0.2">
      <c r="A58" s="5" t="s">
        <v>449</v>
      </c>
      <c r="B58" s="2"/>
      <c r="D58" s="2"/>
      <c r="E58" s="2"/>
      <c r="F58" s="2"/>
      <c r="G58" s="2"/>
      <c r="H58" s="2"/>
      <c r="I58" s="2"/>
      <c r="J58" s="2"/>
    </row>
    <row r="59" spans="1:10" ht="15" x14ac:dyDescent="0.35">
      <c r="A59" s="220" t="s">
        <v>452</v>
      </c>
      <c r="B59" s="2"/>
      <c r="D59" s="10">
        <v>5000</v>
      </c>
      <c r="E59" s="2"/>
      <c r="F59" s="2"/>
      <c r="G59" s="2"/>
      <c r="H59" s="2"/>
      <c r="I59" s="2"/>
      <c r="J59" s="2"/>
    </row>
    <row r="60" spans="1:10" x14ac:dyDescent="0.2">
      <c r="A60" s="220" t="s">
        <v>1086</v>
      </c>
      <c r="B60" s="2"/>
      <c r="D60" s="2">
        <f>SUM(D56:D59)</f>
        <v>81500</v>
      </c>
      <c r="E60" s="2"/>
      <c r="F60" s="2"/>
      <c r="G60" s="2"/>
      <c r="H60" s="2"/>
      <c r="I60" s="2"/>
      <c r="J60" s="2"/>
    </row>
    <row r="61" spans="1:10" ht="16.899999999999999" customHeight="1" x14ac:dyDescent="0.2">
      <c r="B61" s="2" t="s">
        <v>349</v>
      </c>
      <c r="C61" s="11" t="s">
        <v>349</v>
      </c>
      <c r="D61" s="2" t="s">
        <v>349</v>
      </c>
      <c r="E61" s="2"/>
      <c r="F61" s="2"/>
      <c r="G61" s="2"/>
      <c r="H61" s="2"/>
      <c r="I61" s="2"/>
      <c r="J61" s="2"/>
    </row>
    <row r="62" spans="1:10" ht="13.5" x14ac:dyDescent="0.25">
      <c r="A62" s="225" t="s">
        <v>862</v>
      </c>
      <c r="B62" s="2"/>
      <c r="C62" s="11"/>
      <c r="D62" s="2"/>
      <c r="E62" s="2">
        <v>87197</v>
      </c>
      <c r="F62" s="2">
        <v>93309</v>
      </c>
      <c r="G62" s="2">
        <v>99374</v>
      </c>
      <c r="H62" s="2">
        <v>99447</v>
      </c>
      <c r="I62" s="2">
        <v>99576</v>
      </c>
      <c r="J62" s="2">
        <v>99576</v>
      </c>
    </row>
    <row r="63" spans="1:10" hidden="1" x14ac:dyDescent="0.2">
      <c r="A63" s="12" t="s">
        <v>770</v>
      </c>
      <c r="B63" s="2">
        <f>+D7</f>
        <v>42588</v>
      </c>
      <c r="C63" s="13">
        <v>7.6499999999999999E-2</v>
      </c>
      <c r="D63" s="2">
        <f t="shared" ref="D63:D68" si="2">ROUND(B63*C63,0)</f>
        <v>3258</v>
      </c>
      <c r="E63" s="2"/>
      <c r="F63" s="2"/>
      <c r="G63" s="2"/>
      <c r="H63" s="2"/>
      <c r="I63" s="2"/>
      <c r="J63" s="2"/>
    </row>
    <row r="64" spans="1:10" hidden="1" x14ac:dyDescent="0.2">
      <c r="A64" s="12" t="s">
        <v>1290</v>
      </c>
      <c r="B64" s="2">
        <f>+D19</f>
        <v>277297.59999999998</v>
      </c>
      <c r="C64" s="13">
        <v>7.6499999999999999E-2</v>
      </c>
      <c r="D64" s="2">
        <f t="shared" si="2"/>
        <v>21213</v>
      </c>
      <c r="E64" s="2"/>
      <c r="F64" s="2"/>
      <c r="G64" s="2"/>
      <c r="H64" s="2"/>
      <c r="I64" s="2"/>
      <c r="J64" s="2"/>
    </row>
    <row r="65" spans="1:10" hidden="1" x14ac:dyDescent="0.2">
      <c r="A65" s="12" t="s">
        <v>695</v>
      </c>
      <c r="B65" s="2">
        <f>+D43</f>
        <v>844343</v>
      </c>
      <c r="C65" s="13">
        <v>7.6499999999999999E-2</v>
      </c>
      <c r="D65" s="2">
        <f t="shared" si="2"/>
        <v>64592</v>
      </c>
      <c r="E65" s="2"/>
      <c r="F65" s="2"/>
      <c r="G65" s="2"/>
      <c r="H65" s="2"/>
      <c r="I65" s="2"/>
      <c r="J65" s="2"/>
    </row>
    <row r="66" spans="1:10" hidden="1" x14ac:dyDescent="0.2">
      <c r="A66" s="12" t="s">
        <v>771</v>
      </c>
      <c r="B66" s="2">
        <f>+D50</f>
        <v>30000</v>
      </c>
      <c r="C66" s="13">
        <v>7.6499999999999999E-2</v>
      </c>
      <c r="D66" s="2">
        <f t="shared" si="2"/>
        <v>2295</v>
      </c>
      <c r="E66" s="2"/>
      <c r="F66" s="2"/>
      <c r="G66" s="2"/>
      <c r="H66" s="2"/>
      <c r="I66" s="2"/>
      <c r="J66" s="2"/>
    </row>
    <row r="67" spans="1:10" hidden="1" x14ac:dyDescent="0.2">
      <c r="A67" s="12" t="s">
        <v>158</v>
      </c>
      <c r="B67" s="2">
        <f>+D53</f>
        <v>25920</v>
      </c>
      <c r="C67" s="13">
        <v>7.6499999999999999E-2</v>
      </c>
      <c r="D67" s="2">
        <f t="shared" si="2"/>
        <v>1983</v>
      </c>
      <c r="E67" s="2"/>
      <c r="F67" s="2"/>
      <c r="G67" s="2"/>
      <c r="H67" s="2"/>
      <c r="I67" s="2"/>
      <c r="J67" s="2"/>
    </row>
    <row r="68" spans="1:10" ht="15" hidden="1" x14ac:dyDescent="0.35">
      <c r="A68" s="12" t="s">
        <v>159</v>
      </c>
      <c r="B68" s="2">
        <f>+D60</f>
        <v>81500</v>
      </c>
      <c r="C68" s="13">
        <v>7.6499999999999999E-2</v>
      </c>
      <c r="D68" s="10">
        <f t="shared" si="2"/>
        <v>6235</v>
      </c>
      <c r="E68" s="2"/>
      <c r="F68" s="2"/>
      <c r="G68" s="2"/>
      <c r="H68" s="2"/>
      <c r="I68" s="2"/>
      <c r="J68" s="2"/>
    </row>
    <row r="69" spans="1:10" hidden="1" x14ac:dyDescent="0.2">
      <c r="A69" s="220" t="s">
        <v>1086</v>
      </c>
      <c r="D69" s="2">
        <f>SUM(D63:D68)</f>
        <v>99576</v>
      </c>
      <c r="E69" s="2"/>
      <c r="F69" s="2"/>
      <c r="G69" s="2"/>
      <c r="H69" s="2"/>
      <c r="I69" s="2"/>
      <c r="J69" s="2"/>
    </row>
    <row r="70" spans="1:10" x14ac:dyDescent="0.2">
      <c r="D70" s="2"/>
      <c r="E70" s="2"/>
      <c r="F70" s="2"/>
      <c r="G70" s="2"/>
      <c r="H70" s="2"/>
      <c r="I70" s="2"/>
      <c r="J70" s="2"/>
    </row>
    <row r="71" spans="1:10" ht="13.5" x14ac:dyDescent="0.25">
      <c r="A71" s="14" t="s">
        <v>1241</v>
      </c>
      <c r="D71" s="2"/>
      <c r="E71" s="2">
        <v>123736</v>
      </c>
      <c r="F71" s="2">
        <v>133457</v>
      </c>
      <c r="G71" s="2">
        <v>178996</v>
      </c>
      <c r="H71" s="2">
        <v>179130</v>
      </c>
      <c r="I71" s="2">
        <v>179368</v>
      </c>
      <c r="J71" s="2">
        <v>179368</v>
      </c>
    </row>
    <row r="72" spans="1:10" hidden="1" x14ac:dyDescent="0.2">
      <c r="A72" s="12" t="s">
        <v>770</v>
      </c>
      <c r="B72" s="2">
        <f>+B63</f>
        <v>42588</v>
      </c>
      <c r="C72" s="228">
        <v>0.1406</v>
      </c>
      <c r="D72" s="2">
        <f>ROUND(B72*C72,0)</f>
        <v>5988</v>
      </c>
      <c r="E72" s="2"/>
      <c r="F72" s="2"/>
      <c r="G72" s="2"/>
      <c r="H72" s="2"/>
      <c r="I72" s="2"/>
      <c r="J72" s="2"/>
    </row>
    <row r="73" spans="1:10" hidden="1" x14ac:dyDescent="0.2">
      <c r="A73" s="22">
        <v>8103</v>
      </c>
      <c r="B73" s="2">
        <f>+D19</f>
        <v>277297.59999999998</v>
      </c>
      <c r="C73" s="228">
        <v>0.1406</v>
      </c>
      <c r="D73" s="2">
        <f>ROUND(B73*C73,0)</f>
        <v>38988</v>
      </c>
      <c r="E73" s="2"/>
      <c r="F73" s="2"/>
      <c r="G73" s="2"/>
      <c r="H73" s="2"/>
      <c r="I73" s="2"/>
      <c r="J73" s="2"/>
    </row>
    <row r="74" spans="1:10" hidden="1" x14ac:dyDescent="0.2">
      <c r="A74" s="12" t="s">
        <v>695</v>
      </c>
      <c r="B74" s="2">
        <f>+D43</f>
        <v>844343</v>
      </c>
      <c r="C74" s="228">
        <v>0.1406</v>
      </c>
      <c r="D74" s="2">
        <f>ROUND(B74*C74,0)</f>
        <v>118715</v>
      </c>
      <c r="E74" s="2"/>
      <c r="F74" s="2"/>
      <c r="G74" s="2"/>
      <c r="H74" s="2"/>
      <c r="I74" s="2"/>
      <c r="J74" s="2"/>
    </row>
    <row r="75" spans="1:10" hidden="1" x14ac:dyDescent="0.2">
      <c r="A75" s="12" t="s">
        <v>771</v>
      </c>
      <c r="B75" s="2">
        <f>+B66</f>
        <v>30000</v>
      </c>
      <c r="C75" s="228">
        <v>0.1406</v>
      </c>
      <c r="D75" s="2">
        <f>ROUND(B75*C75,0)</f>
        <v>4218</v>
      </c>
      <c r="E75" s="2"/>
      <c r="F75" s="2"/>
      <c r="G75" s="2"/>
      <c r="H75" s="2"/>
      <c r="I75" s="2"/>
      <c r="J75" s="2"/>
    </row>
    <row r="76" spans="1:10" ht="15" hidden="1" x14ac:dyDescent="0.35">
      <c r="A76" s="12" t="s">
        <v>159</v>
      </c>
      <c r="B76" s="2">
        <f>+D60</f>
        <v>81500</v>
      </c>
      <c r="C76" s="228">
        <v>0.1406</v>
      </c>
      <c r="D76" s="10">
        <f>ROUND(B76*C76,0)</f>
        <v>11459</v>
      </c>
      <c r="E76" s="2"/>
      <c r="F76" s="2"/>
      <c r="G76" s="2"/>
      <c r="H76" s="2"/>
      <c r="I76" s="2"/>
      <c r="J76" s="2"/>
    </row>
    <row r="77" spans="1:10" hidden="1" x14ac:dyDescent="0.2">
      <c r="A77" s="220" t="s">
        <v>1086</v>
      </c>
      <c r="D77" s="2">
        <f>SUM(D72:D76)</f>
        <v>179368</v>
      </c>
      <c r="E77" s="2"/>
      <c r="F77" s="2"/>
      <c r="G77" s="2"/>
      <c r="H77" s="2"/>
      <c r="I77" s="2"/>
      <c r="J77" s="2"/>
    </row>
    <row r="78" spans="1:10" x14ac:dyDescent="0.2">
      <c r="D78" s="2"/>
      <c r="E78" s="2"/>
      <c r="F78" s="2"/>
      <c r="G78" s="2"/>
      <c r="H78" s="2"/>
      <c r="I78" s="2"/>
      <c r="J78" s="2"/>
    </row>
    <row r="79" spans="1:10" ht="13.5" x14ac:dyDescent="0.25">
      <c r="A79" s="225" t="s">
        <v>1242</v>
      </c>
      <c r="D79" s="2"/>
      <c r="E79" s="2">
        <v>408811</v>
      </c>
      <c r="F79" s="2">
        <v>440438</v>
      </c>
      <c r="G79" s="2">
        <v>448875</v>
      </c>
      <c r="H79" s="2">
        <v>443375</v>
      </c>
      <c r="I79" s="2">
        <v>443375</v>
      </c>
      <c r="J79" s="2">
        <v>443375</v>
      </c>
    </row>
    <row r="80" spans="1:10" x14ac:dyDescent="0.2">
      <c r="A80" s="220" t="s">
        <v>268</v>
      </c>
      <c r="B80" s="2">
        <v>18</v>
      </c>
      <c r="C80" s="2">
        <v>19750</v>
      </c>
      <c r="D80" s="2">
        <f>ROUND(B80*C80,0)</f>
        <v>355500</v>
      </c>
      <c r="E80" s="2"/>
      <c r="F80" s="2"/>
      <c r="G80" s="2"/>
      <c r="H80" s="2"/>
      <c r="I80" s="2"/>
      <c r="J80" s="2"/>
    </row>
    <row r="81" spans="1:10" x14ac:dyDescent="0.2">
      <c r="A81" s="220" t="s">
        <v>269</v>
      </c>
      <c r="B81" s="2">
        <v>1</v>
      </c>
      <c r="C81" s="2">
        <v>19750</v>
      </c>
      <c r="D81" s="2">
        <f>ROUND(B81*C81,0)</f>
        <v>19750</v>
      </c>
      <c r="E81" s="2"/>
      <c r="F81" s="2"/>
      <c r="G81" s="2"/>
      <c r="H81" s="2"/>
      <c r="I81" s="2"/>
      <c r="J81" s="2"/>
    </row>
    <row r="82" spans="1:10" ht="15" x14ac:dyDescent="0.35">
      <c r="A82" s="220" t="s">
        <v>307</v>
      </c>
      <c r="B82" s="2">
        <v>3.5</v>
      </c>
      <c r="C82" s="2">
        <v>19750</v>
      </c>
      <c r="D82" s="10">
        <f>ROUND(B82*C82,0)</f>
        <v>69125</v>
      </c>
      <c r="E82" s="2"/>
      <c r="F82" s="2"/>
      <c r="G82" s="2"/>
      <c r="H82" s="2"/>
      <c r="I82" s="2"/>
      <c r="J82" s="2"/>
    </row>
    <row r="83" spans="1:10" x14ac:dyDescent="0.2">
      <c r="A83" s="220" t="s">
        <v>690</v>
      </c>
      <c r="B83" s="2"/>
      <c r="C83" s="2"/>
      <c r="D83" s="2">
        <f>SUM(D80:D82)</f>
        <v>444375</v>
      </c>
      <c r="E83" s="2"/>
      <c r="F83" s="2"/>
      <c r="G83" s="2"/>
      <c r="H83" s="2"/>
      <c r="I83" s="2"/>
      <c r="J83" s="2"/>
    </row>
    <row r="84" spans="1:10" x14ac:dyDescent="0.2">
      <c r="D84" s="2"/>
      <c r="E84" s="2"/>
      <c r="I84" s="251"/>
      <c r="J84" s="256"/>
    </row>
    <row r="85" spans="1:10" ht="13.5" x14ac:dyDescent="0.25">
      <c r="A85" s="225" t="s">
        <v>1243</v>
      </c>
      <c r="D85" s="2"/>
      <c r="E85" s="2">
        <v>25388</v>
      </c>
      <c r="F85" s="2">
        <v>28350</v>
      </c>
      <c r="G85" s="2">
        <v>28350</v>
      </c>
      <c r="H85" s="2">
        <v>28350</v>
      </c>
      <c r="I85" s="2">
        <v>28350</v>
      </c>
      <c r="J85" s="2">
        <v>28350</v>
      </c>
    </row>
    <row r="86" spans="1:10" x14ac:dyDescent="0.2">
      <c r="A86" s="220" t="s">
        <v>369</v>
      </c>
      <c r="B86" s="2">
        <v>22.5</v>
      </c>
      <c r="C86" s="2">
        <v>1400</v>
      </c>
      <c r="D86" s="2">
        <f>ROUND(B86*C86,0)</f>
        <v>31500</v>
      </c>
      <c r="E86" s="2"/>
      <c r="F86" s="2"/>
      <c r="G86" s="2"/>
      <c r="H86" s="2"/>
      <c r="I86" s="2"/>
      <c r="J86" s="2"/>
    </row>
    <row r="87" spans="1:10" ht="15" x14ac:dyDescent="0.35">
      <c r="A87" s="220" t="s">
        <v>535</v>
      </c>
      <c r="B87" s="2"/>
      <c r="C87" s="2"/>
      <c r="D87" s="10">
        <f>+D86*-0.1</f>
        <v>-3150</v>
      </c>
      <c r="E87" s="2"/>
      <c r="F87" s="2"/>
      <c r="G87" s="2"/>
      <c r="H87" s="2"/>
      <c r="I87" s="2"/>
      <c r="J87" s="2"/>
    </row>
    <row r="88" spans="1:10" x14ac:dyDescent="0.2">
      <c r="B88" s="2"/>
      <c r="C88" s="2"/>
      <c r="D88" s="2">
        <f>SUM(D86:D87)</f>
        <v>28350</v>
      </c>
      <c r="E88" s="2"/>
      <c r="F88" s="2"/>
      <c r="G88" s="2"/>
      <c r="H88" s="2"/>
      <c r="I88" s="2"/>
      <c r="J88" s="2"/>
    </row>
    <row r="89" spans="1:10" x14ac:dyDescent="0.2">
      <c r="D89" s="2"/>
      <c r="E89" s="2"/>
      <c r="F89" s="2"/>
      <c r="G89" s="2"/>
      <c r="H89" s="2"/>
      <c r="I89" s="2"/>
      <c r="J89" s="2"/>
    </row>
    <row r="90" spans="1:10" ht="13.5" x14ac:dyDescent="0.25">
      <c r="A90" s="225" t="s">
        <v>485</v>
      </c>
      <c r="D90" s="2"/>
      <c r="E90" s="2">
        <v>983</v>
      </c>
      <c r="F90" s="2">
        <v>1238</v>
      </c>
      <c r="G90" s="2">
        <v>1238</v>
      </c>
      <c r="H90" s="2">
        <v>1238</v>
      </c>
      <c r="I90" s="2">
        <v>1238</v>
      </c>
      <c r="J90" s="2">
        <v>1238</v>
      </c>
    </row>
    <row r="91" spans="1:10" hidden="1" x14ac:dyDescent="0.2">
      <c r="A91" s="220" t="s">
        <v>197</v>
      </c>
      <c r="B91" s="2">
        <v>1</v>
      </c>
      <c r="C91" s="2">
        <v>135</v>
      </c>
      <c r="D91" s="2">
        <f>ROUND(B91*C91,0)</f>
        <v>135</v>
      </c>
      <c r="E91" s="2"/>
      <c r="F91" s="2"/>
      <c r="G91" s="2"/>
      <c r="H91" s="2"/>
      <c r="I91" s="2"/>
      <c r="J91" s="2"/>
    </row>
    <row r="92" spans="1:10" hidden="1" x14ac:dyDescent="0.2">
      <c r="A92" s="220" t="s">
        <v>306</v>
      </c>
      <c r="B92" s="2">
        <v>3.5</v>
      </c>
      <c r="C92" s="2">
        <v>135</v>
      </c>
      <c r="D92" s="2">
        <f>ROUND(B92*C92,0)</f>
        <v>473</v>
      </c>
      <c r="E92" s="2"/>
      <c r="F92" s="2"/>
      <c r="G92" s="2"/>
      <c r="H92" s="2"/>
      <c r="I92" s="2"/>
      <c r="J92" s="2"/>
    </row>
    <row r="93" spans="1:10" ht="15" hidden="1" x14ac:dyDescent="0.35">
      <c r="A93" s="220" t="s">
        <v>278</v>
      </c>
      <c r="B93" s="2">
        <v>18</v>
      </c>
      <c r="C93" s="2">
        <v>35</v>
      </c>
      <c r="D93" s="10">
        <f>ROUND(B93*C93,0)</f>
        <v>630</v>
      </c>
      <c r="E93" s="2"/>
      <c r="F93" s="2"/>
      <c r="G93" s="2"/>
      <c r="H93" s="2"/>
      <c r="I93" s="2"/>
      <c r="J93" s="2"/>
    </row>
    <row r="94" spans="1:10" hidden="1" x14ac:dyDescent="0.2">
      <c r="A94" s="220" t="s">
        <v>1086</v>
      </c>
      <c r="D94" s="2">
        <f>SUM(D91:D93)</f>
        <v>1238</v>
      </c>
      <c r="E94" s="2"/>
      <c r="F94" s="2"/>
      <c r="G94" s="2"/>
      <c r="H94" s="2"/>
      <c r="I94" s="2"/>
      <c r="J94" s="2"/>
    </row>
    <row r="95" spans="1:10" x14ac:dyDescent="0.2">
      <c r="D95" s="2"/>
      <c r="E95" s="2"/>
      <c r="F95" s="2"/>
      <c r="G95" s="2"/>
      <c r="H95" s="2"/>
      <c r="I95" s="2"/>
      <c r="J95" s="2"/>
    </row>
    <row r="96" spans="1:10" ht="13.5" x14ac:dyDescent="0.25">
      <c r="A96" s="225" t="s">
        <v>858</v>
      </c>
      <c r="D96" s="2"/>
      <c r="E96" s="2">
        <v>11058</v>
      </c>
      <c r="F96" s="2">
        <v>14063</v>
      </c>
      <c r="G96" s="2">
        <v>12375</v>
      </c>
      <c r="H96" s="2">
        <v>12375</v>
      </c>
      <c r="I96" s="2">
        <v>12375</v>
      </c>
      <c r="J96" s="2">
        <v>12375</v>
      </c>
    </row>
    <row r="97" spans="1:10" hidden="1" x14ac:dyDescent="0.2">
      <c r="A97" s="220" t="s">
        <v>197</v>
      </c>
      <c r="B97" s="2">
        <v>1</v>
      </c>
      <c r="C97" s="2">
        <v>550</v>
      </c>
      <c r="D97" s="2">
        <f>ROUND(B97*C97,0)</f>
        <v>550</v>
      </c>
      <c r="E97" s="2"/>
      <c r="F97" s="2"/>
      <c r="G97" s="2"/>
      <c r="H97" s="2"/>
      <c r="I97" s="2"/>
      <c r="J97" s="2"/>
    </row>
    <row r="98" spans="1:10" ht="15" hidden="1" x14ac:dyDescent="0.35">
      <c r="A98" s="220" t="s">
        <v>1238</v>
      </c>
      <c r="B98" s="2">
        <v>21.5</v>
      </c>
      <c r="C98" s="2">
        <v>550</v>
      </c>
      <c r="D98" s="10">
        <f>ROUND(B98*C98,0)</f>
        <v>11825</v>
      </c>
      <c r="E98" s="2"/>
      <c r="F98" s="2"/>
      <c r="G98" s="2"/>
      <c r="H98" s="2"/>
      <c r="I98" s="2"/>
      <c r="J98" s="2"/>
    </row>
    <row r="99" spans="1:10" hidden="1" x14ac:dyDescent="0.2">
      <c r="A99" s="220" t="s">
        <v>1086</v>
      </c>
      <c r="D99" s="2">
        <f>SUM(D97:D98)</f>
        <v>12375</v>
      </c>
      <c r="E99" s="2"/>
      <c r="F99" s="2"/>
      <c r="G99" s="2"/>
      <c r="H99" s="2"/>
      <c r="I99" s="2"/>
      <c r="J99" s="2"/>
    </row>
    <row r="100" spans="1:10" x14ac:dyDescent="0.2">
      <c r="D100" s="2"/>
      <c r="E100" s="2"/>
      <c r="F100" s="2"/>
      <c r="G100" s="2"/>
      <c r="H100" s="2"/>
      <c r="I100" s="2"/>
      <c r="J100" s="2"/>
    </row>
    <row r="101" spans="1:10" ht="13.5" x14ac:dyDescent="0.25">
      <c r="A101" s="225" t="s">
        <v>859</v>
      </c>
      <c r="D101" s="2"/>
      <c r="E101" s="2">
        <v>28068</v>
      </c>
      <c r="F101" s="2">
        <v>39174</v>
      </c>
      <c r="G101" s="2">
        <v>43762</v>
      </c>
      <c r="H101" s="2">
        <v>43822</v>
      </c>
      <c r="I101" s="2">
        <v>43881</v>
      </c>
      <c r="J101" s="2">
        <v>43881</v>
      </c>
    </row>
    <row r="102" spans="1:10" hidden="1" x14ac:dyDescent="0.2">
      <c r="A102" s="12" t="s">
        <v>770</v>
      </c>
      <c r="B102" s="2">
        <f>+B72</f>
        <v>42588</v>
      </c>
      <c r="C102" s="13">
        <v>1.6999999999999999E-3</v>
      </c>
      <c r="D102" s="2">
        <f>ROUND(B102*C102,0)-3</f>
        <v>69</v>
      </c>
      <c r="E102" s="2"/>
      <c r="F102" s="2"/>
      <c r="G102" s="2"/>
      <c r="H102" s="2"/>
      <c r="I102" s="2"/>
      <c r="J102" s="2"/>
    </row>
    <row r="103" spans="1:10" hidden="1" x14ac:dyDescent="0.2">
      <c r="A103" s="12" t="s">
        <v>1290</v>
      </c>
      <c r="B103" s="2">
        <f>+D19</f>
        <v>277297.59999999998</v>
      </c>
      <c r="C103" s="13">
        <v>3.4799999999999998E-2</v>
      </c>
      <c r="D103" s="2">
        <f>ROUND(B103*C103,0)-25</f>
        <v>9625</v>
      </c>
      <c r="E103" s="2"/>
      <c r="F103" s="2"/>
      <c r="G103" s="2"/>
      <c r="H103" s="2"/>
      <c r="I103" s="2"/>
      <c r="J103" s="2"/>
    </row>
    <row r="104" spans="1:10" hidden="1" x14ac:dyDescent="0.2">
      <c r="A104" s="12" t="s">
        <v>695</v>
      </c>
      <c r="B104" s="2">
        <f>+D43</f>
        <v>844343</v>
      </c>
      <c r="C104" s="13">
        <v>3.4799999999999998E-2</v>
      </c>
      <c r="D104" s="2">
        <f>ROUND(B104*C104,0)</f>
        <v>29383</v>
      </c>
      <c r="E104" s="2"/>
      <c r="F104" s="2"/>
      <c r="G104" s="2"/>
      <c r="H104" s="2"/>
      <c r="I104" s="2"/>
      <c r="J104" s="2"/>
    </row>
    <row r="105" spans="1:10" hidden="1" x14ac:dyDescent="0.2">
      <c r="A105" s="12" t="s">
        <v>1669</v>
      </c>
      <c r="B105" s="2">
        <f>ROUND(+D50,0)</f>
        <v>30000</v>
      </c>
      <c r="C105" s="13">
        <v>3.4799999999999998E-2</v>
      </c>
      <c r="D105" s="2">
        <f>ROUND(B105*C105,0)</f>
        <v>1044</v>
      </c>
      <c r="E105" s="2"/>
      <c r="F105" s="2"/>
      <c r="G105" s="2"/>
      <c r="H105" s="2"/>
      <c r="I105" s="2"/>
      <c r="J105" s="2"/>
    </row>
    <row r="106" spans="1:10" hidden="1" x14ac:dyDescent="0.2">
      <c r="A106" s="12" t="s">
        <v>158</v>
      </c>
      <c r="B106" s="2">
        <f>+D53</f>
        <v>25920</v>
      </c>
      <c r="C106" s="13">
        <v>3.4799999999999998E-2</v>
      </c>
      <c r="D106" s="2">
        <f>ROUND(B106*C106,0)</f>
        <v>902</v>
      </c>
      <c r="E106" s="2"/>
      <c r="F106" s="2"/>
      <c r="G106" s="2"/>
      <c r="H106" s="2"/>
      <c r="I106" s="2"/>
      <c r="J106" s="2"/>
    </row>
    <row r="107" spans="1:10" ht="15" hidden="1" x14ac:dyDescent="0.35">
      <c r="A107" s="12" t="s">
        <v>1670</v>
      </c>
      <c r="B107" s="2">
        <f>ROUND(D60,0)</f>
        <v>81500</v>
      </c>
      <c r="C107" s="13">
        <v>3.4799999999999998E-2</v>
      </c>
      <c r="D107" s="10">
        <f>ROUND(B107*C107,0)+17</f>
        <v>2853</v>
      </c>
      <c r="E107" s="2"/>
      <c r="F107" s="2"/>
      <c r="G107" s="2"/>
      <c r="H107" s="2"/>
      <c r="I107" s="2"/>
      <c r="J107" s="2"/>
    </row>
    <row r="108" spans="1:10" hidden="1" x14ac:dyDescent="0.2">
      <c r="A108" s="220" t="s">
        <v>1086</v>
      </c>
      <c r="D108" s="2">
        <f>SUM(D102:D107)+5</f>
        <v>43881</v>
      </c>
      <c r="E108" s="2"/>
      <c r="F108" s="2"/>
      <c r="G108" s="2"/>
      <c r="H108" s="2"/>
      <c r="I108" s="2"/>
      <c r="J108" s="2"/>
    </row>
    <row r="109" spans="1:10" x14ac:dyDescent="0.2">
      <c r="D109" s="2"/>
      <c r="E109" s="2"/>
      <c r="F109" s="2"/>
      <c r="G109" s="2"/>
      <c r="H109" s="2"/>
      <c r="I109" s="2"/>
      <c r="J109" s="2"/>
    </row>
    <row r="110" spans="1:10" ht="13.5" x14ac:dyDescent="0.25">
      <c r="A110" s="225" t="s">
        <v>860</v>
      </c>
      <c r="D110" s="2"/>
      <c r="E110" s="2">
        <v>428</v>
      </c>
      <c r="F110" s="2">
        <v>495</v>
      </c>
      <c r="G110" s="2">
        <v>496</v>
      </c>
      <c r="H110" s="2">
        <v>496</v>
      </c>
      <c r="I110" s="2">
        <v>496</v>
      </c>
      <c r="J110" s="2">
        <v>496</v>
      </c>
    </row>
    <row r="111" spans="1:10" hidden="1" x14ac:dyDescent="0.2">
      <c r="A111" s="220" t="s">
        <v>543</v>
      </c>
      <c r="B111" s="2">
        <v>23</v>
      </c>
      <c r="C111" s="2">
        <v>20</v>
      </c>
      <c r="D111" s="2">
        <f>ROUND(B111*C111,0)</f>
        <v>460</v>
      </c>
      <c r="E111" s="2"/>
      <c r="F111" s="2"/>
      <c r="G111" s="2"/>
      <c r="H111" s="2"/>
      <c r="I111" s="2"/>
      <c r="J111" s="2"/>
    </row>
    <row r="112" spans="1:10" ht="15" hidden="1" x14ac:dyDescent="0.35">
      <c r="A112" s="220" t="s">
        <v>965</v>
      </c>
      <c r="B112" s="2">
        <f>+B67</f>
        <v>25920</v>
      </c>
      <c r="C112" s="77">
        <v>1.4E-3</v>
      </c>
      <c r="D112" s="10">
        <f>ROUND(B112*C112,0)</f>
        <v>36</v>
      </c>
      <c r="E112" s="2"/>
      <c r="F112" s="2"/>
      <c r="G112" s="2"/>
      <c r="H112" s="2"/>
      <c r="I112" s="2"/>
      <c r="J112" s="2"/>
    </row>
    <row r="113" spans="1:10" hidden="1" x14ac:dyDescent="0.2">
      <c r="A113" s="220" t="s">
        <v>1086</v>
      </c>
      <c r="D113" s="2">
        <f>SUM(D111:D112)</f>
        <v>496</v>
      </c>
      <c r="E113" s="2"/>
      <c r="F113" s="2"/>
      <c r="G113" s="2"/>
      <c r="H113" s="2"/>
      <c r="I113" s="2"/>
      <c r="J113" s="2"/>
    </row>
    <row r="114" spans="1:10" x14ac:dyDescent="0.2">
      <c r="D114" s="2"/>
      <c r="E114" s="2"/>
      <c r="F114" s="2"/>
      <c r="G114" s="2"/>
      <c r="H114" s="2"/>
      <c r="I114" s="2"/>
      <c r="J114" s="2"/>
    </row>
    <row r="115" spans="1:10" ht="13.5" x14ac:dyDescent="0.25">
      <c r="A115" s="225" t="s">
        <v>861</v>
      </c>
      <c r="D115" s="2"/>
      <c r="E115" s="2">
        <v>363</v>
      </c>
      <c r="F115" s="2">
        <v>2200</v>
      </c>
      <c r="G115" s="2">
        <v>2200</v>
      </c>
      <c r="H115" s="2">
        <v>2200</v>
      </c>
      <c r="I115" s="2">
        <v>2200</v>
      </c>
      <c r="J115" s="2">
        <v>2200</v>
      </c>
    </row>
    <row r="116" spans="1:10" x14ac:dyDescent="0.2">
      <c r="A116" s="220" t="s">
        <v>1483</v>
      </c>
      <c r="C116" s="2"/>
      <c r="D116" s="2">
        <v>2200</v>
      </c>
      <c r="E116" s="2"/>
      <c r="F116" s="2"/>
      <c r="G116" s="2"/>
      <c r="H116" s="2"/>
      <c r="I116" s="2"/>
      <c r="J116" s="2"/>
    </row>
    <row r="117" spans="1:10" x14ac:dyDescent="0.2">
      <c r="A117" s="220" t="s">
        <v>1603</v>
      </c>
      <c r="C117" s="17"/>
      <c r="D117" s="2"/>
      <c r="E117" s="2"/>
      <c r="F117" s="2"/>
      <c r="G117" s="2"/>
      <c r="H117" s="2"/>
      <c r="I117" s="2"/>
      <c r="J117" s="2"/>
    </row>
    <row r="118" spans="1:10" x14ac:dyDescent="0.2">
      <c r="A118" s="220" t="s">
        <v>349</v>
      </c>
      <c r="C118" s="2"/>
      <c r="D118" s="2" t="s">
        <v>349</v>
      </c>
      <c r="E118" s="2"/>
      <c r="F118" s="2"/>
      <c r="G118" s="2"/>
      <c r="H118" s="2"/>
      <c r="I118" s="2"/>
      <c r="J118" s="2"/>
    </row>
    <row r="119" spans="1:10" ht="13.5" x14ac:dyDescent="0.25">
      <c r="A119" s="225" t="s">
        <v>874</v>
      </c>
      <c r="C119" s="17"/>
      <c r="D119" s="2"/>
      <c r="E119" s="2">
        <v>2144</v>
      </c>
      <c r="F119" s="2">
        <v>1400</v>
      </c>
      <c r="G119" s="2">
        <v>1400</v>
      </c>
      <c r="H119" s="2">
        <v>1400</v>
      </c>
      <c r="I119" s="2">
        <v>1400</v>
      </c>
      <c r="J119" s="2">
        <v>1400</v>
      </c>
    </row>
    <row r="120" spans="1:10" x14ac:dyDescent="0.2">
      <c r="A120" s="220" t="s">
        <v>547</v>
      </c>
      <c r="C120" s="2"/>
      <c r="D120" s="2">
        <v>1400</v>
      </c>
      <c r="E120" s="2"/>
      <c r="F120" s="2"/>
      <c r="G120" s="2"/>
      <c r="H120" s="2"/>
      <c r="I120" s="2"/>
      <c r="J120" s="2"/>
    </row>
    <row r="121" spans="1:10" x14ac:dyDescent="0.2">
      <c r="C121" s="17"/>
      <c r="D121" s="2"/>
      <c r="E121" s="2"/>
      <c r="F121" s="2"/>
      <c r="G121" s="2"/>
      <c r="H121" s="2"/>
      <c r="I121" s="2"/>
      <c r="J121" s="2"/>
    </row>
    <row r="122" spans="1:10" ht="13.5" x14ac:dyDescent="0.25">
      <c r="A122" s="225" t="s">
        <v>875</v>
      </c>
      <c r="C122" s="2"/>
      <c r="D122" s="2"/>
      <c r="E122" s="2">
        <v>7080</v>
      </c>
      <c r="F122" s="2">
        <v>8500</v>
      </c>
      <c r="G122" s="2">
        <v>8500</v>
      </c>
      <c r="H122" s="2">
        <v>8500</v>
      </c>
      <c r="I122" s="2">
        <v>8500</v>
      </c>
      <c r="J122" s="2">
        <v>8500</v>
      </c>
    </row>
    <row r="123" spans="1:10" x14ac:dyDescent="0.2">
      <c r="A123" s="5" t="s">
        <v>876</v>
      </c>
      <c r="B123" s="5"/>
      <c r="C123" s="17"/>
      <c r="D123" s="2">
        <v>5500</v>
      </c>
      <c r="E123" s="2"/>
      <c r="F123" s="2"/>
      <c r="G123" s="2"/>
      <c r="H123" s="2"/>
      <c r="I123" s="2"/>
      <c r="J123" s="2"/>
    </row>
    <row r="124" spans="1:10" x14ac:dyDescent="0.2">
      <c r="A124" s="220" t="s">
        <v>1484</v>
      </c>
      <c r="C124" s="2"/>
      <c r="D124" s="2"/>
      <c r="E124" s="2"/>
      <c r="F124" s="2"/>
      <c r="G124" s="2"/>
      <c r="H124" s="2"/>
      <c r="I124" s="2"/>
      <c r="J124" s="2"/>
    </row>
    <row r="125" spans="1:10" x14ac:dyDescent="0.2">
      <c r="A125" s="24" t="s">
        <v>61</v>
      </c>
      <c r="B125" s="24"/>
      <c r="C125" s="25"/>
      <c r="D125" s="45">
        <v>3000</v>
      </c>
      <c r="E125" s="2"/>
      <c r="F125" s="2"/>
      <c r="G125" s="2"/>
      <c r="H125" s="2"/>
      <c r="I125" s="2"/>
      <c r="J125" s="2"/>
    </row>
    <row r="126" spans="1:10" x14ac:dyDescent="0.2">
      <c r="A126" s="24" t="s">
        <v>1086</v>
      </c>
      <c r="B126" s="24"/>
      <c r="C126" s="25"/>
      <c r="D126" s="25">
        <f>SUM(D123:D125)</f>
        <v>8500</v>
      </c>
      <c r="E126" s="2"/>
      <c r="F126" s="2"/>
      <c r="G126" s="2"/>
      <c r="H126" s="2"/>
      <c r="I126" s="2"/>
      <c r="J126" s="2"/>
    </row>
    <row r="127" spans="1:10" x14ac:dyDescent="0.2">
      <c r="A127" s="24"/>
      <c r="B127" s="24"/>
      <c r="C127" s="25"/>
      <c r="D127" s="25"/>
      <c r="E127" s="2"/>
      <c r="F127" s="2"/>
      <c r="G127" s="2"/>
      <c r="H127" s="2"/>
      <c r="I127" s="2"/>
      <c r="J127" s="2"/>
    </row>
    <row r="128" spans="1:10" ht="13.5" x14ac:dyDescent="0.25">
      <c r="A128" s="225" t="s">
        <v>877</v>
      </c>
      <c r="C128" s="2"/>
      <c r="D128" s="2"/>
      <c r="E128" s="2">
        <v>11607</v>
      </c>
      <c r="F128" s="2">
        <v>11006</v>
      </c>
      <c r="G128" s="2">
        <v>11006</v>
      </c>
      <c r="H128" s="2">
        <v>11006</v>
      </c>
      <c r="I128" s="2">
        <v>11006</v>
      </c>
      <c r="J128" s="2">
        <v>11006</v>
      </c>
    </row>
    <row r="129" spans="1:10" x14ac:dyDescent="0.2">
      <c r="A129" s="220" t="s">
        <v>580</v>
      </c>
      <c r="B129" s="2">
        <v>18</v>
      </c>
      <c r="C129" s="2">
        <v>200</v>
      </c>
      <c r="D129" s="2">
        <f t="shared" ref="D129:D136" si="3">ROUND(B129*C129,0)</f>
        <v>3600</v>
      </c>
      <c r="E129" s="2"/>
      <c r="F129" s="2"/>
      <c r="G129" s="2"/>
      <c r="H129" s="2"/>
      <c r="I129" s="2"/>
      <c r="J129" s="2"/>
    </row>
    <row r="130" spans="1:10" x14ac:dyDescent="0.2">
      <c r="A130" s="220" t="s">
        <v>801</v>
      </c>
      <c r="B130" s="2">
        <v>18</v>
      </c>
      <c r="C130" s="2">
        <v>203</v>
      </c>
      <c r="D130" s="2">
        <f t="shared" si="3"/>
        <v>3654</v>
      </c>
      <c r="E130" s="2"/>
      <c r="F130" s="2"/>
      <c r="G130" s="2"/>
      <c r="H130" s="2"/>
      <c r="I130" s="2"/>
      <c r="J130" s="2"/>
    </row>
    <row r="131" spans="1:10" x14ac:dyDescent="0.2">
      <c r="A131" s="220" t="s">
        <v>922</v>
      </c>
      <c r="B131" s="2">
        <v>3</v>
      </c>
      <c r="C131" s="2">
        <v>275</v>
      </c>
      <c r="D131" s="2">
        <f t="shared" si="3"/>
        <v>825</v>
      </c>
      <c r="E131" s="2"/>
      <c r="F131" s="2"/>
      <c r="G131" s="2"/>
      <c r="H131" s="2"/>
      <c r="I131" s="2"/>
      <c r="J131" s="2"/>
    </row>
    <row r="132" spans="1:10" x14ac:dyDescent="0.2">
      <c r="A132" s="220" t="s">
        <v>923</v>
      </c>
      <c r="B132" s="2">
        <v>2.2999999999999998</v>
      </c>
      <c r="C132" s="2">
        <v>203</v>
      </c>
      <c r="D132" s="2">
        <f t="shared" si="3"/>
        <v>467</v>
      </c>
      <c r="E132" s="2"/>
      <c r="F132" s="2"/>
      <c r="G132" s="2"/>
      <c r="H132" s="2"/>
      <c r="I132" s="2"/>
      <c r="J132" s="2"/>
    </row>
    <row r="133" spans="1:10" x14ac:dyDescent="0.2">
      <c r="A133" s="220" t="s">
        <v>924</v>
      </c>
      <c r="B133" s="2">
        <v>1</v>
      </c>
      <c r="C133" s="2">
        <v>225</v>
      </c>
      <c r="D133" s="2">
        <f t="shared" si="3"/>
        <v>225</v>
      </c>
      <c r="E133" s="2"/>
      <c r="F133" s="2"/>
      <c r="G133" s="2"/>
      <c r="H133" s="2"/>
      <c r="I133" s="2"/>
      <c r="J133" s="2"/>
    </row>
    <row r="134" spans="1:10" x14ac:dyDescent="0.2">
      <c r="A134" s="220" t="s">
        <v>1485</v>
      </c>
      <c r="B134" s="2">
        <v>1</v>
      </c>
      <c r="C134" s="2">
        <v>255</v>
      </c>
      <c r="D134" s="2">
        <f t="shared" si="3"/>
        <v>255</v>
      </c>
      <c r="E134" s="2"/>
      <c r="F134" s="2"/>
      <c r="G134" s="2"/>
      <c r="H134" s="2"/>
      <c r="I134" s="2"/>
      <c r="J134" s="2"/>
    </row>
    <row r="135" spans="1:10" x14ac:dyDescent="0.2">
      <c r="A135" s="220" t="s">
        <v>1720</v>
      </c>
      <c r="B135" s="2">
        <v>4</v>
      </c>
      <c r="C135" s="2">
        <v>150</v>
      </c>
      <c r="D135" s="2">
        <f t="shared" si="3"/>
        <v>600</v>
      </c>
      <c r="E135" s="2"/>
      <c r="F135" s="2"/>
      <c r="G135" s="2"/>
      <c r="H135" s="2"/>
      <c r="I135" s="2"/>
      <c r="J135" s="2"/>
    </row>
    <row r="136" spans="1:10" ht="15" x14ac:dyDescent="0.35">
      <c r="A136" s="220" t="s">
        <v>925</v>
      </c>
      <c r="B136" s="2">
        <v>23</v>
      </c>
      <c r="C136" s="10">
        <v>60</v>
      </c>
      <c r="D136" s="10">
        <f t="shared" si="3"/>
        <v>1380</v>
      </c>
      <c r="E136" s="2"/>
      <c r="F136" s="2"/>
      <c r="G136" s="2"/>
      <c r="H136" s="2"/>
      <c r="I136" s="2"/>
      <c r="J136" s="2"/>
    </row>
    <row r="137" spans="1:10" x14ac:dyDescent="0.2">
      <c r="A137" s="220" t="s">
        <v>1086</v>
      </c>
      <c r="C137" s="2"/>
      <c r="D137" s="2">
        <f>SUM(D129:D136)</f>
        <v>11006</v>
      </c>
      <c r="E137" s="2"/>
      <c r="F137" s="2"/>
      <c r="G137" s="2"/>
      <c r="H137" s="2"/>
      <c r="I137" s="2"/>
      <c r="J137" s="2"/>
    </row>
    <row r="138" spans="1:10" x14ac:dyDescent="0.2">
      <c r="C138" s="2"/>
      <c r="D138" s="2"/>
      <c r="E138" s="2"/>
      <c r="F138" s="2"/>
      <c r="G138" s="2"/>
      <c r="H138" s="2"/>
      <c r="I138" s="2"/>
      <c r="J138" s="2"/>
    </row>
    <row r="139" spans="1:10" ht="13.5" x14ac:dyDescent="0.25">
      <c r="A139" s="225" t="s">
        <v>936</v>
      </c>
      <c r="C139" s="2"/>
      <c r="D139" s="2"/>
      <c r="E139" s="2">
        <v>948</v>
      </c>
      <c r="F139" s="2">
        <v>1000</v>
      </c>
      <c r="G139" s="2">
        <v>2400</v>
      </c>
      <c r="H139" s="2">
        <v>2400</v>
      </c>
      <c r="I139" s="2">
        <v>2400</v>
      </c>
      <c r="J139" s="2">
        <v>2400</v>
      </c>
    </row>
    <row r="140" spans="1:10" x14ac:dyDescent="0.2">
      <c r="A140" s="22" t="s">
        <v>1168</v>
      </c>
      <c r="C140" s="2"/>
      <c r="D140" s="2">
        <v>2400</v>
      </c>
      <c r="E140" s="2"/>
      <c r="F140" s="2"/>
      <c r="G140" s="2"/>
      <c r="H140" s="2"/>
      <c r="I140" s="2"/>
      <c r="J140" s="2"/>
    </row>
    <row r="141" spans="1:10" x14ac:dyDescent="0.2">
      <c r="C141" s="17"/>
      <c r="D141" s="2"/>
      <c r="E141" s="2"/>
      <c r="F141" s="2"/>
      <c r="G141" s="2"/>
      <c r="H141" s="2"/>
      <c r="I141" s="2"/>
      <c r="J141" s="2"/>
    </row>
    <row r="142" spans="1:10" ht="13.5" x14ac:dyDescent="0.25">
      <c r="A142" s="225" t="s">
        <v>1169</v>
      </c>
      <c r="C142" s="2"/>
      <c r="D142" s="2"/>
      <c r="E142" s="2">
        <v>325</v>
      </c>
      <c r="F142" s="2">
        <v>500</v>
      </c>
      <c r="G142" s="2">
        <v>500</v>
      </c>
      <c r="H142" s="2">
        <v>500</v>
      </c>
      <c r="I142" s="2">
        <v>500</v>
      </c>
      <c r="J142" s="2">
        <v>500</v>
      </c>
    </row>
    <row r="143" spans="1:10" x14ac:dyDescent="0.2">
      <c r="A143" s="220" t="s">
        <v>1803</v>
      </c>
      <c r="C143" s="2"/>
      <c r="D143" s="2">
        <v>500</v>
      </c>
      <c r="E143" s="2"/>
      <c r="F143" s="2"/>
      <c r="G143" s="2"/>
      <c r="H143" s="2"/>
      <c r="I143" s="2"/>
      <c r="J143" s="2"/>
    </row>
    <row r="144" spans="1:10" x14ac:dyDescent="0.2">
      <c r="C144" s="2"/>
      <c r="D144" s="2"/>
      <c r="E144" s="2"/>
      <c r="F144" s="2"/>
      <c r="G144" s="2"/>
      <c r="H144" s="2"/>
      <c r="I144" s="2"/>
      <c r="J144" s="2"/>
    </row>
    <row r="145" spans="1:10" ht="13.5" x14ac:dyDescent="0.25">
      <c r="A145" s="225" t="s">
        <v>1350</v>
      </c>
      <c r="C145" s="2"/>
      <c r="D145" s="2"/>
      <c r="E145" s="2">
        <v>16</v>
      </c>
      <c r="F145" s="2">
        <v>45</v>
      </c>
      <c r="G145" s="2">
        <v>45</v>
      </c>
      <c r="H145" s="2">
        <v>45</v>
      </c>
      <c r="I145" s="2">
        <v>45</v>
      </c>
      <c r="J145" s="2">
        <v>45</v>
      </c>
    </row>
    <row r="146" spans="1:10" ht="13.5" x14ac:dyDescent="0.25">
      <c r="A146" s="225"/>
      <c r="C146" s="17"/>
      <c r="D146" s="2">
        <v>45</v>
      </c>
      <c r="E146" s="2"/>
      <c r="F146" s="2"/>
      <c r="G146" s="2"/>
      <c r="H146" s="2"/>
      <c r="I146" s="2"/>
      <c r="J146" s="2"/>
    </row>
    <row r="147" spans="1:10" x14ac:dyDescent="0.2">
      <c r="C147" s="2"/>
      <c r="D147" s="2"/>
      <c r="E147" s="2"/>
      <c r="F147" s="2"/>
      <c r="G147" s="2"/>
      <c r="H147" s="2"/>
      <c r="I147" s="2"/>
      <c r="J147" s="2"/>
    </row>
    <row r="148" spans="1:10" ht="13.5" x14ac:dyDescent="0.25">
      <c r="A148" s="225" t="s">
        <v>1170</v>
      </c>
      <c r="C148" s="2"/>
      <c r="D148" s="2"/>
      <c r="E148" s="2">
        <v>12804</v>
      </c>
      <c r="F148" s="2">
        <v>15000</v>
      </c>
      <c r="G148" s="2">
        <v>16000</v>
      </c>
      <c r="H148" s="2">
        <v>16000</v>
      </c>
      <c r="I148" s="2">
        <v>16000</v>
      </c>
      <c r="J148" s="2">
        <v>16000</v>
      </c>
    </row>
    <row r="149" spans="1:10" x14ac:dyDescent="0.2">
      <c r="A149" s="220" t="s">
        <v>143</v>
      </c>
      <c r="B149" s="2"/>
      <c r="C149" s="2"/>
      <c r="D149" s="2">
        <v>10500</v>
      </c>
      <c r="E149" s="2"/>
      <c r="F149" s="2"/>
      <c r="G149" s="2"/>
      <c r="H149" s="2"/>
      <c r="I149" s="2"/>
      <c r="J149" s="2"/>
    </row>
    <row r="150" spans="1:10" x14ac:dyDescent="0.2">
      <c r="A150" s="220" t="s">
        <v>2114</v>
      </c>
      <c r="B150" s="2"/>
      <c r="C150" s="2"/>
      <c r="D150" s="2">
        <v>5500</v>
      </c>
      <c r="E150" s="2"/>
      <c r="F150" s="2"/>
      <c r="G150" s="2"/>
      <c r="H150" s="2"/>
      <c r="I150" s="2"/>
      <c r="J150" s="2"/>
    </row>
    <row r="151" spans="1:10" x14ac:dyDescent="0.2">
      <c r="A151" s="220" t="s">
        <v>1099</v>
      </c>
      <c r="B151" s="2"/>
      <c r="C151" s="2"/>
      <c r="D151" s="17">
        <v>0</v>
      </c>
      <c r="E151" s="2"/>
      <c r="F151" s="2"/>
      <c r="G151" s="2"/>
      <c r="H151" s="2"/>
      <c r="I151" s="2"/>
      <c r="J151" s="2"/>
    </row>
    <row r="152" spans="1:10" x14ac:dyDescent="0.2">
      <c r="A152" s="220" t="s">
        <v>1086</v>
      </c>
      <c r="B152" s="2"/>
      <c r="C152" s="2"/>
      <c r="D152" s="2">
        <f>SUM(D149:D151)</f>
        <v>16000</v>
      </c>
      <c r="E152" s="2"/>
      <c r="F152" s="2"/>
      <c r="G152" s="2"/>
      <c r="H152" s="2"/>
      <c r="I152" s="2"/>
      <c r="J152" s="2"/>
    </row>
    <row r="153" spans="1:10" x14ac:dyDescent="0.2">
      <c r="B153" s="2"/>
      <c r="C153" s="2"/>
      <c r="D153" s="2"/>
      <c r="E153" s="2"/>
      <c r="F153" s="2"/>
      <c r="G153" s="2"/>
      <c r="H153" s="2"/>
      <c r="I153" s="2"/>
      <c r="J153" s="2"/>
    </row>
    <row r="154" spans="1:10" ht="13.5" x14ac:dyDescent="0.25">
      <c r="A154" s="225" t="s">
        <v>538</v>
      </c>
      <c r="B154" s="2"/>
      <c r="C154" s="17"/>
      <c r="D154" s="2"/>
      <c r="E154" s="2">
        <v>15259</v>
      </c>
      <c r="F154" s="2">
        <v>15000</v>
      </c>
      <c r="G154" s="2">
        <v>17500</v>
      </c>
      <c r="H154" s="2">
        <v>17500</v>
      </c>
      <c r="I154" s="2">
        <v>17500</v>
      </c>
      <c r="J154" s="2">
        <v>17500</v>
      </c>
    </row>
    <row r="155" spans="1:10" x14ac:dyDescent="0.2">
      <c r="A155" s="220" t="s">
        <v>143</v>
      </c>
      <c r="B155" s="2"/>
      <c r="C155" s="11"/>
      <c r="D155" s="2">
        <v>10000</v>
      </c>
      <c r="E155" s="2"/>
      <c r="F155" s="2"/>
      <c r="G155" s="2"/>
      <c r="H155" s="2"/>
      <c r="I155" s="2"/>
      <c r="J155" s="2"/>
    </row>
    <row r="156" spans="1:10" ht="15" x14ac:dyDescent="0.35">
      <c r="A156" s="220" t="s">
        <v>1864</v>
      </c>
      <c r="B156" s="2"/>
      <c r="C156" s="11"/>
      <c r="D156" s="30">
        <v>7500</v>
      </c>
      <c r="E156" s="2"/>
      <c r="F156" s="2"/>
      <c r="G156" s="2"/>
      <c r="H156" s="2"/>
      <c r="I156" s="2"/>
      <c r="J156" s="2"/>
    </row>
    <row r="157" spans="1:10" x14ac:dyDescent="0.2">
      <c r="A157" s="220" t="s">
        <v>1086</v>
      </c>
      <c r="B157" s="2"/>
      <c r="C157" s="11"/>
      <c r="D157" s="3">
        <f>SUM(D155:D156)</f>
        <v>17500</v>
      </c>
      <c r="E157" s="2"/>
      <c r="F157" s="2"/>
      <c r="G157" s="2"/>
      <c r="H157" s="2"/>
      <c r="I157" s="2"/>
      <c r="J157" s="2"/>
    </row>
    <row r="158" spans="1:10" x14ac:dyDescent="0.2">
      <c r="B158" s="2"/>
      <c r="C158" s="2"/>
      <c r="D158" s="2"/>
      <c r="E158" s="2"/>
      <c r="F158" s="2"/>
      <c r="G158" s="2"/>
      <c r="H158" s="2"/>
      <c r="I158" s="2"/>
      <c r="J158" s="2"/>
    </row>
    <row r="159" spans="1:10" ht="13.5" x14ac:dyDescent="0.25">
      <c r="A159" s="225" t="s">
        <v>1322</v>
      </c>
      <c r="B159" s="2"/>
      <c r="C159" s="2"/>
      <c r="D159" s="2"/>
      <c r="E159" s="2">
        <v>1914</v>
      </c>
      <c r="F159" s="2">
        <v>1600</v>
      </c>
      <c r="G159" s="2">
        <v>1700</v>
      </c>
      <c r="H159" s="2">
        <v>1700</v>
      </c>
      <c r="I159" s="2">
        <v>1700</v>
      </c>
      <c r="J159" s="2">
        <v>1700</v>
      </c>
    </row>
    <row r="160" spans="1:10" x14ac:dyDescent="0.2">
      <c r="A160" s="220" t="s">
        <v>812</v>
      </c>
      <c r="B160" s="2"/>
      <c r="C160" s="2"/>
      <c r="D160" s="2">
        <v>1700</v>
      </c>
      <c r="E160" s="2"/>
      <c r="F160" s="2"/>
      <c r="G160" s="2"/>
      <c r="H160" s="2"/>
      <c r="I160" s="2"/>
      <c r="J160" s="2"/>
    </row>
    <row r="161" spans="1:10" x14ac:dyDescent="0.2">
      <c r="B161" s="2"/>
      <c r="C161" s="2"/>
      <c r="D161" s="2"/>
      <c r="E161" s="2"/>
      <c r="F161" s="2"/>
      <c r="G161" s="2"/>
      <c r="H161" s="2"/>
      <c r="I161" s="2"/>
      <c r="J161" s="2"/>
    </row>
    <row r="162" spans="1:10" ht="13.5" x14ac:dyDescent="0.25">
      <c r="A162" s="225" t="s">
        <v>144</v>
      </c>
      <c r="B162" s="2"/>
      <c r="C162" s="2"/>
      <c r="D162" s="2"/>
      <c r="E162" s="2">
        <v>406</v>
      </c>
      <c r="F162" s="2">
        <v>271</v>
      </c>
      <c r="G162" s="2">
        <v>304</v>
      </c>
      <c r="H162" s="2">
        <v>304</v>
      </c>
      <c r="I162" s="2">
        <v>304</v>
      </c>
      <c r="J162" s="2">
        <v>304</v>
      </c>
    </row>
    <row r="163" spans="1:10" x14ac:dyDescent="0.2">
      <c r="A163" s="220" t="s">
        <v>812</v>
      </c>
      <c r="B163" s="2"/>
      <c r="C163" s="2"/>
      <c r="D163" s="2">
        <v>304</v>
      </c>
      <c r="E163" s="2"/>
      <c r="F163" s="2"/>
      <c r="G163" s="2"/>
      <c r="H163" s="2"/>
      <c r="I163" s="2"/>
      <c r="J163" s="2"/>
    </row>
    <row r="164" spans="1:10" x14ac:dyDescent="0.2">
      <c r="C164" s="2"/>
      <c r="D164" s="2"/>
      <c r="E164" s="2"/>
      <c r="F164" s="2"/>
      <c r="G164" s="2"/>
      <c r="H164" s="2"/>
      <c r="I164" s="2"/>
      <c r="J164" s="2"/>
    </row>
    <row r="165" spans="1:10" ht="13.5" x14ac:dyDescent="0.25">
      <c r="A165" s="225" t="s">
        <v>1323</v>
      </c>
      <c r="C165" s="2"/>
      <c r="D165" s="2"/>
      <c r="E165" s="2">
        <v>81519</v>
      </c>
      <c r="F165" s="2">
        <v>91760</v>
      </c>
      <c r="G165" s="2">
        <v>82750</v>
      </c>
      <c r="H165" s="2">
        <v>82750</v>
      </c>
      <c r="I165" s="2">
        <v>82750</v>
      </c>
      <c r="J165" s="2">
        <v>82750</v>
      </c>
    </row>
    <row r="166" spans="1:10" x14ac:dyDescent="0.2">
      <c r="A166" s="220" t="s">
        <v>1120</v>
      </c>
      <c r="B166" s="2">
        <v>8000</v>
      </c>
      <c r="C166" s="11">
        <v>2.25</v>
      </c>
      <c r="D166" s="2">
        <f>ROUND(B166*C166,0)</f>
        <v>18000</v>
      </c>
      <c r="E166" s="2"/>
      <c r="F166" s="2"/>
      <c r="G166" s="2"/>
      <c r="H166" s="2"/>
      <c r="I166" s="2"/>
      <c r="J166" s="2"/>
    </row>
    <row r="167" spans="1:10" ht="15" x14ac:dyDescent="0.35">
      <c r="A167" s="220" t="s">
        <v>1119</v>
      </c>
      <c r="B167" s="2">
        <v>25000</v>
      </c>
      <c r="C167" s="11">
        <v>2.59</v>
      </c>
      <c r="D167" s="10">
        <f>ROUND(B167*C167,0)</f>
        <v>64750</v>
      </c>
      <c r="E167" s="2"/>
      <c r="F167" s="2"/>
      <c r="G167" s="2"/>
      <c r="H167" s="2"/>
      <c r="I167" s="2"/>
      <c r="J167" s="2"/>
    </row>
    <row r="168" spans="1:10" x14ac:dyDescent="0.2">
      <c r="A168" s="220" t="s">
        <v>1086</v>
      </c>
      <c r="B168" s="2"/>
      <c r="C168" s="2"/>
      <c r="D168" s="2">
        <f>SUM(D166:D167)</f>
        <v>82750</v>
      </c>
      <c r="E168" s="2"/>
      <c r="F168" s="2"/>
      <c r="G168" s="2"/>
      <c r="H168" s="2"/>
      <c r="I168" s="2"/>
      <c r="J168" s="2"/>
    </row>
    <row r="169" spans="1:10" x14ac:dyDescent="0.2">
      <c r="B169" s="2"/>
      <c r="C169" s="2"/>
      <c r="D169" s="2"/>
      <c r="E169" s="2"/>
      <c r="F169" s="2"/>
      <c r="G169" s="2"/>
      <c r="H169" s="2"/>
      <c r="I169" s="2"/>
      <c r="J169" s="2"/>
    </row>
    <row r="170" spans="1:10" ht="13.5" x14ac:dyDescent="0.25">
      <c r="A170" s="225" t="s">
        <v>1324</v>
      </c>
      <c r="B170" s="2"/>
      <c r="C170" s="2"/>
      <c r="D170" s="2"/>
      <c r="E170" s="2">
        <v>8664</v>
      </c>
      <c r="F170" s="2">
        <v>11463</v>
      </c>
      <c r="G170" s="2">
        <v>10913</v>
      </c>
      <c r="H170" s="2">
        <v>6713</v>
      </c>
      <c r="I170" s="2">
        <v>6713</v>
      </c>
      <c r="J170" s="2">
        <v>6713</v>
      </c>
    </row>
    <row r="171" spans="1:10" x14ac:dyDescent="0.2">
      <c r="A171" s="220" t="s">
        <v>820</v>
      </c>
      <c r="B171" s="2"/>
      <c r="C171" s="2"/>
      <c r="D171" s="2">
        <v>750</v>
      </c>
      <c r="E171" s="2"/>
      <c r="F171" s="2"/>
      <c r="G171" s="2"/>
      <c r="H171" s="2"/>
      <c r="I171" s="2"/>
      <c r="J171" s="2"/>
    </row>
    <row r="172" spans="1:10" x14ac:dyDescent="0.2">
      <c r="A172" s="220" t="s">
        <v>1865</v>
      </c>
      <c r="B172" s="2">
        <v>0</v>
      </c>
      <c r="C172" s="2">
        <v>350</v>
      </c>
      <c r="D172" s="2">
        <f>B172*C172</f>
        <v>0</v>
      </c>
      <c r="E172" s="2"/>
      <c r="F172" s="2"/>
      <c r="G172" s="2"/>
      <c r="H172" s="2"/>
      <c r="I172" s="2"/>
      <c r="J172" s="2"/>
    </row>
    <row r="173" spans="1:10" x14ac:dyDescent="0.2">
      <c r="A173" s="220" t="s">
        <v>1866</v>
      </c>
      <c r="B173" s="2">
        <v>1</v>
      </c>
      <c r="C173" s="2"/>
      <c r="D173" s="2">
        <v>150</v>
      </c>
      <c r="E173" s="2"/>
      <c r="F173" s="2"/>
      <c r="G173" s="2"/>
      <c r="H173" s="2"/>
      <c r="I173" s="2"/>
      <c r="J173" s="2"/>
    </row>
    <row r="174" spans="1:10" x14ac:dyDescent="0.2">
      <c r="A174" s="220" t="s">
        <v>1916</v>
      </c>
      <c r="B174" s="2">
        <v>4</v>
      </c>
      <c r="C174" s="2"/>
      <c r="D174" s="2">
        <v>3833</v>
      </c>
      <c r="E174" s="2"/>
      <c r="F174" s="2"/>
      <c r="G174" s="2"/>
      <c r="H174" s="2"/>
      <c r="I174" s="2"/>
      <c r="J174" s="2"/>
    </row>
    <row r="175" spans="1:10" ht="15" x14ac:dyDescent="0.35">
      <c r="A175" s="220" t="s">
        <v>548</v>
      </c>
      <c r="B175" s="2">
        <v>12</v>
      </c>
      <c r="C175" s="2">
        <v>165</v>
      </c>
      <c r="D175" s="10">
        <f>B175*C175</f>
        <v>1980</v>
      </c>
      <c r="E175" s="2"/>
      <c r="F175" s="2"/>
      <c r="G175" s="2"/>
      <c r="H175" s="2"/>
      <c r="I175" s="2"/>
      <c r="J175" s="2"/>
    </row>
    <row r="176" spans="1:10" x14ac:dyDescent="0.2">
      <c r="B176" s="2"/>
      <c r="C176" s="2"/>
      <c r="D176" s="2">
        <f>SUM(D171:D175)</f>
        <v>6713</v>
      </c>
      <c r="E176" s="2"/>
      <c r="F176" s="2"/>
      <c r="G176" s="2"/>
      <c r="H176" s="2"/>
      <c r="I176" s="2"/>
      <c r="J176" s="2"/>
    </row>
    <row r="177" spans="1:10" x14ac:dyDescent="0.2">
      <c r="C177" s="17"/>
      <c r="D177" s="2"/>
      <c r="E177" s="2"/>
      <c r="F177" s="2"/>
      <c r="G177" s="2"/>
      <c r="H177" s="2"/>
      <c r="I177" s="2"/>
      <c r="J177" s="2"/>
    </row>
    <row r="178" spans="1:10" ht="13.5" x14ac:dyDescent="0.25">
      <c r="A178" s="225" t="s">
        <v>444</v>
      </c>
      <c r="C178" s="2"/>
      <c r="D178" s="2"/>
      <c r="E178" s="2">
        <v>550</v>
      </c>
      <c r="F178" s="2">
        <v>510</v>
      </c>
      <c r="G178" s="2">
        <v>510</v>
      </c>
      <c r="H178" s="2">
        <v>510</v>
      </c>
      <c r="I178" s="2">
        <v>510</v>
      </c>
      <c r="J178" s="2">
        <v>510</v>
      </c>
    </row>
    <row r="179" spans="1:10" x14ac:dyDescent="0.2">
      <c r="A179" s="220" t="s">
        <v>1721</v>
      </c>
      <c r="B179" s="2" t="s">
        <v>349</v>
      </c>
      <c r="C179" s="2"/>
      <c r="D179" s="2">
        <v>510</v>
      </c>
      <c r="E179" s="2"/>
      <c r="F179" s="2"/>
      <c r="G179" s="2"/>
      <c r="H179" s="2"/>
      <c r="I179" s="2"/>
      <c r="J179" s="2"/>
    </row>
    <row r="180" spans="1:10" x14ac:dyDescent="0.2">
      <c r="C180" s="2"/>
      <c r="D180" s="2"/>
      <c r="E180" s="2"/>
      <c r="F180" s="2"/>
      <c r="G180" s="2"/>
      <c r="H180" s="2"/>
      <c r="I180" s="2"/>
      <c r="J180" s="2"/>
    </row>
    <row r="181" spans="1:10" ht="13.5" x14ac:dyDescent="0.25">
      <c r="A181" s="16" t="s">
        <v>1254</v>
      </c>
      <c r="C181" s="2"/>
      <c r="D181" s="2"/>
      <c r="E181" s="2">
        <v>31633</v>
      </c>
      <c r="F181" s="2">
        <v>32868</v>
      </c>
      <c r="G181" s="2">
        <v>35169</v>
      </c>
      <c r="H181" s="2">
        <v>35169</v>
      </c>
      <c r="I181" s="2">
        <v>35169</v>
      </c>
      <c r="J181" s="2">
        <v>35169</v>
      </c>
    </row>
    <row r="182" spans="1:10" x14ac:dyDescent="0.2">
      <c r="A182" s="220" t="s">
        <v>1450</v>
      </c>
      <c r="C182" s="2"/>
      <c r="D182" s="2">
        <v>35169</v>
      </c>
      <c r="E182" s="2"/>
      <c r="F182" s="2"/>
      <c r="G182" s="2"/>
      <c r="H182" s="2"/>
      <c r="I182" s="2"/>
      <c r="J182" s="2"/>
    </row>
    <row r="183" spans="1:10" x14ac:dyDescent="0.2">
      <c r="C183" s="2"/>
      <c r="D183" s="2"/>
      <c r="E183" s="2"/>
      <c r="F183" s="2"/>
      <c r="G183" s="2"/>
      <c r="H183" s="2"/>
      <c r="I183" s="2"/>
      <c r="J183" s="2"/>
    </row>
    <row r="184" spans="1:10" ht="13.5" x14ac:dyDescent="0.25">
      <c r="A184" s="225" t="s">
        <v>1255</v>
      </c>
      <c r="C184" s="2"/>
      <c r="D184" s="2"/>
      <c r="E184" s="2">
        <v>101</v>
      </c>
      <c r="F184" s="2">
        <v>500</v>
      </c>
      <c r="G184" s="2">
        <v>500</v>
      </c>
      <c r="H184" s="2">
        <v>500</v>
      </c>
      <c r="I184" s="2">
        <v>500</v>
      </c>
      <c r="J184" s="2">
        <v>500</v>
      </c>
    </row>
    <row r="185" spans="1:10" x14ac:dyDescent="0.2">
      <c r="A185" s="220" t="s">
        <v>1486</v>
      </c>
      <c r="C185" s="2"/>
      <c r="D185" s="2">
        <v>500</v>
      </c>
      <c r="E185" s="2"/>
      <c r="F185" s="2"/>
      <c r="G185" s="2"/>
      <c r="H185" s="2"/>
      <c r="I185" s="2"/>
      <c r="J185" s="2"/>
    </row>
    <row r="186" spans="1:10" x14ac:dyDescent="0.2">
      <c r="C186" s="2"/>
      <c r="D186" s="2"/>
      <c r="E186" s="2"/>
      <c r="F186" s="2"/>
      <c r="G186" s="2"/>
      <c r="H186" s="2"/>
      <c r="I186" s="2"/>
      <c r="J186" s="2"/>
    </row>
    <row r="187" spans="1:10" ht="13.5" x14ac:dyDescent="0.25">
      <c r="A187" s="225" t="s">
        <v>257</v>
      </c>
      <c r="C187" s="2"/>
      <c r="D187" s="7" t="s">
        <v>349</v>
      </c>
      <c r="E187" s="2">
        <v>16880</v>
      </c>
      <c r="F187" s="2">
        <v>7000</v>
      </c>
      <c r="G187" s="2">
        <v>7000</v>
      </c>
      <c r="H187" s="2">
        <v>7000</v>
      </c>
      <c r="I187" s="2">
        <v>7000</v>
      </c>
      <c r="J187" s="2">
        <v>7000</v>
      </c>
    </row>
    <row r="188" spans="1:10" x14ac:dyDescent="0.2">
      <c r="A188" s="220" t="s">
        <v>258</v>
      </c>
      <c r="C188" s="2"/>
      <c r="D188" s="2"/>
      <c r="E188" s="2"/>
      <c r="F188" s="2"/>
      <c r="G188" s="2"/>
      <c r="H188" s="2"/>
      <c r="I188" s="2"/>
      <c r="J188" s="2"/>
    </row>
    <row r="189" spans="1:10" x14ac:dyDescent="0.2">
      <c r="A189" s="220" t="s">
        <v>1487</v>
      </c>
      <c r="C189" s="2"/>
      <c r="D189" s="2">
        <v>5000</v>
      </c>
      <c r="E189" s="2"/>
      <c r="F189" s="2"/>
      <c r="G189" s="2"/>
      <c r="H189" s="2"/>
      <c r="I189" s="2"/>
      <c r="J189" s="2"/>
    </row>
    <row r="190" spans="1:10" x14ac:dyDescent="0.2">
      <c r="A190" s="24" t="s">
        <v>1604</v>
      </c>
      <c r="B190" s="24"/>
      <c r="C190" s="25"/>
      <c r="D190" s="45">
        <v>2000</v>
      </c>
      <c r="E190" s="2"/>
      <c r="I190" s="251"/>
      <c r="J190" s="256"/>
    </row>
    <row r="191" spans="1:10" x14ac:dyDescent="0.2">
      <c r="A191" s="220" t="s">
        <v>1086</v>
      </c>
      <c r="B191" s="24"/>
      <c r="C191" s="25"/>
      <c r="D191" s="25">
        <f>SUM(D189:D190)</f>
        <v>7000</v>
      </c>
      <c r="E191" s="2"/>
      <c r="I191" s="251"/>
      <c r="J191" s="256"/>
    </row>
    <row r="192" spans="1:10" x14ac:dyDescent="0.2">
      <c r="A192" s="24"/>
      <c r="B192" s="24"/>
      <c r="C192" s="25"/>
      <c r="D192" s="25"/>
      <c r="E192" s="2"/>
      <c r="I192" s="251"/>
      <c r="J192" s="256"/>
    </row>
    <row r="193" spans="1:10" ht="13.5" x14ac:dyDescent="0.25">
      <c r="A193" s="225" t="s">
        <v>1273</v>
      </c>
      <c r="C193" s="2"/>
      <c r="D193" s="2"/>
      <c r="E193" s="2">
        <v>17391</v>
      </c>
      <c r="F193" s="2">
        <v>17050</v>
      </c>
      <c r="G193" s="2">
        <v>17050</v>
      </c>
      <c r="H193" s="2">
        <v>17050</v>
      </c>
      <c r="I193" s="2">
        <v>17050</v>
      </c>
      <c r="J193" s="2">
        <v>17050</v>
      </c>
    </row>
    <row r="194" spans="1:10" x14ac:dyDescent="0.2">
      <c r="A194" s="220" t="s">
        <v>1213</v>
      </c>
      <c r="C194" s="7"/>
      <c r="D194" s="7" t="s">
        <v>349</v>
      </c>
      <c r="E194" s="2"/>
      <c r="F194" s="2"/>
      <c r="G194" s="2"/>
      <c r="H194" s="2"/>
      <c r="I194" s="2"/>
      <c r="J194" s="2"/>
    </row>
    <row r="195" spans="1:10" x14ac:dyDescent="0.2">
      <c r="A195" s="220" t="s">
        <v>20</v>
      </c>
      <c r="C195" s="2"/>
      <c r="D195" s="2">
        <v>500</v>
      </c>
      <c r="E195" s="2"/>
      <c r="F195" s="2"/>
      <c r="G195" s="2"/>
      <c r="H195" s="2"/>
      <c r="I195" s="2"/>
      <c r="J195" s="2"/>
    </row>
    <row r="196" spans="1:10" x14ac:dyDescent="0.2">
      <c r="A196" s="24" t="s">
        <v>94</v>
      </c>
      <c r="B196" s="24"/>
      <c r="C196" s="25"/>
      <c r="D196" s="25">
        <v>600</v>
      </c>
      <c r="E196" s="2"/>
      <c r="F196" s="2"/>
      <c r="G196" s="2"/>
      <c r="H196" s="2"/>
      <c r="I196" s="2"/>
      <c r="J196" s="2"/>
    </row>
    <row r="197" spans="1:10" x14ac:dyDescent="0.2">
      <c r="A197" s="24" t="s">
        <v>1605</v>
      </c>
      <c r="B197" s="24"/>
      <c r="C197" s="25"/>
      <c r="D197" s="25"/>
      <c r="E197" s="2"/>
      <c r="F197" s="2"/>
      <c r="G197" s="2"/>
      <c r="H197" s="2"/>
      <c r="I197" s="2"/>
      <c r="J197" s="2"/>
    </row>
    <row r="198" spans="1:10" x14ac:dyDescent="0.2">
      <c r="A198" s="24" t="s">
        <v>478</v>
      </c>
      <c r="B198" s="24"/>
      <c r="C198" s="25"/>
      <c r="D198" s="25">
        <v>200</v>
      </c>
      <c r="E198" s="2"/>
      <c r="F198" s="2"/>
      <c r="G198" s="2"/>
      <c r="H198" s="2"/>
      <c r="I198" s="2"/>
      <c r="J198" s="2"/>
    </row>
    <row r="199" spans="1:10" x14ac:dyDescent="0.2">
      <c r="A199" s="24" t="s">
        <v>479</v>
      </c>
      <c r="B199" s="24"/>
      <c r="C199" s="25"/>
      <c r="D199" s="25">
        <v>600</v>
      </c>
      <c r="E199" s="2"/>
      <c r="F199" s="2"/>
      <c r="G199" s="2"/>
      <c r="H199" s="2"/>
      <c r="I199" s="2"/>
      <c r="J199" s="2"/>
    </row>
    <row r="200" spans="1:10" x14ac:dyDescent="0.2">
      <c r="A200" s="24" t="s">
        <v>480</v>
      </c>
      <c r="B200" s="24"/>
      <c r="C200" s="25"/>
      <c r="D200" s="25">
        <v>100</v>
      </c>
      <c r="E200" s="2"/>
      <c r="F200" s="2"/>
      <c r="G200" s="2"/>
      <c r="H200" s="2"/>
      <c r="I200" s="2"/>
      <c r="J200" s="2"/>
    </row>
    <row r="201" spans="1:10" x14ac:dyDescent="0.2">
      <c r="A201" s="24" t="s">
        <v>906</v>
      </c>
      <c r="B201" s="24"/>
      <c r="C201" s="25"/>
      <c r="D201" s="25">
        <v>50</v>
      </c>
      <c r="E201" s="2"/>
      <c r="F201" s="2"/>
      <c r="G201" s="2"/>
      <c r="H201" s="2"/>
      <c r="I201" s="2"/>
      <c r="J201" s="2"/>
    </row>
    <row r="202" spans="1:10" x14ac:dyDescent="0.2">
      <c r="A202" s="24" t="s">
        <v>1488</v>
      </c>
      <c r="B202" s="24"/>
      <c r="C202" s="25"/>
      <c r="D202" s="25">
        <v>2000</v>
      </c>
      <c r="E202" s="2"/>
      <c r="F202" s="2"/>
      <c r="G202" s="2"/>
      <c r="H202" s="2"/>
      <c r="I202" s="2"/>
      <c r="J202" s="2"/>
    </row>
    <row r="203" spans="1:10" x14ac:dyDescent="0.2">
      <c r="A203" s="24" t="s">
        <v>1489</v>
      </c>
      <c r="B203" s="24"/>
      <c r="C203" s="25"/>
      <c r="D203" s="25">
        <v>4100</v>
      </c>
      <c r="E203" s="2"/>
      <c r="F203" s="2"/>
      <c r="G203" s="2"/>
      <c r="H203" s="2"/>
      <c r="I203" s="2"/>
      <c r="J203" s="2"/>
    </row>
    <row r="204" spans="1:10" x14ac:dyDescent="0.2">
      <c r="A204" s="24" t="s">
        <v>275</v>
      </c>
      <c r="B204" s="24"/>
      <c r="C204" s="25"/>
      <c r="D204" s="25">
        <v>900</v>
      </c>
      <c r="E204" s="2"/>
      <c r="F204" s="2"/>
      <c r="G204" s="2"/>
      <c r="H204" s="2"/>
      <c r="I204" s="2"/>
      <c r="J204" s="2"/>
    </row>
    <row r="205" spans="1:10" x14ac:dyDescent="0.2">
      <c r="A205" s="24" t="s">
        <v>1917</v>
      </c>
      <c r="B205" s="24"/>
      <c r="C205" s="25"/>
      <c r="D205" s="25">
        <v>2000</v>
      </c>
      <c r="E205" s="2"/>
      <c r="F205" s="2"/>
      <c r="G205" s="2"/>
      <c r="H205" s="2"/>
      <c r="I205" s="2"/>
      <c r="J205" s="2"/>
    </row>
    <row r="206" spans="1:10" x14ac:dyDescent="0.2">
      <c r="A206" s="24" t="s">
        <v>276</v>
      </c>
      <c r="B206" s="24"/>
      <c r="C206" s="25"/>
      <c r="D206" s="25">
        <v>500</v>
      </c>
      <c r="E206" s="2"/>
      <c r="F206" s="2"/>
      <c r="G206" s="2"/>
      <c r="H206" s="2"/>
      <c r="I206" s="2"/>
      <c r="J206" s="2"/>
    </row>
    <row r="207" spans="1:10" x14ac:dyDescent="0.2">
      <c r="A207" s="24" t="s">
        <v>2115</v>
      </c>
      <c r="B207" s="24"/>
      <c r="C207" s="25"/>
      <c r="D207" s="25">
        <v>500</v>
      </c>
      <c r="E207" s="2"/>
      <c r="F207" s="2"/>
      <c r="G207" s="2"/>
      <c r="H207" s="2"/>
      <c r="I207" s="2"/>
      <c r="J207" s="2"/>
    </row>
    <row r="208" spans="1:10" ht="15" x14ac:dyDescent="0.35">
      <c r="A208" s="24" t="s">
        <v>1722</v>
      </c>
      <c r="B208" s="24"/>
      <c r="C208" s="50"/>
      <c r="D208" s="17">
        <v>5000</v>
      </c>
      <c r="E208" s="2"/>
      <c r="F208" s="2"/>
      <c r="G208" s="2"/>
      <c r="H208" s="2"/>
      <c r="I208" s="2"/>
      <c r="J208" s="2"/>
    </row>
    <row r="209" spans="1:10" x14ac:dyDescent="0.2">
      <c r="A209" s="220" t="s">
        <v>1086</v>
      </c>
      <c r="C209" s="2"/>
      <c r="D209" s="2">
        <f>SUM(D195:D208)</f>
        <v>17050</v>
      </c>
      <c r="E209" s="2"/>
      <c r="F209" s="2"/>
      <c r="G209" s="2"/>
      <c r="H209" s="2"/>
      <c r="I209" s="2"/>
      <c r="J209" s="2"/>
    </row>
    <row r="210" spans="1:10" x14ac:dyDescent="0.2">
      <c r="C210" s="2"/>
      <c r="D210" s="2"/>
      <c r="E210" s="2"/>
      <c r="F210" s="2"/>
      <c r="G210" s="2"/>
      <c r="H210" s="2"/>
      <c r="I210" s="2"/>
      <c r="J210" s="2"/>
    </row>
    <row r="211" spans="1:10" ht="13.5" x14ac:dyDescent="0.25">
      <c r="A211" s="225" t="s">
        <v>382</v>
      </c>
      <c r="C211" s="2"/>
      <c r="D211" s="2"/>
      <c r="E211" s="2">
        <v>153918</v>
      </c>
      <c r="F211" s="2">
        <v>144000</v>
      </c>
      <c r="G211" s="2">
        <v>144000</v>
      </c>
      <c r="H211" s="2">
        <v>144000</v>
      </c>
      <c r="I211" s="2">
        <v>134000</v>
      </c>
      <c r="J211" s="2">
        <v>134000</v>
      </c>
    </row>
    <row r="212" spans="1:10" ht="15.75" x14ac:dyDescent="0.25">
      <c r="A212" s="83" t="s">
        <v>1500</v>
      </c>
      <c r="C212" s="2"/>
      <c r="D212" s="2">
        <f>144000-10000</f>
        <v>134000</v>
      </c>
      <c r="E212" s="2"/>
      <c r="F212" s="2"/>
      <c r="G212" s="2"/>
      <c r="H212" s="2"/>
      <c r="I212" s="2"/>
      <c r="J212" s="2"/>
    </row>
    <row r="213" spans="1:10" x14ac:dyDescent="0.2">
      <c r="C213" s="17"/>
      <c r="D213" s="2"/>
      <c r="E213" s="2"/>
      <c r="F213" s="2"/>
      <c r="G213" s="2"/>
      <c r="H213" s="2"/>
      <c r="I213" s="2"/>
      <c r="J213" s="2"/>
    </row>
    <row r="214" spans="1:10" ht="13.5" x14ac:dyDescent="0.25">
      <c r="A214" s="225" t="s">
        <v>1185</v>
      </c>
      <c r="C214" s="2"/>
      <c r="D214" s="2"/>
      <c r="E214" s="2">
        <v>4463</v>
      </c>
      <c r="F214" s="2">
        <v>2650</v>
      </c>
      <c r="G214" s="2">
        <v>4870</v>
      </c>
      <c r="H214" s="2">
        <v>4870</v>
      </c>
      <c r="I214" s="2">
        <v>4870</v>
      </c>
      <c r="J214" s="2">
        <v>4870</v>
      </c>
    </row>
    <row r="215" spans="1:10" x14ac:dyDescent="0.2">
      <c r="A215" s="220" t="s">
        <v>51</v>
      </c>
      <c r="C215" s="2"/>
      <c r="D215" s="2"/>
      <c r="E215" s="2"/>
      <c r="F215" s="2"/>
      <c r="G215" s="2"/>
      <c r="H215" s="2"/>
      <c r="I215" s="2"/>
      <c r="J215" s="2"/>
    </row>
    <row r="216" spans="1:10" x14ac:dyDescent="0.2">
      <c r="A216" s="220" t="s">
        <v>2116</v>
      </c>
      <c r="C216" s="2"/>
      <c r="D216" s="2">
        <v>3370</v>
      </c>
      <c r="E216" s="2"/>
      <c r="F216" s="2"/>
      <c r="G216" s="2"/>
      <c r="H216" s="2"/>
      <c r="I216" s="2"/>
      <c r="J216" s="2"/>
    </row>
    <row r="217" spans="1:10" ht="15" x14ac:dyDescent="0.35">
      <c r="A217" s="220" t="s">
        <v>46</v>
      </c>
      <c r="C217" s="2"/>
      <c r="D217" s="10">
        <v>1500</v>
      </c>
      <c r="E217" s="2"/>
      <c r="F217" s="2"/>
      <c r="G217" s="2"/>
      <c r="H217" s="2"/>
      <c r="I217" s="2"/>
      <c r="J217" s="2"/>
    </row>
    <row r="218" spans="1:10" x14ac:dyDescent="0.2">
      <c r="A218" s="220" t="s">
        <v>1086</v>
      </c>
      <c r="C218" s="2"/>
      <c r="D218" s="2">
        <f>SUM(D215:D217)</f>
        <v>4870</v>
      </c>
      <c r="E218" s="2"/>
      <c r="F218" s="2"/>
      <c r="J218" s="256"/>
    </row>
    <row r="219" spans="1:10" x14ac:dyDescent="0.2">
      <c r="C219" s="2"/>
      <c r="D219" s="2"/>
      <c r="E219" s="2"/>
      <c r="J219" s="256"/>
    </row>
    <row r="220" spans="1:10" ht="13.5" x14ac:dyDescent="0.25">
      <c r="A220" s="225" t="s">
        <v>1135</v>
      </c>
      <c r="B220" s="5"/>
      <c r="C220" s="2"/>
      <c r="D220" s="2"/>
      <c r="E220" s="2">
        <v>9431</v>
      </c>
      <c r="F220" s="2">
        <v>17400</v>
      </c>
      <c r="G220" s="2">
        <v>21160</v>
      </c>
      <c r="H220" s="2">
        <v>21160</v>
      </c>
      <c r="I220" s="2">
        <v>11160</v>
      </c>
      <c r="J220" s="2">
        <v>11160</v>
      </c>
    </row>
    <row r="221" spans="1:10" x14ac:dyDescent="0.2">
      <c r="A221" s="220" t="s">
        <v>1408</v>
      </c>
      <c r="C221" s="2"/>
      <c r="D221" s="2">
        <f>15000-10000</f>
        <v>5000</v>
      </c>
      <c r="E221" s="2"/>
      <c r="F221" s="2"/>
      <c r="G221" s="2"/>
      <c r="H221" s="2"/>
      <c r="I221" s="2"/>
      <c r="J221" s="2"/>
    </row>
    <row r="222" spans="1:10" ht="15" x14ac:dyDescent="0.35">
      <c r="A222" s="220" t="s">
        <v>1366</v>
      </c>
      <c r="C222" s="2"/>
      <c r="D222" s="10">
        <v>6160</v>
      </c>
      <c r="E222" s="2"/>
      <c r="F222" s="2"/>
      <c r="G222" s="2"/>
      <c r="H222" s="2"/>
      <c r="I222" s="2"/>
      <c r="J222" s="2"/>
    </row>
    <row r="223" spans="1:10" x14ac:dyDescent="0.2">
      <c r="A223" s="220" t="s">
        <v>1086</v>
      </c>
      <c r="C223" s="2"/>
      <c r="D223" s="2">
        <f>SUM(D221:D222)</f>
        <v>11160</v>
      </c>
      <c r="E223" s="2"/>
      <c r="F223" s="2"/>
      <c r="G223" s="2"/>
      <c r="H223" s="2"/>
      <c r="I223" s="2"/>
      <c r="J223" s="2"/>
    </row>
    <row r="224" spans="1:10" x14ac:dyDescent="0.2">
      <c r="C224" s="2"/>
      <c r="D224" s="2"/>
      <c r="E224" s="2"/>
      <c r="F224" s="2"/>
      <c r="G224" s="2"/>
      <c r="H224" s="2"/>
      <c r="I224" s="2"/>
      <c r="J224" s="2"/>
    </row>
    <row r="225" spans="1:10" ht="13.5" x14ac:dyDescent="0.25">
      <c r="A225" s="225" t="s">
        <v>1136</v>
      </c>
      <c r="C225" s="2"/>
      <c r="D225" s="2"/>
      <c r="E225" s="2">
        <v>89573</v>
      </c>
      <c r="F225" s="2">
        <v>139750</v>
      </c>
      <c r="G225" s="2">
        <v>133500</v>
      </c>
      <c r="H225" s="2">
        <v>133500</v>
      </c>
      <c r="I225" s="2">
        <v>133500</v>
      </c>
      <c r="J225" s="2">
        <v>133500</v>
      </c>
    </row>
    <row r="226" spans="1:10" x14ac:dyDescent="0.2">
      <c r="A226" s="220" t="s">
        <v>1918</v>
      </c>
      <c r="C226" s="2"/>
      <c r="D226" s="2">
        <v>115000</v>
      </c>
      <c r="E226" s="2"/>
      <c r="F226" s="2"/>
      <c r="G226" s="2"/>
      <c r="H226" s="2"/>
      <c r="I226" s="2"/>
      <c r="J226" s="2"/>
    </row>
    <row r="227" spans="1:10" x14ac:dyDescent="0.2">
      <c r="A227" s="220" t="s">
        <v>1919</v>
      </c>
      <c r="C227" s="2"/>
      <c r="D227" s="2">
        <v>13500</v>
      </c>
      <c r="E227" s="2"/>
      <c r="F227" s="2"/>
      <c r="G227" s="2"/>
      <c r="H227" s="2"/>
      <c r="I227" s="2"/>
      <c r="J227" s="2"/>
    </row>
    <row r="228" spans="1:10" x14ac:dyDescent="0.2">
      <c r="A228" s="220" t="s">
        <v>2117</v>
      </c>
      <c r="C228" s="2"/>
      <c r="D228" s="33">
        <v>5000</v>
      </c>
      <c r="E228" s="2"/>
      <c r="F228" s="2"/>
      <c r="G228" s="2"/>
      <c r="H228" s="2"/>
      <c r="I228" s="2"/>
      <c r="J228" s="2"/>
    </row>
    <row r="229" spans="1:10" x14ac:dyDescent="0.2">
      <c r="C229" s="2"/>
      <c r="D229" s="2">
        <f>SUM(D226:D228)</f>
        <v>133500</v>
      </c>
      <c r="E229" s="2"/>
      <c r="F229" s="2"/>
      <c r="G229" s="2"/>
      <c r="H229" s="2"/>
      <c r="I229" s="2"/>
      <c r="J229" s="2"/>
    </row>
    <row r="230" spans="1:10" x14ac:dyDescent="0.2">
      <c r="C230" s="2"/>
      <c r="D230" s="2"/>
      <c r="E230" s="2"/>
      <c r="F230" s="2"/>
      <c r="G230" s="2"/>
      <c r="H230" s="2"/>
      <c r="I230" s="2"/>
      <c r="J230" s="2"/>
    </row>
    <row r="231" spans="1:10" ht="13.5" x14ac:dyDescent="0.25">
      <c r="A231" s="225" t="s">
        <v>931</v>
      </c>
      <c r="C231" s="2"/>
      <c r="D231" s="2"/>
      <c r="E231" s="2">
        <v>2100</v>
      </c>
      <c r="F231" s="2">
        <v>2500</v>
      </c>
      <c r="G231" s="2">
        <v>2500</v>
      </c>
      <c r="H231" s="2">
        <v>2500</v>
      </c>
      <c r="I231" s="2">
        <v>2500</v>
      </c>
      <c r="J231" s="2">
        <v>2500</v>
      </c>
    </row>
    <row r="232" spans="1:10" x14ac:dyDescent="0.2">
      <c r="A232" s="220" t="s">
        <v>75</v>
      </c>
      <c r="C232" s="2"/>
      <c r="D232" s="2">
        <v>2500</v>
      </c>
      <c r="E232" s="2"/>
      <c r="F232" s="2"/>
      <c r="G232" s="2"/>
      <c r="H232" s="2"/>
      <c r="I232" s="2"/>
      <c r="J232" s="2"/>
    </row>
    <row r="233" spans="1:10" x14ac:dyDescent="0.2">
      <c r="C233" s="2"/>
      <c r="D233" s="2"/>
      <c r="E233" s="2"/>
      <c r="F233" s="2"/>
      <c r="G233" s="2"/>
      <c r="H233" s="2"/>
      <c r="I233" s="2"/>
      <c r="J233" s="2"/>
    </row>
    <row r="234" spans="1:10" ht="13.5" x14ac:dyDescent="0.25">
      <c r="A234" s="225" t="s">
        <v>1155</v>
      </c>
      <c r="C234" s="2"/>
      <c r="D234" s="2"/>
      <c r="E234" s="2">
        <v>14622</v>
      </c>
      <c r="F234" s="2">
        <v>18000</v>
      </c>
      <c r="G234" s="2">
        <v>18000</v>
      </c>
      <c r="H234" s="2">
        <v>18000</v>
      </c>
      <c r="I234" s="2">
        <v>18000</v>
      </c>
      <c r="J234" s="2">
        <v>18000</v>
      </c>
    </row>
    <row r="235" spans="1:10" x14ac:dyDescent="0.2">
      <c r="A235" s="220" t="s">
        <v>1156</v>
      </c>
      <c r="C235" s="2"/>
      <c r="D235" s="2">
        <v>18000</v>
      </c>
      <c r="F235" s="2"/>
      <c r="G235" s="2"/>
      <c r="H235" s="2"/>
      <c r="I235" s="2"/>
      <c r="J235" s="2"/>
    </row>
    <row r="236" spans="1:10" x14ac:dyDescent="0.2">
      <c r="A236" s="220" t="s">
        <v>1490</v>
      </c>
      <c r="C236" s="2"/>
      <c r="E236" s="2"/>
      <c r="F236" s="2"/>
      <c r="G236" s="2"/>
      <c r="H236" s="2"/>
      <c r="I236" s="2"/>
      <c r="J236" s="2"/>
    </row>
    <row r="237" spans="1:10" x14ac:dyDescent="0.2">
      <c r="C237" s="2"/>
      <c r="D237" s="2"/>
      <c r="E237" s="2"/>
      <c r="F237" s="2"/>
      <c r="G237" s="2"/>
      <c r="H237" s="2"/>
      <c r="I237" s="2"/>
      <c r="J237" s="2"/>
    </row>
    <row r="238" spans="1:10" ht="13.5" x14ac:dyDescent="0.25">
      <c r="A238" s="225" t="s">
        <v>898</v>
      </c>
      <c r="C238" s="2"/>
      <c r="D238" s="2"/>
      <c r="E238" s="2">
        <v>18342</v>
      </c>
      <c r="F238" s="2">
        <v>12500</v>
      </c>
      <c r="G238" s="2">
        <v>12500</v>
      </c>
      <c r="H238" s="2">
        <v>12500</v>
      </c>
      <c r="I238" s="2">
        <v>12500</v>
      </c>
      <c r="J238" s="2">
        <v>12500</v>
      </c>
    </row>
    <row r="239" spans="1:10" x14ac:dyDescent="0.2">
      <c r="A239" s="220" t="s">
        <v>1050</v>
      </c>
      <c r="C239" s="2"/>
      <c r="D239" s="2">
        <v>12500</v>
      </c>
      <c r="E239" s="2"/>
      <c r="F239" s="2"/>
      <c r="G239" s="2"/>
      <c r="H239" s="2"/>
      <c r="I239" s="2"/>
      <c r="J239" s="2"/>
    </row>
    <row r="240" spans="1:10" x14ac:dyDescent="0.2">
      <c r="C240" s="2"/>
      <c r="E240" s="2"/>
      <c r="F240" s="2"/>
      <c r="G240" s="2"/>
      <c r="H240" s="2"/>
      <c r="I240" s="2"/>
      <c r="J240" s="2"/>
    </row>
    <row r="241" spans="1:10" ht="13.5" x14ac:dyDescent="0.25">
      <c r="A241" s="225" t="s">
        <v>142</v>
      </c>
      <c r="C241" s="2"/>
      <c r="D241" s="2"/>
      <c r="E241" s="2">
        <v>3372</v>
      </c>
      <c r="F241" s="2">
        <v>10000</v>
      </c>
      <c r="G241" s="2">
        <v>7500</v>
      </c>
      <c r="H241" s="2">
        <v>7500</v>
      </c>
      <c r="I241" s="2">
        <v>7500</v>
      </c>
      <c r="J241" s="2">
        <v>7500</v>
      </c>
    </row>
    <row r="242" spans="1:10" x14ac:dyDescent="0.2">
      <c r="A242" s="220" t="s">
        <v>30</v>
      </c>
      <c r="C242" s="2"/>
      <c r="D242" s="2">
        <v>7500</v>
      </c>
      <c r="E242" s="2"/>
      <c r="F242" s="2"/>
      <c r="I242" s="251"/>
      <c r="J242" s="256"/>
    </row>
    <row r="243" spans="1:10" x14ac:dyDescent="0.2">
      <c r="A243" s="220" t="s">
        <v>1109</v>
      </c>
      <c r="C243" s="2"/>
      <c r="D243" s="2"/>
      <c r="E243" s="2"/>
      <c r="G243" s="2"/>
      <c r="H243" s="2"/>
      <c r="I243" s="2"/>
      <c r="J243" s="2"/>
    </row>
    <row r="244" spans="1:10" x14ac:dyDescent="0.2">
      <c r="A244" s="220" t="s">
        <v>1110</v>
      </c>
      <c r="C244" s="2"/>
      <c r="D244" s="2"/>
      <c r="E244" s="2"/>
      <c r="F244" s="2"/>
      <c r="G244" s="2"/>
      <c r="H244" s="2"/>
      <c r="I244" s="2"/>
      <c r="J244" s="2"/>
    </row>
    <row r="245" spans="1:10" x14ac:dyDescent="0.2">
      <c r="C245" s="2"/>
      <c r="D245" s="2"/>
      <c r="E245" s="2"/>
      <c r="F245" s="2"/>
      <c r="G245" s="2"/>
      <c r="H245" s="2"/>
      <c r="I245" s="2"/>
      <c r="J245" s="2"/>
    </row>
    <row r="246" spans="1:10" ht="13.5" x14ac:dyDescent="0.25">
      <c r="A246" s="225" t="s">
        <v>1297</v>
      </c>
      <c r="C246" s="2"/>
      <c r="D246" s="2"/>
      <c r="E246" s="2">
        <v>23885</v>
      </c>
      <c r="F246" s="2">
        <v>1500</v>
      </c>
      <c r="G246" s="2">
        <v>1500</v>
      </c>
      <c r="H246" s="2">
        <v>1500</v>
      </c>
      <c r="I246" s="2">
        <v>1500</v>
      </c>
      <c r="J246" s="2">
        <v>1500</v>
      </c>
    </row>
    <row r="247" spans="1:10" x14ac:dyDescent="0.2">
      <c r="A247" s="220" t="s">
        <v>1920</v>
      </c>
      <c r="C247" s="2"/>
      <c r="D247" s="2">
        <v>1000</v>
      </c>
      <c r="E247" s="2"/>
      <c r="F247" s="2"/>
      <c r="I247" s="251"/>
      <c r="J247" s="256"/>
    </row>
    <row r="248" spans="1:10" x14ac:dyDescent="0.2">
      <c r="A248" s="220" t="s">
        <v>1921</v>
      </c>
      <c r="C248" s="2"/>
      <c r="D248" s="33">
        <v>500</v>
      </c>
      <c r="E248" s="2"/>
      <c r="F248" s="2"/>
      <c r="I248" s="251"/>
      <c r="J248" s="256"/>
    </row>
    <row r="249" spans="1:10" x14ac:dyDescent="0.2">
      <c r="C249" s="2"/>
      <c r="D249" s="2">
        <f>SUM(D247:D248)</f>
        <v>1500</v>
      </c>
      <c r="E249" s="2"/>
      <c r="F249" s="2"/>
      <c r="I249" s="251"/>
      <c r="J249" s="256"/>
    </row>
    <row r="250" spans="1:10" x14ac:dyDescent="0.2">
      <c r="A250" s="220" t="s">
        <v>349</v>
      </c>
      <c r="C250" s="17"/>
      <c r="D250" s="2"/>
      <c r="E250" s="2"/>
      <c r="G250" s="2"/>
      <c r="H250" s="2"/>
      <c r="I250" s="2"/>
      <c r="J250" s="2"/>
    </row>
    <row r="251" spans="1:10" ht="13.5" x14ac:dyDescent="0.25">
      <c r="A251" s="225" t="s">
        <v>1298</v>
      </c>
      <c r="C251" s="2"/>
      <c r="D251" s="2"/>
      <c r="E251" s="2">
        <v>375</v>
      </c>
      <c r="F251" s="2">
        <v>3000</v>
      </c>
      <c r="G251" s="2">
        <v>3000</v>
      </c>
      <c r="H251" s="2">
        <v>3000</v>
      </c>
      <c r="I251" s="2">
        <v>3000</v>
      </c>
      <c r="J251" s="2">
        <v>3000</v>
      </c>
    </row>
    <row r="252" spans="1:10" x14ac:dyDescent="0.2">
      <c r="A252" s="220" t="s">
        <v>1491</v>
      </c>
      <c r="C252" s="2"/>
      <c r="D252" s="2">
        <v>3000</v>
      </c>
      <c r="E252" s="2"/>
      <c r="F252" s="2"/>
      <c r="G252" s="2"/>
      <c r="H252" s="2"/>
      <c r="I252" s="2"/>
      <c r="J252" s="2"/>
    </row>
    <row r="253" spans="1:10" x14ac:dyDescent="0.2">
      <c r="A253" s="220" t="s">
        <v>349</v>
      </c>
      <c r="C253" s="2"/>
      <c r="D253" s="2" t="s">
        <v>349</v>
      </c>
      <c r="E253" s="2"/>
      <c r="F253" s="2"/>
      <c r="G253" s="2"/>
      <c r="H253" s="2"/>
      <c r="I253" s="2"/>
      <c r="J253" s="2"/>
    </row>
    <row r="254" spans="1:10" ht="13.5" x14ac:dyDescent="0.25">
      <c r="A254" s="225" t="s">
        <v>1299</v>
      </c>
      <c r="C254" s="2"/>
      <c r="D254" s="2" t="s">
        <v>349</v>
      </c>
      <c r="E254" s="2">
        <v>8487</v>
      </c>
      <c r="F254" s="2">
        <v>15000</v>
      </c>
      <c r="G254" s="2">
        <v>15000</v>
      </c>
      <c r="H254" s="2">
        <v>15000</v>
      </c>
      <c r="I254" s="2">
        <v>15000</v>
      </c>
      <c r="J254" s="2">
        <v>15000</v>
      </c>
    </row>
    <row r="255" spans="1:10" x14ac:dyDescent="0.2">
      <c r="A255" s="5" t="s">
        <v>47</v>
      </c>
      <c r="B255" s="5"/>
      <c r="C255" s="2"/>
      <c r="D255" s="2" t="s">
        <v>349</v>
      </c>
      <c r="E255" s="2"/>
      <c r="F255" s="2"/>
      <c r="G255" s="2"/>
      <c r="H255" s="2"/>
      <c r="I255" s="2"/>
      <c r="J255" s="2"/>
    </row>
    <row r="256" spans="1:10" x14ac:dyDescent="0.2">
      <c r="A256" s="220" t="s">
        <v>1492</v>
      </c>
      <c r="C256" s="2"/>
      <c r="D256" s="2">
        <v>8000</v>
      </c>
      <c r="E256" s="2"/>
      <c r="F256" s="2"/>
      <c r="G256" s="2"/>
      <c r="H256" s="2"/>
      <c r="I256" s="2"/>
      <c r="J256" s="2"/>
    </row>
    <row r="257" spans="1:10" ht="15" x14ac:dyDescent="0.35">
      <c r="A257" s="220" t="s">
        <v>1367</v>
      </c>
      <c r="C257" s="2"/>
      <c r="D257" s="8">
        <v>7000</v>
      </c>
      <c r="E257" s="2"/>
      <c r="F257" s="2"/>
      <c r="G257" s="2"/>
      <c r="H257" s="2"/>
      <c r="I257" s="2"/>
      <c r="J257" s="2"/>
    </row>
    <row r="258" spans="1:10" x14ac:dyDescent="0.2">
      <c r="A258" s="220" t="s">
        <v>1086</v>
      </c>
      <c r="C258" s="2"/>
      <c r="D258" s="2">
        <f>SUM(D256:D257)</f>
        <v>15000</v>
      </c>
      <c r="E258" s="2"/>
      <c r="F258" s="2"/>
      <c r="G258" s="2"/>
      <c r="H258" s="2"/>
      <c r="I258" s="2"/>
      <c r="J258" s="2"/>
    </row>
    <row r="259" spans="1:10" x14ac:dyDescent="0.2">
      <c r="C259" s="2"/>
      <c r="D259" s="2"/>
      <c r="E259" s="2"/>
      <c r="F259" s="2"/>
      <c r="G259" s="2"/>
      <c r="H259" s="2"/>
      <c r="I259" s="2"/>
      <c r="J259" s="2"/>
    </row>
    <row r="260" spans="1:10" ht="13.5" x14ac:dyDescent="0.25">
      <c r="A260" s="225" t="s">
        <v>932</v>
      </c>
      <c r="C260" s="18"/>
      <c r="D260" s="18"/>
      <c r="E260" s="2">
        <v>86754</v>
      </c>
      <c r="F260" s="2">
        <v>135070</v>
      </c>
      <c r="G260" s="2">
        <v>188070</v>
      </c>
      <c r="H260" s="2">
        <v>113070</v>
      </c>
      <c r="I260" s="2">
        <v>113070</v>
      </c>
      <c r="J260" s="2">
        <v>113070</v>
      </c>
    </row>
    <row r="261" spans="1:10" x14ac:dyDescent="0.2">
      <c r="A261" s="220" t="s">
        <v>408</v>
      </c>
      <c r="C261" s="2"/>
      <c r="D261" s="2">
        <v>38000</v>
      </c>
      <c r="E261" s="2"/>
      <c r="F261" s="2"/>
      <c r="G261" s="2"/>
      <c r="H261" s="2"/>
      <c r="I261" s="2"/>
      <c r="J261" s="2"/>
    </row>
    <row r="262" spans="1:10" x14ac:dyDescent="0.2">
      <c r="A262" s="220" t="s">
        <v>1493</v>
      </c>
      <c r="C262" s="2"/>
      <c r="D262" s="2">
        <v>1000</v>
      </c>
      <c r="E262" s="2"/>
      <c r="F262" s="2"/>
      <c r="G262" s="2"/>
      <c r="H262" s="2"/>
      <c r="I262" s="2"/>
      <c r="J262" s="2"/>
    </row>
    <row r="263" spans="1:10" x14ac:dyDescent="0.2">
      <c r="A263" s="220" t="s">
        <v>503</v>
      </c>
      <c r="C263" s="2"/>
      <c r="D263" s="2">
        <v>60000</v>
      </c>
      <c r="E263" s="2"/>
      <c r="F263" s="2"/>
      <c r="G263" s="2"/>
      <c r="H263" s="2"/>
      <c r="I263" s="2"/>
      <c r="J263" s="2"/>
    </row>
    <row r="264" spans="1:10" x14ac:dyDescent="0.2">
      <c r="A264" s="220" t="s">
        <v>2118</v>
      </c>
      <c r="C264" s="2"/>
      <c r="D264" s="2"/>
      <c r="E264" s="2"/>
      <c r="F264" s="2"/>
      <c r="G264" s="2"/>
      <c r="H264" s="2"/>
      <c r="I264" s="2"/>
      <c r="J264" s="2"/>
    </row>
    <row r="265" spans="1:10" x14ac:dyDescent="0.2">
      <c r="A265" s="220" t="s">
        <v>1368</v>
      </c>
      <c r="C265" s="2"/>
      <c r="D265" s="2">
        <v>0</v>
      </c>
      <c r="E265" s="2"/>
      <c r="F265" s="2"/>
      <c r="G265" s="2"/>
      <c r="H265" s="2"/>
      <c r="I265" s="2"/>
      <c r="J265" s="2"/>
    </row>
    <row r="266" spans="1:10" x14ac:dyDescent="0.2">
      <c r="A266" s="220" t="s">
        <v>48</v>
      </c>
      <c r="C266" s="2"/>
      <c r="D266" s="2">
        <v>1750</v>
      </c>
      <c r="E266" s="2"/>
      <c r="F266" s="2"/>
      <c r="G266" s="2"/>
      <c r="H266" s="2"/>
      <c r="I266" s="2"/>
      <c r="J266" s="2"/>
    </row>
    <row r="267" spans="1:10" x14ac:dyDescent="0.2">
      <c r="A267" s="220" t="s">
        <v>49</v>
      </c>
      <c r="C267" s="2"/>
      <c r="D267" s="2">
        <v>1700</v>
      </c>
      <c r="E267" s="2"/>
      <c r="F267" s="2"/>
      <c r="G267" s="2"/>
      <c r="H267" s="2"/>
      <c r="I267" s="2"/>
      <c r="J267" s="2"/>
    </row>
    <row r="268" spans="1:10" x14ac:dyDescent="0.2">
      <c r="A268" s="220" t="s">
        <v>50</v>
      </c>
      <c r="C268" s="2"/>
      <c r="D268" s="2">
        <v>300</v>
      </c>
      <c r="E268" s="2"/>
      <c r="F268" s="2"/>
      <c r="G268" s="2"/>
      <c r="H268" s="2"/>
      <c r="I268" s="2"/>
      <c r="J268" s="2"/>
    </row>
    <row r="269" spans="1:10" x14ac:dyDescent="0.2">
      <c r="A269" s="220" t="s">
        <v>1494</v>
      </c>
      <c r="C269" s="17"/>
      <c r="D269" s="2">
        <v>2000</v>
      </c>
      <c r="E269" s="2"/>
      <c r="F269" s="2"/>
      <c r="G269" s="2"/>
      <c r="H269" s="2"/>
      <c r="I269" s="2"/>
      <c r="J269" s="2"/>
    </row>
    <row r="270" spans="1:10" x14ac:dyDescent="0.2">
      <c r="A270" s="24" t="s">
        <v>121</v>
      </c>
      <c r="B270" s="24"/>
      <c r="C270" s="25"/>
      <c r="D270" s="25">
        <v>4220</v>
      </c>
      <c r="E270" s="2"/>
      <c r="F270" s="2"/>
      <c r="G270" s="2"/>
      <c r="H270" s="2"/>
      <c r="I270" s="2"/>
      <c r="J270" s="2"/>
    </row>
    <row r="271" spans="1:10" x14ac:dyDescent="0.2">
      <c r="A271" s="24" t="s">
        <v>1606</v>
      </c>
      <c r="B271" s="24"/>
      <c r="C271" s="25"/>
      <c r="D271" s="25">
        <v>600</v>
      </c>
      <c r="E271" s="2"/>
      <c r="F271" s="2"/>
      <c r="G271" s="2"/>
      <c r="H271" s="2"/>
      <c r="I271" s="2"/>
      <c r="J271" s="2"/>
    </row>
    <row r="272" spans="1:10" x14ac:dyDescent="0.2">
      <c r="A272" s="24" t="s">
        <v>356</v>
      </c>
      <c r="B272" s="24"/>
      <c r="C272" s="25"/>
      <c r="D272" s="25">
        <v>2500</v>
      </c>
      <c r="E272" s="2"/>
      <c r="F272" s="2"/>
      <c r="G272" s="2"/>
      <c r="H272" s="2"/>
      <c r="I272" s="2"/>
      <c r="J272" s="2"/>
    </row>
    <row r="273" spans="1:10" ht="15" x14ac:dyDescent="0.35">
      <c r="A273" s="24" t="s">
        <v>502</v>
      </c>
      <c r="B273" s="24"/>
      <c r="C273" s="50"/>
      <c r="D273" s="50">
        <v>1000</v>
      </c>
      <c r="E273" s="2"/>
      <c r="F273" s="2"/>
      <c r="G273" s="2"/>
      <c r="H273" s="2"/>
      <c r="I273" s="2"/>
      <c r="J273" s="2"/>
    </row>
    <row r="274" spans="1:10" x14ac:dyDescent="0.2">
      <c r="A274" s="220" t="s">
        <v>1086</v>
      </c>
      <c r="C274" s="17"/>
      <c r="D274" s="2">
        <f>SUM(D261:D273)</f>
        <v>113070</v>
      </c>
      <c r="E274" s="2"/>
      <c r="F274" s="2"/>
      <c r="I274" s="251"/>
      <c r="J274" s="256"/>
    </row>
    <row r="275" spans="1:10" x14ac:dyDescent="0.2">
      <c r="C275" s="2"/>
      <c r="D275" s="2"/>
      <c r="E275" s="2"/>
      <c r="I275" s="251"/>
      <c r="J275" s="256"/>
    </row>
    <row r="276" spans="1:10" ht="13.5" x14ac:dyDescent="0.25">
      <c r="A276" s="225" t="s">
        <v>504</v>
      </c>
      <c r="C276" s="2"/>
      <c r="D276" s="2"/>
      <c r="E276" s="2">
        <v>59775</v>
      </c>
      <c r="F276" s="2">
        <v>57000</v>
      </c>
      <c r="G276" s="2">
        <v>61000</v>
      </c>
      <c r="H276" s="2">
        <v>61000</v>
      </c>
      <c r="I276" s="2">
        <v>61000</v>
      </c>
      <c r="J276" s="2">
        <v>61000</v>
      </c>
    </row>
    <row r="277" spans="1:10" x14ac:dyDescent="0.2">
      <c r="A277" s="220" t="s">
        <v>505</v>
      </c>
      <c r="C277" s="2"/>
      <c r="D277" s="2"/>
      <c r="E277" s="2"/>
      <c r="F277" s="2"/>
      <c r="G277" s="2"/>
      <c r="H277" s="2"/>
      <c r="I277" s="2"/>
      <c r="J277" s="2"/>
    </row>
    <row r="278" spans="1:10" x14ac:dyDescent="0.2">
      <c r="A278" s="220" t="s">
        <v>707</v>
      </c>
      <c r="B278" s="220" t="s">
        <v>349</v>
      </c>
      <c r="C278" s="2"/>
      <c r="D278" s="2">
        <v>60000</v>
      </c>
      <c r="E278" s="2"/>
      <c r="F278" s="2"/>
      <c r="G278" s="2"/>
      <c r="H278" s="2"/>
      <c r="I278" s="2"/>
      <c r="J278" s="2"/>
    </row>
    <row r="279" spans="1:10" x14ac:dyDescent="0.2">
      <c r="A279" s="220" t="s">
        <v>2119</v>
      </c>
      <c r="C279" s="2"/>
      <c r="D279" s="33">
        <v>1000</v>
      </c>
      <c r="E279" s="2"/>
      <c r="F279" s="2"/>
      <c r="G279" s="2"/>
      <c r="H279" s="2"/>
      <c r="I279" s="2"/>
      <c r="J279" s="2"/>
    </row>
    <row r="280" spans="1:10" x14ac:dyDescent="0.2">
      <c r="C280" s="2"/>
      <c r="D280" s="2">
        <f>SUM(D278:D279)</f>
        <v>61000</v>
      </c>
      <c r="E280" s="2"/>
      <c r="F280" s="2"/>
      <c r="G280" s="2"/>
      <c r="H280" s="2"/>
      <c r="I280" s="2"/>
      <c r="J280" s="2"/>
    </row>
    <row r="281" spans="1:10" x14ac:dyDescent="0.2">
      <c r="C281" s="2"/>
      <c r="D281" s="2"/>
      <c r="E281" s="2"/>
      <c r="F281" s="2"/>
      <c r="G281" s="2"/>
      <c r="H281" s="2"/>
      <c r="I281" s="2"/>
      <c r="J281" s="2"/>
    </row>
    <row r="282" spans="1:10" ht="13.5" x14ac:dyDescent="0.25">
      <c r="A282" s="225" t="s">
        <v>1214</v>
      </c>
      <c r="C282" s="2"/>
      <c r="D282" s="2"/>
      <c r="E282" s="2">
        <v>28287</v>
      </c>
      <c r="F282" s="2">
        <v>9000</v>
      </c>
      <c r="G282" s="2">
        <v>20000</v>
      </c>
      <c r="H282" s="2">
        <v>20000</v>
      </c>
      <c r="I282" s="2">
        <v>20000</v>
      </c>
      <c r="J282" s="2">
        <v>20000</v>
      </c>
    </row>
    <row r="283" spans="1:10" x14ac:dyDescent="0.2">
      <c r="A283" s="220" t="s">
        <v>1197</v>
      </c>
      <c r="B283" s="220" t="s">
        <v>349</v>
      </c>
      <c r="C283" s="2"/>
      <c r="D283" s="2">
        <v>5000</v>
      </c>
      <c r="E283" s="2"/>
      <c r="F283" s="2"/>
      <c r="G283" s="2"/>
      <c r="H283" s="2"/>
      <c r="I283" s="2"/>
      <c r="J283" s="2"/>
    </row>
    <row r="284" spans="1:10" ht="15" x14ac:dyDescent="0.35">
      <c r="A284" s="220" t="s">
        <v>1215</v>
      </c>
      <c r="C284" s="10"/>
      <c r="D284" s="10">
        <v>15000</v>
      </c>
      <c r="E284" s="2"/>
      <c r="F284" s="2"/>
      <c r="G284" s="2"/>
      <c r="H284" s="2"/>
      <c r="I284" s="2"/>
      <c r="J284" s="2"/>
    </row>
    <row r="285" spans="1:10" x14ac:dyDescent="0.2">
      <c r="A285" s="220" t="s">
        <v>1086</v>
      </c>
      <c r="C285" s="2"/>
      <c r="D285" s="2">
        <f>SUM(D283:D284)</f>
        <v>20000</v>
      </c>
      <c r="E285" s="2"/>
      <c r="F285" s="2"/>
      <c r="G285" s="2"/>
      <c r="H285" s="2"/>
      <c r="I285" s="2"/>
      <c r="J285" s="2"/>
    </row>
    <row r="286" spans="1:10" x14ac:dyDescent="0.2">
      <c r="C286" s="2" t="s">
        <v>349</v>
      </c>
      <c r="D286" s="2" t="s">
        <v>349</v>
      </c>
      <c r="E286" s="2"/>
      <c r="F286" s="2"/>
      <c r="G286" s="2"/>
      <c r="H286" s="2"/>
      <c r="I286" s="2"/>
      <c r="J286" s="2"/>
    </row>
    <row r="287" spans="1:10" ht="15.75" x14ac:dyDescent="0.25">
      <c r="A287" s="44" t="s">
        <v>1051</v>
      </c>
      <c r="B287" s="43"/>
      <c r="C287" s="52"/>
      <c r="D287" s="52"/>
      <c r="E287" s="25">
        <v>41357</v>
      </c>
      <c r="F287" s="25">
        <v>31500</v>
      </c>
      <c r="G287" s="25">
        <v>31000</v>
      </c>
      <c r="H287" s="25">
        <v>31000</v>
      </c>
      <c r="I287" s="25">
        <v>31000</v>
      </c>
      <c r="J287" s="25">
        <v>31000</v>
      </c>
    </row>
    <row r="288" spans="1:10" ht="15.75" x14ac:dyDescent="0.25">
      <c r="A288" s="24" t="s">
        <v>116</v>
      </c>
      <c r="B288" s="43"/>
      <c r="C288" s="25"/>
      <c r="D288" s="25">
        <v>500</v>
      </c>
      <c r="E288" s="25"/>
      <c r="F288" s="25"/>
      <c r="G288" s="25"/>
      <c r="H288" s="25"/>
      <c r="I288" s="25"/>
      <c r="J288" s="25"/>
    </row>
    <row r="289" spans="1:10" ht="15.75" x14ac:dyDescent="0.25">
      <c r="A289" s="24" t="s">
        <v>641</v>
      </c>
      <c r="B289" s="43"/>
      <c r="C289" s="25"/>
      <c r="D289" s="25">
        <v>7500</v>
      </c>
      <c r="E289" s="25"/>
      <c r="F289" s="25"/>
      <c r="G289" s="25"/>
      <c r="H289" s="25"/>
      <c r="I289" s="25"/>
      <c r="J289" s="25"/>
    </row>
    <row r="290" spans="1:10" ht="15.75" x14ac:dyDescent="0.25">
      <c r="A290" s="24" t="s">
        <v>943</v>
      </c>
      <c r="B290" s="43"/>
      <c r="C290" s="25"/>
      <c r="D290" s="25" t="s">
        <v>349</v>
      </c>
      <c r="E290" s="25"/>
      <c r="F290" s="25"/>
      <c r="G290" s="25"/>
      <c r="H290" s="25"/>
      <c r="I290" s="25"/>
      <c r="J290" s="25"/>
    </row>
    <row r="291" spans="1:10" ht="15.75" x14ac:dyDescent="0.25">
      <c r="A291" s="24" t="s">
        <v>171</v>
      </c>
      <c r="B291" s="43"/>
      <c r="C291" s="25"/>
      <c r="D291" s="25">
        <v>1510</v>
      </c>
      <c r="E291" s="25"/>
      <c r="F291" s="25"/>
      <c r="G291" s="25"/>
      <c r="H291" s="25"/>
      <c r="I291" s="25"/>
      <c r="J291" s="25"/>
    </row>
    <row r="292" spans="1:10" ht="15.75" x14ac:dyDescent="0.25">
      <c r="A292" s="24" t="s">
        <v>117</v>
      </c>
      <c r="B292" s="43"/>
      <c r="C292" s="25"/>
      <c r="D292" s="25">
        <v>5000</v>
      </c>
      <c r="E292" s="25"/>
      <c r="F292" s="25"/>
      <c r="G292" s="25"/>
      <c r="H292" s="25"/>
      <c r="I292" s="25"/>
      <c r="J292" s="25"/>
    </row>
    <row r="293" spans="1:10" ht="15.75" x14ac:dyDescent="0.25">
      <c r="A293" s="24" t="s">
        <v>64</v>
      </c>
      <c r="B293" s="43"/>
      <c r="C293" s="25"/>
      <c r="D293" s="25">
        <v>6940</v>
      </c>
      <c r="E293" s="25"/>
      <c r="F293" s="25"/>
      <c r="G293" s="25"/>
      <c r="H293" s="25"/>
      <c r="I293" s="25"/>
      <c r="J293" s="25"/>
    </row>
    <row r="294" spans="1:10" ht="15.75" x14ac:dyDescent="0.25">
      <c r="A294" s="24" t="s">
        <v>122</v>
      </c>
      <c r="B294" s="43"/>
      <c r="C294" s="25"/>
      <c r="D294" s="25">
        <v>3000</v>
      </c>
      <c r="E294" s="25"/>
      <c r="F294" s="25"/>
      <c r="G294" s="25"/>
      <c r="H294" s="25"/>
      <c r="I294" s="25"/>
      <c r="J294" s="25"/>
    </row>
    <row r="295" spans="1:10" ht="15.75" x14ac:dyDescent="0.25">
      <c r="A295" s="24" t="s">
        <v>172</v>
      </c>
      <c r="B295" s="43"/>
      <c r="C295" s="25"/>
      <c r="D295" s="25">
        <v>2000</v>
      </c>
      <c r="E295" s="25"/>
      <c r="F295" s="25"/>
      <c r="G295" s="25"/>
      <c r="H295" s="25"/>
      <c r="I295" s="25"/>
      <c r="J295" s="25"/>
    </row>
    <row r="296" spans="1:10" ht="15.75" x14ac:dyDescent="0.25">
      <c r="A296" s="24" t="s">
        <v>173</v>
      </c>
      <c r="B296" s="43"/>
      <c r="C296" s="25"/>
      <c r="D296" s="25">
        <v>7750</v>
      </c>
      <c r="E296" s="25"/>
      <c r="F296" s="25"/>
      <c r="G296" s="25"/>
      <c r="H296" s="25"/>
      <c r="I296" s="25"/>
      <c r="J296" s="25"/>
    </row>
    <row r="297" spans="1:10" ht="15.75" x14ac:dyDescent="0.25">
      <c r="A297" s="24" t="s">
        <v>174</v>
      </c>
      <c r="B297" s="43"/>
      <c r="C297" s="25"/>
      <c r="D297" s="25">
        <v>300</v>
      </c>
      <c r="E297" s="25"/>
      <c r="F297" s="25"/>
      <c r="G297" s="25"/>
      <c r="H297" s="25"/>
      <c r="I297" s="25"/>
      <c r="J297" s="25"/>
    </row>
    <row r="298" spans="1:10" ht="15.75" x14ac:dyDescent="0.25">
      <c r="A298" s="24" t="s">
        <v>1607</v>
      </c>
      <c r="B298" s="43"/>
      <c r="C298" s="25"/>
      <c r="D298" s="25">
        <v>1000</v>
      </c>
      <c r="E298" s="25"/>
      <c r="F298" s="25"/>
      <c r="G298" s="25"/>
      <c r="H298" s="25"/>
      <c r="I298" s="25"/>
      <c r="J298" s="25"/>
    </row>
    <row r="299" spans="1:10" ht="15.75" x14ac:dyDescent="0.25">
      <c r="A299" s="24" t="s">
        <v>1804</v>
      </c>
      <c r="B299" s="43"/>
      <c r="C299" s="25"/>
      <c r="D299" s="25">
        <v>0</v>
      </c>
      <c r="E299" s="25"/>
      <c r="F299" s="25"/>
      <c r="G299" s="25"/>
      <c r="H299" s="25"/>
      <c r="I299" s="25"/>
      <c r="J299" s="25"/>
    </row>
    <row r="300" spans="1:10" ht="15.75" x14ac:dyDescent="0.25">
      <c r="A300" s="24" t="s">
        <v>1723</v>
      </c>
      <c r="B300" s="43"/>
      <c r="C300" s="25"/>
      <c r="D300" s="25">
        <v>0</v>
      </c>
      <c r="E300" s="25"/>
      <c r="F300" s="25"/>
      <c r="G300" s="25"/>
      <c r="H300" s="25"/>
      <c r="I300" s="25"/>
      <c r="J300" s="25"/>
    </row>
    <row r="301" spans="1:10" ht="17.25" x14ac:dyDescent="0.35">
      <c r="A301" s="24" t="s">
        <v>1724</v>
      </c>
      <c r="B301" s="43"/>
      <c r="C301" s="50"/>
      <c r="D301" s="50">
        <v>3500</v>
      </c>
      <c r="E301" s="25"/>
      <c r="G301" s="2"/>
      <c r="H301" s="2"/>
      <c r="I301" s="2"/>
      <c r="J301" s="2"/>
    </row>
    <row r="302" spans="1:10" ht="15.75" x14ac:dyDescent="0.25">
      <c r="A302" s="24" t="s">
        <v>1086</v>
      </c>
      <c r="B302" s="43"/>
      <c r="C302" s="25"/>
      <c r="D302" s="25">
        <f>SUM(D291:D301)</f>
        <v>31000</v>
      </c>
      <c r="E302" s="25"/>
      <c r="I302" s="251"/>
      <c r="J302" s="256"/>
    </row>
    <row r="303" spans="1:10" x14ac:dyDescent="0.2">
      <c r="C303" s="2"/>
      <c r="D303" s="2"/>
      <c r="E303" s="2"/>
      <c r="F303" s="2"/>
      <c r="I303" s="251"/>
      <c r="J303" s="256"/>
    </row>
    <row r="304" spans="1:10" ht="13.5" x14ac:dyDescent="0.25">
      <c r="A304" s="225" t="s">
        <v>692</v>
      </c>
      <c r="C304" s="7" t="s">
        <v>349</v>
      </c>
      <c r="D304" s="7" t="s">
        <v>349</v>
      </c>
      <c r="E304" s="2">
        <v>8375</v>
      </c>
      <c r="F304" s="2">
        <v>12000</v>
      </c>
      <c r="G304" s="2">
        <v>12000</v>
      </c>
      <c r="H304" s="2">
        <v>12000</v>
      </c>
      <c r="I304" s="2">
        <v>12000</v>
      </c>
      <c r="J304" s="2">
        <v>12000</v>
      </c>
    </row>
    <row r="305" spans="1:10" x14ac:dyDescent="0.2">
      <c r="A305" s="220" t="s">
        <v>1200</v>
      </c>
      <c r="C305" s="2"/>
      <c r="D305" s="2">
        <v>12000</v>
      </c>
      <c r="E305" s="2"/>
      <c r="F305" s="2"/>
      <c r="G305" s="2"/>
      <c r="H305" s="2"/>
      <c r="I305" s="2"/>
      <c r="J305" s="2"/>
    </row>
    <row r="306" spans="1:10" x14ac:dyDescent="0.2">
      <c r="C306" s="2"/>
      <c r="D306" s="2"/>
      <c r="E306" s="2"/>
      <c r="F306" s="2"/>
      <c r="G306" s="2"/>
      <c r="H306" s="2"/>
      <c r="I306" s="2"/>
      <c r="J306" s="2"/>
    </row>
    <row r="307" spans="1:10" ht="13.5" x14ac:dyDescent="0.25">
      <c r="A307" s="225" t="s">
        <v>388</v>
      </c>
      <c r="C307" s="2"/>
      <c r="D307" s="2"/>
      <c r="E307" s="2">
        <v>0</v>
      </c>
      <c r="F307" s="2">
        <v>4000</v>
      </c>
      <c r="G307" s="2">
        <v>4000</v>
      </c>
      <c r="H307" s="2">
        <v>4000</v>
      </c>
      <c r="I307" s="2">
        <v>4000</v>
      </c>
      <c r="J307" s="2">
        <v>4000</v>
      </c>
    </row>
    <row r="308" spans="1:10" x14ac:dyDescent="0.2">
      <c r="A308" s="22" t="s">
        <v>1052</v>
      </c>
      <c r="C308" s="2"/>
      <c r="D308" s="2"/>
      <c r="E308" s="2"/>
      <c r="F308" s="2"/>
      <c r="G308" s="2"/>
      <c r="H308" s="2"/>
      <c r="I308" s="2"/>
      <c r="J308" s="2"/>
    </row>
    <row r="309" spans="1:10" x14ac:dyDescent="0.2">
      <c r="A309" s="220" t="s">
        <v>1053</v>
      </c>
      <c r="C309" s="2"/>
      <c r="D309" s="2">
        <v>4000</v>
      </c>
      <c r="E309" s="2"/>
      <c r="G309" s="2"/>
      <c r="H309" s="2"/>
      <c r="I309" s="2"/>
      <c r="J309" s="2"/>
    </row>
    <row r="310" spans="1:10" x14ac:dyDescent="0.2">
      <c r="C310" s="2"/>
      <c r="D310" s="2"/>
      <c r="E310" s="2"/>
      <c r="G310" s="2"/>
      <c r="H310" s="2"/>
      <c r="I310" s="2"/>
      <c r="J310" s="2"/>
    </row>
    <row r="311" spans="1:10" ht="13.5" x14ac:dyDescent="0.25">
      <c r="A311" s="225" t="s">
        <v>227</v>
      </c>
      <c r="C311" s="2"/>
      <c r="D311" s="2"/>
      <c r="E311" s="2">
        <v>1237</v>
      </c>
      <c r="F311" s="2">
        <v>4000</v>
      </c>
      <c r="G311" s="2">
        <v>4000</v>
      </c>
      <c r="H311" s="2">
        <v>4000</v>
      </c>
      <c r="I311" s="2">
        <v>4000</v>
      </c>
      <c r="J311" s="2">
        <v>4000</v>
      </c>
    </row>
    <row r="312" spans="1:10" x14ac:dyDescent="0.2">
      <c r="A312" s="5" t="s">
        <v>1495</v>
      </c>
      <c r="B312" s="5"/>
      <c r="C312" s="2"/>
      <c r="D312" s="2">
        <v>4000</v>
      </c>
      <c r="E312" s="2"/>
      <c r="F312" s="2"/>
      <c r="G312" s="2"/>
      <c r="H312" s="2"/>
      <c r="I312" s="2"/>
      <c r="J312" s="2"/>
    </row>
    <row r="313" spans="1:10" x14ac:dyDescent="0.2">
      <c r="A313" s="5" t="s">
        <v>1556</v>
      </c>
      <c r="B313" s="5"/>
      <c r="C313" s="2"/>
      <c r="D313" s="2"/>
      <c r="E313" s="2"/>
      <c r="F313" s="2"/>
      <c r="G313" s="2"/>
      <c r="H313" s="2"/>
      <c r="I313" s="2"/>
      <c r="J313" s="2"/>
    </row>
    <row r="314" spans="1:10" x14ac:dyDescent="0.2">
      <c r="A314" s="5"/>
      <c r="B314" s="5"/>
      <c r="C314" s="2"/>
      <c r="D314" s="2"/>
      <c r="E314" s="2"/>
      <c r="F314" s="2"/>
      <c r="G314" s="2"/>
      <c r="H314" s="2"/>
      <c r="I314" s="2"/>
      <c r="J314" s="2"/>
    </row>
    <row r="315" spans="1:10" ht="13.5" x14ac:dyDescent="0.25">
      <c r="A315" s="225" t="s">
        <v>575</v>
      </c>
      <c r="C315" s="2"/>
      <c r="D315" s="7" t="s">
        <v>349</v>
      </c>
      <c r="E315" s="2">
        <v>0</v>
      </c>
      <c r="F315" s="2">
        <v>31000</v>
      </c>
      <c r="G315" s="2">
        <v>31000</v>
      </c>
      <c r="H315" s="2">
        <v>1000</v>
      </c>
      <c r="I315" s="2">
        <v>1000</v>
      </c>
      <c r="J315" s="2">
        <v>1000</v>
      </c>
    </row>
    <row r="316" spans="1:10" x14ac:dyDescent="0.2">
      <c r="A316" s="5" t="s">
        <v>1496</v>
      </c>
      <c r="C316" s="2"/>
      <c r="D316" s="7">
        <v>1000</v>
      </c>
      <c r="F316" s="2"/>
      <c r="G316" s="2"/>
      <c r="H316" s="2"/>
      <c r="I316" s="2"/>
      <c r="J316" s="2"/>
    </row>
    <row r="317" spans="1:10" x14ac:dyDescent="0.2">
      <c r="A317" s="5" t="s">
        <v>1922</v>
      </c>
      <c r="C317" s="2"/>
      <c r="D317" s="150">
        <v>0</v>
      </c>
      <c r="F317" s="2"/>
      <c r="G317" s="2"/>
      <c r="H317" s="2"/>
      <c r="I317" s="2"/>
      <c r="J317" s="2"/>
    </row>
    <row r="318" spans="1:10" x14ac:dyDescent="0.2">
      <c r="C318" s="7"/>
      <c r="D318" s="2">
        <f>SUM(D316:D317)</f>
        <v>1000</v>
      </c>
      <c r="E318" s="2"/>
      <c r="F318" s="2"/>
      <c r="G318" s="2"/>
      <c r="H318" s="2"/>
      <c r="I318" s="2"/>
      <c r="J318" s="2"/>
    </row>
    <row r="319" spans="1:10" x14ac:dyDescent="0.2">
      <c r="C319" s="7"/>
      <c r="D319" s="2"/>
      <c r="E319" s="2"/>
      <c r="F319" s="2"/>
      <c r="G319" s="2"/>
      <c r="H319" s="2"/>
      <c r="I319" s="2"/>
      <c r="J319" s="2"/>
    </row>
    <row r="320" spans="1:10" ht="13.5" x14ac:dyDescent="0.25">
      <c r="A320" s="225" t="s">
        <v>1514</v>
      </c>
      <c r="C320" s="7"/>
      <c r="D320" s="2"/>
      <c r="E320" s="2">
        <v>2713</v>
      </c>
      <c r="F320" s="2">
        <v>0</v>
      </c>
      <c r="G320" s="2">
        <v>0</v>
      </c>
      <c r="H320" s="2">
        <v>0</v>
      </c>
      <c r="I320" s="2">
        <v>0</v>
      </c>
      <c r="J320" s="2">
        <v>0</v>
      </c>
    </row>
    <row r="321" spans="1:10" x14ac:dyDescent="0.2">
      <c r="C321" s="7"/>
      <c r="D321" s="33">
        <v>0</v>
      </c>
      <c r="E321" s="2"/>
      <c r="F321" s="2"/>
      <c r="G321" s="2"/>
      <c r="H321" s="2"/>
      <c r="I321" s="2"/>
      <c r="J321" s="2"/>
    </row>
    <row r="322" spans="1:10" x14ac:dyDescent="0.2">
      <c r="C322" s="7"/>
      <c r="D322" s="2">
        <f>SUM(D321:D321)</f>
        <v>0</v>
      </c>
      <c r="E322" s="2"/>
      <c r="F322" s="2"/>
      <c r="G322" s="2"/>
      <c r="H322" s="2"/>
      <c r="I322" s="2"/>
      <c r="J322" s="2"/>
    </row>
    <row r="323" spans="1:10" x14ac:dyDescent="0.2">
      <c r="C323" s="7"/>
      <c r="D323" s="2"/>
      <c r="E323" s="2"/>
      <c r="F323" s="2"/>
      <c r="G323" s="2"/>
      <c r="H323" s="2"/>
      <c r="I323" s="2"/>
      <c r="J323" s="2"/>
    </row>
    <row r="324" spans="1:10" ht="13.5" x14ac:dyDescent="0.25">
      <c r="A324" s="225" t="s">
        <v>1506</v>
      </c>
      <c r="C324" s="2"/>
      <c r="D324" s="7" t="s">
        <v>349</v>
      </c>
      <c r="E324" s="2">
        <v>892837</v>
      </c>
      <c r="F324" s="2">
        <v>1390000</v>
      </c>
      <c r="G324" s="2">
        <v>1440000</v>
      </c>
      <c r="H324" s="2">
        <v>1440000</v>
      </c>
      <c r="I324" s="2">
        <v>1240000</v>
      </c>
      <c r="J324" s="2">
        <v>1240000</v>
      </c>
    </row>
    <row r="325" spans="1:10" x14ac:dyDescent="0.2">
      <c r="A325" s="22" t="s">
        <v>2120</v>
      </c>
      <c r="C325" s="2"/>
      <c r="D325" s="7">
        <v>0</v>
      </c>
      <c r="E325" s="2"/>
      <c r="F325" s="2"/>
      <c r="G325" s="2"/>
      <c r="H325" s="2"/>
      <c r="I325" s="2"/>
      <c r="J325" s="2"/>
    </row>
    <row r="326" spans="1:10" x14ac:dyDescent="0.2">
      <c r="A326" s="220" t="s">
        <v>184</v>
      </c>
      <c r="B326" s="2"/>
      <c r="D326" s="2">
        <v>1115000</v>
      </c>
      <c r="E326" s="2"/>
      <c r="F326" s="2"/>
      <c r="G326" s="2"/>
      <c r="H326" s="2"/>
      <c r="I326" s="2"/>
      <c r="J326" s="2"/>
    </row>
    <row r="327" spans="1:10" ht="15" x14ac:dyDescent="0.35">
      <c r="A327" s="220" t="s">
        <v>52</v>
      </c>
      <c r="B327" s="2"/>
      <c r="D327" s="10">
        <v>125000</v>
      </c>
      <c r="E327" s="2"/>
      <c r="F327" s="2"/>
      <c r="G327" s="2"/>
      <c r="H327" s="2"/>
      <c r="I327" s="2"/>
      <c r="J327" s="2"/>
    </row>
    <row r="328" spans="1:10" x14ac:dyDescent="0.2">
      <c r="A328" s="220" t="s">
        <v>1086</v>
      </c>
      <c r="B328" s="2"/>
      <c r="D328" s="2">
        <f>SUM(D325:D327)</f>
        <v>1240000</v>
      </c>
      <c r="E328" s="2"/>
      <c r="F328" s="2"/>
      <c r="G328" s="2"/>
      <c r="H328" s="2"/>
      <c r="I328" s="2"/>
      <c r="J328" s="2"/>
    </row>
    <row r="329" spans="1:10" x14ac:dyDescent="0.2">
      <c r="B329" s="2"/>
      <c r="D329" s="2"/>
      <c r="E329" s="2"/>
      <c r="F329" s="2"/>
      <c r="G329" s="2"/>
      <c r="H329" s="2"/>
      <c r="I329" s="2"/>
      <c r="J329" s="2"/>
    </row>
    <row r="330" spans="1:10" ht="13.5" x14ac:dyDescent="0.25">
      <c r="A330" s="225" t="s">
        <v>671</v>
      </c>
      <c r="C330" s="2"/>
      <c r="D330" s="2"/>
      <c r="E330" s="2">
        <v>24408</v>
      </c>
      <c r="F330" s="2">
        <v>24000</v>
      </c>
      <c r="G330" s="2">
        <v>43000</v>
      </c>
      <c r="H330" s="2">
        <v>43000</v>
      </c>
      <c r="I330" s="2">
        <v>31000</v>
      </c>
      <c r="J330" s="2">
        <v>31000</v>
      </c>
    </row>
    <row r="331" spans="1:10" ht="15" x14ac:dyDescent="0.35">
      <c r="A331" s="39" t="s">
        <v>1947</v>
      </c>
      <c r="B331" s="10"/>
      <c r="C331" s="10"/>
      <c r="D331" s="3">
        <v>0</v>
      </c>
      <c r="E331" s="2"/>
      <c r="F331" s="2"/>
      <c r="G331" s="2"/>
      <c r="H331" s="2"/>
      <c r="I331" s="2"/>
      <c r="J331" s="2"/>
    </row>
    <row r="332" spans="1:10" ht="15" x14ac:dyDescent="0.35">
      <c r="A332" s="39" t="s">
        <v>1946</v>
      </c>
      <c r="B332" s="10"/>
      <c r="C332" s="10"/>
      <c r="D332" s="3">
        <v>0</v>
      </c>
      <c r="E332" s="2"/>
      <c r="F332" s="2"/>
      <c r="G332" s="2"/>
      <c r="H332" s="2"/>
      <c r="I332" s="2"/>
      <c r="J332" s="2"/>
    </row>
    <row r="333" spans="1:10" ht="15" x14ac:dyDescent="0.35">
      <c r="A333" s="39" t="s">
        <v>2121</v>
      </c>
      <c r="B333" s="10"/>
      <c r="C333" s="10"/>
      <c r="D333" s="3">
        <v>31000</v>
      </c>
      <c r="E333" s="2"/>
      <c r="F333" s="2"/>
      <c r="G333" s="2"/>
      <c r="H333" s="2"/>
      <c r="I333" s="2"/>
      <c r="J333" s="2"/>
    </row>
    <row r="334" spans="1:10" ht="15" x14ac:dyDescent="0.35">
      <c r="A334" s="39" t="s">
        <v>1923</v>
      </c>
      <c r="B334" s="10"/>
      <c r="C334" s="10"/>
      <c r="D334" s="33">
        <v>0</v>
      </c>
      <c r="E334" s="2"/>
      <c r="F334" s="2"/>
      <c r="G334" s="2"/>
      <c r="H334" s="2"/>
      <c r="I334" s="2"/>
      <c r="J334" s="2"/>
    </row>
    <row r="335" spans="1:10" x14ac:dyDescent="0.2">
      <c r="A335" s="39"/>
      <c r="B335" s="2"/>
      <c r="C335" s="2"/>
      <c r="D335" s="2">
        <f>SUM(D331:D334)</f>
        <v>31000</v>
      </c>
      <c r="E335" s="2"/>
      <c r="F335" s="2"/>
      <c r="G335" s="2"/>
      <c r="H335" s="2"/>
      <c r="I335" s="2"/>
      <c r="J335" s="2"/>
    </row>
    <row r="336" spans="1:10" x14ac:dyDescent="0.2">
      <c r="A336" s="22"/>
      <c r="C336" s="2"/>
      <c r="D336" s="2"/>
      <c r="E336" s="2"/>
      <c r="F336" s="2"/>
      <c r="G336" s="2"/>
      <c r="H336" s="2"/>
      <c r="I336" s="2"/>
      <c r="J336" s="2"/>
    </row>
    <row r="337" spans="1:10" ht="15" x14ac:dyDescent="0.35">
      <c r="A337" s="225" t="s">
        <v>672</v>
      </c>
      <c r="B337" s="221" t="s">
        <v>1759</v>
      </c>
      <c r="C337" s="221" t="s">
        <v>1857</v>
      </c>
      <c r="D337" s="221" t="s">
        <v>1966</v>
      </c>
      <c r="E337" s="2">
        <v>905000</v>
      </c>
      <c r="F337" s="2">
        <v>1000000</v>
      </c>
      <c r="G337" s="2">
        <v>1000000</v>
      </c>
      <c r="H337" s="2">
        <v>1000000</v>
      </c>
      <c r="I337" s="2">
        <v>1000000</v>
      </c>
      <c r="J337" s="2">
        <v>1000000</v>
      </c>
    </row>
    <row r="338" spans="1:10" x14ac:dyDescent="0.2">
      <c r="A338" s="220" t="s">
        <v>937</v>
      </c>
      <c r="B338" s="2">
        <v>400000</v>
      </c>
      <c r="C338" s="2">
        <v>400000</v>
      </c>
      <c r="D338" s="2">
        <v>400000</v>
      </c>
      <c r="F338" s="2"/>
      <c r="G338" s="2"/>
      <c r="H338" s="2"/>
      <c r="I338" s="2"/>
      <c r="J338" s="2"/>
    </row>
    <row r="339" spans="1:10" x14ac:dyDescent="0.2">
      <c r="A339" s="220" t="s">
        <v>1497</v>
      </c>
      <c r="B339" s="2">
        <v>5000</v>
      </c>
      <c r="C339" s="2">
        <v>5000</v>
      </c>
      <c r="D339" s="2">
        <v>5000</v>
      </c>
      <c r="F339" s="2"/>
      <c r="G339" s="2"/>
      <c r="H339" s="2"/>
      <c r="I339" s="2"/>
      <c r="J339" s="2"/>
    </row>
    <row r="340" spans="1:10" x14ac:dyDescent="0.2">
      <c r="A340" s="220" t="s">
        <v>691</v>
      </c>
      <c r="B340" s="2">
        <v>50000</v>
      </c>
      <c r="C340" s="2">
        <v>50000</v>
      </c>
      <c r="D340" s="2">
        <v>50000</v>
      </c>
      <c r="F340" s="2"/>
      <c r="G340" s="2"/>
      <c r="H340" s="2"/>
      <c r="I340" s="2"/>
      <c r="J340" s="2"/>
    </row>
    <row r="341" spans="1:10" x14ac:dyDescent="0.2">
      <c r="A341" s="220" t="s">
        <v>1507</v>
      </c>
      <c r="B341" s="17">
        <v>450000</v>
      </c>
      <c r="C341" s="17">
        <v>545000</v>
      </c>
      <c r="D341" s="17">
        <v>545000</v>
      </c>
      <c r="F341" s="2"/>
      <c r="G341" s="2"/>
      <c r="H341" s="2"/>
      <c r="I341" s="2"/>
      <c r="J341" s="2"/>
    </row>
    <row r="342" spans="1:10" x14ac:dyDescent="0.2">
      <c r="A342" s="220" t="s">
        <v>1086</v>
      </c>
      <c r="B342" s="2">
        <f>SUM(B338:B341)</f>
        <v>905000</v>
      </c>
      <c r="C342" s="2">
        <f>SUM(C338:C341)</f>
        <v>1000000</v>
      </c>
      <c r="D342" s="2">
        <f>SUM(D338:D341)</f>
        <v>1000000</v>
      </c>
      <c r="F342" s="2"/>
      <c r="G342" s="2"/>
      <c r="H342" s="2"/>
      <c r="I342" s="2"/>
      <c r="J342" s="2"/>
    </row>
    <row r="343" spans="1:10" x14ac:dyDescent="0.2">
      <c r="B343" s="2"/>
      <c r="C343" s="2"/>
      <c r="D343" s="2"/>
      <c r="F343" s="95"/>
      <c r="G343" s="2"/>
      <c r="H343" s="2"/>
      <c r="I343" s="2"/>
      <c r="J343" s="2"/>
    </row>
    <row r="344" spans="1:10" ht="15" x14ac:dyDescent="0.35">
      <c r="A344" s="225" t="s">
        <v>1157</v>
      </c>
      <c r="B344" s="221" t="s">
        <v>1759</v>
      </c>
      <c r="C344" s="221" t="s">
        <v>1857</v>
      </c>
      <c r="D344" s="221" t="s">
        <v>1966</v>
      </c>
      <c r="E344" s="2">
        <v>4092297</v>
      </c>
      <c r="F344" s="95">
        <v>0</v>
      </c>
      <c r="G344" s="2">
        <v>0</v>
      </c>
      <c r="H344" s="2">
        <v>0</v>
      </c>
      <c r="I344" s="2">
        <v>0</v>
      </c>
      <c r="J344" s="2">
        <v>0</v>
      </c>
    </row>
    <row r="345" spans="1:10" ht="15" x14ac:dyDescent="0.35">
      <c r="A345" s="38" t="s">
        <v>1945</v>
      </c>
      <c r="B345" s="2"/>
      <c r="C345" s="2"/>
      <c r="D345" s="2"/>
      <c r="E345" s="10"/>
      <c r="F345" s="95"/>
      <c r="G345" s="2"/>
      <c r="H345" s="2"/>
      <c r="I345" s="2"/>
      <c r="J345" s="2"/>
    </row>
    <row r="346" spans="1:10" ht="15" x14ac:dyDescent="0.35">
      <c r="A346" s="39" t="s">
        <v>1840</v>
      </c>
      <c r="B346" s="42">
        <v>15000</v>
      </c>
      <c r="C346" s="42"/>
      <c r="D346" s="2"/>
      <c r="E346" s="10"/>
      <c r="F346" s="2"/>
      <c r="G346" s="42"/>
      <c r="H346" s="42"/>
      <c r="I346" s="42"/>
      <c r="J346" s="42"/>
    </row>
    <row r="347" spans="1:10" ht="15" x14ac:dyDescent="0.35">
      <c r="A347" s="39" t="s">
        <v>1805</v>
      </c>
      <c r="B347" s="2">
        <v>300000</v>
      </c>
      <c r="C347" s="2"/>
      <c r="D347" s="2"/>
      <c r="E347" s="10"/>
      <c r="F347" s="2"/>
      <c r="G347" s="2"/>
      <c r="H347" s="2"/>
      <c r="I347" s="2"/>
      <c r="J347" s="2"/>
    </row>
    <row r="348" spans="1:10" ht="15" x14ac:dyDescent="0.35">
      <c r="A348" s="39" t="s">
        <v>1806</v>
      </c>
      <c r="B348" s="2">
        <v>35000</v>
      </c>
      <c r="C348" s="2"/>
      <c r="D348" s="2"/>
      <c r="E348" s="10"/>
      <c r="F348" s="2"/>
      <c r="G348" s="2"/>
      <c r="H348" s="2"/>
      <c r="I348" s="2"/>
      <c r="J348" s="2"/>
    </row>
    <row r="349" spans="1:10" ht="15" x14ac:dyDescent="0.35">
      <c r="A349" s="39" t="s">
        <v>1807</v>
      </c>
      <c r="B349" s="2">
        <v>180000</v>
      </c>
      <c r="C349" s="2"/>
      <c r="D349" s="2"/>
      <c r="E349" s="10"/>
      <c r="F349" s="2"/>
      <c r="G349" s="2"/>
      <c r="H349" s="2"/>
      <c r="I349" s="2"/>
      <c r="J349" s="2"/>
    </row>
    <row r="350" spans="1:10" ht="15" x14ac:dyDescent="0.35">
      <c r="A350" s="39" t="s">
        <v>1808</v>
      </c>
      <c r="B350" s="2">
        <v>180000</v>
      </c>
      <c r="C350" s="2"/>
      <c r="D350" s="2"/>
      <c r="E350" s="10"/>
      <c r="F350" s="2"/>
      <c r="G350" s="2"/>
      <c r="H350" s="2"/>
      <c r="I350" s="2"/>
      <c r="J350" s="2"/>
    </row>
    <row r="351" spans="1:10" ht="15" x14ac:dyDescent="0.35">
      <c r="A351" s="39" t="s">
        <v>1809</v>
      </c>
      <c r="B351" s="2">
        <v>15000</v>
      </c>
      <c r="C351" s="2"/>
      <c r="D351" s="2"/>
      <c r="E351" s="10"/>
      <c r="F351" s="2"/>
      <c r="G351" s="2"/>
      <c r="H351" s="2"/>
      <c r="I351" s="2"/>
      <c r="J351" s="2"/>
    </row>
    <row r="352" spans="1:10" ht="15" x14ac:dyDescent="0.35">
      <c r="A352" s="220" t="s">
        <v>1617</v>
      </c>
      <c r="B352" s="10">
        <v>5000</v>
      </c>
      <c r="C352" s="10">
        <v>0</v>
      </c>
      <c r="D352" s="10">
        <v>0</v>
      </c>
      <c r="E352" s="10">
        <v>0</v>
      </c>
      <c r="F352" s="10">
        <v>0</v>
      </c>
      <c r="G352" s="10">
        <v>0</v>
      </c>
      <c r="H352" s="10">
        <v>0</v>
      </c>
      <c r="I352" s="10">
        <v>0</v>
      </c>
      <c r="J352" s="10">
        <v>0</v>
      </c>
    </row>
    <row r="353" spans="1:11" ht="15" x14ac:dyDescent="0.35">
      <c r="A353" s="39"/>
      <c r="B353" s="10"/>
      <c r="C353" s="10"/>
      <c r="D353" s="10"/>
      <c r="E353" s="2"/>
      <c r="F353" s="2"/>
      <c r="G353" s="2"/>
      <c r="H353" s="2"/>
      <c r="I353" s="2"/>
      <c r="J353" s="2"/>
    </row>
    <row r="354" spans="1:11" x14ac:dyDescent="0.2">
      <c r="A354" s="220" t="s">
        <v>1086</v>
      </c>
      <c r="B354" s="42">
        <f>SUM(B342:B352)</f>
        <v>1635000</v>
      </c>
      <c r="C354" s="42">
        <f>SUM(C342:C352)</f>
        <v>1000000</v>
      </c>
      <c r="D354" s="42">
        <f>SUM(D342:D352)</f>
        <v>1000000</v>
      </c>
      <c r="E354" s="42"/>
      <c r="F354" s="42"/>
      <c r="G354" s="42"/>
      <c r="H354" s="42"/>
      <c r="I354" s="42"/>
      <c r="J354" s="42"/>
    </row>
    <row r="355" spans="1:11" ht="15" x14ac:dyDescent="0.35">
      <c r="C355" s="10"/>
      <c r="D355" s="2"/>
    </row>
    <row r="356" spans="1:11" x14ac:dyDescent="0.2">
      <c r="A356" s="19" t="s">
        <v>1167</v>
      </c>
      <c r="C356" s="2"/>
      <c r="D356" s="63"/>
      <c r="E356" s="2">
        <f t="shared" ref="E356:J356" si="4">SUM(E6:E347)</f>
        <v>8491934</v>
      </c>
      <c r="F356" s="2">
        <f t="shared" si="4"/>
        <v>5251798</v>
      </c>
      <c r="G356" s="2">
        <f t="shared" si="4"/>
        <v>5527285</v>
      </c>
      <c r="H356" s="2">
        <f t="shared" si="4"/>
        <v>5412852</v>
      </c>
      <c r="I356" s="2">
        <f t="shared" si="4"/>
        <v>5182974</v>
      </c>
      <c r="J356" s="2">
        <f t="shared" si="4"/>
        <v>5182974</v>
      </c>
    </row>
    <row r="357" spans="1:11" x14ac:dyDescent="0.2">
      <c r="A357" s="19"/>
      <c r="C357" s="2"/>
      <c r="D357" s="63"/>
      <c r="E357" s="2"/>
      <c r="F357" s="2"/>
      <c r="G357" s="2"/>
      <c r="H357" s="2"/>
      <c r="I357" s="2"/>
      <c r="J357" s="2"/>
    </row>
    <row r="358" spans="1:11" x14ac:dyDescent="0.2">
      <c r="A358" s="220" t="s">
        <v>523</v>
      </c>
      <c r="C358" s="63"/>
      <c r="D358" s="63"/>
      <c r="E358" s="2">
        <f>SUM(E6:E113)</f>
        <v>1810722</v>
      </c>
      <c r="F358" s="2">
        <f>SUM(F6:F113)</f>
        <v>1970255</v>
      </c>
      <c r="G358" s="2">
        <f>SUM(G6:G114)</f>
        <v>2114238</v>
      </c>
      <c r="H358" s="2">
        <f>SUM(H6:H114)</f>
        <v>2109005</v>
      </c>
      <c r="I358" s="2">
        <f>SUM(I6:I114)</f>
        <v>2111127</v>
      </c>
      <c r="J358" s="2">
        <f>SUM(J6:J114)</f>
        <v>2111127</v>
      </c>
      <c r="K358" s="2"/>
    </row>
    <row r="359" spans="1:11" x14ac:dyDescent="0.2">
      <c r="A359" s="220" t="s">
        <v>818</v>
      </c>
      <c r="C359" s="63"/>
      <c r="D359" s="63"/>
      <c r="E359" s="2">
        <f>SUM(E115:E312)</f>
        <v>763957</v>
      </c>
      <c r="F359" s="2">
        <f>SUM(F115:F311)</f>
        <v>836543</v>
      </c>
      <c r="G359" s="2">
        <f>SUM(G115:G311)</f>
        <v>899047</v>
      </c>
      <c r="H359" s="2">
        <f>SUM(H115:H308)</f>
        <v>815847</v>
      </c>
      <c r="I359" s="2">
        <f>SUM(I115:I308)</f>
        <v>795847</v>
      </c>
      <c r="J359" s="2">
        <f>SUM(J115:J308)</f>
        <v>795847</v>
      </c>
      <c r="K359" s="2">
        <f>+H359-F359</f>
        <v>-20696</v>
      </c>
    </row>
    <row r="360" spans="1:11" ht="15" x14ac:dyDescent="0.35">
      <c r="A360" s="220" t="s">
        <v>819</v>
      </c>
      <c r="E360" s="10">
        <f>SUM(E315:E344)</f>
        <v>5917255</v>
      </c>
      <c r="F360" s="10">
        <f>SUM(F314:F344)</f>
        <v>2445000</v>
      </c>
      <c r="G360" s="10">
        <f>SUM(G315:G352)</f>
        <v>2514000</v>
      </c>
      <c r="H360" s="10">
        <f>SUM(H309:H342)</f>
        <v>2488000</v>
      </c>
      <c r="I360" s="10">
        <f>SUM(I309:I342)</f>
        <v>2276000</v>
      </c>
      <c r="J360" s="10">
        <f>SUM(J309:J342)</f>
        <v>2276000</v>
      </c>
    </row>
    <row r="361" spans="1:11" x14ac:dyDescent="0.2">
      <c r="A361" s="220" t="s">
        <v>1086</v>
      </c>
      <c r="E361" s="2">
        <f t="shared" ref="E361:J361" si="5">SUM(E358:E360)</f>
        <v>8491934</v>
      </c>
      <c r="F361" s="2">
        <f t="shared" si="5"/>
        <v>5251798</v>
      </c>
      <c r="G361" s="2">
        <f t="shared" si="5"/>
        <v>5527285</v>
      </c>
      <c r="H361" s="2">
        <f t="shared" si="5"/>
        <v>5412852</v>
      </c>
      <c r="I361" s="2">
        <f t="shared" si="5"/>
        <v>5182974</v>
      </c>
      <c r="J361" s="2">
        <f t="shared" si="5"/>
        <v>5182974</v>
      </c>
    </row>
    <row r="364" spans="1:11" x14ac:dyDescent="0.2">
      <c r="I364" s="220">
        <v>6409791</v>
      </c>
    </row>
    <row r="365" spans="1:11" x14ac:dyDescent="0.2">
      <c r="I365" s="2">
        <f>+I364-I361</f>
        <v>1226817</v>
      </c>
    </row>
    <row r="366" spans="1:11" x14ac:dyDescent="0.2">
      <c r="I366" s="2">
        <f>+I364-H361</f>
        <v>996939</v>
      </c>
    </row>
  </sheetData>
  <mergeCells count="1">
    <mergeCell ref="A1:J1"/>
  </mergeCells>
  <phoneticPr fontId="0" type="noConversion"/>
  <printOptions gridLines="1"/>
  <pageMargins left="0.75" right="0.16" top="0.51" bottom="0.22" header="0.5" footer="0"/>
  <pageSetup scale="83" fitToHeight="25" orientation="landscape" r:id="rId1"/>
  <headerFooter alignWithMargins="0"/>
  <rowBreaks count="6" manualBreakCount="6">
    <brk id="127" max="9" man="1"/>
    <brk id="169" max="9" man="1"/>
    <brk id="213" max="9" man="1"/>
    <brk id="259" max="9" man="1"/>
    <brk id="302" max="9" man="1"/>
    <brk id="336"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261"/>
  <sheetViews>
    <sheetView view="pageBreakPreview" zoomScaleNormal="100" zoomScaleSheetLayoutView="100" workbookViewId="0">
      <selection sqref="A1:J1"/>
    </sheetView>
  </sheetViews>
  <sheetFormatPr defaultColWidth="8.85546875" defaultRowHeight="12.75" x14ac:dyDescent="0.2"/>
  <cols>
    <col min="1" max="1" width="50" style="220" bestFit="1" customWidth="1"/>
    <col min="2" max="2" width="8.85546875" style="220" customWidth="1"/>
    <col min="3" max="3" width="9" style="220" bestFit="1" customWidth="1"/>
    <col min="4" max="4" width="11.42578125" style="2" bestFit="1" customWidth="1"/>
    <col min="5" max="5" width="10.42578125" style="220" bestFit="1" customWidth="1"/>
    <col min="6" max="6" width="10.28515625" style="220" bestFit="1" customWidth="1"/>
    <col min="7" max="7" width="10.85546875" style="220" bestFit="1" customWidth="1"/>
    <col min="8" max="8" width="14" style="2" customWidth="1"/>
    <col min="9" max="9" width="10.28515625" style="220" bestFit="1" customWidth="1"/>
    <col min="10" max="10" width="10.85546875" style="220" customWidth="1"/>
    <col min="11" max="16384" width="8.85546875" style="220"/>
  </cols>
  <sheetData>
    <row r="1" spans="1:10" x14ac:dyDescent="0.2">
      <c r="A1" s="261" t="s">
        <v>1965</v>
      </c>
      <c r="B1" s="262"/>
      <c r="C1" s="262"/>
      <c r="D1" s="262"/>
      <c r="E1" s="262"/>
      <c r="F1" s="262"/>
      <c r="G1" s="262"/>
      <c r="H1" s="262"/>
      <c r="I1" s="262"/>
      <c r="J1" s="262"/>
    </row>
    <row r="2" spans="1:10" ht="18.75" x14ac:dyDescent="0.3">
      <c r="A2" s="107" t="s">
        <v>1639</v>
      </c>
      <c r="B2" s="107"/>
      <c r="C2" s="107"/>
      <c r="D2" s="107"/>
      <c r="E2" s="107"/>
      <c r="F2" s="107"/>
    </row>
    <row r="3" spans="1:10" x14ac:dyDescent="0.2">
      <c r="B3" s="2"/>
      <c r="C3" s="2"/>
      <c r="E3" s="2"/>
      <c r="F3" s="2"/>
    </row>
    <row r="4" spans="1:10" x14ac:dyDescent="0.2">
      <c r="B4" s="2"/>
      <c r="C4" s="2"/>
      <c r="E4" s="15" t="s">
        <v>207</v>
      </c>
      <c r="F4" s="15" t="s">
        <v>208</v>
      </c>
      <c r="G4" s="15" t="s">
        <v>63</v>
      </c>
      <c r="H4" s="15" t="s">
        <v>362</v>
      </c>
      <c r="I4" s="15" t="s">
        <v>274</v>
      </c>
      <c r="J4" s="15" t="s">
        <v>305</v>
      </c>
    </row>
    <row r="5" spans="1:10" ht="15" x14ac:dyDescent="0.35">
      <c r="B5" s="2"/>
      <c r="C5" s="2"/>
      <c r="E5" s="221" t="s">
        <v>1759</v>
      </c>
      <c r="F5" s="221" t="s">
        <v>1857</v>
      </c>
      <c r="G5" s="221" t="s">
        <v>1966</v>
      </c>
      <c r="H5" s="221" t="s">
        <v>1966</v>
      </c>
      <c r="I5" s="221" t="s">
        <v>1966</v>
      </c>
      <c r="J5" s="221" t="s">
        <v>1966</v>
      </c>
    </row>
    <row r="6" spans="1:10" ht="13.5" x14ac:dyDescent="0.25">
      <c r="A6" s="225" t="s">
        <v>462</v>
      </c>
      <c r="B6" s="2"/>
      <c r="C6" s="2"/>
      <c r="E6" s="2">
        <v>111229</v>
      </c>
      <c r="F6" s="2">
        <v>111075</v>
      </c>
      <c r="G6" s="2">
        <v>115371</v>
      </c>
      <c r="H6" s="2">
        <v>115371</v>
      </c>
      <c r="I6" s="2">
        <v>115371</v>
      </c>
      <c r="J6" s="2">
        <v>115371</v>
      </c>
    </row>
    <row r="7" spans="1:10" x14ac:dyDescent="0.2">
      <c r="A7" s="220" t="s">
        <v>878</v>
      </c>
      <c r="B7" s="2">
        <v>52</v>
      </c>
      <c r="C7" s="2">
        <v>1248</v>
      </c>
      <c r="D7" s="2">
        <f>ROUND(B7*C7,0)</f>
        <v>64896</v>
      </c>
      <c r="E7" s="2"/>
      <c r="F7" s="2"/>
      <c r="G7" s="2"/>
      <c r="I7" s="2"/>
      <c r="J7" s="2"/>
    </row>
    <row r="8" spans="1:10" x14ac:dyDescent="0.2">
      <c r="A8" s="220" t="s">
        <v>879</v>
      </c>
      <c r="B8" s="2">
        <v>52</v>
      </c>
      <c r="C8" s="2">
        <v>859</v>
      </c>
      <c r="D8" s="2">
        <f>ROUND(B8*C8,0)</f>
        <v>44668</v>
      </c>
      <c r="E8" s="2"/>
      <c r="F8" s="2"/>
      <c r="G8" s="2"/>
      <c r="I8" s="2"/>
      <c r="J8" s="2"/>
    </row>
    <row r="9" spans="1:10" x14ac:dyDescent="0.2">
      <c r="A9" s="220" t="s">
        <v>821</v>
      </c>
      <c r="B9" s="2">
        <v>56</v>
      </c>
      <c r="C9" s="11">
        <f>+C7/40</f>
        <v>31.2</v>
      </c>
      <c r="D9" s="2">
        <f>ROUND(B9*C9,0)</f>
        <v>1747</v>
      </c>
      <c r="E9" s="2"/>
      <c r="F9" s="2"/>
      <c r="G9" s="2"/>
      <c r="I9" s="2"/>
      <c r="J9" s="2"/>
    </row>
    <row r="10" spans="1:10" x14ac:dyDescent="0.2">
      <c r="A10" s="220" t="s">
        <v>822</v>
      </c>
      <c r="B10" s="2">
        <v>56</v>
      </c>
      <c r="C10" s="11">
        <f>+C8/40</f>
        <v>21.475000000000001</v>
      </c>
      <c r="D10" s="2">
        <f>ROUND(B10*C10,0)</f>
        <v>1203</v>
      </c>
      <c r="E10" s="2"/>
      <c r="F10" s="2"/>
      <c r="G10" s="2"/>
      <c r="I10" s="2"/>
      <c r="J10" s="2"/>
    </row>
    <row r="11" spans="1:10" x14ac:dyDescent="0.2">
      <c r="A11" s="2" t="s">
        <v>2139</v>
      </c>
      <c r="B11" s="2">
        <v>1</v>
      </c>
      <c r="C11" s="11">
        <f>SUM(C7:C8)</f>
        <v>2107</v>
      </c>
      <c r="D11" s="2">
        <f t="shared" ref="D11" si="0">ROUND(B11*C11,0)</f>
        <v>2107</v>
      </c>
      <c r="E11" s="2"/>
      <c r="F11" s="2"/>
      <c r="G11" s="2"/>
      <c r="I11" s="2"/>
      <c r="J11" s="2"/>
    </row>
    <row r="12" spans="1:10" ht="15" x14ac:dyDescent="0.35">
      <c r="A12" s="220" t="s">
        <v>833</v>
      </c>
      <c r="B12" s="2"/>
      <c r="C12" s="2"/>
      <c r="D12" s="10">
        <v>750</v>
      </c>
      <c r="E12" s="2"/>
      <c r="F12" s="2"/>
      <c r="G12" s="2"/>
      <c r="I12" s="2"/>
      <c r="J12" s="2"/>
    </row>
    <row r="13" spans="1:10" x14ac:dyDescent="0.2">
      <c r="A13" s="220" t="s">
        <v>1086</v>
      </c>
      <c r="B13" s="2"/>
      <c r="C13" s="2"/>
      <c r="D13" s="2">
        <f>SUM(D7:D12)</f>
        <v>115371</v>
      </c>
      <c r="E13" s="2"/>
      <c r="F13" s="2"/>
      <c r="G13" s="2"/>
      <c r="I13" s="2"/>
      <c r="J13" s="2"/>
    </row>
    <row r="14" spans="1:10" x14ac:dyDescent="0.2">
      <c r="B14" s="2"/>
      <c r="C14" s="2"/>
      <c r="E14" s="2"/>
      <c r="F14" s="2"/>
      <c r="G14" s="2"/>
      <c r="I14" s="2"/>
      <c r="J14" s="2"/>
    </row>
    <row r="15" spans="1:10" ht="13.5" x14ac:dyDescent="0.25">
      <c r="A15" s="225" t="s">
        <v>463</v>
      </c>
      <c r="B15" s="2"/>
      <c r="C15" s="2"/>
      <c r="D15" s="2">
        <f t="shared" ref="D15:D22" si="1">ROUND(B15*C15,0)</f>
        <v>0</v>
      </c>
      <c r="E15" s="2">
        <v>186791</v>
      </c>
      <c r="F15" s="2">
        <v>193517</v>
      </c>
      <c r="G15" s="2">
        <v>203565</v>
      </c>
      <c r="H15" s="2">
        <v>203565</v>
      </c>
      <c r="I15" s="2">
        <v>203565</v>
      </c>
      <c r="J15" s="2">
        <v>203565</v>
      </c>
    </row>
    <row r="16" spans="1:10" x14ac:dyDescent="0.2">
      <c r="A16" s="118" t="s">
        <v>1775</v>
      </c>
      <c r="B16" s="2">
        <v>52</v>
      </c>
      <c r="C16" s="118">
        <v>1004</v>
      </c>
      <c r="D16" s="2">
        <f t="shared" si="1"/>
        <v>52208</v>
      </c>
      <c r="E16" s="2"/>
      <c r="F16" s="2"/>
      <c r="G16" s="2"/>
      <c r="I16" s="2"/>
      <c r="J16" s="2"/>
    </row>
    <row r="17" spans="1:10" x14ac:dyDescent="0.2">
      <c r="A17" s="118" t="s">
        <v>1775</v>
      </c>
      <c r="B17" s="2">
        <v>52</v>
      </c>
      <c r="C17" s="118">
        <v>969</v>
      </c>
      <c r="D17" s="2">
        <f t="shared" si="1"/>
        <v>50388</v>
      </c>
      <c r="E17" s="2"/>
      <c r="F17" s="2"/>
      <c r="G17" s="2"/>
      <c r="I17" s="2"/>
      <c r="J17" s="2"/>
    </row>
    <row r="18" spans="1:10" x14ac:dyDescent="0.2">
      <c r="A18" s="118" t="s">
        <v>1776</v>
      </c>
      <c r="B18" s="2">
        <v>52</v>
      </c>
      <c r="C18" s="118">
        <v>860</v>
      </c>
      <c r="D18" s="2">
        <f t="shared" si="1"/>
        <v>44720</v>
      </c>
      <c r="E18" s="2"/>
      <c r="F18" s="2"/>
      <c r="G18" s="2"/>
      <c r="I18" s="2"/>
      <c r="J18" s="2"/>
    </row>
    <row r="19" spans="1:10" x14ac:dyDescent="0.2">
      <c r="A19" s="118" t="s">
        <v>1776</v>
      </c>
      <c r="B19" s="2">
        <v>52</v>
      </c>
      <c r="C19" s="118">
        <v>860</v>
      </c>
      <c r="D19" s="2">
        <f t="shared" si="1"/>
        <v>44720</v>
      </c>
      <c r="E19" s="2"/>
      <c r="F19" s="2"/>
      <c r="G19" s="2"/>
      <c r="I19" s="2"/>
      <c r="J19" s="2"/>
    </row>
    <row r="20" spans="1:10" x14ac:dyDescent="0.2">
      <c r="A20" s="220" t="s">
        <v>607</v>
      </c>
      <c r="B20" s="2">
        <v>1664</v>
      </c>
      <c r="C20" s="11">
        <v>1</v>
      </c>
      <c r="D20" s="2">
        <f t="shared" si="1"/>
        <v>1664</v>
      </c>
      <c r="E20" s="2"/>
      <c r="F20" s="2"/>
      <c r="G20" s="2"/>
      <c r="I20" s="2"/>
      <c r="J20" s="2"/>
    </row>
    <row r="21" spans="1:10" x14ac:dyDescent="0.2">
      <c r="A21" s="220" t="s">
        <v>608</v>
      </c>
      <c r="B21" s="2">
        <v>224</v>
      </c>
      <c r="C21" s="11">
        <f>SUM(C16:C20)/40/4</f>
        <v>23.087499999999999</v>
      </c>
      <c r="D21" s="2">
        <f t="shared" si="1"/>
        <v>5172</v>
      </c>
      <c r="E21" s="2"/>
      <c r="F21" s="2"/>
      <c r="G21" s="2"/>
      <c r="I21" s="2"/>
      <c r="J21" s="2"/>
    </row>
    <row r="22" spans="1:10" x14ac:dyDescent="0.2">
      <c r="A22" s="2" t="s">
        <v>2139</v>
      </c>
      <c r="B22" s="2">
        <v>1</v>
      </c>
      <c r="C22" s="118">
        <f>SUM(C16:C19)</f>
        <v>3693</v>
      </c>
      <c r="D22" s="2">
        <f t="shared" si="1"/>
        <v>3693</v>
      </c>
      <c r="E22" s="2"/>
      <c r="F22" s="2"/>
      <c r="G22" s="2"/>
      <c r="I22" s="2"/>
      <c r="J22" s="2"/>
    </row>
    <row r="23" spans="1:10" ht="15" x14ac:dyDescent="0.35">
      <c r="A23" s="220" t="s">
        <v>833</v>
      </c>
      <c r="B23" s="2" t="s">
        <v>349</v>
      </c>
      <c r="C23" s="41" t="s">
        <v>349</v>
      </c>
      <c r="D23" s="10">
        <v>1000</v>
      </c>
      <c r="E23" s="2"/>
      <c r="F23" s="2"/>
      <c r="G23" s="2"/>
      <c r="I23" s="2"/>
      <c r="J23" s="2"/>
    </row>
    <row r="24" spans="1:10" x14ac:dyDescent="0.2">
      <c r="A24" s="220" t="s">
        <v>1086</v>
      </c>
      <c r="B24" s="2"/>
      <c r="C24" s="2"/>
      <c r="D24" s="2">
        <f>SUM(D16:D23)</f>
        <v>203565</v>
      </c>
      <c r="E24" s="2"/>
      <c r="F24" s="2"/>
      <c r="G24" s="2"/>
      <c r="I24" s="2"/>
      <c r="J24" s="2"/>
    </row>
    <row r="25" spans="1:10" x14ac:dyDescent="0.2">
      <c r="E25" s="2"/>
      <c r="F25" s="2"/>
      <c r="G25" s="2"/>
      <c r="I25" s="2"/>
      <c r="J25" s="2"/>
    </row>
    <row r="26" spans="1:10" ht="13.5" x14ac:dyDescent="0.25">
      <c r="A26" s="225" t="s">
        <v>464</v>
      </c>
      <c r="E26" s="2">
        <v>13411</v>
      </c>
      <c r="F26" s="2">
        <v>7524</v>
      </c>
      <c r="G26" s="2">
        <v>14000</v>
      </c>
      <c r="H26" s="2">
        <v>14000</v>
      </c>
      <c r="I26" s="2">
        <v>14000</v>
      </c>
      <c r="J26" s="2">
        <v>14000</v>
      </c>
    </row>
    <row r="27" spans="1:10" x14ac:dyDescent="0.2">
      <c r="A27" s="220" t="s">
        <v>1369</v>
      </c>
      <c r="B27" s="2">
        <v>354.37</v>
      </c>
      <c r="C27" s="11">
        <f>+(C7+C8)/40/2*1.5</f>
        <v>39.506249999999994</v>
      </c>
      <c r="D27" s="2">
        <f>ROUND(B27*C27,0)</f>
        <v>14000</v>
      </c>
      <c r="E27" s="2"/>
      <c r="F27" s="2"/>
      <c r="G27" s="2"/>
      <c r="I27" s="2"/>
      <c r="J27" s="2"/>
    </row>
    <row r="28" spans="1:10" x14ac:dyDescent="0.2">
      <c r="A28" s="220" t="s">
        <v>349</v>
      </c>
      <c r="B28" s="2"/>
      <c r="C28" s="11"/>
      <c r="E28" s="2"/>
      <c r="F28" s="2"/>
      <c r="G28" s="2"/>
      <c r="I28" s="2"/>
      <c r="J28" s="2"/>
    </row>
    <row r="29" spans="1:10" ht="13.5" x14ac:dyDescent="0.25">
      <c r="A29" s="225" t="s">
        <v>1548</v>
      </c>
      <c r="E29" s="2">
        <v>13705</v>
      </c>
      <c r="F29" s="2">
        <v>13036</v>
      </c>
      <c r="G29" s="2">
        <v>18156</v>
      </c>
      <c r="H29" s="2">
        <v>18156</v>
      </c>
      <c r="I29" s="2">
        <v>18431</v>
      </c>
      <c r="J29" s="2">
        <v>18431</v>
      </c>
    </row>
    <row r="30" spans="1:10" x14ac:dyDescent="0.2">
      <c r="A30" s="22" t="s">
        <v>1464</v>
      </c>
      <c r="B30" s="220">
        <v>1020</v>
      </c>
      <c r="C30" s="140">
        <v>13.05</v>
      </c>
      <c r="D30" s="2">
        <f>+C30*B30</f>
        <v>13311</v>
      </c>
      <c r="E30" s="2"/>
      <c r="H30" s="220"/>
      <c r="I30" s="251"/>
      <c r="J30" s="256"/>
    </row>
    <row r="31" spans="1:10" x14ac:dyDescent="0.2">
      <c r="A31" s="22" t="s">
        <v>2142</v>
      </c>
      <c r="B31" s="220" t="s">
        <v>2122</v>
      </c>
      <c r="C31" s="140">
        <v>16</v>
      </c>
      <c r="D31" s="33">
        <f>20*16*16</f>
        <v>5120</v>
      </c>
      <c r="E31" s="2"/>
      <c r="H31" s="220"/>
      <c r="I31" s="251"/>
      <c r="J31" s="256"/>
    </row>
    <row r="32" spans="1:10" x14ac:dyDescent="0.2">
      <c r="A32" s="22"/>
      <c r="C32" s="140"/>
      <c r="D32" s="2">
        <f>SUM(D30:D31)</f>
        <v>18431</v>
      </c>
      <c r="E32" s="2"/>
      <c r="H32" s="220"/>
      <c r="I32" s="251"/>
      <c r="J32" s="256"/>
    </row>
    <row r="33" spans="1:10" x14ac:dyDescent="0.2">
      <c r="B33" s="2"/>
      <c r="C33" s="11"/>
      <c r="E33" s="2"/>
      <c r="F33" s="2"/>
      <c r="G33" s="2"/>
      <c r="I33" s="2"/>
      <c r="J33" s="2"/>
    </row>
    <row r="34" spans="1:10" ht="13.5" x14ac:dyDescent="0.25">
      <c r="A34" s="225" t="s">
        <v>492</v>
      </c>
      <c r="E34" s="2">
        <v>47460</v>
      </c>
      <c r="F34" s="2">
        <v>33516</v>
      </c>
      <c r="G34" s="2">
        <v>34631</v>
      </c>
      <c r="H34" s="2">
        <v>34631</v>
      </c>
      <c r="I34" s="2">
        <v>34631</v>
      </c>
      <c r="J34" s="2">
        <v>34631</v>
      </c>
    </row>
    <row r="35" spans="1:10" x14ac:dyDescent="0.2">
      <c r="A35" s="220" t="s">
        <v>1370</v>
      </c>
      <c r="B35" s="2" t="s">
        <v>349</v>
      </c>
      <c r="C35" s="11" t="s">
        <v>349</v>
      </c>
      <c r="D35" s="2" t="s">
        <v>349</v>
      </c>
      <c r="E35" s="2"/>
      <c r="F35" s="2"/>
      <c r="G35" s="2"/>
      <c r="I35" s="2"/>
      <c r="J35" s="2"/>
    </row>
    <row r="36" spans="1:10" x14ac:dyDescent="0.2">
      <c r="A36" s="220" t="s">
        <v>620</v>
      </c>
      <c r="B36" s="2">
        <v>1000</v>
      </c>
      <c r="C36" s="11">
        <f>+C21*1.5</f>
        <v>34.631249999999994</v>
      </c>
      <c r="D36" s="2">
        <f>ROUND(B36*C36,0)</f>
        <v>34631</v>
      </c>
      <c r="E36" s="2"/>
      <c r="F36" s="2"/>
      <c r="G36" s="2"/>
      <c r="I36" s="2"/>
      <c r="J36" s="2"/>
    </row>
    <row r="37" spans="1:10" ht="13.15" customHeight="1" x14ac:dyDescent="0.2">
      <c r="B37" s="2"/>
      <c r="C37" s="11"/>
      <c r="E37" s="2"/>
      <c r="F37" s="2"/>
      <c r="G37" s="2"/>
      <c r="I37" s="2"/>
      <c r="J37" s="2"/>
    </row>
    <row r="38" spans="1:10" ht="13.5" x14ac:dyDescent="0.25">
      <c r="A38" s="225" t="s">
        <v>493</v>
      </c>
      <c r="E38" s="2">
        <v>28558</v>
      </c>
      <c r="F38" s="2">
        <v>27438</v>
      </c>
      <c r="G38" s="2">
        <v>29116</v>
      </c>
      <c r="H38" s="2">
        <v>29116</v>
      </c>
      <c r="I38" s="2">
        <v>29137</v>
      </c>
      <c r="J38" s="2">
        <v>29137</v>
      </c>
    </row>
    <row r="39" spans="1:10" hidden="1" x14ac:dyDescent="0.2">
      <c r="A39" s="12" t="s">
        <v>1290</v>
      </c>
      <c r="B39" s="2">
        <f>+D13</f>
        <v>115371</v>
      </c>
      <c r="C39" s="13">
        <v>7.6499999999999999E-2</v>
      </c>
      <c r="D39" s="2">
        <f>ROUND(B39*C39,0)</f>
        <v>8826</v>
      </c>
      <c r="E39" s="2"/>
      <c r="F39" s="2"/>
      <c r="G39" s="2"/>
      <c r="I39" s="2"/>
      <c r="J39" s="2"/>
    </row>
    <row r="40" spans="1:10" hidden="1" x14ac:dyDescent="0.2">
      <c r="A40" s="12" t="s">
        <v>695</v>
      </c>
      <c r="B40" s="2">
        <f>+D24</f>
        <v>203565</v>
      </c>
      <c r="C40" s="13">
        <v>7.6499999999999999E-2</v>
      </c>
      <c r="D40" s="2">
        <f>ROUND(B40*C40,0)</f>
        <v>15573</v>
      </c>
      <c r="E40" s="2"/>
      <c r="F40" s="2"/>
      <c r="G40" s="2"/>
      <c r="I40" s="2"/>
      <c r="J40" s="2"/>
    </row>
    <row r="41" spans="1:10" hidden="1" x14ac:dyDescent="0.2">
      <c r="A41" s="12" t="s">
        <v>771</v>
      </c>
      <c r="B41" s="2">
        <f>+D27</f>
        <v>14000</v>
      </c>
      <c r="C41" s="13">
        <v>7.6499999999999999E-2</v>
      </c>
      <c r="D41" s="2">
        <f>ROUND(B41*C41,0)</f>
        <v>1071</v>
      </c>
      <c r="E41" s="2"/>
      <c r="F41" s="2"/>
      <c r="G41" s="2"/>
      <c r="I41" s="2"/>
      <c r="J41" s="2"/>
    </row>
    <row r="42" spans="1:10" hidden="1" x14ac:dyDescent="0.2">
      <c r="A42" s="12" t="s">
        <v>158</v>
      </c>
      <c r="B42" s="2">
        <f>+D30</f>
        <v>13311</v>
      </c>
      <c r="C42" s="13">
        <v>7.6499999999999999E-2</v>
      </c>
      <c r="D42" s="2">
        <f>ROUND(B42*C42,0)</f>
        <v>1018</v>
      </c>
      <c r="E42" s="2"/>
      <c r="F42" s="2"/>
      <c r="G42" s="2"/>
      <c r="I42" s="2"/>
      <c r="J42" s="2"/>
    </row>
    <row r="43" spans="1:10" ht="15" hidden="1" x14ac:dyDescent="0.35">
      <c r="A43" s="12" t="s">
        <v>159</v>
      </c>
      <c r="B43" s="2">
        <f>+D36</f>
        <v>34631</v>
      </c>
      <c r="C43" s="13">
        <v>7.6499999999999999E-2</v>
      </c>
      <c r="D43" s="10">
        <f>ROUND(B43*C43,0)</f>
        <v>2649</v>
      </c>
      <c r="E43" s="2"/>
      <c r="F43" s="2"/>
      <c r="G43" s="2"/>
      <c r="I43" s="2"/>
      <c r="J43" s="2"/>
    </row>
    <row r="44" spans="1:10" hidden="1" x14ac:dyDescent="0.2">
      <c r="A44" s="220" t="s">
        <v>98</v>
      </c>
      <c r="D44" s="2">
        <f>SUM(D39:D43)</f>
        <v>29137</v>
      </c>
      <c r="E44" s="2"/>
      <c r="F44" s="2"/>
      <c r="G44" s="2"/>
      <c r="I44" s="2"/>
      <c r="J44" s="2"/>
    </row>
    <row r="45" spans="1:10" x14ac:dyDescent="0.2">
      <c r="B45" s="2"/>
      <c r="E45" s="2"/>
      <c r="F45" s="2"/>
      <c r="G45" s="2"/>
      <c r="I45" s="2"/>
      <c r="J45" s="2"/>
    </row>
    <row r="46" spans="1:10" ht="13.15" customHeight="1" x14ac:dyDescent="0.25">
      <c r="A46" s="225" t="s">
        <v>494</v>
      </c>
      <c r="E46" s="2">
        <v>40071</v>
      </c>
      <c r="F46" s="2">
        <v>38607</v>
      </c>
      <c r="G46" s="2">
        <v>51679</v>
      </c>
      <c r="H46" s="2">
        <v>51382</v>
      </c>
      <c r="I46" s="2">
        <v>51382</v>
      </c>
      <c r="J46" s="2">
        <v>51382</v>
      </c>
    </row>
    <row r="47" spans="1:10" ht="13.15" hidden="1" customHeight="1" x14ac:dyDescent="0.2">
      <c r="A47" s="220" t="s">
        <v>621</v>
      </c>
      <c r="B47" s="2">
        <f>+D7+D9+D12</f>
        <v>67393</v>
      </c>
      <c r="C47" s="228">
        <v>0.1406</v>
      </c>
      <c r="D47" s="2">
        <f>ROUND(B47*C47,0)</f>
        <v>9475</v>
      </c>
      <c r="E47" s="2"/>
      <c r="F47" s="2"/>
      <c r="G47" s="2"/>
      <c r="I47" s="2"/>
      <c r="J47" s="2"/>
    </row>
    <row r="48" spans="1:10" ht="13.15" hidden="1" customHeight="1" x14ac:dyDescent="0.2">
      <c r="A48" s="220" t="s">
        <v>443</v>
      </c>
      <c r="B48" s="2">
        <f>+D8+D10</f>
        <v>45871</v>
      </c>
      <c r="C48" s="228">
        <v>0.1406</v>
      </c>
      <c r="D48" s="2">
        <f>ROUND(B48*C48,0)</f>
        <v>6449</v>
      </c>
      <c r="E48" s="2"/>
      <c r="F48" s="2"/>
      <c r="G48" s="2"/>
      <c r="I48" s="2"/>
      <c r="J48" s="2"/>
    </row>
    <row r="49" spans="1:10" ht="13.15" hidden="1" customHeight="1" x14ac:dyDescent="0.2">
      <c r="A49" s="12" t="s">
        <v>695</v>
      </c>
      <c r="B49" s="2">
        <f>+D24</f>
        <v>203565</v>
      </c>
      <c r="C49" s="228">
        <v>0.1406</v>
      </c>
      <c r="D49" s="2">
        <f>ROUND(B49*C49,0)</f>
        <v>28621</v>
      </c>
      <c r="E49" s="2"/>
      <c r="F49" s="2"/>
      <c r="G49" s="2"/>
      <c r="I49" s="2"/>
      <c r="J49" s="2"/>
    </row>
    <row r="50" spans="1:10" ht="13.15" hidden="1" customHeight="1" x14ac:dyDescent="0.2">
      <c r="A50" s="12" t="s">
        <v>771</v>
      </c>
      <c r="B50" s="2">
        <f>+D27</f>
        <v>14000</v>
      </c>
      <c r="C50" s="228">
        <v>0.1406</v>
      </c>
      <c r="D50" s="2">
        <f>ROUND(B50*C50,0)</f>
        <v>1968</v>
      </c>
      <c r="E50" s="2"/>
      <c r="F50" s="2"/>
      <c r="G50" s="2"/>
      <c r="I50" s="2"/>
      <c r="J50" s="2"/>
    </row>
    <row r="51" spans="1:10" ht="13.15" hidden="1" customHeight="1" x14ac:dyDescent="0.35">
      <c r="A51" s="12" t="s">
        <v>159</v>
      </c>
      <c r="B51" s="2">
        <f>+D36</f>
        <v>34631</v>
      </c>
      <c r="C51" s="228">
        <v>0.1406</v>
      </c>
      <c r="D51" s="10">
        <f>ROUND(B51*C51,0)</f>
        <v>4869</v>
      </c>
      <c r="E51" s="2"/>
      <c r="F51" s="2"/>
      <c r="G51" s="2"/>
      <c r="I51" s="2"/>
      <c r="J51" s="2"/>
    </row>
    <row r="52" spans="1:10" ht="13.15" hidden="1" customHeight="1" x14ac:dyDescent="0.2">
      <c r="A52" s="220" t="s">
        <v>1086</v>
      </c>
      <c r="D52" s="2">
        <f>SUM(D47:D51)</f>
        <v>51382</v>
      </c>
      <c r="E52" s="2"/>
      <c r="F52" s="2"/>
      <c r="G52" s="2"/>
      <c r="I52" s="2"/>
      <c r="J52" s="2"/>
    </row>
    <row r="53" spans="1:10" ht="13.15" customHeight="1" x14ac:dyDescent="0.2">
      <c r="E53" s="2"/>
      <c r="F53" s="2"/>
      <c r="G53" s="2"/>
      <c r="I53" s="2"/>
      <c r="J53" s="2"/>
    </row>
    <row r="54" spans="1:10" ht="13.15" customHeight="1" x14ac:dyDescent="0.25">
      <c r="A54" s="225" t="s">
        <v>495</v>
      </c>
      <c r="E54" s="2">
        <v>112232</v>
      </c>
      <c r="F54" s="2">
        <v>117450</v>
      </c>
      <c r="G54" s="2">
        <v>119700</v>
      </c>
      <c r="H54" s="2">
        <v>118500</v>
      </c>
      <c r="I54" s="2">
        <v>118500</v>
      </c>
      <c r="J54" s="2">
        <v>118500</v>
      </c>
    </row>
    <row r="55" spans="1:10" ht="13.15" customHeight="1" x14ac:dyDescent="0.2">
      <c r="A55" s="220" t="s">
        <v>2148</v>
      </c>
      <c r="B55" s="2">
        <v>4</v>
      </c>
      <c r="C55" s="2">
        <v>19750</v>
      </c>
      <c r="D55" s="2">
        <f>ROUND(B55*C55,0)</f>
        <v>79000</v>
      </c>
      <c r="E55" s="2"/>
      <c r="F55" s="2"/>
      <c r="G55" s="2"/>
      <c r="I55" s="2"/>
      <c r="J55" s="2"/>
    </row>
    <row r="56" spans="1:10" ht="13.15" customHeight="1" x14ac:dyDescent="0.35">
      <c r="A56" s="249" t="s">
        <v>307</v>
      </c>
      <c r="B56" s="2">
        <v>2</v>
      </c>
      <c r="C56" s="2">
        <v>19750</v>
      </c>
      <c r="D56" s="10">
        <f>ROUND(B56*C56,0)</f>
        <v>39500</v>
      </c>
      <c r="E56" s="2"/>
      <c r="F56" s="2"/>
      <c r="G56" s="2"/>
      <c r="I56" s="2"/>
      <c r="J56" s="2"/>
    </row>
    <row r="57" spans="1:10" ht="13.15" customHeight="1" x14ac:dyDescent="0.2">
      <c r="A57" s="220" t="s">
        <v>690</v>
      </c>
      <c r="B57" s="2"/>
      <c r="C57" s="2"/>
      <c r="D57" s="2">
        <f>SUM(D55:D56)</f>
        <v>118500</v>
      </c>
      <c r="E57" s="2"/>
      <c r="F57" s="2"/>
      <c r="G57" s="2"/>
      <c r="I57" s="2"/>
      <c r="J57" s="2"/>
    </row>
    <row r="58" spans="1:10" ht="13.15" customHeight="1" x14ac:dyDescent="0.2">
      <c r="B58" s="2"/>
      <c r="E58" s="2"/>
      <c r="F58" s="2"/>
      <c r="G58" s="2"/>
      <c r="I58" s="2"/>
      <c r="J58" s="2"/>
    </row>
    <row r="59" spans="1:10" ht="13.15" customHeight="1" x14ac:dyDescent="0.25">
      <c r="A59" s="225" t="s">
        <v>496</v>
      </c>
      <c r="B59" s="2"/>
      <c r="E59" s="2">
        <v>6967</v>
      </c>
      <c r="F59" s="2">
        <v>7560</v>
      </c>
      <c r="G59" s="2">
        <v>7560</v>
      </c>
      <c r="H59" s="2">
        <v>7560</v>
      </c>
      <c r="I59" s="2">
        <v>7560</v>
      </c>
      <c r="J59" s="2">
        <v>7560</v>
      </c>
    </row>
    <row r="60" spans="1:10" ht="13.15" customHeight="1" x14ac:dyDescent="0.2">
      <c r="A60" s="220" t="s">
        <v>369</v>
      </c>
      <c r="B60" s="2">
        <v>6</v>
      </c>
      <c r="C60" s="2">
        <v>1400</v>
      </c>
      <c r="D60" s="2">
        <f>ROUND(B60*C60,0)</f>
        <v>8400</v>
      </c>
      <c r="E60" s="2"/>
      <c r="F60" s="2"/>
      <c r="G60" s="2"/>
      <c r="I60" s="2"/>
      <c r="J60" s="2"/>
    </row>
    <row r="61" spans="1:10" ht="13.15" customHeight="1" x14ac:dyDescent="0.35">
      <c r="A61" s="220" t="s">
        <v>1509</v>
      </c>
      <c r="B61" s="2"/>
      <c r="C61" s="2"/>
      <c r="D61" s="10">
        <f>+D60*-0.1</f>
        <v>-840</v>
      </c>
      <c r="E61" s="2"/>
      <c r="F61" s="2"/>
      <c r="G61" s="2"/>
      <c r="I61" s="2"/>
      <c r="J61" s="2"/>
    </row>
    <row r="62" spans="1:10" ht="13.15" customHeight="1" x14ac:dyDescent="0.2">
      <c r="B62" s="2"/>
      <c r="C62" s="2"/>
      <c r="D62" s="2">
        <f>SUM(D60:D61)</f>
        <v>7560</v>
      </c>
      <c r="E62" s="2"/>
      <c r="F62" s="2"/>
      <c r="G62" s="2"/>
      <c r="I62" s="2"/>
      <c r="J62" s="2"/>
    </row>
    <row r="63" spans="1:10" ht="13.15" customHeight="1" x14ac:dyDescent="0.2">
      <c r="E63" s="2"/>
      <c r="F63" s="2"/>
      <c r="G63" s="2"/>
      <c r="I63" s="2"/>
      <c r="J63" s="2"/>
    </row>
    <row r="64" spans="1:10" ht="13.15" customHeight="1" x14ac:dyDescent="0.25">
      <c r="A64" s="225" t="s">
        <v>497</v>
      </c>
      <c r="E64" s="2">
        <v>341</v>
      </c>
      <c r="F64" s="2">
        <v>410</v>
      </c>
      <c r="G64" s="2">
        <v>410</v>
      </c>
      <c r="H64" s="2">
        <v>410</v>
      </c>
      <c r="I64" s="2">
        <v>410</v>
      </c>
      <c r="J64" s="2">
        <v>410</v>
      </c>
    </row>
    <row r="65" spans="1:10" ht="13.15" hidden="1" customHeight="1" x14ac:dyDescent="0.2">
      <c r="A65" s="220" t="s">
        <v>306</v>
      </c>
      <c r="B65" s="2">
        <v>2</v>
      </c>
      <c r="C65" s="2">
        <v>135</v>
      </c>
      <c r="D65" s="2">
        <f>ROUND(B65*C65,0)</f>
        <v>270</v>
      </c>
      <c r="E65" s="2"/>
      <c r="F65" s="2"/>
      <c r="G65" s="2"/>
      <c r="I65" s="2"/>
      <c r="J65" s="2"/>
    </row>
    <row r="66" spans="1:10" ht="13.15" hidden="1" customHeight="1" x14ac:dyDescent="0.35">
      <c r="A66" s="220" t="s">
        <v>913</v>
      </c>
      <c r="B66" s="2">
        <v>4</v>
      </c>
      <c r="C66" s="2">
        <v>35</v>
      </c>
      <c r="D66" s="10">
        <f>ROUND(B66*C66,0)</f>
        <v>140</v>
      </c>
      <c r="E66" s="2"/>
      <c r="F66" s="2"/>
      <c r="G66" s="2"/>
      <c r="I66" s="2"/>
      <c r="J66" s="2"/>
    </row>
    <row r="67" spans="1:10" ht="13.15" hidden="1" customHeight="1" x14ac:dyDescent="0.2">
      <c r="A67" s="220" t="s">
        <v>1086</v>
      </c>
      <c r="D67" s="2">
        <f>SUM(D65:D66)</f>
        <v>410</v>
      </c>
      <c r="E67" s="2"/>
      <c r="F67" s="2"/>
      <c r="G67" s="2"/>
      <c r="I67" s="2"/>
      <c r="J67" s="2"/>
    </row>
    <row r="68" spans="1:10" ht="13.15" customHeight="1" x14ac:dyDescent="0.2">
      <c r="E68" s="2"/>
      <c r="F68" s="2"/>
      <c r="G68" s="2"/>
      <c r="I68" s="2"/>
      <c r="J68" s="2"/>
    </row>
    <row r="69" spans="1:10" ht="13.15" customHeight="1" x14ac:dyDescent="0.25">
      <c r="A69" s="225" t="s">
        <v>498</v>
      </c>
      <c r="E69" s="2">
        <v>3051</v>
      </c>
      <c r="F69" s="2">
        <v>4050</v>
      </c>
      <c r="G69" s="2">
        <v>3300</v>
      </c>
      <c r="H69" s="2">
        <v>3300</v>
      </c>
      <c r="I69" s="2">
        <v>3300</v>
      </c>
      <c r="J69" s="2">
        <v>3300</v>
      </c>
    </row>
    <row r="70" spans="1:10" ht="13.15" hidden="1" customHeight="1" x14ac:dyDescent="0.2">
      <c r="A70" s="220" t="s">
        <v>712</v>
      </c>
      <c r="B70" s="2">
        <v>6</v>
      </c>
      <c r="C70" s="2">
        <v>550</v>
      </c>
      <c r="D70" s="2">
        <f>ROUND(B70*C70,0)</f>
        <v>3300</v>
      </c>
      <c r="E70" s="2"/>
      <c r="F70" s="2"/>
      <c r="G70" s="2"/>
      <c r="I70" s="2"/>
      <c r="J70" s="2"/>
    </row>
    <row r="71" spans="1:10" ht="13.15" customHeight="1" x14ac:dyDescent="0.2">
      <c r="E71" s="2"/>
      <c r="F71" s="2"/>
      <c r="G71" s="2"/>
      <c r="I71" s="2"/>
      <c r="J71" s="2"/>
    </row>
    <row r="72" spans="1:10" ht="13.5" x14ac:dyDescent="0.25">
      <c r="A72" s="225" t="s">
        <v>499</v>
      </c>
      <c r="E72" s="2">
        <v>7708</v>
      </c>
      <c r="F72" s="2">
        <v>8861</v>
      </c>
      <c r="G72" s="2">
        <v>10544</v>
      </c>
      <c r="H72" s="2">
        <v>10544</v>
      </c>
      <c r="I72" s="2">
        <v>10552</v>
      </c>
      <c r="J72" s="2">
        <v>10552</v>
      </c>
    </row>
    <row r="73" spans="1:10" hidden="1" x14ac:dyDescent="0.2">
      <c r="A73" s="12" t="s">
        <v>1290</v>
      </c>
      <c r="B73" s="2">
        <f>+D13</f>
        <v>115371</v>
      </c>
      <c r="C73" s="13">
        <v>2.7699999999999999E-2</v>
      </c>
      <c r="D73" s="2">
        <f>ROUND(B73*C73,0)</f>
        <v>3196</v>
      </c>
      <c r="E73" s="2"/>
      <c r="F73" s="2"/>
      <c r="G73" s="2"/>
      <c r="I73" s="2"/>
      <c r="J73" s="2"/>
    </row>
    <row r="74" spans="1:10" hidden="1" x14ac:dyDescent="0.2">
      <c r="A74" s="12" t="s">
        <v>695</v>
      </c>
      <c r="B74" s="2">
        <f>+B49</f>
        <v>203565</v>
      </c>
      <c r="C74" s="13">
        <v>2.7699999999999999E-2</v>
      </c>
      <c r="D74" s="2">
        <f>ROUND(B74*C74,0)</f>
        <v>5639</v>
      </c>
      <c r="E74" s="2"/>
      <c r="F74" s="2"/>
      <c r="G74" s="2"/>
      <c r="I74" s="2"/>
      <c r="J74" s="2"/>
    </row>
    <row r="75" spans="1:10" hidden="1" x14ac:dyDescent="0.2">
      <c r="A75" s="12" t="s">
        <v>1669</v>
      </c>
      <c r="B75" s="2">
        <f>ROUND(+D27,0)</f>
        <v>14000</v>
      </c>
      <c r="C75" s="13">
        <v>2.7699999999999999E-2</v>
      </c>
      <c r="D75" s="2">
        <f>ROUND(B75*C75,0)</f>
        <v>388</v>
      </c>
      <c r="E75" s="2"/>
      <c r="F75" s="2"/>
      <c r="G75" s="2"/>
      <c r="I75" s="2"/>
      <c r="J75" s="2"/>
    </row>
    <row r="76" spans="1:10" hidden="1" x14ac:dyDescent="0.2">
      <c r="A76" s="32">
        <v>8107</v>
      </c>
      <c r="B76" s="2">
        <f>+D30</f>
        <v>13311</v>
      </c>
      <c r="C76" s="13">
        <v>2.7699999999999999E-2</v>
      </c>
      <c r="D76" s="2">
        <f>ROUND(B76*C76,0)</f>
        <v>369</v>
      </c>
      <c r="E76" s="2"/>
      <c r="F76" s="2"/>
      <c r="G76" s="2"/>
      <c r="I76" s="2"/>
      <c r="J76" s="2"/>
    </row>
    <row r="77" spans="1:10" ht="15" hidden="1" x14ac:dyDescent="0.35">
      <c r="A77" s="12" t="s">
        <v>1670</v>
      </c>
      <c r="B77" s="2">
        <f>ROUND(+D36,0)</f>
        <v>34631</v>
      </c>
      <c r="C77" s="13">
        <v>2.7699999999999999E-2</v>
      </c>
      <c r="D77" s="10">
        <f>ROUND(B77*C77,0)</f>
        <v>959</v>
      </c>
      <c r="E77" s="2"/>
      <c r="F77" s="2"/>
      <c r="G77" s="2"/>
      <c r="I77" s="2"/>
      <c r="J77" s="2"/>
    </row>
    <row r="78" spans="1:10" hidden="1" x14ac:dyDescent="0.2">
      <c r="A78" s="220" t="s">
        <v>1086</v>
      </c>
      <c r="D78" s="2">
        <f>SUM(D73:D77)+1</f>
        <v>10552</v>
      </c>
      <c r="E78" s="2"/>
      <c r="F78" s="2"/>
      <c r="G78" s="2"/>
      <c r="I78" s="2"/>
      <c r="J78" s="2"/>
    </row>
    <row r="79" spans="1:10" x14ac:dyDescent="0.2">
      <c r="E79" s="2"/>
      <c r="F79" s="2"/>
      <c r="G79" s="2"/>
      <c r="I79" s="2"/>
      <c r="J79" s="2"/>
    </row>
    <row r="80" spans="1:10" ht="13.5" x14ac:dyDescent="0.25">
      <c r="A80" s="225" t="s">
        <v>500</v>
      </c>
      <c r="E80" s="2">
        <v>126</v>
      </c>
      <c r="F80" s="2">
        <v>138</v>
      </c>
      <c r="G80" s="2">
        <v>138</v>
      </c>
      <c r="H80" s="2">
        <v>138</v>
      </c>
      <c r="I80" s="2">
        <v>138</v>
      </c>
      <c r="J80" s="2">
        <v>138</v>
      </c>
    </row>
    <row r="81" spans="1:11" hidden="1" x14ac:dyDescent="0.2">
      <c r="A81" s="12" t="s">
        <v>1290</v>
      </c>
      <c r="B81" s="2">
        <v>2</v>
      </c>
      <c r="C81" s="2">
        <v>20</v>
      </c>
      <c r="D81" s="2">
        <f>ROUND(B81*C81,0)</f>
        <v>40</v>
      </c>
      <c r="E81" s="2"/>
      <c r="F81" s="2"/>
      <c r="G81" s="2"/>
      <c r="I81" s="2"/>
      <c r="J81" s="2"/>
    </row>
    <row r="82" spans="1:11" hidden="1" x14ac:dyDescent="0.2">
      <c r="A82" s="12" t="s">
        <v>695</v>
      </c>
      <c r="B82" s="2">
        <v>4</v>
      </c>
      <c r="C82" s="2">
        <v>20</v>
      </c>
      <c r="D82" s="2">
        <f>ROUND(B82*C82,0)</f>
        <v>80</v>
      </c>
      <c r="E82" s="2"/>
      <c r="F82" s="2"/>
      <c r="G82" s="2"/>
      <c r="I82" s="2"/>
      <c r="J82" s="2"/>
    </row>
    <row r="83" spans="1:11" ht="15" hidden="1" x14ac:dyDescent="0.35">
      <c r="A83" s="12" t="s">
        <v>158</v>
      </c>
      <c r="B83" s="2">
        <f>+D30</f>
        <v>13311</v>
      </c>
      <c r="C83" s="13">
        <v>1.4E-3</v>
      </c>
      <c r="D83" s="10">
        <f>ROUND(B83*C83,0)</f>
        <v>19</v>
      </c>
      <c r="E83" s="2"/>
      <c r="F83" s="2"/>
      <c r="G83" s="2"/>
      <c r="I83" s="2"/>
      <c r="J83" s="2"/>
    </row>
    <row r="84" spans="1:11" hidden="1" x14ac:dyDescent="0.2">
      <c r="A84" s="220" t="s">
        <v>1086</v>
      </c>
      <c r="D84" s="2">
        <f>SUM(D81:D83)</f>
        <v>139</v>
      </c>
      <c r="E84" s="2"/>
      <c r="F84" s="2"/>
      <c r="G84" s="2"/>
      <c r="I84" s="2"/>
      <c r="J84" s="2"/>
    </row>
    <row r="85" spans="1:11" x14ac:dyDescent="0.2">
      <c r="E85" s="2"/>
      <c r="F85" s="2"/>
      <c r="G85" s="2"/>
      <c r="I85" s="2"/>
      <c r="J85" s="2"/>
    </row>
    <row r="86" spans="1:11" x14ac:dyDescent="0.2">
      <c r="E86" s="2"/>
      <c r="F86" s="2"/>
      <c r="G86" s="2"/>
      <c r="I86" s="2"/>
      <c r="J86" s="2"/>
    </row>
    <row r="87" spans="1:11" ht="13.5" x14ac:dyDescent="0.25">
      <c r="A87" s="225" t="s">
        <v>1038</v>
      </c>
      <c r="E87" s="2">
        <v>1292</v>
      </c>
      <c r="F87" s="2">
        <v>1000</v>
      </c>
      <c r="G87" s="2">
        <v>1000</v>
      </c>
      <c r="H87" s="2">
        <v>1000</v>
      </c>
      <c r="I87" s="2">
        <v>1000</v>
      </c>
      <c r="J87" s="2">
        <v>1000</v>
      </c>
      <c r="K87" s="2"/>
    </row>
    <row r="88" spans="1:11" x14ac:dyDescent="0.2">
      <c r="A88" s="220" t="s">
        <v>1371</v>
      </c>
      <c r="D88" s="2" t="s">
        <v>349</v>
      </c>
      <c r="E88" s="2"/>
      <c r="F88" s="2"/>
      <c r="G88" s="2"/>
      <c r="I88" s="2"/>
      <c r="J88" s="2"/>
      <c r="K88" s="2"/>
    </row>
    <row r="89" spans="1:11" x14ac:dyDescent="0.2">
      <c r="A89" s="220" t="s">
        <v>1456</v>
      </c>
      <c r="C89" s="2"/>
      <c r="D89" s="2">
        <v>1000</v>
      </c>
      <c r="E89" s="2"/>
      <c r="F89" s="2"/>
      <c r="G89" s="2"/>
      <c r="I89" s="2"/>
      <c r="J89" s="2"/>
      <c r="K89" s="2"/>
    </row>
    <row r="90" spans="1:11" x14ac:dyDescent="0.2">
      <c r="B90" s="2"/>
      <c r="C90" s="2"/>
      <c r="E90" s="2"/>
      <c r="F90" s="2"/>
      <c r="G90" s="2"/>
      <c r="I90" s="2"/>
      <c r="J90" s="2"/>
      <c r="K90" s="2"/>
    </row>
    <row r="91" spans="1:11" ht="13.5" x14ac:dyDescent="0.25">
      <c r="A91" s="225" t="s">
        <v>1039</v>
      </c>
      <c r="C91" s="2"/>
      <c r="E91" s="2">
        <v>591</v>
      </c>
      <c r="F91" s="2">
        <v>650</v>
      </c>
      <c r="G91" s="2">
        <v>650</v>
      </c>
      <c r="H91" s="2">
        <v>650</v>
      </c>
      <c r="I91" s="2">
        <v>650</v>
      </c>
      <c r="J91" s="2">
        <v>650</v>
      </c>
      <c r="K91" s="2"/>
    </row>
    <row r="92" spans="1:11" x14ac:dyDescent="0.2">
      <c r="A92" s="220" t="s">
        <v>880</v>
      </c>
      <c r="C92" s="2"/>
      <c r="D92" s="2">
        <v>650</v>
      </c>
      <c r="E92" s="2"/>
      <c r="F92" s="2"/>
      <c r="G92" s="2"/>
      <c r="I92" s="2"/>
      <c r="J92" s="2"/>
      <c r="K92" s="2"/>
    </row>
    <row r="93" spans="1:11" x14ac:dyDescent="0.2">
      <c r="C93" s="2"/>
      <c r="E93" s="2"/>
      <c r="F93" s="2"/>
      <c r="G93" s="2"/>
      <c r="I93" s="2"/>
      <c r="J93" s="2"/>
      <c r="K93" s="2"/>
    </row>
    <row r="94" spans="1:11" ht="13.5" x14ac:dyDescent="0.25">
      <c r="A94" s="225" t="s">
        <v>1040</v>
      </c>
      <c r="C94" s="2"/>
      <c r="E94" s="2">
        <v>6452</v>
      </c>
      <c r="F94" s="2">
        <v>6500</v>
      </c>
      <c r="G94" s="2">
        <v>6500</v>
      </c>
      <c r="H94" s="2">
        <v>6500</v>
      </c>
      <c r="I94" s="2">
        <v>6500</v>
      </c>
      <c r="J94" s="2">
        <v>6500</v>
      </c>
      <c r="K94" s="2"/>
    </row>
    <row r="95" spans="1:11" x14ac:dyDescent="0.2">
      <c r="A95" s="5" t="s">
        <v>829</v>
      </c>
      <c r="B95" s="5"/>
      <c r="C95" s="2"/>
      <c r="E95" s="2"/>
      <c r="F95" s="2"/>
      <c r="G95" s="2"/>
      <c r="I95" s="2"/>
      <c r="J95" s="2"/>
      <c r="K95" s="2"/>
    </row>
    <row r="96" spans="1:11" x14ac:dyDescent="0.2">
      <c r="A96" s="5" t="s">
        <v>1372</v>
      </c>
      <c r="B96" s="5"/>
      <c r="C96" s="2"/>
      <c r="D96" s="2">
        <v>6500</v>
      </c>
      <c r="E96" s="2"/>
      <c r="F96" s="2"/>
      <c r="G96" s="2"/>
      <c r="I96" s="2"/>
      <c r="J96" s="2"/>
      <c r="K96" s="2"/>
    </row>
    <row r="97" spans="1:11" x14ac:dyDescent="0.2">
      <c r="A97" s="220" t="s">
        <v>349</v>
      </c>
      <c r="C97" s="2"/>
      <c r="E97" s="2"/>
      <c r="F97" s="2"/>
      <c r="G97" s="2"/>
      <c r="I97" s="2"/>
      <c r="J97" s="2"/>
      <c r="K97" s="2"/>
    </row>
    <row r="98" spans="1:11" ht="13.5" x14ac:dyDescent="0.25">
      <c r="A98" s="225" t="s">
        <v>553</v>
      </c>
      <c r="D98" s="2" t="s">
        <v>349</v>
      </c>
      <c r="E98" s="2">
        <v>4048</v>
      </c>
      <c r="F98" s="2">
        <v>3072</v>
      </c>
      <c r="G98" s="2">
        <v>3072</v>
      </c>
      <c r="H98" s="2">
        <v>3072</v>
      </c>
      <c r="I98" s="2">
        <v>3072</v>
      </c>
      <c r="J98" s="2">
        <v>3072</v>
      </c>
      <c r="K98" s="2"/>
    </row>
    <row r="99" spans="1:11" x14ac:dyDescent="0.2">
      <c r="A99" s="220" t="s">
        <v>1282</v>
      </c>
      <c r="B99" s="2">
        <v>1</v>
      </c>
      <c r="C99" s="220">
        <v>200</v>
      </c>
      <c r="D99" s="2">
        <f>+C99*B99</f>
        <v>200</v>
      </c>
      <c r="E99" s="2"/>
      <c r="F99" s="2"/>
      <c r="G99" s="2"/>
      <c r="I99" s="2"/>
      <c r="J99" s="2"/>
      <c r="K99" s="2"/>
    </row>
    <row r="100" spans="1:11" x14ac:dyDescent="0.2">
      <c r="A100" s="220" t="s">
        <v>1283</v>
      </c>
      <c r="B100" s="2">
        <v>2</v>
      </c>
      <c r="C100" s="2">
        <v>230</v>
      </c>
      <c r="D100" s="2">
        <f>+C100*B100</f>
        <v>460</v>
      </c>
      <c r="E100" s="2"/>
      <c r="F100" s="2"/>
      <c r="G100" s="2"/>
      <c r="I100" s="2"/>
      <c r="J100" s="2"/>
      <c r="K100" s="2"/>
    </row>
    <row r="101" spans="1:11" x14ac:dyDescent="0.2">
      <c r="A101" s="220" t="s">
        <v>1284</v>
      </c>
      <c r="B101" s="2">
        <v>4</v>
      </c>
      <c r="C101" s="2">
        <v>275</v>
      </c>
      <c r="D101" s="2">
        <f>+C101*B101</f>
        <v>1100</v>
      </c>
      <c r="E101" s="2"/>
      <c r="F101" s="2"/>
      <c r="G101" s="2"/>
      <c r="I101" s="2"/>
      <c r="J101" s="2"/>
      <c r="K101" s="2"/>
    </row>
    <row r="102" spans="1:11" x14ac:dyDescent="0.2">
      <c r="A102" s="220" t="s">
        <v>113</v>
      </c>
      <c r="B102" s="2">
        <v>4</v>
      </c>
      <c r="C102" s="2">
        <v>203</v>
      </c>
      <c r="D102" s="2">
        <f>+C102*B102</f>
        <v>812</v>
      </c>
      <c r="E102" s="2"/>
      <c r="F102" s="2"/>
      <c r="G102" s="2"/>
      <c r="I102" s="2"/>
      <c r="J102" s="2"/>
      <c r="K102" s="2"/>
    </row>
    <row r="103" spans="1:11" ht="15" x14ac:dyDescent="0.35">
      <c r="A103" s="220" t="s">
        <v>335</v>
      </c>
      <c r="B103" s="2"/>
      <c r="C103" s="2"/>
      <c r="D103" s="10">
        <v>500</v>
      </c>
      <c r="E103" s="2"/>
      <c r="F103" s="2"/>
      <c r="G103" s="2"/>
      <c r="I103" s="2"/>
      <c r="J103" s="2"/>
      <c r="K103" s="2"/>
    </row>
    <row r="104" spans="1:11" x14ac:dyDescent="0.2">
      <c r="A104" s="220" t="s">
        <v>1086</v>
      </c>
      <c r="B104" s="2" t="s">
        <v>349</v>
      </c>
      <c r="C104" s="2" t="s">
        <v>349</v>
      </c>
      <c r="D104" s="2">
        <f>SUM(D99:D103)</f>
        <v>3072</v>
      </c>
      <c r="E104" s="2"/>
      <c r="F104" s="2"/>
      <c r="G104" s="2"/>
      <c r="I104" s="2"/>
      <c r="J104" s="2"/>
      <c r="K104" s="2"/>
    </row>
    <row r="105" spans="1:11" x14ac:dyDescent="0.2">
      <c r="E105" s="2"/>
      <c r="F105" s="2"/>
      <c r="G105" s="2"/>
      <c r="I105" s="2"/>
      <c r="J105" s="2"/>
      <c r="K105" s="2"/>
    </row>
    <row r="106" spans="1:11" ht="13.5" x14ac:dyDescent="0.25">
      <c r="A106" s="225" t="s">
        <v>179</v>
      </c>
      <c r="E106" s="2">
        <v>7693</v>
      </c>
      <c r="F106" s="2">
        <v>2200</v>
      </c>
      <c r="G106" s="2">
        <v>2200</v>
      </c>
      <c r="H106" s="2">
        <v>2200</v>
      </c>
      <c r="I106" s="2">
        <v>2200</v>
      </c>
      <c r="J106" s="2">
        <v>2200</v>
      </c>
      <c r="K106" s="2"/>
    </row>
    <row r="107" spans="1:11" x14ac:dyDescent="0.2">
      <c r="A107" s="220" t="s">
        <v>2123</v>
      </c>
      <c r="D107" s="2">
        <v>800</v>
      </c>
      <c r="E107" s="2"/>
      <c r="F107" s="2"/>
      <c r="G107" s="2"/>
      <c r="I107" s="2"/>
      <c r="J107" s="2"/>
      <c r="K107" s="2"/>
    </row>
    <row r="108" spans="1:11" ht="15" x14ac:dyDescent="0.35">
      <c r="A108" s="220" t="s">
        <v>1457</v>
      </c>
      <c r="C108" s="2"/>
      <c r="D108" s="10">
        <v>1400</v>
      </c>
      <c r="E108" s="2"/>
      <c r="F108" s="2"/>
      <c r="G108" s="2"/>
      <c r="I108" s="2"/>
      <c r="J108" s="2"/>
      <c r="K108" s="2"/>
    </row>
    <row r="109" spans="1:11" ht="15" x14ac:dyDescent="0.35">
      <c r="A109" s="220" t="s">
        <v>1086</v>
      </c>
      <c r="C109" s="10"/>
      <c r="D109" s="2">
        <f>SUM(D107:D108)</f>
        <v>2200</v>
      </c>
      <c r="E109" s="2"/>
      <c r="F109" s="2"/>
      <c r="G109" s="2"/>
      <c r="I109" s="2"/>
      <c r="J109" s="2"/>
      <c r="K109" s="2"/>
    </row>
    <row r="110" spans="1:11" x14ac:dyDescent="0.2">
      <c r="B110" s="2"/>
      <c r="C110" s="2"/>
      <c r="E110" s="2"/>
      <c r="F110" s="2"/>
      <c r="G110" s="2"/>
      <c r="I110" s="2"/>
      <c r="J110" s="2"/>
      <c r="K110" s="2"/>
    </row>
    <row r="111" spans="1:11" ht="13.5" x14ac:dyDescent="0.25">
      <c r="A111" s="225" t="s">
        <v>180</v>
      </c>
      <c r="C111" s="2"/>
      <c r="E111" s="2">
        <v>2417</v>
      </c>
      <c r="F111" s="2">
        <v>3200</v>
      </c>
      <c r="G111" s="2">
        <v>3600</v>
      </c>
      <c r="H111" s="2">
        <v>3600</v>
      </c>
      <c r="I111" s="2">
        <v>3600</v>
      </c>
      <c r="J111" s="2">
        <v>3600</v>
      </c>
      <c r="K111" s="2"/>
    </row>
    <row r="112" spans="1:11" x14ac:dyDescent="0.2">
      <c r="A112" s="220" t="s">
        <v>938</v>
      </c>
      <c r="C112" s="2"/>
      <c r="D112" s="2">
        <v>3600</v>
      </c>
      <c r="E112" s="2"/>
      <c r="F112" s="2"/>
      <c r="G112" s="2"/>
      <c r="I112" s="2"/>
      <c r="J112" s="2"/>
      <c r="K112" s="2"/>
    </row>
    <row r="113" spans="1:11" x14ac:dyDescent="0.2">
      <c r="C113" s="2"/>
      <c r="E113" s="2"/>
      <c r="F113" s="2"/>
      <c r="G113" s="2"/>
      <c r="I113" s="2"/>
      <c r="J113" s="2"/>
      <c r="K113" s="2"/>
    </row>
    <row r="114" spans="1:11" ht="13.5" x14ac:dyDescent="0.25">
      <c r="A114" s="225" t="s">
        <v>106</v>
      </c>
      <c r="C114" s="2"/>
      <c r="D114" s="2">
        <v>20</v>
      </c>
      <c r="E114" s="2">
        <v>1</v>
      </c>
      <c r="F114" s="2">
        <v>20</v>
      </c>
      <c r="G114" s="2">
        <v>20</v>
      </c>
      <c r="H114" s="2">
        <v>20</v>
      </c>
      <c r="I114" s="2">
        <v>20</v>
      </c>
      <c r="J114" s="2">
        <v>20</v>
      </c>
      <c r="K114" s="2"/>
    </row>
    <row r="115" spans="1:11" x14ac:dyDescent="0.2">
      <c r="B115" s="2"/>
      <c r="C115" s="17"/>
      <c r="D115" s="17"/>
      <c r="E115" s="2"/>
      <c r="F115" s="2"/>
      <c r="G115" s="2"/>
      <c r="I115" s="2"/>
      <c r="J115" s="2"/>
      <c r="K115" s="2"/>
    </row>
    <row r="116" spans="1:11" ht="13.5" x14ac:dyDescent="0.25">
      <c r="A116" s="225" t="s">
        <v>181</v>
      </c>
      <c r="C116" s="2"/>
      <c r="E116" s="2">
        <v>16627</v>
      </c>
      <c r="F116" s="2">
        <v>15300</v>
      </c>
      <c r="G116" s="2">
        <v>16500</v>
      </c>
      <c r="H116" s="2">
        <v>16500</v>
      </c>
      <c r="I116" s="2">
        <v>16500</v>
      </c>
      <c r="J116" s="2">
        <v>16500</v>
      </c>
      <c r="K116" s="2"/>
    </row>
    <row r="117" spans="1:11" x14ac:dyDescent="0.2">
      <c r="A117" s="220" t="s">
        <v>1912</v>
      </c>
      <c r="C117" s="2"/>
      <c r="D117" s="2">
        <v>7500</v>
      </c>
      <c r="E117" s="2"/>
      <c r="F117" s="2"/>
      <c r="G117" s="2"/>
      <c r="I117" s="2"/>
      <c r="J117" s="2"/>
      <c r="K117" s="2"/>
    </row>
    <row r="118" spans="1:11" x14ac:dyDescent="0.2">
      <c r="A118" s="220" t="s">
        <v>939</v>
      </c>
      <c r="C118" s="2"/>
      <c r="D118" s="2">
        <v>5900</v>
      </c>
      <c r="E118" s="2"/>
      <c r="F118" s="2"/>
      <c r="G118" s="2"/>
      <c r="I118" s="2"/>
      <c r="J118" s="2"/>
      <c r="K118" s="2"/>
    </row>
    <row r="119" spans="1:11" ht="15" x14ac:dyDescent="0.35">
      <c r="A119" s="220" t="s">
        <v>1867</v>
      </c>
      <c r="C119" s="2"/>
      <c r="D119" s="10">
        <v>3100</v>
      </c>
      <c r="E119" s="2"/>
      <c r="F119" s="2"/>
      <c r="G119" s="2"/>
      <c r="I119" s="2"/>
      <c r="J119" s="2"/>
      <c r="K119" s="2"/>
    </row>
    <row r="120" spans="1:11" ht="15" x14ac:dyDescent="0.35">
      <c r="A120" s="220" t="s">
        <v>1086</v>
      </c>
      <c r="C120" s="10"/>
      <c r="D120" s="2">
        <f>SUM(D117:D119)</f>
        <v>16500</v>
      </c>
      <c r="E120" s="2"/>
      <c r="F120" s="2"/>
      <c r="G120" s="2"/>
      <c r="I120" s="2"/>
      <c r="J120" s="2"/>
      <c r="K120" s="2"/>
    </row>
    <row r="121" spans="1:11" ht="15" x14ac:dyDescent="0.35">
      <c r="C121" s="10"/>
      <c r="E121" s="2"/>
      <c r="F121" s="2"/>
      <c r="G121" s="2"/>
      <c r="I121" s="2"/>
      <c r="J121" s="2"/>
      <c r="K121" s="2"/>
    </row>
    <row r="122" spans="1:11" ht="13.5" x14ac:dyDescent="0.25">
      <c r="A122" s="225" t="s">
        <v>182</v>
      </c>
      <c r="E122" s="2">
        <v>54674</v>
      </c>
      <c r="F122" s="2">
        <v>57054</v>
      </c>
      <c r="G122" s="2">
        <v>51570</v>
      </c>
      <c r="H122" s="2">
        <v>51570</v>
      </c>
      <c r="I122" s="2">
        <v>51570</v>
      </c>
      <c r="J122" s="2">
        <v>51570</v>
      </c>
      <c r="K122" s="2"/>
    </row>
    <row r="123" spans="1:11" x14ac:dyDescent="0.2">
      <c r="A123" s="220" t="s">
        <v>1458</v>
      </c>
      <c r="B123" s="42">
        <v>18000</v>
      </c>
      <c r="C123" s="11">
        <v>2.59</v>
      </c>
      <c r="D123" s="2">
        <f>ROUND(B123*C123,0)</f>
        <v>46620</v>
      </c>
      <c r="E123" s="2"/>
      <c r="F123" s="2"/>
      <c r="G123" s="2"/>
      <c r="I123" s="2"/>
      <c r="J123" s="2"/>
      <c r="K123" s="2"/>
    </row>
    <row r="124" spans="1:11" x14ac:dyDescent="0.2">
      <c r="A124" s="220" t="s">
        <v>1459</v>
      </c>
      <c r="B124" s="2">
        <v>1200</v>
      </c>
      <c r="C124" s="11">
        <v>2.25</v>
      </c>
      <c r="D124" s="2">
        <f>ROUND(B124*C124,0)</f>
        <v>2700</v>
      </c>
      <c r="E124" s="2"/>
      <c r="F124" s="2"/>
      <c r="G124" s="2"/>
      <c r="I124" s="2"/>
      <c r="J124" s="2"/>
      <c r="K124" s="2"/>
    </row>
    <row r="125" spans="1:11" ht="15" x14ac:dyDescent="0.35">
      <c r="A125" s="220" t="s">
        <v>2124</v>
      </c>
      <c r="B125" s="2">
        <v>600</v>
      </c>
      <c r="C125" s="11">
        <v>3.75</v>
      </c>
      <c r="D125" s="10">
        <f>ROUND(B125*C125,0)</f>
        <v>2250</v>
      </c>
      <c r="E125" s="2"/>
      <c r="F125" s="2"/>
      <c r="G125" s="2"/>
      <c r="I125" s="2"/>
      <c r="J125" s="2"/>
      <c r="K125" s="2"/>
    </row>
    <row r="126" spans="1:11" x14ac:dyDescent="0.2">
      <c r="A126" s="220" t="s">
        <v>1086</v>
      </c>
      <c r="B126" s="2"/>
      <c r="C126" s="13"/>
      <c r="D126" s="2">
        <f>SUM(D123:D125)</f>
        <v>51570</v>
      </c>
      <c r="E126" s="2"/>
      <c r="F126" s="2"/>
      <c r="G126" s="2"/>
      <c r="I126" s="2"/>
      <c r="J126" s="2"/>
      <c r="K126" s="2"/>
    </row>
    <row r="127" spans="1:11" x14ac:dyDescent="0.2">
      <c r="E127" s="2"/>
      <c r="F127" s="2"/>
      <c r="G127" s="2"/>
      <c r="I127" s="2"/>
      <c r="J127" s="2"/>
      <c r="K127" s="2"/>
    </row>
    <row r="128" spans="1:11" ht="13.5" x14ac:dyDescent="0.25">
      <c r="A128" s="225" t="s">
        <v>371</v>
      </c>
      <c r="E128" s="2">
        <v>4506</v>
      </c>
      <c r="F128" s="2">
        <v>5040</v>
      </c>
      <c r="G128" s="2">
        <v>5090</v>
      </c>
      <c r="H128" s="2">
        <v>5090</v>
      </c>
      <c r="I128" s="2">
        <v>5090</v>
      </c>
      <c r="J128" s="2">
        <v>5090</v>
      </c>
      <c r="K128" s="2"/>
    </row>
    <row r="129" spans="1:11" x14ac:dyDescent="0.2">
      <c r="A129" s="220" t="s">
        <v>820</v>
      </c>
      <c r="D129" s="2">
        <v>1850</v>
      </c>
      <c r="E129" s="2"/>
      <c r="F129" s="2"/>
      <c r="G129" s="2"/>
      <c r="I129" s="2"/>
      <c r="J129" s="2"/>
      <c r="K129" s="2"/>
    </row>
    <row r="130" spans="1:11" x14ac:dyDescent="0.2">
      <c r="A130" s="220" t="s">
        <v>1054</v>
      </c>
      <c r="C130" s="2"/>
      <c r="D130" s="2">
        <v>1440</v>
      </c>
      <c r="E130" s="2"/>
      <c r="F130" s="2"/>
      <c r="G130" s="2"/>
      <c r="I130" s="2"/>
      <c r="J130" s="2"/>
      <c r="K130" s="2"/>
    </row>
    <row r="131" spans="1:11" x14ac:dyDescent="0.2">
      <c r="A131" s="220" t="s">
        <v>1601</v>
      </c>
      <c r="C131" s="2"/>
      <c r="D131" s="2">
        <v>1800</v>
      </c>
      <c r="E131" s="2"/>
      <c r="F131" s="2"/>
      <c r="G131" s="2"/>
      <c r="I131" s="2"/>
      <c r="J131" s="2"/>
      <c r="K131" s="2"/>
    </row>
    <row r="132" spans="1:11" ht="15" x14ac:dyDescent="0.35">
      <c r="A132" s="220" t="s">
        <v>594</v>
      </c>
      <c r="C132" s="2"/>
      <c r="D132" s="10">
        <v>0</v>
      </c>
      <c r="E132" s="2"/>
      <c r="F132" s="2"/>
      <c r="G132" s="2"/>
      <c r="I132" s="2"/>
      <c r="J132" s="2"/>
      <c r="K132" s="2"/>
    </row>
    <row r="133" spans="1:11" ht="15" x14ac:dyDescent="0.35">
      <c r="A133" s="220" t="s">
        <v>1086</v>
      </c>
      <c r="B133" s="2" t="s">
        <v>349</v>
      </c>
      <c r="C133" s="10"/>
      <c r="D133" s="2">
        <f>SUM(D129:D132)</f>
        <v>5090</v>
      </c>
      <c r="E133" s="2"/>
      <c r="F133" s="2"/>
      <c r="G133" s="2"/>
      <c r="I133" s="2"/>
      <c r="J133" s="2"/>
      <c r="K133" s="2"/>
    </row>
    <row r="134" spans="1:11" x14ac:dyDescent="0.2">
      <c r="B134" s="2"/>
      <c r="C134" s="2"/>
      <c r="E134" s="2"/>
      <c r="F134" s="2"/>
      <c r="G134" s="2"/>
      <c r="I134" s="2"/>
      <c r="J134" s="2"/>
      <c r="K134" s="2"/>
    </row>
    <row r="135" spans="1:11" ht="13.5" x14ac:dyDescent="0.25">
      <c r="A135" s="225" t="s">
        <v>372</v>
      </c>
      <c r="E135" s="2">
        <v>17832</v>
      </c>
      <c r="F135" s="2">
        <v>17826</v>
      </c>
      <c r="G135" s="2">
        <v>19156</v>
      </c>
      <c r="H135" s="2">
        <v>19156</v>
      </c>
      <c r="I135" s="2">
        <v>19156</v>
      </c>
      <c r="J135" s="2">
        <v>19156</v>
      </c>
      <c r="K135" s="2"/>
    </row>
    <row r="136" spans="1:11" x14ac:dyDescent="0.2">
      <c r="A136" s="220" t="s">
        <v>433</v>
      </c>
      <c r="D136" s="2">
        <v>16030</v>
      </c>
      <c r="E136" s="2"/>
      <c r="F136" s="2"/>
      <c r="G136" s="2"/>
      <c r="I136" s="2"/>
      <c r="J136" s="2"/>
      <c r="K136" s="2"/>
    </row>
    <row r="137" spans="1:11" x14ac:dyDescent="0.2">
      <c r="A137" s="220" t="s">
        <v>112</v>
      </c>
      <c r="B137" s="2" t="s">
        <v>349</v>
      </c>
      <c r="C137" s="2"/>
      <c r="D137" s="2">
        <v>170</v>
      </c>
      <c r="E137" s="2"/>
      <c r="F137" s="2"/>
      <c r="G137" s="2"/>
      <c r="I137" s="2"/>
      <c r="J137" s="2"/>
      <c r="K137" s="2"/>
    </row>
    <row r="138" spans="1:11" x14ac:dyDescent="0.2">
      <c r="A138" s="220" t="s">
        <v>1725</v>
      </c>
      <c r="B138" s="2"/>
      <c r="C138" s="2"/>
      <c r="D138" s="2">
        <v>1800</v>
      </c>
      <c r="E138" s="2"/>
      <c r="F138" s="2"/>
      <c r="G138" s="2"/>
      <c r="I138" s="2"/>
      <c r="J138" s="2"/>
      <c r="K138" s="2"/>
    </row>
    <row r="139" spans="1:11" x14ac:dyDescent="0.2">
      <c r="A139" s="220" t="s">
        <v>531</v>
      </c>
      <c r="B139" s="2"/>
      <c r="C139" s="2"/>
      <c r="D139" s="2">
        <v>180</v>
      </c>
      <c r="E139" s="2"/>
      <c r="F139" s="2"/>
      <c r="G139" s="2"/>
      <c r="I139" s="2"/>
      <c r="J139" s="2"/>
      <c r="K139" s="2"/>
    </row>
    <row r="140" spans="1:11" x14ac:dyDescent="0.2">
      <c r="A140" s="220" t="s">
        <v>1134</v>
      </c>
      <c r="B140" s="2">
        <v>6</v>
      </c>
      <c r="C140" s="2">
        <v>96</v>
      </c>
      <c r="D140" s="2">
        <f>C140*B140</f>
        <v>576</v>
      </c>
      <c r="E140" s="2"/>
      <c r="F140" s="2"/>
      <c r="G140" s="2"/>
      <c r="I140" s="2"/>
      <c r="J140" s="2"/>
      <c r="K140" s="2"/>
    </row>
    <row r="141" spans="1:11" ht="15" x14ac:dyDescent="0.35">
      <c r="A141" s="220" t="s">
        <v>1264</v>
      </c>
      <c r="B141" s="2">
        <v>8</v>
      </c>
      <c r="C141" s="2">
        <v>50</v>
      </c>
      <c r="D141" s="10">
        <f>C141*B141</f>
        <v>400</v>
      </c>
      <c r="E141" s="2"/>
      <c r="F141" s="2"/>
      <c r="G141" s="2"/>
      <c r="I141" s="2"/>
      <c r="J141" s="2"/>
      <c r="K141" s="2"/>
    </row>
    <row r="142" spans="1:11" x14ac:dyDescent="0.2">
      <c r="A142" s="220" t="s">
        <v>1086</v>
      </c>
      <c r="B142" s="2"/>
      <c r="C142" s="2"/>
      <c r="D142" s="2">
        <f>SUM(D136:D141)</f>
        <v>19156</v>
      </c>
      <c r="E142" s="2"/>
      <c r="F142" s="2"/>
      <c r="G142" s="2"/>
      <c r="I142" s="2"/>
      <c r="J142" s="2"/>
      <c r="K142" s="2"/>
    </row>
    <row r="143" spans="1:11" x14ac:dyDescent="0.2">
      <c r="A143" s="220" t="s">
        <v>349</v>
      </c>
      <c r="B143" s="2"/>
      <c r="C143" s="11"/>
      <c r="E143" s="2"/>
      <c r="F143" s="2"/>
      <c r="G143" s="2"/>
      <c r="I143" s="2"/>
      <c r="J143" s="2"/>
      <c r="K143" s="2"/>
    </row>
    <row r="144" spans="1:11" ht="13.5" x14ac:dyDescent="0.25">
      <c r="A144" s="16" t="s">
        <v>373</v>
      </c>
      <c r="D144" s="2" t="s">
        <v>349</v>
      </c>
      <c r="E144" s="2">
        <v>8532</v>
      </c>
      <c r="F144" s="2">
        <v>8712</v>
      </c>
      <c r="G144" s="2">
        <v>9322</v>
      </c>
      <c r="H144" s="2">
        <v>9322</v>
      </c>
      <c r="I144" s="2">
        <v>9322</v>
      </c>
      <c r="J144" s="2">
        <v>9322</v>
      </c>
      <c r="K144" s="2"/>
    </row>
    <row r="145" spans="1:11" x14ac:dyDescent="0.2">
      <c r="A145" s="220" t="s">
        <v>915</v>
      </c>
      <c r="D145" s="2">
        <v>9322</v>
      </c>
      <c r="E145" s="2"/>
      <c r="F145" s="2"/>
      <c r="G145" s="2"/>
      <c r="I145" s="2"/>
      <c r="J145" s="2"/>
      <c r="K145" s="2"/>
    </row>
    <row r="146" spans="1:11" x14ac:dyDescent="0.2">
      <c r="C146" s="2"/>
      <c r="E146" s="2"/>
      <c r="F146" s="2"/>
      <c r="G146" s="2"/>
      <c r="I146" s="2"/>
      <c r="J146" s="2"/>
      <c r="K146" s="2"/>
    </row>
    <row r="147" spans="1:11" ht="13.5" x14ac:dyDescent="0.25">
      <c r="A147" s="225" t="s">
        <v>374</v>
      </c>
      <c r="C147" s="2"/>
      <c r="E147" s="2">
        <v>9</v>
      </c>
      <c r="F147" s="2">
        <v>500</v>
      </c>
      <c r="G147" s="2">
        <v>500</v>
      </c>
      <c r="H147" s="2">
        <v>500</v>
      </c>
      <c r="I147" s="2">
        <v>500</v>
      </c>
      <c r="J147" s="2">
        <v>500</v>
      </c>
      <c r="K147" s="2"/>
    </row>
    <row r="148" spans="1:11" x14ac:dyDescent="0.2">
      <c r="A148" s="220" t="s">
        <v>435</v>
      </c>
      <c r="C148" s="2"/>
      <c r="D148" s="2">
        <v>500</v>
      </c>
      <c r="E148" s="2"/>
      <c r="F148" s="2"/>
      <c r="G148" s="2"/>
      <c r="I148" s="2"/>
      <c r="J148" s="2"/>
      <c r="K148" s="2"/>
    </row>
    <row r="149" spans="1:11" x14ac:dyDescent="0.2">
      <c r="C149" s="2"/>
      <c r="E149" s="2"/>
      <c r="F149" s="2"/>
      <c r="G149" s="2"/>
      <c r="I149" s="2"/>
      <c r="J149" s="2"/>
      <c r="K149" s="2"/>
    </row>
    <row r="150" spans="1:11" ht="13.5" x14ac:dyDescent="0.25">
      <c r="A150" s="225" t="s">
        <v>256</v>
      </c>
      <c r="C150" s="2"/>
      <c r="E150" s="2">
        <v>2902</v>
      </c>
      <c r="F150" s="2">
        <v>5500</v>
      </c>
      <c r="G150" s="2">
        <v>7500</v>
      </c>
      <c r="H150" s="2">
        <v>7500</v>
      </c>
      <c r="I150" s="2">
        <v>7500</v>
      </c>
      <c r="J150" s="2">
        <v>7500</v>
      </c>
      <c r="K150" s="2"/>
    </row>
    <row r="151" spans="1:11" x14ac:dyDescent="0.2">
      <c r="A151" s="220" t="s">
        <v>1460</v>
      </c>
      <c r="C151" s="2"/>
      <c r="D151" s="2">
        <v>5500</v>
      </c>
      <c r="E151" s="2"/>
      <c r="F151" s="2"/>
      <c r="G151" s="2"/>
      <c r="I151" s="2"/>
      <c r="J151" s="2"/>
      <c r="K151" s="2"/>
    </row>
    <row r="152" spans="1:11" x14ac:dyDescent="0.2">
      <c r="A152" s="220" t="s">
        <v>2125</v>
      </c>
      <c r="C152" s="2"/>
      <c r="D152" s="33">
        <v>2000</v>
      </c>
      <c r="E152" s="2"/>
      <c r="F152" s="2"/>
      <c r="G152" s="2"/>
      <c r="I152" s="2"/>
      <c r="J152" s="2"/>
      <c r="K152" s="2"/>
    </row>
    <row r="153" spans="1:11" x14ac:dyDescent="0.2">
      <c r="C153" s="2"/>
      <c r="D153" s="2">
        <f>SUM(D151:D152)</f>
        <v>7500</v>
      </c>
      <c r="E153" s="2"/>
      <c r="F153" s="2"/>
      <c r="G153" s="2"/>
      <c r="I153" s="2"/>
      <c r="J153" s="2"/>
      <c r="K153" s="2"/>
    </row>
    <row r="154" spans="1:11" x14ac:dyDescent="0.2">
      <c r="C154" s="2"/>
      <c r="E154" s="2"/>
      <c r="F154" s="2"/>
      <c r="G154" s="2"/>
      <c r="I154" s="2"/>
      <c r="J154" s="2"/>
      <c r="K154" s="2"/>
    </row>
    <row r="155" spans="1:11" ht="13.5" x14ac:dyDescent="0.25">
      <c r="A155" s="225" t="s">
        <v>983</v>
      </c>
      <c r="C155" s="2"/>
      <c r="E155" s="2">
        <v>95</v>
      </c>
      <c r="F155" s="2">
        <v>500</v>
      </c>
      <c r="G155" s="2">
        <v>500</v>
      </c>
      <c r="H155" s="2">
        <v>500</v>
      </c>
      <c r="I155" s="2">
        <v>500</v>
      </c>
      <c r="J155" s="2">
        <v>500</v>
      </c>
      <c r="K155" s="2"/>
    </row>
    <row r="156" spans="1:11" x14ac:dyDescent="0.2">
      <c r="A156" s="220" t="s">
        <v>1461</v>
      </c>
      <c r="C156" s="2"/>
      <c r="D156" s="2">
        <v>500</v>
      </c>
      <c r="E156" s="2"/>
      <c r="F156" s="2"/>
      <c r="G156" s="2"/>
      <c r="I156" s="2"/>
      <c r="J156" s="2"/>
      <c r="K156" s="2"/>
    </row>
    <row r="157" spans="1:11" ht="15" x14ac:dyDescent="0.35">
      <c r="A157" s="220" t="s">
        <v>940</v>
      </c>
      <c r="C157" s="2"/>
      <c r="D157" s="10">
        <v>0</v>
      </c>
      <c r="E157" s="2"/>
      <c r="F157" s="2"/>
      <c r="G157" s="2"/>
      <c r="I157" s="2"/>
      <c r="J157" s="2"/>
      <c r="K157" s="2"/>
    </row>
    <row r="158" spans="1:11" ht="15" x14ac:dyDescent="0.35">
      <c r="A158" s="220" t="s">
        <v>1086</v>
      </c>
      <c r="C158" s="10"/>
      <c r="D158" s="2">
        <f>SUM(D156:D157)</f>
        <v>500</v>
      </c>
      <c r="E158" s="2"/>
      <c r="F158" s="2"/>
      <c r="G158" s="2"/>
      <c r="I158" s="2"/>
      <c r="J158" s="2"/>
      <c r="K158" s="2"/>
    </row>
    <row r="159" spans="1:11" x14ac:dyDescent="0.2">
      <c r="C159" s="2"/>
      <c r="E159" s="2"/>
      <c r="F159" s="2"/>
      <c r="G159" s="2"/>
      <c r="I159" s="2"/>
      <c r="J159" s="2"/>
      <c r="K159" s="2"/>
    </row>
    <row r="160" spans="1:11" ht="13.5" x14ac:dyDescent="0.25">
      <c r="A160" s="225" t="s">
        <v>984</v>
      </c>
      <c r="C160" s="2"/>
      <c r="E160" s="2">
        <v>35849</v>
      </c>
      <c r="F160" s="2">
        <v>62500</v>
      </c>
      <c r="G160" s="2">
        <v>60000</v>
      </c>
      <c r="H160" s="2">
        <v>60000</v>
      </c>
      <c r="I160" s="2">
        <v>30000</v>
      </c>
      <c r="J160" s="2">
        <v>30000</v>
      </c>
      <c r="K160" s="2"/>
    </row>
    <row r="161" spans="1:11" x14ac:dyDescent="0.2">
      <c r="A161" s="220" t="s">
        <v>814</v>
      </c>
      <c r="C161" s="2"/>
      <c r="D161" s="2">
        <f>60000-30000</f>
        <v>30000</v>
      </c>
      <c r="E161" s="2"/>
      <c r="F161" s="2"/>
      <c r="G161" s="2"/>
      <c r="I161" s="2"/>
      <c r="J161" s="2"/>
      <c r="K161" s="2"/>
    </row>
    <row r="162" spans="1:11" x14ac:dyDescent="0.2">
      <c r="B162" s="2"/>
      <c r="C162" s="2"/>
      <c r="E162" s="2"/>
      <c r="F162" s="2"/>
      <c r="G162" s="2"/>
      <c r="I162" s="2"/>
      <c r="J162" s="2"/>
      <c r="K162" s="2"/>
    </row>
    <row r="163" spans="1:11" ht="13.5" x14ac:dyDescent="0.25">
      <c r="A163" s="225" t="s">
        <v>375</v>
      </c>
      <c r="C163" s="2"/>
      <c r="E163" s="2">
        <v>5321</v>
      </c>
      <c r="F163" s="2">
        <v>5300</v>
      </c>
      <c r="G163" s="2">
        <v>5300</v>
      </c>
      <c r="H163" s="2">
        <v>5300</v>
      </c>
      <c r="I163" s="2">
        <v>5300</v>
      </c>
      <c r="J163" s="2">
        <v>5300</v>
      </c>
      <c r="K163" s="2"/>
    </row>
    <row r="164" spans="1:11" x14ac:dyDescent="0.2">
      <c r="A164" s="220" t="s">
        <v>1462</v>
      </c>
      <c r="C164" s="2"/>
      <c r="D164" s="2">
        <v>2500</v>
      </c>
      <c r="E164" s="2"/>
      <c r="F164" s="2"/>
      <c r="G164" s="2"/>
      <c r="I164" s="2"/>
      <c r="J164" s="2"/>
      <c r="K164" s="2"/>
    </row>
    <row r="165" spans="1:11" x14ac:dyDescent="0.2">
      <c r="A165" s="220" t="s">
        <v>1726</v>
      </c>
      <c r="C165" s="2"/>
      <c r="D165" s="33">
        <v>2800</v>
      </c>
      <c r="E165" s="2"/>
      <c r="F165" s="2"/>
      <c r="G165" s="2"/>
      <c r="I165" s="2"/>
      <c r="J165" s="2"/>
      <c r="K165" s="2"/>
    </row>
    <row r="166" spans="1:11" x14ac:dyDescent="0.2">
      <c r="C166" s="2"/>
      <c r="D166" s="2">
        <f>SUM(D164:D165)</f>
        <v>5300</v>
      </c>
      <c r="E166" s="2"/>
      <c r="F166" s="2"/>
      <c r="G166" s="2"/>
      <c r="I166" s="2"/>
      <c r="J166" s="2"/>
      <c r="K166" s="2"/>
    </row>
    <row r="167" spans="1:11" x14ac:dyDescent="0.2">
      <c r="C167" s="2"/>
      <c r="E167" s="2"/>
      <c r="F167" s="2"/>
      <c r="G167" s="2"/>
      <c r="I167" s="2"/>
      <c r="J167" s="2"/>
      <c r="K167" s="2"/>
    </row>
    <row r="168" spans="1:11" ht="13.5" x14ac:dyDescent="0.25">
      <c r="A168" s="225" t="s">
        <v>477</v>
      </c>
      <c r="C168" s="2"/>
      <c r="E168" s="2">
        <v>70</v>
      </c>
      <c r="F168" s="2">
        <v>300</v>
      </c>
      <c r="G168" s="2">
        <v>300</v>
      </c>
      <c r="H168" s="2">
        <v>300</v>
      </c>
      <c r="I168" s="2">
        <v>300</v>
      </c>
      <c r="J168" s="2">
        <v>300</v>
      </c>
      <c r="K168" s="2"/>
    </row>
    <row r="169" spans="1:11" x14ac:dyDescent="0.2">
      <c r="A169" s="220" t="s">
        <v>1727</v>
      </c>
      <c r="C169" s="2"/>
      <c r="D169" s="2">
        <v>300</v>
      </c>
      <c r="E169" s="2"/>
      <c r="H169" s="220"/>
      <c r="I169" s="251"/>
      <c r="J169" s="256"/>
      <c r="K169" s="2"/>
    </row>
    <row r="170" spans="1:11" x14ac:dyDescent="0.2">
      <c r="C170" s="2"/>
      <c r="E170" s="2"/>
      <c r="F170" s="2"/>
      <c r="G170" s="2"/>
      <c r="I170" s="2"/>
      <c r="J170" s="2"/>
      <c r="K170" s="2"/>
    </row>
    <row r="171" spans="1:11" ht="13.5" x14ac:dyDescent="0.25">
      <c r="A171" s="225" t="s">
        <v>1340</v>
      </c>
      <c r="C171" s="2"/>
      <c r="E171" s="2">
        <v>60</v>
      </c>
      <c r="F171" s="2">
        <v>150</v>
      </c>
      <c r="G171" s="2">
        <v>150</v>
      </c>
      <c r="H171" s="2">
        <v>150</v>
      </c>
      <c r="I171" s="2">
        <v>150</v>
      </c>
      <c r="J171" s="2">
        <v>150</v>
      </c>
      <c r="K171" s="2"/>
    </row>
    <row r="172" spans="1:11" x14ac:dyDescent="0.2">
      <c r="A172" s="220" t="s">
        <v>114</v>
      </c>
      <c r="C172" s="2"/>
      <c r="D172" s="2">
        <v>150</v>
      </c>
      <c r="E172" s="2"/>
      <c r="H172" s="220"/>
      <c r="I172" s="251"/>
      <c r="J172" s="256"/>
      <c r="K172" s="2"/>
    </row>
    <row r="173" spans="1:11" x14ac:dyDescent="0.2">
      <c r="C173" s="2"/>
      <c r="E173" s="2"/>
      <c r="F173" s="2"/>
      <c r="G173" s="2"/>
      <c r="I173" s="2"/>
      <c r="J173" s="2"/>
      <c r="K173" s="2"/>
    </row>
    <row r="174" spans="1:11" ht="13.5" x14ac:dyDescent="0.25">
      <c r="A174" s="225" t="s">
        <v>1205</v>
      </c>
      <c r="B174" s="2"/>
      <c r="E174" s="2">
        <v>568274</v>
      </c>
      <c r="F174" s="2">
        <v>717150</v>
      </c>
      <c r="G174" s="2">
        <v>801525</v>
      </c>
      <c r="H174" s="2">
        <v>801525</v>
      </c>
      <c r="I174" s="2">
        <v>801525</v>
      </c>
      <c r="J174" s="2">
        <v>801525</v>
      </c>
      <c r="K174" s="2"/>
    </row>
    <row r="175" spans="1:11" ht="25.5" x14ac:dyDescent="0.2">
      <c r="A175" s="31" t="s">
        <v>1913</v>
      </c>
      <c r="B175" s="2">
        <v>8100</v>
      </c>
      <c r="C175" s="11">
        <v>75.25</v>
      </c>
      <c r="D175" s="2">
        <f>B175*C175</f>
        <v>609525</v>
      </c>
      <c r="E175" s="2"/>
      <c r="H175" s="220"/>
      <c r="I175" s="251"/>
      <c r="J175" s="256"/>
      <c r="K175" s="2"/>
    </row>
    <row r="176" spans="1:11" ht="15" x14ac:dyDescent="0.35">
      <c r="A176" s="220" t="s">
        <v>1914</v>
      </c>
      <c r="B176" s="2">
        <v>1500</v>
      </c>
      <c r="C176" s="11">
        <v>128</v>
      </c>
      <c r="D176" s="10">
        <f>B176*C176</f>
        <v>192000</v>
      </c>
      <c r="E176" s="2"/>
      <c r="H176" s="220"/>
      <c r="I176" s="251"/>
      <c r="J176" s="256"/>
      <c r="K176" s="2"/>
    </row>
    <row r="177" spans="1:11" x14ac:dyDescent="0.2">
      <c r="A177" s="220" t="s">
        <v>1086</v>
      </c>
      <c r="B177" s="2"/>
      <c r="C177" s="11"/>
      <c r="D177" s="2">
        <f>SUM(D175:D176)</f>
        <v>801525</v>
      </c>
      <c r="E177" s="2"/>
      <c r="H177" s="220"/>
      <c r="I177" s="251"/>
      <c r="J177" s="256"/>
      <c r="K177" s="2"/>
    </row>
    <row r="178" spans="1:11" x14ac:dyDescent="0.2">
      <c r="B178" s="2"/>
      <c r="C178" s="11"/>
      <c r="E178" s="2"/>
      <c r="H178" s="220"/>
      <c r="I178" s="251"/>
      <c r="J178" s="256"/>
      <c r="K178" s="2"/>
    </row>
    <row r="179" spans="1:11" ht="13.5" x14ac:dyDescent="0.25">
      <c r="A179" s="84" t="s">
        <v>1513</v>
      </c>
      <c r="B179" s="2"/>
      <c r="C179" s="11"/>
      <c r="E179" s="2">
        <v>118283</v>
      </c>
      <c r="F179" s="220">
        <v>0</v>
      </c>
      <c r="G179" s="220">
        <v>0</v>
      </c>
      <c r="H179" s="220">
        <v>0</v>
      </c>
      <c r="I179" s="251">
        <v>0</v>
      </c>
      <c r="J179" s="256">
        <v>0</v>
      </c>
      <c r="K179" s="2"/>
    </row>
    <row r="180" spans="1:11" x14ac:dyDescent="0.2">
      <c r="B180" s="2"/>
      <c r="C180" s="11"/>
      <c r="E180" s="2"/>
      <c r="H180" s="220"/>
      <c r="I180" s="251"/>
      <c r="J180" s="256"/>
      <c r="K180" s="2"/>
    </row>
    <row r="181" spans="1:11" ht="13.5" x14ac:dyDescent="0.25">
      <c r="A181" s="225" t="s">
        <v>1341</v>
      </c>
      <c r="E181" s="2">
        <v>16317</v>
      </c>
      <c r="F181" s="2">
        <v>15340</v>
      </c>
      <c r="G181" s="2">
        <v>20340</v>
      </c>
      <c r="H181" s="2">
        <v>20340</v>
      </c>
      <c r="I181" s="2">
        <v>20340</v>
      </c>
      <c r="J181" s="2">
        <v>20340</v>
      </c>
      <c r="K181" s="2"/>
    </row>
    <row r="182" spans="1:11" x14ac:dyDescent="0.2">
      <c r="A182" s="220" t="s">
        <v>1291</v>
      </c>
      <c r="D182" s="7">
        <v>500</v>
      </c>
      <c r="H182" s="220"/>
      <c r="I182" s="251"/>
      <c r="J182" s="256"/>
      <c r="K182" s="2"/>
    </row>
    <row r="183" spans="1:11" x14ac:dyDescent="0.2">
      <c r="A183" s="220" t="s">
        <v>1292</v>
      </c>
      <c r="C183" s="2"/>
      <c r="D183" s="2">
        <v>300</v>
      </c>
      <c r="E183" s="2"/>
      <c r="F183" s="2"/>
      <c r="G183" s="2"/>
      <c r="I183" s="2"/>
      <c r="J183" s="2"/>
      <c r="K183" s="2"/>
    </row>
    <row r="184" spans="1:11" x14ac:dyDescent="0.2">
      <c r="A184" s="220" t="s">
        <v>1293</v>
      </c>
      <c r="C184" s="2"/>
      <c r="D184" s="2">
        <v>200</v>
      </c>
      <c r="E184" s="2"/>
      <c r="F184" s="2"/>
      <c r="G184" s="2"/>
      <c r="I184" s="2"/>
      <c r="J184" s="2"/>
      <c r="K184" s="2"/>
    </row>
    <row r="185" spans="1:11" x14ac:dyDescent="0.2">
      <c r="A185" s="220" t="s">
        <v>834</v>
      </c>
      <c r="C185" s="2"/>
      <c r="D185" s="2">
        <v>840</v>
      </c>
      <c r="E185" s="2"/>
      <c r="F185" s="2"/>
      <c r="G185" s="2"/>
      <c r="I185" s="2"/>
      <c r="J185" s="2"/>
      <c r="K185" s="2"/>
    </row>
    <row r="186" spans="1:11" x14ac:dyDescent="0.2">
      <c r="A186" s="220" t="s">
        <v>521</v>
      </c>
      <c r="C186" s="2"/>
      <c r="D186" s="2">
        <v>500</v>
      </c>
      <c r="E186" s="2"/>
      <c r="H186" s="220"/>
      <c r="I186" s="251"/>
      <c r="J186" s="256"/>
      <c r="K186" s="2"/>
    </row>
    <row r="187" spans="1:11" x14ac:dyDescent="0.2">
      <c r="A187" s="220" t="s">
        <v>1046</v>
      </c>
      <c r="C187" s="2"/>
      <c r="D187" s="3">
        <v>3000</v>
      </c>
      <c r="E187" s="2"/>
      <c r="F187" s="2"/>
      <c r="G187" s="2"/>
      <c r="I187" s="2"/>
      <c r="J187" s="2"/>
      <c r="K187" s="2"/>
    </row>
    <row r="188" spans="1:11" ht="15" x14ac:dyDescent="0.35">
      <c r="A188" s="220" t="s">
        <v>1915</v>
      </c>
      <c r="C188" s="2"/>
      <c r="D188" s="10">
        <v>15000</v>
      </c>
      <c r="E188" s="2"/>
      <c r="F188" s="2"/>
      <c r="G188" s="2"/>
      <c r="I188" s="2"/>
      <c r="J188" s="2"/>
      <c r="K188" s="2"/>
    </row>
    <row r="189" spans="1:11" ht="15" x14ac:dyDescent="0.35">
      <c r="A189" s="220" t="s">
        <v>1086</v>
      </c>
      <c r="C189" s="10"/>
      <c r="D189" s="2">
        <f>SUM(D182:D188)</f>
        <v>20340</v>
      </c>
      <c r="E189" s="2"/>
      <c r="H189" s="220"/>
      <c r="I189" s="251"/>
      <c r="J189" s="256"/>
      <c r="K189" s="2"/>
    </row>
    <row r="190" spans="1:11" x14ac:dyDescent="0.2">
      <c r="C190" s="2"/>
      <c r="E190" s="2"/>
      <c r="H190" s="220"/>
      <c r="I190" s="251"/>
      <c r="J190" s="256"/>
      <c r="K190" s="2"/>
    </row>
    <row r="191" spans="1:11" ht="13.5" x14ac:dyDescent="0.25">
      <c r="A191" s="225" t="s">
        <v>614</v>
      </c>
      <c r="C191" s="2"/>
      <c r="E191" s="2">
        <v>51899</v>
      </c>
      <c r="F191" s="2">
        <v>37500</v>
      </c>
      <c r="G191" s="2">
        <v>42000</v>
      </c>
      <c r="H191" s="2">
        <v>42000</v>
      </c>
      <c r="I191" s="2">
        <v>42000</v>
      </c>
      <c r="J191" s="2">
        <v>42000</v>
      </c>
      <c r="K191" s="2"/>
    </row>
    <row r="192" spans="1:11" x14ac:dyDescent="0.2">
      <c r="A192" s="220" t="s">
        <v>1373</v>
      </c>
      <c r="C192" s="2"/>
      <c r="D192" s="2">
        <v>12000</v>
      </c>
      <c r="E192" s="2"/>
      <c r="F192" s="2"/>
      <c r="G192" s="2"/>
      <c r="I192" s="2"/>
      <c r="J192" s="2"/>
      <c r="K192" s="2"/>
    </row>
    <row r="193" spans="1:11" x14ac:dyDescent="0.2">
      <c r="A193" s="220" t="s">
        <v>1374</v>
      </c>
      <c r="C193" s="2"/>
      <c r="D193" s="2">
        <v>26000</v>
      </c>
      <c r="E193" s="2"/>
      <c r="F193" s="2"/>
      <c r="G193" s="2"/>
      <c r="I193" s="2"/>
      <c r="J193" s="2"/>
      <c r="K193" s="2"/>
    </row>
    <row r="194" spans="1:11" ht="15" x14ac:dyDescent="0.35">
      <c r="A194" s="220" t="s">
        <v>1375</v>
      </c>
      <c r="C194" s="2"/>
      <c r="D194" s="10">
        <v>4000</v>
      </c>
      <c r="E194" s="2"/>
      <c r="F194" s="2"/>
      <c r="G194" s="2"/>
      <c r="I194" s="2"/>
      <c r="J194" s="2"/>
      <c r="K194" s="2"/>
    </row>
    <row r="195" spans="1:11" x14ac:dyDescent="0.2">
      <c r="C195" s="2"/>
      <c r="D195" s="2">
        <f>SUM(D192:D194)</f>
        <v>42000</v>
      </c>
      <c r="E195" s="2"/>
      <c r="F195" s="2"/>
      <c r="G195" s="2"/>
      <c r="I195" s="2"/>
      <c r="J195" s="2"/>
      <c r="K195" s="2"/>
    </row>
    <row r="196" spans="1:11" ht="13.5" x14ac:dyDescent="0.25">
      <c r="A196" s="225"/>
      <c r="B196" s="2"/>
      <c r="C196" s="11"/>
      <c r="E196" s="2"/>
      <c r="H196" s="220"/>
      <c r="I196" s="251"/>
      <c r="J196" s="256"/>
      <c r="K196" s="2"/>
    </row>
    <row r="197" spans="1:11" ht="13.5" x14ac:dyDescent="0.25">
      <c r="A197" s="225" t="s">
        <v>1342</v>
      </c>
      <c r="C197" s="2"/>
      <c r="E197" s="2">
        <v>96797</v>
      </c>
      <c r="F197" s="2">
        <v>65000</v>
      </c>
      <c r="G197" s="2">
        <v>81000</v>
      </c>
      <c r="H197" s="2">
        <v>81000</v>
      </c>
      <c r="I197" s="2">
        <v>81000</v>
      </c>
      <c r="J197" s="2">
        <v>81000</v>
      </c>
      <c r="K197" s="2"/>
    </row>
    <row r="198" spans="1:11" x14ac:dyDescent="0.2">
      <c r="A198" s="220" t="s">
        <v>31</v>
      </c>
      <c r="C198" s="2"/>
      <c r="D198" s="2">
        <v>15000</v>
      </c>
      <c r="E198" s="2"/>
      <c r="F198" s="2"/>
      <c r="G198" s="2"/>
      <c r="I198" s="2"/>
      <c r="J198" s="2"/>
      <c r="K198" s="2"/>
    </row>
    <row r="199" spans="1:11" x14ac:dyDescent="0.2">
      <c r="A199" s="220" t="s">
        <v>835</v>
      </c>
      <c r="C199" s="2"/>
      <c r="D199" s="2">
        <v>6000</v>
      </c>
      <c r="E199" s="2"/>
      <c r="F199" s="2"/>
      <c r="G199" s="2"/>
      <c r="I199" s="2"/>
      <c r="J199" s="2"/>
      <c r="K199" s="2"/>
    </row>
    <row r="200" spans="1:11" x14ac:dyDescent="0.2">
      <c r="A200" s="220" t="s">
        <v>401</v>
      </c>
      <c r="C200" s="2"/>
      <c r="D200" s="2">
        <v>30000</v>
      </c>
      <c r="E200" s="2"/>
      <c r="F200" s="2"/>
      <c r="G200" s="2"/>
      <c r="I200" s="2"/>
      <c r="J200" s="2"/>
      <c r="K200" s="2"/>
    </row>
    <row r="201" spans="1:11" x14ac:dyDescent="0.2">
      <c r="A201" s="220" t="s">
        <v>90</v>
      </c>
      <c r="C201" s="2"/>
      <c r="D201" s="2">
        <v>18000</v>
      </c>
      <c r="E201" s="2"/>
      <c r="F201" s="2"/>
      <c r="G201" s="2"/>
      <c r="I201" s="2"/>
      <c r="J201" s="2"/>
      <c r="K201" s="2"/>
    </row>
    <row r="202" spans="1:11" x14ac:dyDescent="0.2">
      <c r="A202" s="220" t="s">
        <v>1463</v>
      </c>
      <c r="C202" s="2"/>
      <c r="D202" s="2">
        <v>4000</v>
      </c>
      <c r="E202" s="2"/>
      <c r="F202" s="2"/>
      <c r="G202" s="2"/>
      <c r="I202" s="2"/>
      <c r="J202" s="2"/>
      <c r="K202" s="2"/>
    </row>
    <row r="203" spans="1:11" ht="15" x14ac:dyDescent="0.35">
      <c r="A203" s="220" t="s">
        <v>2126</v>
      </c>
      <c r="C203" s="2"/>
      <c r="D203" s="10">
        <v>8000</v>
      </c>
      <c r="E203" s="2"/>
      <c r="F203" s="2"/>
      <c r="G203" s="2"/>
      <c r="I203" s="2"/>
      <c r="J203" s="2"/>
      <c r="K203" s="2"/>
    </row>
    <row r="204" spans="1:11" ht="15" x14ac:dyDescent="0.35">
      <c r="A204" s="220" t="s">
        <v>1086</v>
      </c>
      <c r="C204" s="10"/>
      <c r="D204" s="2">
        <f>SUM(D198:D203)</f>
        <v>81000</v>
      </c>
      <c r="E204" s="2"/>
      <c r="F204" s="2"/>
      <c r="G204" s="2"/>
      <c r="I204" s="2"/>
      <c r="J204" s="2"/>
      <c r="K204" s="2"/>
    </row>
    <row r="205" spans="1:11" ht="15" x14ac:dyDescent="0.35">
      <c r="C205" s="10"/>
      <c r="E205" s="2"/>
      <c r="F205" s="2"/>
      <c r="G205" s="2"/>
      <c r="I205" s="2"/>
      <c r="J205" s="2"/>
      <c r="K205" s="2"/>
    </row>
    <row r="206" spans="1:11" ht="15" x14ac:dyDescent="0.35">
      <c r="A206" s="225" t="s">
        <v>1761</v>
      </c>
      <c r="C206" s="10"/>
      <c r="E206" s="2">
        <v>115</v>
      </c>
      <c r="F206" s="2">
        <v>0</v>
      </c>
      <c r="G206" s="2">
        <v>0</v>
      </c>
      <c r="H206" s="2">
        <v>0</v>
      </c>
      <c r="I206" s="2">
        <v>0</v>
      </c>
      <c r="J206" s="2">
        <v>0</v>
      </c>
      <c r="K206" s="2"/>
    </row>
    <row r="207" spans="1:11" x14ac:dyDescent="0.2">
      <c r="C207" s="2"/>
      <c r="E207" s="2"/>
      <c r="H207" s="220"/>
      <c r="I207" s="251"/>
      <c r="J207" s="256"/>
      <c r="K207" s="2"/>
    </row>
    <row r="208" spans="1:11" ht="13.5" x14ac:dyDescent="0.25">
      <c r="A208" s="56" t="s">
        <v>1602</v>
      </c>
      <c r="C208" s="2"/>
      <c r="E208" s="2">
        <v>1978</v>
      </c>
      <c r="F208" s="2">
        <v>750</v>
      </c>
      <c r="G208" s="2">
        <v>0</v>
      </c>
      <c r="H208" s="2">
        <v>0</v>
      </c>
      <c r="I208" s="2">
        <v>0</v>
      </c>
      <c r="J208" s="2">
        <v>0</v>
      </c>
      <c r="K208" s="2"/>
    </row>
    <row r="209" spans="1:11" x14ac:dyDescent="0.2">
      <c r="A209" s="220" t="s">
        <v>1728</v>
      </c>
      <c r="C209" s="2"/>
      <c r="D209" s="2">
        <v>0</v>
      </c>
      <c r="E209" s="2"/>
      <c r="G209" s="2"/>
      <c r="I209" s="2"/>
      <c r="J209" s="2"/>
      <c r="K209" s="2"/>
    </row>
    <row r="210" spans="1:11" ht="15" x14ac:dyDescent="0.35">
      <c r="C210" s="10"/>
      <c r="E210" s="2"/>
      <c r="G210" s="2"/>
      <c r="I210" s="2"/>
      <c r="J210" s="2"/>
      <c r="K210" s="2"/>
    </row>
    <row r="211" spans="1:11" ht="13.5" x14ac:dyDescent="0.25">
      <c r="A211" s="56" t="s">
        <v>1561</v>
      </c>
      <c r="C211" s="2"/>
      <c r="E211" s="2"/>
      <c r="F211" s="2"/>
      <c r="G211" s="2"/>
      <c r="I211" s="2"/>
      <c r="J211" s="2"/>
      <c r="K211" s="2"/>
    </row>
    <row r="212" spans="1:11" ht="13.5" x14ac:dyDescent="0.25">
      <c r="A212" s="56"/>
      <c r="C212" s="2"/>
      <c r="E212" s="2"/>
      <c r="F212" s="2"/>
      <c r="H212" s="220"/>
      <c r="I212" s="251"/>
      <c r="J212" s="256"/>
      <c r="K212" s="2"/>
    </row>
    <row r="213" spans="1:11" ht="13.5" x14ac:dyDescent="0.25">
      <c r="A213" s="225" t="s">
        <v>1512</v>
      </c>
      <c r="C213" s="2"/>
      <c r="E213" s="2">
        <v>450</v>
      </c>
      <c r="F213" s="2">
        <v>0</v>
      </c>
      <c r="G213" s="2">
        <v>0</v>
      </c>
      <c r="H213" s="2">
        <v>0</v>
      </c>
      <c r="I213" s="2">
        <v>0</v>
      </c>
      <c r="J213" s="2">
        <v>0</v>
      </c>
      <c r="K213" s="2"/>
    </row>
    <row r="214" spans="1:11" x14ac:dyDescent="0.2">
      <c r="C214" s="2"/>
      <c r="E214" s="2"/>
      <c r="F214" s="2"/>
      <c r="H214" s="220"/>
      <c r="I214" s="251"/>
      <c r="J214" s="256"/>
      <c r="K214" s="2"/>
    </row>
    <row r="215" spans="1:11" ht="13.5" x14ac:dyDescent="0.25">
      <c r="A215" s="225" t="s">
        <v>671</v>
      </c>
      <c r="C215" s="2"/>
      <c r="E215" s="2">
        <v>0</v>
      </c>
      <c r="F215" s="2"/>
      <c r="H215" s="220"/>
      <c r="I215" s="251"/>
      <c r="J215" s="256"/>
      <c r="K215" s="2"/>
    </row>
    <row r="216" spans="1:11" x14ac:dyDescent="0.2">
      <c r="E216" s="2"/>
      <c r="F216" s="2"/>
      <c r="H216" s="220"/>
      <c r="I216" s="251"/>
      <c r="J216" s="256"/>
      <c r="K216" s="2"/>
    </row>
    <row r="217" spans="1:11" ht="13.5" x14ac:dyDescent="0.25">
      <c r="A217" s="225" t="s">
        <v>731</v>
      </c>
      <c r="C217" s="2"/>
      <c r="E217" s="2">
        <v>125000</v>
      </c>
      <c r="F217" s="2">
        <v>125000</v>
      </c>
      <c r="G217" s="2">
        <v>125000</v>
      </c>
      <c r="H217" s="2">
        <v>125000</v>
      </c>
      <c r="I217" s="2">
        <v>125000</v>
      </c>
      <c r="J217" s="2">
        <v>125000</v>
      </c>
      <c r="K217" s="2"/>
    </row>
    <row r="218" spans="1:11" x14ac:dyDescent="0.2">
      <c r="A218" s="220" t="s">
        <v>980</v>
      </c>
      <c r="C218" s="2"/>
      <c r="D218" s="2">
        <v>125000</v>
      </c>
      <c r="G218" s="2"/>
      <c r="I218" s="2"/>
      <c r="J218" s="2"/>
      <c r="K218" s="2"/>
    </row>
    <row r="219" spans="1:11" x14ac:dyDescent="0.2">
      <c r="C219" s="2"/>
      <c r="F219" s="2"/>
      <c r="G219" s="2"/>
      <c r="I219" s="2"/>
      <c r="J219" s="2"/>
      <c r="K219" s="2"/>
    </row>
    <row r="220" spans="1:11" ht="15" x14ac:dyDescent="0.35">
      <c r="A220" s="225" t="s">
        <v>976</v>
      </c>
      <c r="C220" s="2"/>
      <c r="E220" s="10">
        <v>126499</v>
      </c>
      <c r="F220" s="10">
        <v>0</v>
      </c>
      <c r="G220" s="30">
        <v>0</v>
      </c>
      <c r="H220" s="30">
        <v>0</v>
      </c>
      <c r="I220" s="30">
        <v>0</v>
      </c>
      <c r="J220" s="30">
        <v>0</v>
      </c>
      <c r="K220" s="2"/>
    </row>
    <row r="221" spans="1:11" x14ac:dyDescent="0.2">
      <c r="A221" s="220" t="s">
        <v>428</v>
      </c>
      <c r="E221" s="2">
        <f t="shared" ref="E221:J221" si="2">SUM(E6:E220)</f>
        <v>1846233</v>
      </c>
      <c r="F221" s="2">
        <f t="shared" si="2"/>
        <v>1719246</v>
      </c>
      <c r="G221" s="2">
        <f t="shared" si="2"/>
        <v>1870965</v>
      </c>
      <c r="H221" s="2">
        <f t="shared" si="2"/>
        <v>1869468</v>
      </c>
      <c r="I221" s="2">
        <f t="shared" si="2"/>
        <v>1839772</v>
      </c>
      <c r="J221" s="2">
        <f t="shared" si="2"/>
        <v>1839772</v>
      </c>
    </row>
    <row r="222" spans="1:11" x14ac:dyDescent="0.2">
      <c r="H222" s="220"/>
      <c r="I222" s="2"/>
      <c r="J222" s="2"/>
    </row>
    <row r="223" spans="1:11" x14ac:dyDescent="0.2">
      <c r="H223" s="220"/>
      <c r="I223" s="2"/>
      <c r="J223" s="2"/>
    </row>
    <row r="224" spans="1:11" x14ac:dyDescent="0.2">
      <c r="A224" s="220" t="s">
        <v>523</v>
      </c>
      <c r="E224" s="2">
        <f t="shared" ref="E224:J224" si="3">SUM(E6:E84)</f>
        <v>571650</v>
      </c>
      <c r="F224" s="2">
        <f t="shared" si="3"/>
        <v>563182</v>
      </c>
      <c r="G224" s="2">
        <f t="shared" si="3"/>
        <v>608170</v>
      </c>
      <c r="H224" s="2">
        <f t="shared" si="3"/>
        <v>606673</v>
      </c>
      <c r="I224" s="2">
        <f t="shared" si="3"/>
        <v>606977</v>
      </c>
      <c r="J224" s="2">
        <f t="shared" si="3"/>
        <v>606977</v>
      </c>
    </row>
    <row r="225" spans="1:10" x14ac:dyDescent="0.2">
      <c r="A225" s="220" t="s">
        <v>818</v>
      </c>
      <c r="E225" s="2">
        <f>SUM(E87:E206)</f>
        <v>1020656</v>
      </c>
      <c r="F225" s="2">
        <f>SUM(F87:F206)</f>
        <v>1030314</v>
      </c>
      <c r="G225" s="2">
        <f>SUM(G87:G207)</f>
        <v>1137795</v>
      </c>
      <c r="H225" s="2">
        <f>SUM(H87:H207)</f>
        <v>1137795</v>
      </c>
      <c r="I225" s="2">
        <f>SUM(I87:I200)</f>
        <v>1107795</v>
      </c>
      <c r="J225" s="2">
        <f>SUM(J87:J200)</f>
        <v>1107795</v>
      </c>
    </row>
    <row r="226" spans="1:10" ht="15" x14ac:dyDescent="0.35">
      <c r="A226" s="220" t="s">
        <v>819</v>
      </c>
      <c r="E226" s="10">
        <f>SUM(E208:E220)</f>
        <v>253927</v>
      </c>
      <c r="F226" s="10">
        <f>SUM(F208:F220)</f>
        <v>125750</v>
      </c>
      <c r="G226" s="10">
        <f>SUM(G207:G220)</f>
        <v>125000</v>
      </c>
      <c r="H226" s="10">
        <f>SUM(H207:H220)</f>
        <v>125000</v>
      </c>
      <c r="I226" s="10">
        <f>SUM(I204:I220)</f>
        <v>125000</v>
      </c>
      <c r="J226" s="10">
        <f>SUM(J204:J220)</f>
        <v>125000</v>
      </c>
    </row>
    <row r="227" spans="1:10" x14ac:dyDescent="0.2">
      <c r="A227" s="220" t="s">
        <v>1086</v>
      </c>
      <c r="E227" s="2">
        <f t="shared" ref="E227:J227" si="4">SUM(E224:E226)</f>
        <v>1846233</v>
      </c>
      <c r="F227" s="2">
        <f t="shared" si="4"/>
        <v>1719246</v>
      </c>
      <c r="G227" s="2">
        <f t="shared" si="4"/>
        <v>1870965</v>
      </c>
      <c r="H227" s="2">
        <f t="shared" ref="H227" si="5">SUM(H224:H226)</f>
        <v>1869468</v>
      </c>
      <c r="I227" s="2">
        <f t="shared" si="4"/>
        <v>1839772</v>
      </c>
      <c r="J227" s="2">
        <f t="shared" si="4"/>
        <v>1839772</v>
      </c>
    </row>
    <row r="228" spans="1:10" x14ac:dyDescent="0.2">
      <c r="H228" s="220"/>
      <c r="I228" s="2"/>
    </row>
    <row r="229" spans="1:10" x14ac:dyDescent="0.2">
      <c r="H229" s="220"/>
      <c r="I229" s="2"/>
      <c r="J229" s="2">
        <f>+J226-I226</f>
        <v>0</v>
      </c>
    </row>
    <row r="230" spans="1:10" x14ac:dyDescent="0.2">
      <c r="H230" s="220"/>
      <c r="I230" s="2"/>
    </row>
    <row r="231" spans="1:10" x14ac:dyDescent="0.2">
      <c r="H231" s="220"/>
      <c r="I231" s="2"/>
    </row>
    <row r="232" spans="1:10" x14ac:dyDescent="0.2">
      <c r="H232" s="220"/>
      <c r="I232" s="2"/>
    </row>
    <row r="233" spans="1:10" x14ac:dyDescent="0.2">
      <c r="H233" s="220"/>
      <c r="I233" s="2"/>
    </row>
    <row r="234" spans="1:10" x14ac:dyDescent="0.2">
      <c r="H234" s="220"/>
      <c r="I234" s="2"/>
    </row>
    <row r="235" spans="1:10" x14ac:dyDescent="0.2">
      <c r="H235" s="220"/>
      <c r="I235" s="2"/>
    </row>
    <row r="236" spans="1:10" x14ac:dyDescent="0.2">
      <c r="H236" s="220"/>
      <c r="I236" s="2"/>
    </row>
    <row r="237" spans="1:10" x14ac:dyDescent="0.2">
      <c r="H237" s="220"/>
      <c r="I237" s="2"/>
    </row>
    <row r="238" spans="1:10" x14ac:dyDescent="0.2">
      <c r="I238" s="2"/>
    </row>
    <row r="239" spans="1:10" x14ac:dyDescent="0.2">
      <c r="I239" s="2"/>
    </row>
    <row r="240" spans="1:10" x14ac:dyDescent="0.2">
      <c r="I240" s="2"/>
    </row>
    <row r="241" spans="9:9" x14ac:dyDescent="0.2">
      <c r="I241" s="2"/>
    </row>
    <row r="242" spans="9:9" x14ac:dyDescent="0.2">
      <c r="I242" s="2"/>
    </row>
    <row r="243" spans="9:9" x14ac:dyDescent="0.2">
      <c r="I243" s="2"/>
    </row>
    <row r="244" spans="9:9" x14ac:dyDescent="0.2">
      <c r="I244" s="2"/>
    </row>
    <row r="245" spans="9:9" x14ac:dyDescent="0.2">
      <c r="I245" s="2"/>
    </row>
    <row r="246" spans="9:9" x14ac:dyDescent="0.2">
      <c r="I246" s="2"/>
    </row>
    <row r="247" spans="9:9" x14ac:dyDescent="0.2">
      <c r="I247" s="2"/>
    </row>
    <row r="248" spans="9:9" x14ac:dyDescent="0.2">
      <c r="I248" s="2"/>
    </row>
    <row r="249" spans="9:9" x14ac:dyDescent="0.2">
      <c r="I249" s="2"/>
    </row>
    <row r="250" spans="9:9" x14ac:dyDescent="0.2">
      <c r="I250" s="2"/>
    </row>
    <row r="251" spans="9:9" x14ac:dyDescent="0.2">
      <c r="I251" s="2"/>
    </row>
    <row r="252" spans="9:9" x14ac:dyDescent="0.2">
      <c r="I252" s="2"/>
    </row>
    <row r="253" spans="9:9" x14ac:dyDescent="0.2">
      <c r="I253" s="2"/>
    </row>
    <row r="254" spans="9:9" x14ac:dyDescent="0.2">
      <c r="I254" s="2"/>
    </row>
    <row r="255" spans="9:9" x14ac:dyDescent="0.2">
      <c r="I255" s="2"/>
    </row>
    <row r="256" spans="9:9" x14ac:dyDescent="0.2">
      <c r="I256" s="2"/>
    </row>
    <row r="257" spans="9:9" x14ac:dyDescent="0.2">
      <c r="I257" s="2"/>
    </row>
    <row r="258" spans="9:9" x14ac:dyDescent="0.2">
      <c r="I258" s="2"/>
    </row>
    <row r="259" spans="9:9" x14ac:dyDescent="0.2">
      <c r="I259" s="2"/>
    </row>
    <row r="260" spans="9:9" x14ac:dyDescent="0.2">
      <c r="I260" s="2"/>
    </row>
    <row r="261" spans="9:9" x14ac:dyDescent="0.2">
      <c r="I261" s="2"/>
    </row>
  </sheetData>
  <mergeCells count="1">
    <mergeCell ref="A1:J1"/>
  </mergeCells>
  <phoneticPr fontId="0" type="noConversion"/>
  <printOptions gridLines="1"/>
  <pageMargins left="0.75" right="0.16" top="0.51" bottom="0.22" header="0.5" footer="0.5"/>
  <pageSetup scale="86" fitToHeight="14" orientation="landscape" r:id="rId1"/>
  <headerFooter alignWithMargins="0"/>
  <rowBreaks count="1" manualBreakCount="1">
    <brk id="162"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43- WWTF capital Project</vt:lpstr>
      <vt:lpstr>45- capital Projects fund</vt:lpstr>
      <vt:lpstr>-other SPECIAL REVENUE FUNDING</vt:lpstr>
      <vt:lpstr>Revolving Fund</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'24-tax coll'!Print_Area</vt:lpstr>
      <vt:lpstr>'25-welfare'!Print_Area</vt:lpstr>
      <vt:lpstr>'27-debt svc'!Print_Area</vt:lpstr>
      <vt:lpstr>'33-Fire Protection -other'!Print_Area</vt:lpstr>
      <vt:lpstr>'43- WWTF capital Project'!Print_Area</vt:lpstr>
      <vt:lpstr>'45- capital Projects fund'!Print_Area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'43- WWTF capital Project'!Print_Titles</vt:lpstr>
      <vt:lpstr>'45- capital Projects fund'!Print_Titles</vt:lpstr>
      <vt:lpstr>'-other SPECIAL REVENUE FUNDING'!Print_Titles</vt:lpstr>
      <vt:lpstr>'Revolving Fund'!Print_Titles</vt:lpstr>
    </vt:vector>
  </TitlesOfParts>
  <Company>Town of Merrimack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Thomas Boland</cp:lastModifiedBy>
  <cp:lastPrinted>2021-04-29T14:48:14Z</cp:lastPrinted>
  <dcterms:created xsi:type="dcterms:W3CDTF">2001-06-20T19:26:14Z</dcterms:created>
  <dcterms:modified xsi:type="dcterms:W3CDTF">2021-05-03T13:37:13Z</dcterms:modified>
</cp:coreProperties>
</file>