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M:\Shared\Finance Data\Budgets\2023-24 Town Council\Web Documents\"/>
    </mc:Choice>
  </mc:AlternateContent>
  <bookViews>
    <workbookView xWindow="0" yWindow="0" windowWidth="19200" windowHeight="8895" tabRatio="596"/>
  </bookViews>
  <sheets>
    <sheet name="01-gen gov" sheetId="1" r:id="rId1"/>
    <sheet name="02-assessing" sheetId="2" r:id="rId2"/>
    <sheet name="03-fire" sheetId="3" r:id="rId3"/>
    <sheet name="04-police" sheetId="4" r:id="rId4"/>
    <sheet name="05-comm" sheetId="5" r:id="rId5"/>
    <sheet name="06-code enforcement" sheetId="53" r:id="rId6"/>
    <sheet name="07-pub works" sheetId="6" r:id="rId7"/>
    <sheet name="08-highway" sheetId="7" r:id="rId8"/>
    <sheet name="09-solid waste" sheetId="8" r:id="rId9"/>
    <sheet name="13-parks &amp; rec" sheetId="11" r:id="rId10"/>
    <sheet name="15-library" sheetId="12" r:id="rId11"/>
    <sheet name="16-equip mntc" sheetId="13" r:id="rId12"/>
    <sheet name="17-bldg &amp; grounds" sheetId="14" r:id="rId13"/>
    <sheet name="21-comm dev" sheetId="15" r:id="rId14"/>
    <sheet name="24-tax coll" sheetId="16" r:id="rId15"/>
    <sheet name="25-welfare" sheetId="17" r:id="rId16"/>
    <sheet name="27-debt svc" sheetId="18" r:id="rId17"/>
    <sheet name="10-wastewater" sheetId="9" r:id="rId18"/>
    <sheet name="32-Media" sheetId="37" r:id="rId19"/>
    <sheet name="33-Fire Protection -other" sheetId="36" r:id="rId20"/>
    <sheet name="43- WWTF capital Project" sheetId="63" r:id="rId21"/>
    <sheet name="45- capital Projects fund" sheetId="61" r:id="rId22"/>
    <sheet name="-other SPECIAL REVENUE FUNDING" sheetId="50" r:id="rId23"/>
    <sheet name="Revolving Fund" sheetId="60" r:id="rId24"/>
  </sheets>
  <externalReferences>
    <externalReference r:id="rId25"/>
    <externalReference r:id="rId26"/>
    <externalReference r:id="rId27"/>
  </externalReferences>
  <definedNames>
    <definedName name="_bos38" localSheetId="20">'15-library'!#REF!</definedName>
    <definedName name="_bos38" localSheetId="21">'15-library'!#REF!</definedName>
    <definedName name="_bos38" localSheetId="23">'15-library'!#REF!</definedName>
    <definedName name="_mgr38" localSheetId="20">'15-library'!#REF!</definedName>
    <definedName name="_mgr38" localSheetId="21">'15-library'!#REF!</definedName>
    <definedName name="_mgr38" localSheetId="23">'15-library'!#REF!</definedName>
    <definedName name="_Order1" hidden="1">255</definedName>
    <definedName name="_Order2" hidden="1">255</definedName>
    <definedName name="aaa" localSheetId="20">'[1]15-library'!#REF!</definedName>
    <definedName name="aaa" localSheetId="21">'[1]15-library'!#REF!</definedName>
    <definedName name="aaa" localSheetId="23">'[1]15-library'!#REF!</definedName>
    <definedName name="aaa">'[1]15-library'!#REF!</definedName>
    <definedName name="actual" localSheetId="20">'15-library'!#REF!</definedName>
    <definedName name="actual" localSheetId="21">'15-library'!#REF!</definedName>
    <definedName name="actual" localSheetId="23">'15-library'!#REF!</definedName>
    <definedName name="actual38" localSheetId="20">'15-library'!#REF!</definedName>
    <definedName name="actual38" localSheetId="21">'15-library'!#REF!</definedName>
    <definedName name="actual38" localSheetId="23">'15-library'!#REF!</definedName>
    <definedName name="bbb" localSheetId="20">'[1]15-library'!#REF!</definedName>
    <definedName name="bbb" localSheetId="21">'[1]15-library'!#REF!</definedName>
    <definedName name="bbb" localSheetId="23">'[1]15-library'!#REF!</definedName>
    <definedName name="bbb">'[1]15-library'!#REF!</definedName>
    <definedName name="bos" localSheetId="20">'15-library'!#REF!</definedName>
    <definedName name="bos" localSheetId="21">'15-library'!#REF!</definedName>
    <definedName name="bos" localSheetId="23">'15-library'!#REF!</definedName>
    <definedName name="budcom" localSheetId="20">'15-library'!#REF!</definedName>
    <definedName name="budcom" localSheetId="21">'15-library'!#REF!</definedName>
    <definedName name="budcom" localSheetId="23">'15-library'!#REF!</definedName>
    <definedName name="budget" localSheetId="20">'15-library'!#REF!</definedName>
    <definedName name="budget" localSheetId="21">'15-library'!#REF!</definedName>
    <definedName name="budget" localSheetId="23">'15-library'!#REF!</definedName>
    <definedName name="budget38" localSheetId="20">'15-library'!#REF!</definedName>
    <definedName name="budget38" localSheetId="21">'15-library'!#REF!</definedName>
    <definedName name="budget38" localSheetId="23">'15-library'!#REF!</definedName>
    <definedName name="ccc" localSheetId="20">'[1]15-library'!#REF!</definedName>
    <definedName name="ccc" localSheetId="21">'[1]15-library'!#REF!</definedName>
    <definedName name="ccc" localSheetId="23">'[1]15-library'!#REF!</definedName>
    <definedName name="ccc">'[1]15-library'!#REF!</definedName>
    <definedName name="ddd" localSheetId="20">'[1]15-library'!#REF!</definedName>
    <definedName name="ddd" localSheetId="21">'[1]15-library'!#REF!</definedName>
    <definedName name="ddd" localSheetId="23">'[1]15-library'!#REF!</definedName>
    <definedName name="ddd">'[1]15-library'!#REF!</definedName>
    <definedName name="dept" localSheetId="20">'15-library'!#REF!</definedName>
    <definedName name="dept" localSheetId="21">'15-library'!#REF!</definedName>
    <definedName name="dept" localSheetId="23">'15-library'!#REF!</definedName>
    <definedName name="dept22" localSheetId="20">'15-library'!#REF!</definedName>
    <definedName name="dept22" localSheetId="21">'15-library'!#REF!</definedName>
    <definedName name="dept22">'15-library'!#REF!</definedName>
    <definedName name="dept38" localSheetId="20">'15-library'!#REF!</definedName>
    <definedName name="dept38" localSheetId="21">'15-library'!#REF!</definedName>
    <definedName name="dept38" localSheetId="23">'15-library'!#REF!</definedName>
    <definedName name="eee" localSheetId="20">'[1]15-library'!#REF!</definedName>
    <definedName name="eee" localSheetId="21">'[1]15-library'!#REF!</definedName>
    <definedName name="eee" localSheetId="23">'[1]15-library'!#REF!</definedName>
    <definedName name="eee">'[1]15-library'!#REF!</definedName>
    <definedName name="fff" localSheetId="20">'[1]15-library'!#REF!</definedName>
    <definedName name="fff" localSheetId="21">'[1]15-library'!#REF!</definedName>
    <definedName name="fff" localSheetId="23">'[1]15-library'!#REF!</definedName>
    <definedName name="fff">'[1]15-library'!#REF!</definedName>
    <definedName name="ggg" localSheetId="20">'[1]15-library'!#REF!</definedName>
    <definedName name="ggg" localSheetId="21">'[1]15-library'!#REF!</definedName>
    <definedName name="ggg" localSheetId="23">'[1]15-library'!#REF!</definedName>
    <definedName name="ggg">'[1]15-library'!#REF!</definedName>
    <definedName name="help" localSheetId="20">'[2]15-library'!#REF!</definedName>
    <definedName name="help" localSheetId="21">'[2]15-library'!#REF!</definedName>
    <definedName name="help" localSheetId="23">'[2]15-library'!#REF!</definedName>
    <definedName name="help">'[2]15-library'!#REF!</definedName>
    <definedName name="hhh" localSheetId="20">'[1]15-library'!#REF!</definedName>
    <definedName name="hhh" localSheetId="21">'[1]15-library'!#REF!</definedName>
    <definedName name="hhh" localSheetId="23">'[1]15-library'!#REF!</definedName>
    <definedName name="hhh">'[1]15-library'!#REF!</definedName>
    <definedName name="iii" localSheetId="20">'[1]15-library'!#REF!</definedName>
    <definedName name="iii" localSheetId="21">'[1]15-library'!#REF!</definedName>
    <definedName name="iii" localSheetId="23">'[1]15-library'!#REF!</definedName>
    <definedName name="iii">'[1]15-library'!#REF!</definedName>
    <definedName name="jjj" localSheetId="20">'[1]15-library'!#REF!</definedName>
    <definedName name="jjj" localSheetId="21">'[1]15-library'!#REF!</definedName>
    <definedName name="jjj" localSheetId="23">'[1]15-library'!#REF!</definedName>
    <definedName name="jjj">'[1]15-library'!#REF!</definedName>
    <definedName name="meet" localSheetId="20">'[3]15-library'!#REF!</definedName>
    <definedName name="meet" localSheetId="21">'[3]15-library'!#REF!</definedName>
    <definedName name="meet" localSheetId="23">'[3]15-library'!#REF!</definedName>
    <definedName name="meet">'[3]15-library'!#REF!</definedName>
    <definedName name="meeting" localSheetId="20">'15-library'!#REF!</definedName>
    <definedName name="meeting" localSheetId="21">'15-library'!#REF!</definedName>
    <definedName name="meeting" localSheetId="23">'15-library'!#REF!</definedName>
    <definedName name="mgr" localSheetId="20">'15-library'!#REF!</definedName>
    <definedName name="mgr" localSheetId="21">'15-library'!#REF!</definedName>
    <definedName name="mgr" localSheetId="23">'15-library'!#REF!</definedName>
    <definedName name="ooop" localSheetId="20">'[2]15-library'!#REF!</definedName>
    <definedName name="ooop" localSheetId="21">'[2]15-library'!#REF!</definedName>
    <definedName name="ooop" localSheetId="23">'[2]15-library'!#REF!</definedName>
    <definedName name="ooop">'[2]15-library'!#REF!</definedName>
    <definedName name="ooou" localSheetId="20">'[2]15-library'!#REF!</definedName>
    <definedName name="ooou" localSheetId="21">'[2]15-library'!#REF!</definedName>
    <definedName name="ooou" localSheetId="23">'[2]15-library'!#REF!</definedName>
    <definedName name="ooou">'[2]15-library'!#REF!</definedName>
    <definedName name="_xlnm.Print_Area" localSheetId="0">'01-gen gov'!$A$1:$J$284</definedName>
    <definedName name="_xlnm.Print_Area" localSheetId="1">'02-assessing'!$A$1:$J$125</definedName>
    <definedName name="_xlnm.Print_Area" localSheetId="2">'03-fire'!$A$1:$J$381</definedName>
    <definedName name="_xlnm.Print_Area" localSheetId="3">'04-police'!$A$1:$J$313</definedName>
    <definedName name="_xlnm.Print_Area" localSheetId="4">'05-comm'!$A$1:$J$158</definedName>
    <definedName name="_xlnm.Print_Area" localSheetId="5">'06-code enforcement'!$A$1:$J$155</definedName>
    <definedName name="_xlnm.Print_Area" localSheetId="6">'07-pub works'!$A$1:$J$147</definedName>
    <definedName name="_xlnm.Print_Area" localSheetId="7">'08-highway'!$A$1:$J$361</definedName>
    <definedName name="_xlnm.Print_Area" localSheetId="8">'09-solid waste'!$A$1:$J$231</definedName>
    <definedName name="_xlnm.Print_Area" localSheetId="17">'10-wastewater'!$A$1:$J$347</definedName>
    <definedName name="_xlnm.Print_Area" localSheetId="9">'13-parks &amp; rec'!$A$1:$J$258</definedName>
    <definedName name="_xlnm.Print_Area" localSheetId="10">'15-library'!$A$1:$J$248</definedName>
    <definedName name="_xlnm.Print_Area" localSheetId="11">'16-equip mntc'!$A$1:$J$133</definedName>
    <definedName name="_xlnm.Print_Area" localSheetId="12">'17-bldg &amp; grounds'!$A$1:$J$155</definedName>
    <definedName name="_xlnm.Print_Area" localSheetId="13">'21-comm dev'!$A$1:$J$162</definedName>
    <definedName name="_xlnm.Print_Area" localSheetId="14">'24-tax coll'!$A$1:$J$156</definedName>
    <definedName name="_xlnm.Print_Area" localSheetId="15">'25-welfare'!$A$1:$K$97</definedName>
    <definedName name="_xlnm.Print_Area" localSheetId="16">'27-debt svc'!$A$1:$I$66</definedName>
    <definedName name="_xlnm.Print_Area" localSheetId="18">'32-Media'!$A$1:$J$115</definedName>
    <definedName name="_xlnm.Print_Area" localSheetId="19">'33-Fire Protection -other'!$A$1:$J$18</definedName>
    <definedName name="_xlnm.Print_Area" localSheetId="20">'43- WWTF capital Project'!$A$1:$J$18</definedName>
    <definedName name="_xlnm.Print_Area" localSheetId="21">'45- capital Projects fund'!$A$1:$J$18</definedName>
    <definedName name="_xlnm.Print_Area" localSheetId="22">'-other SPECIAL REVENUE FUNDING'!$A$1:$J$19</definedName>
    <definedName name="_xlnm.Print_Area" localSheetId="23">'Revolving Fund'!$A$1:$J$164</definedName>
    <definedName name="_xlnm.Print_Titles" localSheetId="0">'01-gen gov'!$1:$5</definedName>
    <definedName name="_xlnm.Print_Titles" localSheetId="1">'02-assessing'!$1:$5</definedName>
    <definedName name="_xlnm.Print_Titles" localSheetId="2">'03-fire'!$1:$5</definedName>
    <definedName name="_xlnm.Print_Titles" localSheetId="3">'04-police'!$1:$5</definedName>
    <definedName name="_xlnm.Print_Titles" localSheetId="4">'05-comm'!$1:$5</definedName>
    <definedName name="_xlnm.Print_Titles" localSheetId="5">'06-code enforcement'!$1:$5</definedName>
    <definedName name="_xlnm.Print_Titles" localSheetId="6">'07-pub works'!$1:$5</definedName>
    <definedName name="_xlnm.Print_Titles" localSheetId="7">'08-highway'!$1:$5</definedName>
    <definedName name="_xlnm.Print_Titles" localSheetId="8">'09-solid waste'!$1:$5</definedName>
    <definedName name="_xlnm.Print_Titles" localSheetId="17">'10-wastewater'!$1:$5</definedName>
    <definedName name="_xlnm.Print_Titles" localSheetId="9">'13-parks &amp; rec'!$1:$5</definedName>
    <definedName name="_xlnm.Print_Titles" localSheetId="10">'15-library'!$1:$5</definedName>
    <definedName name="_xlnm.Print_Titles" localSheetId="11">'16-equip mntc'!$1:$5</definedName>
    <definedName name="_xlnm.Print_Titles" localSheetId="12">'17-bldg &amp; grounds'!$1:$5</definedName>
    <definedName name="_xlnm.Print_Titles" localSheetId="13">'21-comm dev'!$1:$5</definedName>
    <definedName name="_xlnm.Print_Titles" localSheetId="14">'24-tax coll'!$1:$5</definedName>
    <definedName name="_xlnm.Print_Titles" localSheetId="15">'25-welfare'!$1:$5</definedName>
    <definedName name="_xlnm.Print_Titles" localSheetId="18">'32-Media'!$1:$5</definedName>
    <definedName name="_xlnm.Print_Titles" localSheetId="19">'33-Fire Protection -other'!$1:$4</definedName>
    <definedName name="_xlnm.Print_Titles" localSheetId="20">'43- WWTF capital Project'!$1:$4</definedName>
    <definedName name="_xlnm.Print_Titles" localSheetId="21">'45- capital Projects fund'!$1:$4</definedName>
    <definedName name="_xlnm.Print_Titles" localSheetId="22">'-other SPECIAL REVENUE FUNDING'!$1:$6</definedName>
    <definedName name="_xlnm.Print_Titles" localSheetId="23">'Revolving Fund'!$1:$7</definedName>
    <definedName name="pwq" localSheetId="20">'[2]15-library'!#REF!</definedName>
    <definedName name="pwq" localSheetId="21">'[2]15-library'!#REF!</definedName>
    <definedName name="pwq" localSheetId="23">'[2]15-library'!#REF!</definedName>
    <definedName name="pwq">'[2]15-library'!#REF!</definedName>
    <definedName name="revenue2" localSheetId="20">'15-library'!#REF!</definedName>
    <definedName name="revenue2" localSheetId="21">'15-library'!#REF!</definedName>
    <definedName name="revenue2">'15-library'!#REF!</definedName>
    <definedName name="rtl" localSheetId="20">'[2]15-library'!#REF!</definedName>
    <definedName name="rtl" localSheetId="21">'[2]15-library'!#REF!</definedName>
    <definedName name="rtl" localSheetId="23">'[2]15-library'!#REF!</definedName>
    <definedName name="rtl">'[2]15-library'!#REF!</definedName>
    <definedName name="ssg" localSheetId="20">'[2]15-library'!#REF!</definedName>
    <definedName name="ssg" localSheetId="21">'[2]15-library'!#REF!</definedName>
    <definedName name="ssg" localSheetId="23">'[2]15-library'!#REF!</definedName>
    <definedName name="ssg">'[2]15-library'!#REF!</definedName>
    <definedName name="voted" localSheetId="20">'15-library'!#REF!</definedName>
    <definedName name="voted" localSheetId="21">'15-library'!#REF!</definedName>
    <definedName name="voted" localSheetId="23">'15-library'!#REF!</definedName>
    <definedName name="www" localSheetId="20">'[2]15-library'!#REF!</definedName>
    <definedName name="www" localSheetId="21">'[2]15-library'!#REF!</definedName>
    <definedName name="www" localSheetId="23">'[2]15-library'!#REF!</definedName>
    <definedName name="www">'[2]15-library'!#REF!</definedName>
  </definedNames>
  <calcPr calcId="152511"/>
</workbook>
</file>

<file path=xl/calcChain.xml><?xml version="1.0" encoding="utf-8"?>
<calcChain xmlns="http://schemas.openxmlformats.org/spreadsheetml/2006/main">
  <c r="D40" i="7" l="1"/>
  <c r="C30" i="7"/>
  <c r="C24" i="7"/>
  <c r="C25" i="7"/>
  <c r="C34" i="7"/>
  <c r="C33" i="7"/>
  <c r="C35" i="7"/>
  <c r="C32" i="7"/>
  <c r="C31" i="7"/>
  <c r="C27" i="7"/>
  <c r="C22" i="7"/>
  <c r="C21" i="7"/>
  <c r="C38" i="7"/>
  <c r="C37" i="7"/>
  <c r="C36" i="7"/>
  <c r="C29" i="7"/>
  <c r="C28" i="7"/>
  <c r="C23" i="7"/>
  <c r="C20" i="7"/>
  <c r="D36" i="9"/>
  <c r="C30" i="9"/>
  <c r="C29" i="9"/>
  <c r="C28" i="9"/>
  <c r="C34" i="9"/>
  <c r="C32" i="9"/>
  <c r="C25" i="9"/>
  <c r="C35" i="9"/>
  <c r="C33" i="9"/>
  <c r="C31" i="9"/>
  <c r="C27" i="9"/>
  <c r="C26" i="9"/>
  <c r="C24" i="9"/>
  <c r="C23" i="9"/>
  <c r="D21" i="8"/>
  <c r="C17" i="8"/>
  <c r="C18" i="8"/>
  <c r="C15" i="8"/>
  <c r="C16" i="8" l="1"/>
  <c r="D16" i="13"/>
  <c r="C13" i="13"/>
  <c r="C14" i="13"/>
  <c r="C12" i="13"/>
  <c r="C15" i="13"/>
  <c r="D69" i="3" l="1"/>
  <c r="C54" i="3"/>
  <c r="C53" i="3"/>
  <c r="C50" i="3"/>
  <c r="C64" i="3"/>
  <c r="C52" i="3"/>
  <c r="C67" i="3"/>
  <c r="C55" i="3"/>
  <c r="C63" i="3"/>
  <c r="C62" i="3"/>
  <c r="C61" i="3"/>
  <c r="C66" i="3"/>
  <c r="C60" i="3"/>
  <c r="C59" i="3"/>
  <c r="C58" i="3"/>
  <c r="C51" i="3"/>
  <c r="C65" i="3"/>
  <c r="C57" i="3"/>
  <c r="C56" i="3"/>
  <c r="C49" i="3"/>
  <c r="C48" i="3"/>
  <c r="C47" i="3"/>
  <c r="C46" i="3"/>
  <c r="C43" i="3"/>
  <c r="C41" i="3"/>
  <c r="C40" i="3"/>
  <c r="C39" i="3"/>
  <c r="C38" i="3"/>
  <c r="C37" i="3"/>
  <c r="C35" i="3"/>
  <c r="C34" i="3"/>
  <c r="C33" i="3"/>
  <c r="C32" i="3"/>
  <c r="K31" i="3" l="1"/>
  <c r="J383" i="3" l="1"/>
  <c r="C45" i="3"/>
  <c r="C44" i="3"/>
  <c r="C42" i="3"/>
  <c r="C36" i="3"/>
  <c r="D27" i="3" l="1"/>
  <c r="C21" i="3"/>
  <c r="C23" i="3"/>
  <c r="K14" i="4"/>
  <c r="C21" i="4"/>
  <c r="C18" i="4"/>
  <c r="C73" i="4" l="1"/>
  <c r="C15" i="3"/>
  <c r="C20" i="3"/>
  <c r="C22" i="3"/>
  <c r="C19" i="3"/>
  <c r="C18" i="3"/>
  <c r="C17" i="3"/>
  <c r="C16" i="3"/>
  <c r="C22" i="4"/>
  <c r="C23" i="4"/>
  <c r="C20" i="4"/>
  <c r="C19" i="4"/>
  <c r="C7" i="5"/>
  <c r="C26" i="5"/>
  <c r="J360" i="7" l="1"/>
  <c r="I360" i="7"/>
  <c r="I359" i="7"/>
  <c r="I356" i="7"/>
  <c r="H359" i="7"/>
  <c r="J286" i="1"/>
  <c r="H311" i="4"/>
  <c r="J311" i="4"/>
  <c r="I311" i="4"/>
  <c r="J312" i="4"/>
  <c r="I312" i="4"/>
  <c r="J157" i="53"/>
  <c r="G359" i="7"/>
  <c r="D14" i="3"/>
  <c r="D13" i="3"/>
  <c r="I124" i="2"/>
  <c r="I120" i="2"/>
  <c r="J164" i="60"/>
  <c r="I164" i="60"/>
  <c r="C53" i="9"/>
  <c r="I161" i="15" l="1"/>
  <c r="I156" i="15"/>
  <c r="J246" i="12"/>
  <c r="J245" i="12"/>
  <c r="I245" i="12"/>
  <c r="J247" i="12"/>
  <c r="I247" i="12"/>
  <c r="J238" i="12"/>
  <c r="I238" i="12"/>
  <c r="I230" i="8"/>
  <c r="J358" i="7"/>
  <c r="I358" i="7"/>
  <c r="J359" i="7"/>
  <c r="J356" i="7"/>
  <c r="H356" i="7"/>
  <c r="H150" i="53"/>
  <c r="J157" i="5"/>
  <c r="I157" i="5"/>
  <c r="J153" i="5"/>
  <c r="I153" i="5"/>
  <c r="H153" i="5"/>
  <c r="J379" i="3" l="1"/>
  <c r="J375" i="3"/>
  <c r="I375" i="3"/>
  <c r="H375" i="3"/>
  <c r="J372" i="3"/>
  <c r="I372" i="3"/>
  <c r="H280" i="1" l="1"/>
  <c r="G23" i="18" l="1"/>
  <c r="F23" i="18"/>
  <c r="E23" i="18"/>
  <c r="D23" i="18"/>
  <c r="C23" i="18"/>
  <c r="H278" i="1"/>
  <c r="H164" i="60" l="1"/>
  <c r="G164" i="60"/>
  <c r="F164" i="60"/>
  <c r="E164" i="60"/>
  <c r="G161" i="15"/>
  <c r="H161" i="15"/>
  <c r="H247" i="12"/>
  <c r="H246" i="12"/>
  <c r="H245" i="12"/>
  <c r="H230" i="8"/>
  <c r="G230" i="8"/>
  <c r="H360" i="7"/>
  <c r="G360" i="7"/>
  <c r="F360" i="7"/>
  <c r="C29" i="6"/>
  <c r="H379" i="3"/>
  <c r="G375" i="3"/>
  <c r="H248" i="12" l="1"/>
  <c r="I342" i="9"/>
  <c r="H342" i="9"/>
  <c r="H346" i="9"/>
  <c r="G346" i="9"/>
  <c r="H345" i="9"/>
  <c r="H344" i="9"/>
  <c r="G344" i="9"/>
  <c r="H114" i="37"/>
  <c r="H113" i="37"/>
  <c r="H112" i="37"/>
  <c r="H110" i="37"/>
  <c r="I96" i="17"/>
  <c r="I95" i="17"/>
  <c r="I94" i="17"/>
  <c r="I97" i="17" s="1"/>
  <c r="I92" i="17"/>
  <c r="I90" i="17"/>
  <c r="H155" i="16"/>
  <c r="H154" i="16"/>
  <c r="H153" i="16"/>
  <c r="H151" i="16"/>
  <c r="H238" i="12"/>
  <c r="H160" i="15"/>
  <c r="H159" i="15"/>
  <c r="H156" i="15"/>
  <c r="H154" i="14"/>
  <c r="H153" i="14"/>
  <c r="H152" i="14"/>
  <c r="H150" i="14"/>
  <c r="H132" i="13"/>
  <c r="H130" i="13"/>
  <c r="H127" i="13"/>
  <c r="H131" i="13"/>
  <c r="H257" i="11"/>
  <c r="H256" i="11"/>
  <c r="H255" i="11"/>
  <c r="H253" i="11"/>
  <c r="I225" i="8"/>
  <c r="H225" i="8"/>
  <c r="G225" i="8"/>
  <c r="F225" i="8"/>
  <c r="E225" i="8"/>
  <c r="D354" i="7"/>
  <c r="C354" i="7"/>
  <c r="H358" i="7"/>
  <c r="D13" i="6"/>
  <c r="H146" i="6"/>
  <c r="H145" i="6"/>
  <c r="H144" i="6"/>
  <c r="H147" i="6" s="1"/>
  <c r="H142" i="6"/>
  <c r="H154" i="53"/>
  <c r="H153" i="53"/>
  <c r="H152" i="53"/>
  <c r="H157" i="5"/>
  <c r="H156" i="5"/>
  <c r="H155" i="5"/>
  <c r="H312" i="4"/>
  <c r="H310" i="4"/>
  <c r="H308" i="4"/>
  <c r="I379" i="3"/>
  <c r="G379" i="3"/>
  <c r="I378" i="3"/>
  <c r="H378" i="3"/>
  <c r="G378" i="3"/>
  <c r="I377" i="3"/>
  <c r="H377" i="3"/>
  <c r="G377" i="3"/>
  <c r="H372" i="3"/>
  <c r="G372" i="3"/>
  <c r="F372" i="3"/>
  <c r="D45" i="3"/>
  <c r="H156" i="16" l="1"/>
  <c r="H155" i="14"/>
  <c r="H313" i="4"/>
  <c r="H115" i="37"/>
  <c r="H347" i="9"/>
  <c r="H162" i="15"/>
  <c r="H155" i="53"/>
  <c r="I380" i="3"/>
  <c r="H133" i="13"/>
  <c r="H258" i="11"/>
  <c r="H158" i="5"/>
  <c r="H361" i="7"/>
  <c r="G380" i="3"/>
  <c r="H380" i="3"/>
  <c r="I384" i="3" l="1"/>
  <c r="H124" i="2"/>
  <c r="H123" i="2"/>
  <c r="H122" i="2"/>
  <c r="H120" i="2"/>
  <c r="H282" i="1"/>
  <c r="G282" i="1"/>
  <c r="H281" i="1"/>
  <c r="G281" i="1"/>
  <c r="G280" i="1"/>
  <c r="G283" i="1" l="1"/>
  <c r="H283" i="1"/>
  <c r="H125" i="2"/>
  <c r="D142" i="60"/>
  <c r="D126" i="60"/>
  <c r="D125" i="60"/>
  <c r="D124" i="60"/>
  <c r="D127" i="60" s="1"/>
  <c r="B130" i="60" s="1"/>
  <c r="D130" i="60" s="1"/>
  <c r="D107" i="60"/>
  <c r="D106" i="60"/>
  <c r="D105" i="60"/>
  <c r="D108" i="60" s="1"/>
  <c r="D85" i="60"/>
  <c r="D84" i="60"/>
  <c r="D83" i="60"/>
  <c r="D86" i="60" s="1"/>
  <c r="D69" i="60"/>
  <c r="D68" i="60"/>
  <c r="D52" i="60"/>
  <c r="D51" i="60"/>
  <c r="D53" i="60" s="1"/>
  <c r="D26" i="60"/>
  <c r="D25" i="60"/>
  <c r="D24" i="60"/>
  <c r="D23" i="60"/>
  <c r="D22" i="60"/>
  <c r="D21" i="60"/>
  <c r="D20" i="60"/>
  <c r="D19" i="60"/>
  <c r="D18" i="60"/>
  <c r="D17" i="60"/>
  <c r="D16" i="60"/>
  <c r="D15" i="60"/>
  <c r="D14" i="60"/>
  <c r="D13" i="60"/>
  <c r="D12" i="60"/>
  <c r="D27" i="60" l="1"/>
  <c r="B29" i="60" s="1"/>
  <c r="D29" i="60" s="1"/>
  <c r="D70" i="60"/>
  <c r="B72" i="60" s="1"/>
  <c r="D72" i="60" s="1"/>
  <c r="B55" i="60"/>
  <c r="D55" i="60" s="1"/>
  <c r="B54" i="60"/>
  <c r="D54" i="60" s="1"/>
  <c r="B56" i="60"/>
  <c r="D56" i="60" s="1"/>
  <c r="B109" i="60"/>
  <c r="D109" i="60" s="1"/>
  <c r="B110" i="60"/>
  <c r="D110" i="60" s="1"/>
  <c r="B111" i="60"/>
  <c r="D111" i="60" s="1"/>
  <c r="B89" i="60"/>
  <c r="D89" i="60" s="1"/>
  <c r="B88" i="60"/>
  <c r="D88" i="60" s="1"/>
  <c r="B87" i="60"/>
  <c r="D87" i="60" s="1"/>
  <c r="B143" i="60"/>
  <c r="D143" i="60" s="1"/>
  <c r="B129" i="60"/>
  <c r="D129" i="60" s="1"/>
  <c r="B144" i="60"/>
  <c r="D144" i="60" s="1"/>
  <c r="B128" i="60"/>
  <c r="D128" i="60" s="1"/>
  <c r="B145" i="60"/>
  <c r="D145" i="60" s="1"/>
  <c r="B28" i="60" l="1"/>
  <c r="D28" i="60" s="1"/>
  <c r="B30" i="60"/>
  <c r="D30" i="60" s="1"/>
  <c r="B71" i="60"/>
  <c r="D71" i="60" s="1"/>
  <c r="B73" i="60"/>
  <c r="D73" i="60" s="1"/>
  <c r="D101" i="60"/>
  <c r="D64" i="60"/>
  <c r="D120" i="60"/>
  <c r="D151" i="60"/>
  <c r="D137" i="60"/>
  <c r="D79" i="60" l="1"/>
  <c r="D47" i="60"/>
  <c r="D366" i="3"/>
  <c r="D365" i="3"/>
  <c r="D364" i="3"/>
  <c r="D360" i="3"/>
  <c r="D361" i="3" s="1"/>
  <c r="D354" i="3"/>
  <c r="D356" i="3" s="1"/>
  <c r="D347" i="3"/>
  <c r="D342" i="3"/>
  <c r="D341" i="3"/>
  <c r="D340" i="3"/>
  <c r="D337" i="3"/>
  <c r="D334" i="3"/>
  <c r="D330" i="3"/>
  <c r="D329" i="3"/>
  <c r="D328" i="3"/>
  <c r="D327" i="3"/>
  <c r="D326" i="3"/>
  <c r="D321" i="3"/>
  <c r="D320" i="3"/>
  <c r="D319" i="3"/>
  <c r="D312" i="3"/>
  <c r="D311" i="3"/>
  <c r="D310" i="3"/>
  <c r="D309" i="3"/>
  <c r="D308" i="3"/>
  <c r="D307" i="3"/>
  <c r="D306" i="3"/>
  <c r="D305" i="3"/>
  <c r="D304" i="3"/>
  <c r="D302" i="3"/>
  <c r="D301" i="3"/>
  <c r="D296" i="3"/>
  <c r="D295" i="3"/>
  <c r="D294" i="3"/>
  <c r="D293" i="3"/>
  <c r="D292" i="3"/>
  <c r="D291" i="3"/>
  <c r="D283" i="3"/>
  <c r="D258" i="3"/>
  <c r="D257" i="3"/>
  <c r="D256" i="3"/>
  <c r="D255" i="3"/>
  <c r="D254" i="3"/>
  <c r="D253" i="3"/>
  <c r="D252" i="3"/>
  <c r="D251" i="3"/>
  <c r="D247" i="3"/>
  <c r="D246" i="3"/>
  <c r="D245" i="3"/>
  <c r="D244" i="3"/>
  <c r="D243" i="3"/>
  <c r="D242" i="3"/>
  <c r="D236" i="3"/>
  <c r="D235" i="3"/>
  <c r="D237" i="3" s="1"/>
  <c r="D232" i="3"/>
  <c r="D223" i="3"/>
  <c r="D217" i="3"/>
  <c r="D204" i="3"/>
  <c r="D203" i="3"/>
  <c r="D202" i="3"/>
  <c r="D201" i="3"/>
  <c r="D200" i="3"/>
  <c r="D199" i="3"/>
  <c r="D198" i="3"/>
  <c r="D197" i="3"/>
  <c r="D196" i="3"/>
  <c r="D195" i="3"/>
  <c r="D194" i="3"/>
  <c r="D193" i="3"/>
  <c r="D192" i="3"/>
  <c r="D185" i="3"/>
  <c r="D184" i="3"/>
  <c r="D183" i="3"/>
  <c r="D182" i="3"/>
  <c r="D181" i="3"/>
  <c r="D180" i="3"/>
  <c r="D179" i="3"/>
  <c r="D178" i="3"/>
  <c r="D175" i="3"/>
  <c r="D170" i="3"/>
  <c r="D162" i="3"/>
  <c r="D161" i="3"/>
  <c r="D160" i="3"/>
  <c r="B159" i="3"/>
  <c r="D159" i="3" s="1"/>
  <c r="D158" i="3"/>
  <c r="D157" i="3"/>
  <c r="B144" i="3"/>
  <c r="D144" i="3" s="1"/>
  <c r="D143" i="3"/>
  <c r="B139" i="3"/>
  <c r="D139" i="3" s="1"/>
  <c r="D138" i="3"/>
  <c r="D137" i="3"/>
  <c r="D133" i="3"/>
  <c r="D132" i="3"/>
  <c r="B131" i="3"/>
  <c r="D131" i="3" s="1"/>
  <c r="D127" i="3"/>
  <c r="D126" i="3"/>
  <c r="B125" i="3"/>
  <c r="D125" i="3" s="1"/>
  <c r="D101" i="3"/>
  <c r="D92" i="3"/>
  <c r="D91" i="3"/>
  <c r="D88" i="3"/>
  <c r="B86" i="3"/>
  <c r="D85" i="3"/>
  <c r="D84" i="3"/>
  <c r="D83" i="3"/>
  <c r="D67" i="3"/>
  <c r="D66" i="3"/>
  <c r="D65" i="3"/>
  <c r="D64" i="3"/>
  <c r="D46" i="3"/>
  <c r="D63" i="3"/>
  <c r="D62" i="3"/>
  <c r="D61" i="3"/>
  <c r="D60" i="3"/>
  <c r="D59" i="3"/>
  <c r="D58" i="3"/>
  <c r="D57" i="3"/>
  <c r="D49" i="3"/>
  <c r="D56" i="3"/>
  <c r="D48" i="3"/>
  <c r="D55" i="3"/>
  <c r="D53" i="3"/>
  <c r="D44" i="3"/>
  <c r="D43" i="3"/>
  <c r="D42" i="3"/>
  <c r="D41" i="3"/>
  <c r="D40" i="3"/>
  <c r="D52" i="3"/>
  <c r="D39" i="3"/>
  <c r="D38" i="3"/>
  <c r="D51" i="3"/>
  <c r="D37" i="3"/>
  <c r="D36" i="3"/>
  <c r="D35" i="3"/>
  <c r="D47" i="3"/>
  <c r="D34" i="3"/>
  <c r="D33" i="3"/>
  <c r="D32" i="3"/>
  <c r="D50" i="3"/>
  <c r="D54" i="3"/>
  <c r="D142" i="53"/>
  <c r="D124" i="53"/>
  <c r="D126" i="53" s="1"/>
  <c r="D121" i="53"/>
  <c r="D114" i="53"/>
  <c r="D113" i="53"/>
  <c r="D112" i="53"/>
  <c r="D111" i="53"/>
  <c r="D110" i="53"/>
  <c r="D109" i="53"/>
  <c r="D108" i="53"/>
  <c r="D107" i="53"/>
  <c r="D102" i="53"/>
  <c r="D101" i="53"/>
  <c r="D103" i="53" s="1"/>
  <c r="D100" i="53"/>
  <c r="D96" i="53"/>
  <c r="D90" i="53"/>
  <c r="D85" i="53"/>
  <c r="D84" i="53"/>
  <c r="D86" i="53" s="1"/>
  <c r="D80" i="53"/>
  <c r="C68" i="3" l="1"/>
  <c r="D367" i="3"/>
  <c r="D128" i="3"/>
  <c r="D145" i="3"/>
  <c r="D93" i="3"/>
  <c r="D205" i="3"/>
  <c r="D343" i="3"/>
  <c r="D297" i="3"/>
  <c r="D86" i="3"/>
  <c r="D94" i="3" s="1"/>
  <c r="D134" i="3"/>
  <c r="D323" i="3"/>
  <c r="D248" i="3"/>
  <c r="D115" i="53"/>
  <c r="D188" i="3"/>
  <c r="D316" i="3"/>
  <c r="D259" i="3"/>
  <c r="D331" i="3"/>
  <c r="D140" i="3"/>
  <c r="C97" i="3" l="1"/>
  <c r="D68" i="3"/>
  <c r="D70" i="3" s="1"/>
  <c r="B163" i="3"/>
  <c r="D163" i="3" s="1"/>
  <c r="D164" i="3" s="1"/>
  <c r="B152" i="3"/>
  <c r="D152" i="3" s="1"/>
  <c r="B112" i="3"/>
  <c r="D112" i="3" s="1"/>
  <c r="B150" i="3" l="1"/>
  <c r="D150" i="3" s="1"/>
  <c r="B110" i="3"/>
  <c r="C99" i="3"/>
  <c r="D99" i="3" s="1"/>
  <c r="C98" i="3"/>
  <c r="C100" i="3" s="1"/>
  <c r="D97" i="3"/>
  <c r="C104" i="3" l="1"/>
  <c r="C103" i="3"/>
  <c r="D103" i="3" s="1"/>
  <c r="D98" i="3"/>
  <c r="D110" i="3"/>
  <c r="B119" i="3"/>
  <c r="D119" i="3" s="1"/>
  <c r="D104" i="3" l="1"/>
  <c r="D100" i="3" l="1"/>
  <c r="D105" i="3" s="1"/>
  <c r="B113" i="3" s="1"/>
  <c r="B121" i="3" l="1"/>
  <c r="D113" i="3"/>
  <c r="D121" i="3" l="1"/>
  <c r="B153" i="3"/>
  <c r="D153" i="3" s="1"/>
  <c r="D23" i="11" l="1"/>
  <c r="D233" i="1" l="1"/>
  <c r="D23" i="6" l="1"/>
  <c r="D46" i="9"/>
  <c r="D149" i="16" l="1"/>
  <c r="C149" i="16"/>
  <c r="D131" i="16"/>
  <c r="D123" i="16"/>
  <c r="D114" i="16"/>
  <c r="D88" i="16"/>
  <c r="D77" i="16"/>
  <c r="D75" i="16"/>
  <c r="D74" i="16"/>
  <c r="D73" i="16"/>
  <c r="D62" i="16"/>
  <c r="D59" i="16"/>
  <c r="D55" i="16"/>
  <c r="D54" i="16"/>
  <c r="D51" i="16"/>
  <c r="D29" i="16"/>
  <c r="D28" i="16"/>
  <c r="D27" i="16"/>
  <c r="D26" i="16"/>
  <c r="D21" i="16"/>
  <c r="D23" i="16" s="1"/>
  <c r="B38" i="16" s="1"/>
  <c r="D16" i="16"/>
  <c r="D15" i="16"/>
  <c r="D14" i="16"/>
  <c r="D13" i="16"/>
  <c r="C33" i="16"/>
  <c r="D33" i="16" s="1"/>
  <c r="B40" i="16" s="1"/>
  <c r="D7" i="16"/>
  <c r="D9" i="16" s="1"/>
  <c r="D30" i="16" l="1"/>
  <c r="B39" i="16" s="1"/>
  <c r="B68" i="16" s="1"/>
  <c r="D68" i="16" s="1"/>
  <c r="D56" i="16"/>
  <c r="B76" i="16"/>
  <c r="D76" i="16" s="1"/>
  <c r="D78" i="16" s="1"/>
  <c r="B46" i="16"/>
  <c r="D38" i="16"/>
  <c r="B47" i="16"/>
  <c r="D47" i="16" s="1"/>
  <c r="D40" i="16"/>
  <c r="B69" i="16"/>
  <c r="D69" i="16" s="1"/>
  <c r="B36" i="16"/>
  <c r="D36" i="16" s="1"/>
  <c r="B65" i="16"/>
  <c r="D65" i="16" s="1"/>
  <c r="B44" i="16"/>
  <c r="D44" i="16" s="1"/>
  <c r="D39" i="16"/>
  <c r="D12" i="16"/>
  <c r="D18" i="16" s="1"/>
  <c r="B37" i="16" s="1"/>
  <c r="D37" i="16" l="1"/>
  <c r="D41" i="16" s="1"/>
  <c r="B45" i="16"/>
  <c r="D46" i="16"/>
  <c r="B67" i="16"/>
  <c r="D67" i="16" s="1"/>
  <c r="D45" i="16" l="1"/>
  <c r="D48" i="16" s="1"/>
  <c r="B66" i="16"/>
  <c r="D66" i="16" s="1"/>
  <c r="D70" i="16" s="1"/>
  <c r="G229" i="8" l="1"/>
  <c r="E229" i="8"/>
  <c r="F229" i="8"/>
  <c r="G312" i="4"/>
  <c r="G311" i="4"/>
  <c r="E312" i="4"/>
  <c r="F311" i="4"/>
  <c r="F312" i="4"/>
  <c r="D214" i="8"/>
  <c r="D206" i="8"/>
  <c r="D197" i="8"/>
  <c r="D191" i="8"/>
  <c r="C181" i="8"/>
  <c r="D181" i="8" s="1"/>
  <c r="D177" i="8"/>
  <c r="C176" i="8"/>
  <c r="D176" i="8" s="1"/>
  <c r="D178" i="8" s="1"/>
  <c r="D164" i="8"/>
  <c r="D156" i="8"/>
  <c r="D151" i="8"/>
  <c r="D139" i="8"/>
  <c r="D138" i="8"/>
  <c r="D131" i="8"/>
  <c r="D123" i="8"/>
  <c r="D122" i="8"/>
  <c r="D121" i="8"/>
  <c r="D118" i="8"/>
  <c r="D107" i="8"/>
  <c r="D101" i="8"/>
  <c r="D99" i="8"/>
  <c r="D98" i="8"/>
  <c r="D97" i="8"/>
  <c r="D96" i="8"/>
  <c r="F359" i="7"/>
  <c r="F358" i="7"/>
  <c r="D140" i="8" l="1"/>
  <c r="D124" i="8"/>
  <c r="D102" i="8"/>
  <c r="E360" i="7"/>
  <c r="G356" i="7"/>
  <c r="F356" i="7"/>
  <c r="E356" i="7"/>
  <c r="B354" i="7"/>
  <c r="D347" i="7"/>
  <c r="D342" i="7"/>
  <c r="D337" i="7"/>
  <c r="D332" i="7"/>
  <c r="D328" i="7"/>
  <c r="D301" i="7"/>
  <c r="D299" i="7"/>
  <c r="D298" i="7"/>
  <c r="D290" i="7"/>
  <c r="D285" i="7"/>
  <c r="D280" i="7"/>
  <c r="D265" i="7"/>
  <c r="D256" i="7"/>
  <c r="D232" i="7"/>
  <c r="D231" i="7"/>
  <c r="D226" i="7"/>
  <c r="D228" i="7" s="1"/>
  <c r="D223" i="7"/>
  <c r="D214" i="7"/>
  <c r="D196" i="7"/>
  <c r="D190" i="7"/>
  <c r="D178" i="7"/>
  <c r="D179" i="7" s="1"/>
  <c r="D171" i="7"/>
  <c r="D170" i="7"/>
  <c r="D161" i="7"/>
  <c r="D156" i="7"/>
  <c r="D144" i="7"/>
  <c r="D137" i="7"/>
  <c r="D136" i="7"/>
  <c r="D135" i="7"/>
  <c r="D134" i="7"/>
  <c r="D133" i="7"/>
  <c r="D132" i="7"/>
  <c r="D131" i="7"/>
  <c r="D130" i="7"/>
  <c r="D129" i="7"/>
  <c r="D126" i="7"/>
  <c r="G142" i="6"/>
  <c r="E136" i="6"/>
  <c r="D130" i="6"/>
  <c r="E126" i="6"/>
  <c r="D121" i="6"/>
  <c r="D109" i="6"/>
  <c r="D97" i="6"/>
  <c r="D82" i="6"/>
  <c r="D337" i="9"/>
  <c r="C337" i="9"/>
  <c r="D329" i="9"/>
  <c r="D325" i="9"/>
  <c r="D312" i="9"/>
  <c r="C312" i="9"/>
  <c r="D306" i="9"/>
  <c r="C306" i="9"/>
  <c r="G297" i="9"/>
  <c r="D290" i="9"/>
  <c r="D285" i="9"/>
  <c r="D267" i="9"/>
  <c r="D271" i="9" s="1"/>
  <c r="C262" i="9"/>
  <c r="C261" i="9"/>
  <c r="D248" i="9"/>
  <c r="B240" i="9"/>
  <c r="D240" i="9" s="1"/>
  <c r="G239" i="9" s="1"/>
  <c r="D236" i="9"/>
  <c r="D235" i="9"/>
  <c r="D234" i="9"/>
  <c r="D233" i="9"/>
  <c r="D232" i="9"/>
  <c r="D221" i="9"/>
  <c r="D210" i="9"/>
  <c r="D212" i="9" s="1"/>
  <c r="D203" i="9"/>
  <c r="D202" i="9"/>
  <c r="D201" i="9"/>
  <c r="D204" i="9" s="1"/>
  <c r="D198" i="9"/>
  <c r="G197" i="9"/>
  <c r="D195" i="9"/>
  <c r="D184" i="9"/>
  <c r="D183" i="9"/>
  <c r="D185" i="9" s="1"/>
  <c r="D180" i="9"/>
  <c r="D171" i="9"/>
  <c r="D146" i="9"/>
  <c r="D145" i="9"/>
  <c r="D142" i="9"/>
  <c r="D139" i="9"/>
  <c r="D135" i="9"/>
  <c r="E127" i="13"/>
  <c r="D125" i="13"/>
  <c r="G122" i="13" s="1"/>
  <c r="D117" i="13"/>
  <c r="D112" i="13"/>
  <c r="D89" i="13"/>
  <c r="D88" i="13"/>
  <c r="D82" i="13"/>
  <c r="D81" i="13"/>
  <c r="D80" i="13"/>
  <c r="D79" i="13"/>
  <c r="D78" i="13"/>
  <c r="D77" i="13"/>
  <c r="D83" i="13" s="1"/>
  <c r="D140" i="14"/>
  <c r="D121" i="14"/>
  <c r="C121" i="14"/>
  <c r="D114" i="14"/>
  <c r="D87" i="14"/>
  <c r="D82" i="14"/>
  <c r="D73" i="14"/>
  <c r="D68" i="14"/>
  <c r="D59" i="14"/>
  <c r="D61" i="14" s="1"/>
  <c r="G342" i="9" l="1"/>
  <c r="D147" i="9"/>
  <c r="D237" i="9"/>
  <c r="G231" i="9" s="1"/>
  <c r="G345" i="9" s="1"/>
  <c r="G347" i="9" s="1"/>
  <c r="D90" i="13"/>
  <c r="D138" i="7"/>
  <c r="D172" i="7"/>
  <c r="D236" i="7"/>
  <c r="C271" i="9"/>
  <c r="D307" i="7"/>
  <c r="E156" i="15"/>
  <c r="E257" i="11"/>
  <c r="G157" i="5"/>
  <c r="F157" i="5"/>
  <c r="E157" i="5"/>
  <c r="G120" i="2"/>
  <c r="E120" i="2"/>
  <c r="F120" i="2"/>
  <c r="E278" i="1"/>
  <c r="E153" i="5"/>
  <c r="F153" i="5"/>
  <c r="G153" i="5"/>
  <c r="D142" i="5"/>
  <c r="D136" i="5"/>
  <c r="D129" i="5"/>
  <c r="D111" i="5"/>
  <c r="D108" i="5"/>
  <c r="C94" i="5"/>
  <c r="D93" i="5"/>
  <c r="D92" i="5"/>
  <c r="D94" i="5" s="1"/>
  <c r="E72" i="17"/>
  <c r="H57" i="17" s="1"/>
  <c r="D72" i="17"/>
  <c r="C72" i="17"/>
  <c r="B72" i="17"/>
  <c r="E49" i="17"/>
  <c r="D49" i="17"/>
  <c r="C49" i="17"/>
  <c r="E32" i="17"/>
  <c r="D32" i="17"/>
  <c r="C32" i="17"/>
  <c r="G156" i="15" l="1"/>
  <c r="D138" i="15"/>
  <c r="D122" i="15"/>
  <c r="D117" i="15"/>
  <c r="D95" i="15"/>
  <c r="D89" i="15"/>
  <c r="D84" i="15"/>
  <c r="D81" i="15"/>
  <c r="F247" i="12"/>
  <c r="E247" i="12"/>
  <c r="F238" i="12"/>
  <c r="E238" i="12"/>
  <c r="F245" i="12" l="1"/>
  <c r="F246" i="12"/>
  <c r="F242" i="12"/>
  <c r="G233" i="12"/>
  <c r="D218" i="12"/>
  <c r="D226" i="12" s="1"/>
  <c r="G202" i="12" s="1"/>
  <c r="G199" i="12"/>
  <c r="D197" i="12"/>
  <c r="G191" i="12" s="1"/>
  <c r="D189" i="12"/>
  <c r="G172" i="12" s="1"/>
  <c r="D170" i="12"/>
  <c r="G163" i="12" s="1"/>
  <c r="G160" i="12"/>
  <c r="D158" i="12"/>
  <c r="D151" i="12"/>
  <c r="D153" i="12" s="1"/>
  <c r="G139" i="12" s="1"/>
  <c r="D137" i="12"/>
  <c r="G134" i="12" s="1"/>
  <c r="G131" i="12"/>
  <c r="D126" i="12"/>
  <c r="D129" i="12" s="1"/>
  <c r="G123" i="12" s="1"/>
  <c r="D121" i="12"/>
  <c r="G114" i="12" s="1"/>
  <c r="G111" i="12"/>
  <c r="G108" i="12"/>
  <c r="G105" i="12"/>
  <c r="G102" i="12"/>
  <c r="G99" i="12"/>
  <c r="G96" i="12"/>
  <c r="D91" i="12"/>
  <c r="D94" i="12" s="1"/>
  <c r="G90" i="12" s="1"/>
  <c r="G87" i="12"/>
  <c r="D84" i="12"/>
  <c r="D82" i="12"/>
  <c r="D81" i="12"/>
  <c r="D80" i="12"/>
  <c r="D71" i="12"/>
  <c r="G70" i="12" s="1"/>
  <c r="D67" i="12"/>
  <c r="D66" i="12"/>
  <c r="D65" i="12"/>
  <c r="D61" i="12"/>
  <c r="D60" i="12"/>
  <c r="D62" i="12" s="1"/>
  <c r="G59" i="12" s="1"/>
  <c r="D57" i="12"/>
  <c r="G56" i="12" s="1"/>
  <c r="G41" i="12"/>
  <c r="C38" i="12"/>
  <c r="D38" i="12" s="1"/>
  <c r="D39" i="12" s="1"/>
  <c r="G37" i="12" s="1"/>
  <c r="C32" i="12"/>
  <c r="D32" i="12" s="1"/>
  <c r="C31" i="12"/>
  <c r="D31" i="12" s="1"/>
  <c r="C30" i="12"/>
  <c r="D30" i="12" s="1"/>
  <c r="C29" i="12"/>
  <c r="D29" i="12" s="1"/>
  <c r="C28" i="12"/>
  <c r="D28" i="12" s="1"/>
  <c r="C27" i="12"/>
  <c r="D27" i="12" s="1"/>
  <c r="C26" i="12"/>
  <c r="D26" i="12" s="1"/>
  <c r="C25" i="12"/>
  <c r="D25" i="12" s="1"/>
  <c r="C24" i="12"/>
  <c r="D24" i="12" s="1"/>
  <c r="C21" i="12"/>
  <c r="D21" i="12" s="1"/>
  <c r="C20" i="12"/>
  <c r="D20" i="12" s="1"/>
  <c r="C19" i="12"/>
  <c r="D19" i="12" s="1"/>
  <c r="C18" i="12"/>
  <c r="D18" i="12" s="1"/>
  <c r="C17" i="12"/>
  <c r="D17" i="12" s="1"/>
  <c r="D12" i="12"/>
  <c r="C11" i="12"/>
  <c r="D11" i="12" s="1"/>
  <c r="C10" i="12"/>
  <c r="D10" i="12" s="1"/>
  <c r="C9" i="12"/>
  <c r="D9" i="12" s="1"/>
  <c r="C8" i="12"/>
  <c r="D8" i="12" s="1"/>
  <c r="C7" i="12"/>
  <c r="D7" i="12" s="1"/>
  <c r="G247" i="12" l="1"/>
  <c r="D68" i="12"/>
  <c r="G64" i="12" s="1"/>
  <c r="C33" i="12"/>
  <c r="D33" i="12" s="1"/>
  <c r="B83" i="12" s="1"/>
  <c r="D83" i="12" s="1"/>
  <c r="D85" i="12" s="1"/>
  <c r="G79" i="12" s="1"/>
  <c r="B76" i="12"/>
  <c r="D76" i="12" s="1"/>
  <c r="B53" i="12"/>
  <c r="D53" i="12" s="1"/>
  <c r="B47" i="12"/>
  <c r="D47" i="12" s="1"/>
  <c r="B52" i="12"/>
  <c r="D52" i="12" s="1"/>
  <c r="D13" i="12"/>
  <c r="G6" i="12" s="1"/>
  <c r="D35" i="12" l="1"/>
  <c r="G15" i="12" s="1"/>
  <c r="B46" i="12" s="1"/>
  <c r="D46" i="12" s="1"/>
  <c r="B74" i="12"/>
  <c r="D74" i="12" s="1"/>
  <c r="B51" i="12"/>
  <c r="D51" i="12" s="1"/>
  <c r="D54" i="12" s="1"/>
  <c r="G50" i="12" s="1"/>
  <c r="B45" i="12"/>
  <c r="D45" i="12" s="1"/>
  <c r="B75" i="12" l="1"/>
  <c r="D75" i="12" s="1"/>
  <c r="D77" i="12" s="1"/>
  <c r="G73" i="12" s="1"/>
  <c r="D48" i="12"/>
  <c r="G44" i="12" s="1"/>
  <c r="G238" i="12" l="1"/>
  <c r="G245" i="12"/>
  <c r="G124" i="2"/>
  <c r="D108" i="2"/>
  <c r="C108" i="2"/>
  <c r="B108" i="2"/>
  <c r="D103" i="2"/>
  <c r="C103" i="2"/>
  <c r="B103" i="2"/>
  <c r="D96" i="2"/>
  <c r="C96" i="2"/>
  <c r="B96" i="2"/>
  <c r="D79" i="2"/>
  <c r="D70" i="2"/>
  <c r="D245" i="11" l="1"/>
  <c r="C245" i="11"/>
  <c r="B245" i="11"/>
  <c r="B231" i="11"/>
  <c r="B234" i="11" s="1"/>
  <c r="D231" i="11"/>
  <c r="D234" i="11" s="1"/>
  <c r="C229" i="11"/>
  <c r="C231" i="11" s="1"/>
  <c r="C234" i="11" s="1"/>
  <c r="D200" i="11"/>
  <c r="D203" i="11" s="1"/>
  <c r="C179" i="11"/>
  <c r="D178" i="11"/>
  <c r="D180" i="11" s="1"/>
  <c r="D182" i="11" s="1"/>
  <c r="D185" i="11" s="1"/>
  <c r="C178" i="11"/>
  <c r="B178" i="11"/>
  <c r="B180" i="11" s="1"/>
  <c r="B182" i="11" s="1"/>
  <c r="B185" i="11" s="1"/>
  <c r="D154" i="11"/>
  <c r="D145" i="11"/>
  <c r="D131" i="11"/>
  <c r="D125" i="11"/>
  <c r="D119" i="11"/>
  <c r="D113" i="11"/>
  <c r="D104" i="11"/>
  <c r="D99" i="11"/>
  <c r="D88" i="11"/>
  <c r="D69" i="11"/>
  <c r="D67" i="11"/>
  <c r="D66" i="11"/>
  <c r="D65" i="11"/>
  <c r="D54" i="11"/>
  <c r="D51" i="11"/>
  <c r="D47" i="11"/>
  <c r="D46" i="11"/>
  <c r="D48" i="11" s="1"/>
  <c r="D43" i="11"/>
  <c r="D28" i="11"/>
  <c r="B61" i="11" s="1"/>
  <c r="D61" i="11" s="1"/>
  <c r="D24" i="11"/>
  <c r="D22" i="11"/>
  <c r="D21" i="11"/>
  <c r="D20" i="11"/>
  <c r="D19" i="11"/>
  <c r="C180" i="11" l="1"/>
  <c r="C182" i="11" s="1"/>
  <c r="C185" i="11" s="1"/>
  <c r="B34" i="11"/>
  <c r="D34" i="11" s="1"/>
  <c r="D25" i="11"/>
  <c r="B33" i="11" s="1"/>
  <c r="D33" i="11" s="1"/>
  <c r="B60" i="11"/>
  <c r="D60" i="11" s="1"/>
  <c r="B68" i="11"/>
  <c r="D68" i="11" s="1"/>
  <c r="D70" i="11" s="1"/>
  <c r="B59" i="11"/>
  <c r="D59" i="11" s="1"/>
  <c r="D122" i="4" l="1"/>
  <c r="D63" i="4"/>
  <c r="D302" i="4"/>
  <c r="D291" i="4"/>
  <c r="D284" i="4"/>
  <c r="D286" i="4" s="1"/>
  <c r="E275" i="4"/>
  <c r="D273" i="4"/>
  <c r="D268" i="4"/>
  <c r="D260" i="4"/>
  <c r="D249" i="4"/>
  <c r="D241" i="4"/>
  <c r="D233" i="4"/>
  <c r="D224" i="4"/>
  <c r="D209" i="4"/>
  <c r="D196" i="4"/>
  <c r="D184" i="4"/>
  <c r="D183" i="4"/>
  <c r="D182" i="4"/>
  <c r="D181" i="4"/>
  <c r="D179" i="4"/>
  <c r="D178" i="4"/>
  <c r="D177" i="4"/>
  <c r="D176" i="4"/>
  <c r="D174" i="4"/>
  <c r="D171" i="4"/>
  <c r="D163" i="4"/>
  <c r="D155" i="4"/>
  <c r="D154" i="4"/>
  <c r="D153" i="4"/>
  <c r="D152" i="4"/>
  <c r="A143" i="4"/>
  <c r="D137" i="4"/>
  <c r="D136" i="4"/>
  <c r="D135" i="4"/>
  <c r="D131" i="4"/>
  <c r="D130" i="4"/>
  <c r="D129" i="4"/>
  <c r="D128" i="4"/>
  <c r="D124" i="4"/>
  <c r="D123" i="4"/>
  <c r="D121" i="4"/>
  <c r="D120" i="4"/>
  <c r="D115" i="4"/>
  <c r="D114" i="4"/>
  <c r="D113" i="4"/>
  <c r="D112" i="4"/>
  <c r="D81" i="4"/>
  <c r="D80" i="4"/>
  <c r="D76" i="4"/>
  <c r="D77" i="4" s="1"/>
  <c r="B96" i="4" s="1"/>
  <c r="D83" i="4" l="1"/>
  <c r="B97" i="4" s="1"/>
  <c r="D97" i="4" s="1"/>
  <c r="D185" i="4"/>
  <c r="D132" i="4"/>
  <c r="E311" i="4"/>
  <c r="D117" i="4"/>
  <c r="D138" i="4"/>
  <c r="D125" i="4"/>
  <c r="B107" i="4"/>
  <c r="D96" i="4"/>
  <c r="B147" i="4"/>
  <c r="D147" i="4" s="1"/>
  <c r="B156" i="4"/>
  <c r="D156" i="4" s="1"/>
  <c r="D157" i="4" s="1"/>
  <c r="D107" i="4" l="1"/>
  <c r="B146" i="4"/>
  <c r="D146" i="4" s="1"/>
  <c r="E379" i="3" l="1"/>
  <c r="D190" i="1"/>
  <c r="D198" i="1" s="1"/>
  <c r="F375" i="3"/>
  <c r="C271" i="1"/>
  <c r="C275" i="1" s="1"/>
  <c r="B271" i="1"/>
  <c r="B275" i="1" s="1"/>
  <c r="C264" i="1"/>
  <c r="B264" i="1"/>
  <c r="C253" i="1"/>
  <c r="B253" i="1"/>
  <c r="C235" i="1"/>
  <c r="B235" i="1"/>
  <c r="C234" i="1"/>
  <c r="B234" i="1"/>
  <c r="C233" i="1"/>
  <c r="B233" i="1"/>
  <c r="C232" i="1"/>
  <c r="B232" i="1"/>
  <c r="C213" i="1"/>
  <c r="C214" i="1" s="1"/>
  <c r="C217" i="1" s="1"/>
  <c r="C219" i="1" s="1"/>
  <c r="B213" i="1"/>
  <c r="B214" i="1" s="1"/>
  <c r="B217" i="1" s="1"/>
  <c r="B219" i="1" s="1"/>
  <c r="B197" i="1"/>
  <c r="B192" i="1"/>
  <c r="C190" i="1"/>
  <c r="C198" i="1" s="1"/>
  <c r="B190" i="1"/>
  <c r="C187" i="1"/>
  <c r="B186" i="1"/>
  <c r="B187" i="1" s="1"/>
  <c r="C176" i="1"/>
  <c r="B176" i="1"/>
  <c r="C160" i="1"/>
  <c r="B160" i="1"/>
  <c r="C152" i="1"/>
  <c r="B152" i="1"/>
  <c r="C145" i="1"/>
  <c r="B145" i="1"/>
  <c r="C137" i="1"/>
  <c r="B137" i="1"/>
  <c r="C130" i="1"/>
  <c r="B130" i="1"/>
  <c r="B121" i="1"/>
  <c r="C118" i="1"/>
  <c r="C121" i="1" s="1"/>
  <c r="C114" i="1"/>
  <c r="B114" i="1"/>
  <c r="C109" i="1"/>
  <c r="B109" i="1"/>
  <c r="B243" i="1" l="1"/>
  <c r="C243" i="1"/>
  <c r="B198" i="1"/>
  <c r="E378" i="3"/>
  <c r="E375" i="3"/>
  <c r="F150" i="53" l="1"/>
  <c r="E150" i="53"/>
  <c r="E110" i="37"/>
  <c r="E342" i="9"/>
  <c r="F92" i="17"/>
  <c r="E151" i="16"/>
  <c r="F379" i="3"/>
  <c r="C16" i="9" l="1"/>
  <c r="C15" i="9"/>
  <c r="C13" i="9"/>
  <c r="C12" i="9"/>
  <c r="C7" i="9"/>
  <c r="C7" i="13" l="1"/>
  <c r="C8" i="8"/>
  <c r="C7" i="8"/>
  <c r="C26" i="7"/>
  <c r="C14" i="7"/>
  <c r="C13" i="7"/>
  <c r="C12" i="7"/>
  <c r="C15" i="7" s="1"/>
  <c r="C7" i="7"/>
  <c r="C18" i="5"/>
  <c r="C17" i="5"/>
  <c r="C16" i="5"/>
  <c r="C15" i="5"/>
  <c r="C14" i="5"/>
  <c r="C13" i="5"/>
  <c r="C12" i="5"/>
  <c r="C64" i="4"/>
  <c r="C58" i="4"/>
  <c r="C57" i="4"/>
  <c r="C56" i="4"/>
  <c r="C55" i="4"/>
  <c r="C54" i="4"/>
  <c r="C53" i="4"/>
  <c r="C65" i="4"/>
  <c r="C52" i="4"/>
  <c r="C51" i="4"/>
  <c r="C50" i="4"/>
  <c r="C49" i="4"/>
  <c r="C48" i="4"/>
  <c r="C47" i="4"/>
  <c r="C46" i="4"/>
  <c r="C45" i="4"/>
  <c r="C44" i="4"/>
  <c r="C42" i="4"/>
  <c r="C41" i="4"/>
  <c r="C40" i="4"/>
  <c r="C39" i="4"/>
  <c r="C38" i="4"/>
  <c r="C37" i="4"/>
  <c r="C36" i="4"/>
  <c r="C35" i="4"/>
  <c r="C34" i="4"/>
  <c r="C33" i="4"/>
  <c r="C32" i="4"/>
  <c r="C31" i="4"/>
  <c r="C30" i="4"/>
  <c r="C29" i="4"/>
  <c r="C43" i="4"/>
  <c r="C10" i="4"/>
  <c r="C9" i="4"/>
  <c r="C22" i="5" l="1"/>
  <c r="C67" i="4"/>
  <c r="C86" i="4" s="1"/>
  <c r="D86" i="4" s="1"/>
  <c r="D88" i="4" s="1"/>
  <c r="D73" i="4"/>
  <c r="B106" i="4" s="1"/>
  <c r="B98" i="4"/>
  <c r="D98" i="4" s="1"/>
  <c r="B108" i="4"/>
  <c r="D108" i="4" s="1"/>
  <c r="B148" i="4"/>
  <c r="D148" i="4" s="1"/>
  <c r="D26" i="1"/>
  <c r="D25" i="1"/>
  <c r="D24" i="1"/>
  <c r="D23" i="1"/>
  <c r="D22" i="1"/>
  <c r="D21" i="1"/>
  <c r="D16" i="1"/>
  <c r="D15" i="1"/>
  <c r="D14" i="1"/>
  <c r="D12" i="1"/>
  <c r="D13" i="1"/>
  <c r="B95" i="4" l="1"/>
  <c r="D95" i="4" s="1"/>
  <c r="B145" i="4"/>
  <c r="D145" i="4" s="1"/>
  <c r="D106" i="4"/>
  <c r="E161" i="15"/>
  <c r="F161" i="15"/>
  <c r="E160" i="15"/>
  <c r="F156" i="15"/>
  <c r="E243" i="12"/>
  <c r="E253" i="11"/>
  <c r="E142" i="6"/>
  <c r="E308" i="4"/>
  <c r="E242" i="12" l="1"/>
  <c r="E345" i="9" l="1"/>
  <c r="E346" i="9"/>
  <c r="E155" i="16"/>
  <c r="E6" i="14"/>
  <c r="E230" i="8"/>
  <c r="E150" i="14" l="1"/>
  <c r="E372" i="3" l="1"/>
  <c r="E124" i="2" l="1"/>
  <c r="F155" i="16" l="1"/>
  <c r="F253" i="11"/>
  <c r="F230" i="8"/>
  <c r="F124" i="2"/>
  <c r="F122" i="2"/>
  <c r="G153" i="16" l="1"/>
  <c r="G154" i="16"/>
  <c r="G155" i="16"/>
  <c r="I155" i="16"/>
  <c r="J155" i="16"/>
  <c r="J230" i="8"/>
  <c r="G156" i="16" l="1"/>
  <c r="D47" i="7" l="1"/>
  <c r="D57" i="7"/>
  <c r="J161" i="15" l="1"/>
  <c r="J156" i="15"/>
  <c r="J225" i="8"/>
  <c r="D372" i="3"/>
  <c r="J124" i="2"/>
  <c r="J120" i="2"/>
  <c r="J346" i="9" l="1"/>
  <c r="I346" i="9"/>
  <c r="I345" i="9"/>
  <c r="J345" i="9"/>
  <c r="J131" i="13"/>
  <c r="J229" i="8"/>
  <c r="I229" i="8"/>
  <c r="J156" i="5"/>
  <c r="J155" i="5"/>
  <c r="I165" i="60" l="1"/>
  <c r="I114" i="37"/>
  <c r="I113" i="37"/>
  <c r="I112" i="37"/>
  <c r="I110" i="37"/>
  <c r="I344" i="9"/>
  <c r="I347" i="9" s="1"/>
  <c r="F61" i="18"/>
  <c r="F64" i="18" s="1"/>
  <c r="F63" i="18"/>
  <c r="J96" i="17"/>
  <c r="J95" i="17"/>
  <c r="J94" i="17"/>
  <c r="J92" i="17"/>
  <c r="J90" i="17"/>
  <c r="I154" i="16"/>
  <c r="I153" i="16"/>
  <c r="I151" i="16"/>
  <c r="I160" i="15"/>
  <c r="I159" i="15"/>
  <c r="I154" i="14"/>
  <c r="I153" i="14"/>
  <c r="I152" i="14"/>
  <c r="I150" i="14"/>
  <c r="I132" i="13"/>
  <c r="I131" i="13"/>
  <c r="I130" i="13"/>
  <c r="I127" i="13"/>
  <c r="I246" i="12"/>
  <c r="I257" i="11"/>
  <c r="I256" i="11"/>
  <c r="I255" i="11"/>
  <c r="I253" i="11"/>
  <c r="I228" i="8"/>
  <c r="D29" i="7"/>
  <c r="I133" i="13" l="1"/>
  <c r="I115" i="37"/>
  <c r="I242" i="12"/>
  <c r="J97" i="17"/>
  <c r="J101" i="17" s="1"/>
  <c r="I156" i="16"/>
  <c r="I162" i="15"/>
  <c r="I165" i="15" s="1"/>
  <c r="I155" i="14"/>
  <c r="I158" i="14" s="1"/>
  <c r="I248" i="12"/>
  <c r="I258" i="11"/>
  <c r="I261" i="11" s="1"/>
  <c r="F65" i="18"/>
  <c r="I231" i="8"/>
  <c r="D33" i="7"/>
  <c r="I146" i="6"/>
  <c r="I145" i="6"/>
  <c r="I144" i="6"/>
  <c r="I142" i="6"/>
  <c r="I154" i="53"/>
  <c r="I153" i="53"/>
  <c r="I152" i="53"/>
  <c r="I150" i="53"/>
  <c r="I156" i="5"/>
  <c r="I155" i="5"/>
  <c r="I310" i="4"/>
  <c r="I313" i="4" s="1"/>
  <c r="I308" i="4"/>
  <c r="I123" i="2"/>
  <c r="I122" i="2"/>
  <c r="I282" i="1"/>
  <c r="I281" i="1"/>
  <c r="I280" i="1"/>
  <c r="I278" i="1"/>
  <c r="I316" i="4" l="1"/>
  <c r="I283" i="1"/>
  <c r="I287" i="1" s="1"/>
  <c r="I125" i="2"/>
  <c r="I128" i="2" s="1"/>
  <c r="I147" i="6"/>
  <c r="I150" i="6" s="1"/>
  <c r="I155" i="53"/>
  <c r="I158" i="53" s="1"/>
  <c r="I361" i="7"/>
  <c r="I158" i="5"/>
  <c r="K62" i="53" l="1"/>
  <c r="K61" i="53"/>
  <c r="K60" i="53"/>
  <c r="K59" i="53"/>
  <c r="K58" i="53"/>
  <c r="K57" i="53"/>
  <c r="K56" i="53"/>
  <c r="K55" i="53"/>
  <c r="K54" i="53"/>
  <c r="K53" i="53"/>
  <c r="K52" i="53"/>
  <c r="K51" i="53"/>
  <c r="K50" i="53"/>
  <c r="K49" i="53"/>
  <c r="K48" i="53"/>
  <c r="K47" i="53"/>
  <c r="K46" i="53"/>
  <c r="K45" i="53"/>
  <c r="K44" i="53"/>
  <c r="K43" i="53"/>
  <c r="K42" i="53"/>
  <c r="K41" i="53"/>
  <c r="K40" i="53"/>
  <c r="K39" i="53"/>
  <c r="K38" i="53"/>
  <c r="K37" i="53"/>
  <c r="K36" i="53"/>
  <c r="K35" i="53"/>
  <c r="K34" i="53"/>
  <c r="K33" i="53"/>
  <c r="K32" i="53"/>
  <c r="K31" i="53"/>
  <c r="K30" i="53"/>
  <c r="K29" i="53"/>
  <c r="K28" i="53"/>
  <c r="K27" i="53"/>
  <c r="K26" i="53"/>
  <c r="K25" i="53"/>
  <c r="K24" i="53"/>
  <c r="K23" i="53"/>
  <c r="K22" i="53"/>
  <c r="K21" i="5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46" i="3"/>
  <c r="K63" i="3"/>
  <c r="K62" i="3"/>
  <c r="K61" i="3"/>
  <c r="K60" i="3"/>
  <c r="K59" i="3"/>
  <c r="K58" i="3"/>
  <c r="K57" i="3"/>
  <c r="K49" i="3"/>
  <c r="K56" i="3"/>
  <c r="K48" i="3"/>
  <c r="K55" i="3"/>
  <c r="K45" i="3"/>
  <c r="K53" i="3"/>
  <c r="K52" i="3"/>
  <c r="K51" i="3"/>
  <c r="K47" i="3"/>
  <c r="K50" i="3"/>
  <c r="K54" i="3"/>
  <c r="K44" i="3"/>
  <c r="K43" i="3"/>
  <c r="K42" i="3"/>
  <c r="K41" i="3"/>
  <c r="K40" i="3"/>
  <c r="K39" i="3"/>
  <c r="K38" i="3"/>
  <c r="K37" i="3"/>
  <c r="K36" i="3"/>
  <c r="K35" i="3"/>
  <c r="K34" i="3"/>
  <c r="K33" i="3"/>
  <c r="K32" i="3"/>
  <c r="K30" i="3"/>
  <c r="K29" i="3"/>
  <c r="K28" i="3"/>
  <c r="K27" i="3"/>
  <c r="K26" i="3"/>
  <c r="K25" i="3"/>
  <c r="K24" i="3"/>
  <c r="K23" i="3"/>
  <c r="K22" i="3"/>
  <c r="K21" i="3"/>
  <c r="K20" i="3"/>
  <c r="K19" i="3"/>
  <c r="K18" i="3"/>
  <c r="K17" i="3"/>
  <c r="K16" i="3"/>
  <c r="K15" i="3"/>
  <c r="K14" i="3"/>
  <c r="K13" i="3"/>
  <c r="K12" i="3"/>
  <c r="K11" i="3"/>
  <c r="K10" i="3"/>
  <c r="K9" i="3"/>
  <c r="K8" i="3"/>
  <c r="K7" i="3"/>
  <c r="K6" i="3"/>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1" i="4"/>
  <c r="K80" i="4"/>
  <c r="K79" i="4"/>
  <c r="K78" i="4"/>
  <c r="K77" i="4"/>
  <c r="K76" i="4"/>
  <c r="K75" i="4"/>
  <c r="K74" i="4"/>
  <c r="K73" i="4"/>
  <c r="K72" i="4"/>
  <c r="K71" i="4"/>
  <c r="K70" i="4"/>
  <c r="K69" i="4"/>
  <c r="K68" i="4"/>
  <c r="K67" i="4"/>
  <c r="K66" i="4"/>
  <c r="K65" i="4"/>
  <c r="K64"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3" i="4"/>
  <c r="K12" i="4"/>
  <c r="K11" i="4"/>
  <c r="K10" i="4"/>
  <c r="K9" i="4"/>
  <c r="K8" i="4"/>
  <c r="K7" i="4"/>
  <c r="K6" i="4"/>
  <c r="K293" i="4"/>
  <c r="E159" i="15"/>
  <c r="E162" i="15" s="1"/>
  <c r="J152" i="14"/>
  <c r="G152" i="14"/>
  <c r="F152" i="14"/>
  <c r="J154" i="14"/>
  <c r="G154" i="14"/>
  <c r="F154" i="14"/>
  <c r="J153" i="14"/>
  <c r="G153" i="14"/>
  <c r="F153" i="14"/>
  <c r="G358" i="7"/>
  <c r="G361" i="7" s="1"/>
  <c r="E359" i="7"/>
  <c r="E358" i="7"/>
  <c r="K312" i="4" l="1"/>
  <c r="G155" i="14"/>
  <c r="K358" i="7"/>
  <c r="F155" i="14"/>
  <c r="J155" i="14"/>
  <c r="J158" i="14" s="1"/>
  <c r="J159" i="14" s="1"/>
  <c r="D23" i="3"/>
  <c r="D22" i="3"/>
  <c r="D21" i="3"/>
  <c r="D20" i="3"/>
  <c r="D19" i="3"/>
  <c r="D18" i="3"/>
  <c r="D17" i="3"/>
  <c r="D16" i="3"/>
  <c r="D15" i="3"/>
  <c r="D12" i="3"/>
  <c r="D7" i="3"/>
  <c r="D9" i="3" s="1"/>
  <c r="G154" i="53"/>
  <c r="G153" i="53"/>
  <c r="G152" i="53"/>
  <c r="B73" i="53"/>
  <c r="D73" i="53" s="1"/>
  <c r="D23" i="53"/>
  <c r="D24" i="53" s="1"/>
  <c r="F154" i="53"/>
  <c r="E154" i="53"/>
  <c r="F153" i="53"/>
  <c r="E153" i="53"/>
  <c r="F152" i="53"/>
  <c r="E152" i="53"/>
  <c r="G150" i="53"/>
  <c r="D72" i="53"/>
  <c r="D71" i="53"/>
  <c r="D70" i="53"/>
  <c r="D69" i="53"/>
  <c r="D58" i="53"/>
  <c r="D55" i="53"/>
  <c r="D51" i="53"/>
  <c r="D50" i="53"/>
  <c r="D47" i="53"/>
  <c r="C28" i="53"/>
  <c r="D28" i="53" s="1"/>
  <c r="C27" i="53"/>
  <c r="D27" i="53" s="1"/>
  <c r="D18" i="53"/>
  <c r="D17" i="53"/>
  <c r="D16" i="53"/>
  <c r="D11" i="53"/>
  <c r="D13" i="53" s="1"/>
  <c r="D7" i="53"/>
  <c r="D8" i="53" s="1"/>
  <c r="C74" i="3" l="1"/>
  <c r="D74" i="3" s="1"/>
  <c r="B108" i="3"/>
  <c r="B148" i="3"/>
  <c r="D148" i="3" s="1"/>
  <c r="D52" i="53"/>
  <c r="G155" i="53"/>
  <c r="D74" i="53"/>
  <c r="D29" i="53"/>
  <c r="B36" i="53" s="1"/>
  <c r="D36" i="53" s="1"/>
  <c r="C26" i="3"/>
  <c r="D26" i="3" s="1"/>
  <c r="D28" i="3" s="1"/>
  <c r="D19" i="53"/>
  <c r="B42" i="53" s="1"/>
  <c r="D42" i="53" s="1"/>
  <c r="F155" i="53"/>
  <c r="E155" i="53"/>
  <c r="B61" i="53"/>
  <c r="D61" i="53" s="1"/>
  <c r="B40" i="53"/>
  <c r="D40" i="53" s="1"/>
  <c r="B32" i="53"/>
  <c r="D32" i="53" s="1"/>
  <c r="B62" i="53"/>
  <c r="D62" i="53" s="1"/>
  <c r="B33" i="53"/>
  <c r="D33" i="53" s="1"/>
  <c r="B41" i="53"/>
  <c r="D41" i="53" s="1"/>
  <c r="D35" i="53"/>
  <c r="D64" i="53"/>
  <c r="C75" i="3" l="1"/>
  <c r="C76" i="3" s="1"/>
  <c r="D76" i="3" s="1"/>
  <c r="C77" i="3"/>
  <c r="D77" i="3" s="1"/>
  <c r="C78" i="3"/>
  <c r="D78" i="3" s="1"/>
  <c r="B109" i="3"/>
  <c r="B149" i="3"/>
  <c r="D149" i="3" s="1"/>
  <c r="B43" i="53"/>
  <c r="D43" i="53" s="1"/>
  <c r="D44" i="53" s="1"/>
  <c r="B65" i="53"/>
  <c r="D65" i="53" s="1"/>
  <c r="B117" i="3"/>
  <c r="D117" i="3" s="1"/>
  <c r="D108" i="3"/>
  <c r="B63" i="53"/>
  <c r="D63" i="53" s="1"/>
  <c r="B34" i="53"/>
  <c r="D34" i="53" s="1"/>
  <c r="D37" i="53" s="1"/>
  <c r="D66" i="53" l="1"/>
  <c r="D75" i="3"/>
  <c r="D79" i="3" s="1"/>
  <c r="B111" i="3" s="1"/>
  <c r="D111" i="3" s="1"/>
  <c r="D109" i="3"/>
  <c r="B118" i="3"/>
  <c r="D118" i="3" s="1"/>
  <c r="B120" i="3" l="1"/>
  <c r="D114" i="3"/>
  <c r="D120" i="3"/>
  <c r="D122" i="3" s="1"/>
  <c r="B151" i="3"/>
  <c r="D151" i="3" s="1"/>
  <c r="D154" i="3" s="1"/>
  <c r="E61" i="18"/>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H228" i="8"/>
  <c r="H229" i="8"/>
  <c r="D17" i="4"/>
  <c r="B93" i="4" s="1"/>
  <c r="K359" i="7"/>
  <c r="G112"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B104" i="4" l="1"/>
  <c r="D93" i="4"/>
  <c r="I159" i="16"/>
  <c r="I161" i="5"/>
  <c r="H231" i="8"/>
  <c r="D104" i="4" l="1"/>
  <c r="B143" i="4"/>
  <c r="D143" i="4" s="1"/>
  <c r="G155" i="5" l="1"/>
  <c r="D271" i="1"/>
  <c r="D275" i="1" s="1"/>
  <c r="D18"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K157" i="5" l="1"/>
  <c r="F156" i="5"/>
  <c r="F155" i="5"/>
  <c r="K155" i="5" s="1"/>
  <c r="E156" i="5"/>
  <c r="E155" i="5"/>
  <c r="G156" i="5"/>
  <c r="D81" i="5"/>
  <c r="D80" i="5"/>
  <c r="D68" i="5"/>
  <c r="D67" i="5"/>
  <c r="D63" i="5"/>
  <c r="D62" i="5"/>
  <c r="D58" i="5"/>
  <c r="D57" i="5"/>
  <c r="D56" i="5"/>
  <c r="D52" i="5"/>
  <c r="D51" i="5"/>
  <c r="D30" i="5"/>
  <c r="D29" i="5"/>
  <c r="B82" i="5" s="1"/>
  <c r="D82" i="5" s="1"/>
  <c r="D26" i="5"/>
  <c r="D22" i="5"/>
  <c r="D20" i="5"/>
  <c r="D17" i="5"/>
  <c r="D16" i="5"/>
  <c r="D15" i="5"/>
  <c r="D14" i="5"/>
  <c r="D13" i="5"/>
  <c r="D12" i="5"/>
  <c r="D11" i="5"/>
  <c r="D7" i="5"/>
  <c r="B38" i="5" s="1"/>
  <c r="D65" i="4"/>
  <c r="D64" i="4"/>
  <c r="D62" i="4"/>
  <c r="D57" i="4"/>
  <c r="D50" i="4"/>
  <c r="D49" i="4"/>
  <c r="D52" i="4"/>
  <c r="D53" i="4"/>
  <c r="D55" i="4"/>
  <c r="D61" i="4"/>
  <c r="D60" i="4"/>
  <c r="D54" i="4"/>
  <c r="D51" i="4"/>
  <c r="D56" i="4"/>
  <c r="D48" i="4"/>
  <c r="D47" i="4"/>
  <c r="D59" i="4"/>
  <c r="D46" i="4"/>
  <c r="D45" i="4"/>
  <c r="D58" i="4"/>
  <c r="D44" i="4"/>
  <c r="D43" i="4"/>
  <c r="D42" i="4"/>
  <c r="D41" i="4"/>
  <c r="D40" i="4"/>
  <c r="D39" i="4"/>
  <c r="D38" i="4"/>
  <c r="D37" i="4"/>
  <c r="D36" i="4"/>
  <c r="D35" i="4"/>
  <c r="D34" i="4"/>
  <c r="D33" i="4"/>
  <c r="D32" i="4"/>
  <c r="D31" i="4"/>
  <c r="D30" i="4"/>
  <c r="D29" i="4"/>
  <c r="D24" i="4"/>
  <c r="D23" i="4"/>
  <c r="D21" i="4"/>
  <c r="D20" i="4"/>
  <c r="D19" i="4"/>
  <c r="D18" i="4"/>
  <c r="D16" i="4"/>
  <c r="D15" i="4"/>
  <c r="D10" i="4"/>
  <c r="D9" i="4"/>
  <c r="D8" i="4"/>
  <c r="D7" i="4"/>
  <c r="K156" i="5" l="1"/>
  <c r="D12" i="4"/>
  <c r="D23" i="5"/>
  <c r="D67" i="4"/>
  <c r="D69" i="4" s="1"/>
  <c r="D69" i="5"/>
  <c r="D53" i="5"/>
  <c r="D59" i="5"/>
  <c r="D83" i="5"/>
  <c r="D31" i="5"/>
  <c r="B75" i="5" s="1"/>
  <c r="D75" i="5" s="1"/>
  <c r="D64" i="5"/>
  <c r="D38" i="5"/>
  <c r="B72" i="5"/>
  <c r="D72" i="5" s="1"/>
  <c r="B74" i="5"/>
  <c r="D74" i="5" s="1"/>
  <c r="B40" i="5"/>
  <c r="D40" i="5" s="1"/>
  <c r="D8" i="5"/>
  <c r="C35" i="5"/>
  <c r="D35" i="5" s="1"/>
  <c r="D22" i="4"/>
  <c r="D26" i="4" s="1"/>
  <c r="B142" i="4" l="1"/>
  <c r="D142" i="4" s="1"/>
  <c r="B103" i="4"/>
  <c r="D103" i="4" s="1"/>
  <c r="B92" i="4"/>
  <c r="D92" i="4" s="1"/>
  <c r="B91" i="4"/>
  <c r="D91" i="4" s="1"/>
  <c r="B141" i="4"/>
  <c r="D141" i="4" s="1"/>
  <c r="B102" i="4"/>
  <c r="D102" i="4" s="1"/>
  <c r="B105" i="4"/>
  <c r="D105" i="4" s="1"/>
  <c r="B144" i="4"/>
  <c r="D144" i="4" s="1"/>
  <c r="B94" i="4"/>
  <c r="D94" i="4" s="1"/>
  <c r="B41" i="5"/>
  <c r="D41" i="5" s="1"/>
  <c r="B39" i="5"/>
  <c r="D39" i="5" s="1"/>
  <c r="B73" i="5"/>
  <c r="D73" i="5" s="1"/>
  <c r="B47" i="5"/>
  <c r="D47" i="5" s="1"/>
  <c r="B42" i="5"/>
  <c r="D42" i="5" s="1"/>
  <c r="B76" i="5"/>
  <c r="D76" i="5" s="1"/>
  <c r="B46" i="5"/>
  <c r="D46" i="5" s="1"/>
  <c r="D71" i="6"/>
  <c r="D70" i="6"/>
  <c r="D69" i="6"/>
  <c r="D58" i="6"/>
  <c r="D55" i="6"/>
  <c r="D51" i="6"/>
  <c r="D50" i="6"/>
  <c r="D47" i="6"/>
  <c r="D29" i="6"/>
  <c r="B36" i="6" s="1"/>
  <c r="D24" i="6"/>
  <c r="D25" i="6"/>
  <c r="D18" i="6"/>
  <c r="D20" i="6" s="1"/>
  <c r="B34" i="6" s="1"/>
  <c r="D12" i="6"/>
  <c r="D11" i="6"/>
  <c r="D7" i="6"/>
  <c r="D8" i="6" s="1"/>
  <c r="D111" i="7"/>
  <c r="D98" i="7"/>
  <c r="D97" i="7"/>
  <c r="D93" i="7"/>
  <c r="D92" i="7"/>
  <c r="D91" i="7"/>
  <c r="D86" i="7"/>
  <c r="D82" i="7"/>
  <c r="D81" i="7"/>
  <c r="D80" i="7"/>
  <c r="D60" i="7"/>
  <c r="B76" i="7" s="1"/>
  <c r="D76" i="7" s="1"/>
  <c r="B52" i="7"/>
  <c r="D52" i="7" s="1"/>
  <c r="D51" i="7"/>
  <c r="D48" i="7"/>
  <c r="B66" i="7" s="1"/>
  <c r="D38" i="7"/>
  <c r="D37" i="7"/>
  <c r="D36" i="7"/>
  <c r="D35" i="7"/>
  <c r="D34" i="7"/>
  <c r="D30" i="7"/>
  <c r="D28" i="7"/>
  <c r="D27" i="7"/>
  <c r="D26" i="7"/>
  <c r="D25" i="7"/>
  <c r="D24" i="7"/>
  <c r="D23" i="7"/>
  <c r="D22" i="7"/>
  <c r="D21" i="7"/>
  <c r="D32" i="7"/>
  <c r="D20" i="7"/>
  <c r="D31" i="7"/>
  <c r="D15" i="7"/>
  <c r="D14" i="7"/>
  <c r="D13" i="7"/>
  <c r="D12" i="7"/>
  <c r="D11" i="7"/>
  <c r="D7" i="7"/>
  <c r="B63" i="7" s="1"/>
  <c r="B72" i="7" s="1"/>
  <c r="D80" i="8"/>
  <c r="D79" i="8"/>
  <c r="D68" i="8"/>
  <c r="D64" i="8"/>
  <c r="D63" i="8"/>
  <c r="D58" i="8"/>
  <c r="D54" i="8"/>
  <c r="D53" i="8"/>
  <c r="D29" i="8"/>
  <c r="D28" i="8"/>
  <c r="B74" i="8" s="1"/>
  <c r="D74" i="8" s="1"/>
  <c r="C25" i="8"/>
  <c r="D25" i="8" s="1"/>
  <c r="C20" i="8"/>
  <c r="D20" i="8" s="1"/>
  <c r="D19" i="8"/>
  <c r="D18" i="8"/>
  <c r="D17" i="8"/>
  <c r="D16" i="8"/>
  <c r="D15" i="8"/>
  <c r="D14" i="8"/>
  <c r="C10" i="8"/>
  <c r="D10" i="8" s="1"/>
  <c r="C9" i="8"/>
  <c r="D9" i="8" s="1"/>
  <c r="D8" i="8"/>
  <c r="D7" i="8"/>
  <c r="D67" i="13"/>
  <c r="D66" i="13"/>
  <c r="D56" i="13"/>
  <c r="D52" i="13"/>
  <c r="D51" i="13"/>
  <c r="D46" i="13"/>
  <c r="D42" i="13"/>
  <c r="D41" i="13"/>
  <c r="C24" i="13"/>
  <c r="D24" i="13" s="1"/>
  <c r="C20" i="13"/>
  <c r="D20" i="13" s="1"/>
  <c r="B61" i="13" s="1"/>
  <c r="D61" i="13" s="1"/>
  <c r="D15" i="13"/>
  <c r="D14" i="13"/>
  <c r="D13" i="13"/>
  <c r="D12" i="13"/>
  <c r="D7" i="13"/>
  <c r="D9" i="13" s="1"/>
  <c r="E154" i="14"/>
  <c r="D53" i="14"/>
  <c r="D52" i="14"/>
  <c r="D43" i="14"/>
  <c r="D40" i="14"/>
  <c r="D36" i="14"/>
  <c r="D35" i="14"/>
  <c r="D32" i="14"/>
  <c r="D18" i="14"/>
  <c r="D14" i="14"/>
  <c r="D13" i="14"/>
  <c r="D8" i="14"/>
  <c r="D7" i="14"/>
  <c r="D115" i="9"/>
  <c r="D108" i="9"/>
  <c r="D107" i="9"/>
  <c r="D106" i="9"/>
  <c r="D105" i="9"/>
  <c r="D104" i="9"/>
  <c r="D91" i="9"/>
  <c r="D90" i="9"/>
  <c r="D86" i="9"/>
  <c r="D85" i="9"/>
  <c r="D84" i="9"/>
  <c r="D79" i="9"/>
  <c r="D75" i="9"/>
  <c r="D74" i="9"/>
  <c r="D73" i="9"/>
  <c r="D53" i="9"/>
  <c r="B61" i="9" s="1"/>
  <c r="D49" i="9"/>
  <c r="D48" i="9"/>
  <c r="D45" i="9"/>
  <c r="C42" i="9"/>
  <c r="D42" i="9" s="1"/>
  <c r="B59" i="9" s="1"/>
  <c r="D37" i="9"/>
  <c r="D35" i="9"/>
  <c r="D34" i="9"/>
  <c r="D33" i="9"/>
  <c r="D32" i="9"/>
  <c r="D31" i="9"/>
  <c r="D30" i="9"/>
  <c r="D29" i="9"/>
  <c r="D28" i="9"/>
  <c r="D27" i="9"/>
  <c r="D26" i="9"/>
  <c r="D25" i="9"/>
  <c r="D24" i="9"/>
  <c r="D23" i="9"/>
  <c r="D18" i="9"/>
  <c r="D17" i="9"/>
  <c r="D16" i="9"/>
  <c r="D15" i="9"/>
  <c r="D14" i="9"/>
  <c r="D13" i="9"/>
  <c r="D12" i="9"/>
  <c r="D11" i="9"/>
  <c r="D7" i="9"/>
  <c r="D8" i="9" s="1"/>
  <c r="D149" i="4" l="1"/>
  <c r="D109" i="4"/>
  <c r="D77" i="5"/>
  <c r="D99" i="4"/>
  <c r="D54" i="14"/>
  <c r="D53" i="13"/>
  <c r="D52" i="6"/>
  <c r="D15" i="14"/>
  <c r="B22" i="14" s="1"/>
  <c r="B47" i="14" s="1"/>
  <c r="D47" i="14" s="1"/>
  <c r="D10" i="14"/>
  <c r="B46" i="14" s="1"/>
  <c r="D46" i="14" s="1"/>
  <c r="D15" i="6"/>
  <c r="B62" i="6" s="1"/>
  <c r="D62" i="6" s="1"/>
  <c r="D109" i="9"/>
  <c r="D30" i="8"/>
  <c r="B81" i="8"/>
  <c r="D81" i="8" s="1"/>
  <c r="D82" i="8" s="1"/>
  <c r="D65" i="8"/>
  <c r="D48" i="5"/>
  <c r="D43" i="5"/>
  <c r="B43" i="6"/>
  <c r="D36" i="6"/>
  <c r="D76" i="9"/>
  <c r="D22" i="8"/>
  <c r="B47" i="8" s="1"/>
  <c r="D20" i="9"/>
  <c r="B57" i="9" s="1"/>
  <c r="D57" i="9" s="1"/>
  <c r="D43" i="13"/>
  <c r="B106" i="7"/>
  <c r="D106" i="7" s="1"/>
  <c r="D53" i="7"/>
  <c r="B67" i="7" s="1"/>
  <c r="B112" i="7" s="1"/>
  <c r="D112" i="7" s="1"/>
  <c r="D113" i="7" s="1"/>
  <c r="D87" i="9"/>
  <c r="D92" i="9"/>
  <c r="D37" i="14"/>
  <c r="D50" i="9"/>
  <c r="B60" i="9" s="1"/>
  <c r="B99" i="9" s="1"/>
  <c r="D99" i="9" s="1"/>
  <c r="B45" i="8"/>
  <c r="D45" i="8" s="1"/>
  <c r="D38" i="9"/>
  <c r="B58" i="9" s="1"/>
  <c r="D58" i="9" s="1"/>
  <c r="D94" i="7"/>
  <c r="D55" i="8"/>
  <c r="B46" i="8"/>
  <c r="D46" i="8" s="1"/>
  <c r="B35" i="6"/>
  <c r="B72" i="6"/>
  <c r="D72" i="6" s="1"/>
  <c r="D73" i="6" s="1"/>
  <c r="B42" i="6"/>
  <c r="D34" i="6"/>
  <c r="B32" i="6"/>
  <c r="D99" i="7"/>
  <c r="D41" i="7"/>
  <c r="B65" i="7" s="1"/>
  <c r="D65" i="7" s="1"/>
  <c r="D83" i="7"/>
  <c r="D8" i="7"/>
  <c r="B102" i="7"/>
  <c r="D102" i="7" s="1"/>
  <c r="D72" i="7"/>
  <c r="B75" i="7"/>
  <c r="D75" i="7" s="1"/>
  <c r="D66" i="7"/>
  <c r="D17" i="7"/>
  <c r="D63" i="7"/>
  <c r="B68" i="7"/>
  <c r="D68" i="7" s="1"/>
  <c r="B105" i="7"/>
  <c r="D105" i="7" s="1"/>
  <c r="B107" i="7"/>
  <c r="D107" i="7" s="1"/>
  <c r="D87" i="7"/>
  <c r="D88" i="7" s="1"/>
  <c r="B73" i="8"/>
  <c r="D73" i="8" s="1"/>
  <c r="B39" i="8"/>
  <c r="D39" i="8" s="1"/>
  <c r="B48" i="8"/>
  <c r="D48" i="8" s="1"/>
  <c r="C34" i="8"/>
  <c r="D34" i="8" s="1"/>
  <c r="B40" i="8"/>
  <c r="D40" i="8" s="1"/>
  <c r="D12" i="8"/>
  <c r="D59" i="8"/>
  <c r="D60" i="8" s="1"/>
  <c r="D17" i="13"/>
  <c r="B28" i="13" s="1"/>
  <c r="D28" i="13" s="1"/>
  <c r="D68" i="13"/>
  <c r="B34" i="13"/>
  <c r="D34" i="13" s="1"/>
  <c r="B27" i="13"/>
  <c r="D27" i="13" s="1"/>
  <c r="B59" i="13"/>
  <c r="D59" i="13" s="1"/>
  <c r="B30" i="13"/>
  <c r="B62" i="13"/>
  <c r="D62" i="13" s="1"/>
  <c r="B29" i="13"/>
  <c r="D29" i="13" s="1"/>
  <c r="B36" i="13"/>
  <c r="D36" i="13" s="1"/>
  <c r="D47" i="13"/>
  <c r="D48" i="13" s="1"/>
  <c r="B23" i="14"/>
  <c r="D23" i="14" s="1"/>
  <c r="B28" i="14"/>
  <c r="D28" i="14" s="1"/>
  <c r="B48" i="14"/>
  <c r="D48" i="14" s="1"/>
  <c r="B69" i="9"/>
  <c r="D69" i="9" s="1"/>
  <c r="D61" i="9"/>
  <c r="B100" i="9"/>
  <c r="D100" i="9" s="1"/>
  <c r="D59" i="9"/>
  <c r="B98" i="9"/>
  <c r="D98" i="9" s="1"/>
  <c r="B68" i="9"/>
  <c r="D68" i="9" s="1"/>
  <c r="B56" i="9"/>
  <c r="D80" i="9"/>
  <c r="D81" i="9" s="1"/>
  <c r="B41" i="6" l="1"/>
  <c r="D41" i="6" s="1"/>
  <c r="D22" i="14"/>
  <c r="B27" i="14"/>
  <c r="D27" i="14" s="1"/>
  <c r="D29" i="14" s="1"/>
  <c r="B21" i="14"/>
  <c r="D21" i="14" s="1"/>
  <c r="B33" i="6"/>
  <c r="D33" i="6" s="1"/>
  <c r="B96" i="9"/>
  <c r="D96" i="9" s="1"/>
  <c r="D67" i="7"/>
  <c r="B97" i="9"/>
  <c r="D97" i="9" s="1"/>
  <c r="D60" i="9"/>
  <c r="B67" i="9"/>
  <c r="D67" i="9" s="1"/>
  <c r="B38" i="8"/>
  <c r="D38" i="8" s="1"/>
  <c r="B66" i="9"/>
  <c r="D66" i="9" s="1"/>
  <c r="D43" i="6"/>
  <c r="B65" i="6"/>
  <c r="D65" i="6" s="1"/>
  <c r="B60" i="13"/>
  <c r="D60" i="13" s="1"/>
  <c r="D63" i="13" s="1"/>
  <c r="B35" i="13"/>
  <c r="D35" i="13" s="1"/>
  <c r="B104" i="7"/>
  <c r="D104" i="7" s="1"/>
  <c r="B74" i="7"/>
  <c r="D74" i="7" s="1"/>
  <c r="B40" i="6"/>
  <c r="D32" i="6"/>
  <c r="B63" i="6"/>
  <c r="D63" i="6" s="1"/>
  <c r="D42" i="6"/>
  <c r="D35" i="6"/>
  <c r="B64" i="6"/>
  <c r="D64" i="6" s="1"/>
  <c r="B73" i="7"/>
  <c r="B103" i="7"/>
  <c r="D103" i="7" s="1"/>
  <c r="B64" i="7"/>
  <c r="D64" i="7" s="1"/>
  <c r="B49" i="8"/>
  <c r="D49" i="8" s="1"/>
  <c r="B75" i="8"/>
  <c r="D75" i="8" s="1"/>
  <c r="B41" i="8"/>
  <c r="D41" i="8" s="1"/>
  <c r="B71" i="8"/>
  <c r="D71" i="8" s="1"/>
  <c r="B37" i="8"/>
  <c r="D37" i="8" s="1"/>
  <c r="B72" i="8"/>
  <c r="D72" i="8" s="1"/>
  <c r="D47" i="8"/>
  <c r="B37" i="13"/>
  <c r="D37" i="13" s="1"/>
  <c r="D30" i="13"/>
  <c r="D31" i="13" s="1"/>
  <c r="D49" i="14"/>
  <c r="B95" i="9"/>
  <c r="D95" i="9" s="1"/>
  <c r="B65" i="9"/>
  <c r="D56" i="9"/>
  <c r="D62" i="9" l="1"/>
  <c r="D65" i="9"/>
  <c r="D70" i="9" s="1"/>
  <c r="D24" i="14"/>
  <c r="D38" i="13"/>
  <c r="D73" i="7"/>
  <c r="D77" i="7" s="1"/>
  <c r="D108" i="7"/>
  <c r="D101" i="9"/>
  <c r="D69" i="7"/>
  <c r="D42" i="8"/>
  <c r="D37" i="6"/>
  <c r="B61" i="6"/>
  <c r="D61" i="6" s="1"/>
  <c r="D66" i="6" s="1"/>
  <c r="D40" i="6"/>
  <c r="D44" i="6" s="1"/>
  <c r="D50" i="8"/>
  <c r="D76" i="8"/>
  <c r="D13" i="37" l="1"/>
  <c r="D18" i="37"/>
  <c r="D137" i="1" l="1"/>
  <c r="D235" i="1"/>
  <c r="D234" i="1"/>
  <c r="D232" i="1"/>
  <c r="D213" i="1"/>
  <c r="D187" i="1"/>
  <c r="D160" i="1"/>
  <c r="D152" i="1"/>
  <c r="D130" i="1"/>
  <c r="D109" i="1"/>
  <c r="D66" i="15"/>
  <c r="D65" i="15"/>
  <c r="D64" i="15"/>
  <c r="D63" i="15"/>
  <c r="D52" i="15"/>
  <c r="D49" i="15"/>
  <c r="D45" i="15"/>
  <c r="D44" i="15"/>
  <c r="D41" i="15"/>
  <c r="D22" i="15"/>
  <c r="D23" i="15" s="1"/>
  <c r="D18" i="15"/>
  <c r="B58" i="15" s="1"/>
  <c r="D58" i="15" s="1"/>
  <c r="D13" i="15"/>
  <c r="B57" i="15" s="1"/>
  <c r="D57" i="15" s="1"/>
  <c r="D12" i="15"/>
  <c r="D7" i="15"/>
  <c r="D9" i="15" s="1"/>
  <c r="D13" i="11"/>
  <c r="D15" i="11" s="1"/>
  <c r="D7" i="11"/>
  <c r="B39" i="11" l="1"/>
  <c r="D39" i="11" s="1"/>
  <c r="B32" i="11"/>
  <c r="D9" i="11"/>
  <c r="B57" i="11"/>
  <c r="D57" i="11" s="1"/>
  <c r="D67" i="15"/>
  <c r="D46" i="15"/>
  <c r="B37" i="15"/>
  <c r="D37" i="15" s="1"/>
  <c r="D19" i="15"/>
  <c r="D15" i="15"/>
  <c r="B29" i="15" s="1"/>
  <c r="D29" i="15" s="1"/>
  <c r="B28" i="15"/>
  <c r="D28" i="15" s="1"/>
  <c r="B55" i="15"/>
  <c r="D55" i="15" s="1"/>
  <c r="B35" i="15"/>
  <c r="D35" i="15" s="1"/>
  <c r="B59" i="15"/>
  <c r="D59" i="15" s="1"/>
  <c r="B31" i="15"/>
  <c r="D31" i="15" s="1"/>
  <c r="B30" i="15"/>
  <c r="D30" i="15" s="1"/>
  <c r="B38" i="11" l="1"/>
  <c r="D38" i="11" s="1"/>
  <c r="D40" i="11" s="1"/>
  <c r="B31" i="11"/>
  <c r="D31" i="11" s="1"/>
  <c r="D32" i="11"/>
  <c r="B58" i="11"/>
  <c r="D58" i="11" s="1"/>
  <c r="D62" i="11" s="1"/>
  <c r="B36" i="15"/>
  <c r="D36" i="15" s="1"/>
  <c r="D38" i="15" s="1"/>
  <c r="B56" i="15"/>
  <c r="D56" i="15" s="1"/>
  <c r="D60" i="15" s="1"/>
  <c r="D32" i="15"/>
  <c r="D35" i="11" l="1"/>
  <c r="D118" i="1" l="1"/>
  <c r="C108" i="37" l="1"/>
  <c r="B108" i="37"/>
  <c r="E12" i="63"/>
  <c r="G246" i="12"/>
  <c r="E246" i="12"/>
  <c r="B23" i="18"/>
  <c r="E17" i="63" l="1"/>
  <c r="C224" i="1"/>
  <c r="B224" i="1"/>
  <c r="C165" i="1"/>
  <c r="B165" i="1"/>
  <c r="D32" i="1" l="1"/>
  <c r="D98" i="1" l="1"/>
  <c r="D12" i="37" l="1"/>
  <c r="D14" i="37" s="1"/>
  <c r="G63" i="18" l="1"/>
  <c r="E63" i="18"/>
  <c r="D63" i="18"/>
  <c r="C63" i="18"/>
  <c r="B63" i="18"/>
  <c r="F345" i="9"/>
  <c r="J344" i="9"/>
  <c r="J347" i="9" s="1"/>
  <c r="J349" i="9" s="1"/>
  <c r="G31" i="18"/>
  <c r="F31" i="18"/>
  <c r="E31" i="18"/>
  <c r="G61" i="18"/>
  <c r="G64" i="18" s="1"/>
  <c r="E64" i="18"/>
  <c r="D61" i="18"/>
  <c r="D64" i="18" s="1"/>
  <c r="C61" i="18"/>
  <c r="C64" i="18" s="1"/>
  <c r="B61" i="18"/>
  <c r="B64" i="18" s="1"/>
  <c r="J378" i="3"/>
  <c r="B65" i="18" l="1"/>
  <c r="C65" i="18"/>
  <c r="D65" i="18"/>
  <c r="G65" i="18"/>
  <c r="E65" i="18"/>
  <c r="C17" i="2" l="1"/>
  <c r="D17" i="2" s="1"/>
  <c r="B23" i="2" s="1"/>
  <c r="B29" i="2" s="1"/>
  <c r="C37" i="1"/>
  <c r="K360" i="7" l="1"/>
  <c r="E131" i="13"/>
  <c r="G131" i="13"/>
  <c r="F131" i="13"/>
  <c r="F127" i="13"/>
  <c r="G127" i="13"/>
  <c r="B31" i="18"/>
  <c r="C31" i="18"/>
  <c r="G132" i="13"/>
  <c r="J351" i="9" l="1"/>
  <c r="E245" i="12" l="1"/>
  <c r="E248" i="12" s="1"/>
  <c r="J248" i="12"/>
  <c r="J242" i="12"/>
  <c r="F248" i="12"/>
  <c r="G248" i="12" l="1"/>
  <c r="G242" i="12" l="1"/>
  <c r="D31" i="18" l="1"/>
  <c r="D29" i="2" l="1"/>
  <c r="B49" i="2"/>
  <c r="D49" i="2" s="1"/>
  <c r="D264" i="1" l="1"/>
  <c r="D7" i="2" l="1"/>
  <c r="D9" i="2" s="1"/>
  <c r="B21" i="2" s="1"/>
  <c r="D12" i="2"/>
  <c r="D13" i="2"/>
  <c r="D33" i="2"/>
  <c r="D36" i="2"/>
  <c r="D37" i="2"/>
  <c r="D41" i="2"/>
  <c r="D44" i="2"/>
  <c r="D53" i="2"/>
  <c r="D54" i="2"/>
  <c r="E122" i="2"/>
  <c r="G122" i="2"/>
  <c r="J122" i="2"/>
  <c r="E123" i="2"/>
  <c r="F123" i="2"/>
  <c r="G123" i="2"/>
  <c r="J123" i="2"/>
  <c r="D214" i="1"/>
  <c r="D217" i="1" s="1"/>
  <c r="D219" i="1" s="1"/>
  <c r="D14" i="2" l="1"/>
  <c r="D55" i="2"/>
  <c r="E125" i="2"/>
  <c r="D38" i="2"/>
  <c r="F125" i="2"/>
  <c r="J125" i="2"/>
  <c r="J128" i="2" s="1"/>
  <c r="J129" i="2" s="1"/>
  <c r="D21" i="2"/>
  <c r="B47" i="2"/>
  <c r="D47" i="2" s="1"/>
  <c r="G125" i="2"/>
  <c r="B28" i="2" l="1"/>
  <c r="D28" i="2" s="1"/>
  <c r="B22" i="2"/>
  <c r="D22" i="2" s="1"/>
  <c r="B27" i="2"/>
  <c r="D27" i="2" s="1"/>
  <c r="B48" i="2"/>
  <c r="D48" i="2" s="1"/>
  <c r="D50" i="2" s="1"/>
  <c r="D23" i="2"/>
  <c r="D24" i="2" l="1"/>
  <c r="D30" i="2"/>
  <c r="J282" i="1" l="1"/>
  <c r="J281" i="1"/>
  <c r="J280" i="1"/>
  <c r="J278" i="1"/>
  <c r="J310" i="4"/>
  <c r="J308" i="4"/>
  <c r="J154" i="53"/>
  <c r="J153" i="53"/>
  <c r="J152" i="53"/>
  <c r="J150" i="53"/>
  <c r="J146" i="6"/>
  <c r="J145" i="6"/>
  <c r="J144" i="6"/>
  <c r="J142" i="6"/>
  <c r="J228" i="8"/>
  <c r="J257" i="11"/>
  <c r="J256" i="11"/>
  <c r="J255" i="11"/>
  <c r="J253" i="11"/>
  <c r="J132" i="13"/>
  <c r="J130" i="13"/>
  <c r="J127" i="13"/>
  <c r="J150" i="14"/>
  <c r="J160" i="15"/>
  <c r="J159" i="15"/>
  <c r="J154" i="16"/>
  <c r="J153" i="16"/>
  <c r="J151" i="16"/>
  <c r="K96" i="17"/>
  <c r="K95" i="17"/>
  <c r="K94" i="17"/>
  <c r="K92" i="17"/>
  <c r="K90" i="17"/>
  <c r="J342" i="9"/>
  <c r="J114" i="37"/>
  <c r="J113" i="37"/>
  <c r="J112" i="37"/>
  <c r="J110" i="37"/>
  <c r="J16" i="36"/>
  <c r="J18" i="36" s="1"/>
  <c r="J12" i="36"/>
  <c r="J165" i="60"/>
  <c r="J20" i="50"/>
  <c r="J12" i="63"/>
  <c r="G29" i="18" l="1"/>
  <c r="G30" i="18"/>
  <c r="J158" i="5"/>
  <c r="J231" i="8"/>
  <c r="J234" i="8" s="1"/>
  <c r="J235" i="8" s="1"/>
  <c r="J133" i="13"/>
  <c r="J136" i="13" s="1"/>
  <c r="J137" i="13" s="1"/>
  <c r="J147" i="6"/>
  <c r="J150" i="6" s="1"/>
  <c r="J151" i="6" s="1"/>
  <c r="J162" i="15"/>
  <c r="J165" i="15" s="1"/>
  <c r="J166" i="15" s="1"/>
  <c r="J156" i="16"/>
  <c r="J159" i="16" s="1"/>
  <c r="J160" i="16" s="1"/>
  <c r="J155" i="53"/>
  <c r="J158" i="53" s="1"/>
  <c r="J159" i="53" s="1"/>
  <c r="J361" i="7"/>
  <c r="J115" i="37"/>
  <c r="J118" i="37" s="1"/>
  <c r="J119" i="37" s="1"/>
  <c r="K97" i="17"/>
  <c r="K101" i="17" s="1"/>
  <c r="K102" i="17" s="1"/>
  <c r="J258" i="11"/>
  <c r="J261" i="11" s="1"/>
  <c r="J262" i="11" s="1"/>
  <c r="J283" i="1"/>
  <c r="J287" i="1" s="1"/>
  <c r="J288" i="1" s="1"/>
  <c r="J313" i="4"/>
  <c r="J316" i="4" s="1"/>
  <c r="J364" i="7" l="1"/>
  <c r="J365" i="7" s="1"/>
  <c r="J160" i="5"/>
  <c r="J317" i="4"/>
  <c r="F30" i="18" l="1"/>
  <c r="F29" i="18"/>
  <c r="F28" i="18"/>
  <c r="F26" i="18"/>
  <c r="F32" i="18" l="1"/>
  <c r="F144" i="6" l="1"/>
  <c r="E144" i="6" l="1"/>
  <c r="E145" i="6"/>
  <c r="H16" i="63" l="1"/>
  <c r="G16" i="63"/>
  <c r="F344" i="9" l="1"/>
  <c r="E344" i="9"/>
  <c r="E347" i="9" s="1"/>
  <c r="G310" i="4" l="1"/>
  <c r="E30" i="18" l="1"/>
  <c r="E28" i="18"/>
  <c r="E26" i="18"/>
  <c r="E29" i="18"/>
  <c r="I118" i="37"/>
  <c r="E32" i="18" l="1"/>
  <c r="L32" i="18" s="1"/>
  <c r="F378" i="3" l="1"/>
  <c r="E377" i="3"/>
  <c r="E380" i="3" l="1"/>
  <c r="E383" i="3" s="1"/>
  <c r="F154" i="16" l="1"/>
  <c r="E154" i="16"/>
  <c r="F153" i="16"/>
  <c r="E153" i="16"/>
  <c r="G151" i="16"/>
  <c r="F151" i="16"/>
  <c r="E156" i="16" l="1"/>
  <c r="F156" i="16"/>
  <c r="G146" i="6" l="1"/>
  <c r="F146" i="6"/>
  <c r="E146" i="6"/>
  <c r="E147" i="6" s="1"/>
  <c r="G145" i="6"/>
  <c r="F145" i="6"/>
  <c r="G144" i="6"/>
  <c r="F142" i="6"/>
  <c r="G228" i="8"/>
  <c r="G231" i="8" s="1"/>
  <c r="F228" i="8"/>
  <c r="E228" i="8"/>
  <c r="F132" i="13"/>
  <c r="E132" i="13"/>
  <c r="G130" i="13"/>
  <c r="E130" i="13"/>
  <c r="E153" i="14"/>
  <c r="G150" i="14"/>
  <c r="F150" i="14"/>
  <c r="E152" i="14"/>
  <c r="H96" i="17"/>
  <c r="G96" i="17"/>
  <c r="F96" i="17"/>
  <c r="G95" i="17"/>
  <c r="F95" i="17"/>
  <c r="H94" i="17"/>
  <c r="G94" i="17"/>
  <c r="F94" i="17"/>
  <c r="G92" i="17"/>
  <c r="H90" i="17"/>
  <c r="G90" i="17"/>
  <c r="F90" i="17"/>
  <c r="E7" i="17"/>
  <c r="E9" i="17" s="1"/>
  <c r="F130" i="13" l="1"/>
  <c r="F133" i="13" s="1"/>
  <c r="E231" i="8"/>
  <c r="F231" i="8"/>
  <c r="F361" i="7"/>
  <c r="E133" i="13"/>
  <c r="G133" i="13"/>
  <c r="F147" i="6"/>
  <c r="F97" i="17"/>
  <c r="G97" i="17"/>
  <c r="E361" i="7"/>
  <c r="G147" i="6"/>
  <c r="E155" i="14"/>
  <c r="H95" i="17"/>
  <c r="H97" i="17" s="1"/>
  <c r="H92" i="17"/>
  <c r="C15" i="17"/>
  <c r="E15" i="17" s="1"/>
  <c r="C12" i="17"/>
  <c r="E12" i="17" s="1"/>
  <c r="F346" i="9" l="1"/>
  <c r="F342" i="9"/>
  <c r="F347" i="9" l="1"/>
  <c r="D7" i="37" l="1"/>
  <c r="D9" i="37" s="1"/>
  <c r="B30" i="37" s="1"/>
  <c r="D17" i="37"/>
  <c r="D33" i="37"/>
  <c r="D36" i="37"/>
  <c r="D37" i="37"/>
  <c r="D41" i="37"/>
  <c r="D44" i="37"/>
  <c r="D53" i="37"/>
  <c r="D54" i="37"/>
  <c r="B55" i="37"/>
  <c r="D55" i="37" s="1"/>
  <c r="D56" i="37"/>
  <c r="D69" i="37"/>
  <c r="D70" i="37" s="1"/>
  <c r="D91" i="37"/>
  <c r="D108" i="37"/>
  <c r="F110" i="37"/>
  <c r="G110" i="37"/>
  <c r="E112" i="37"/>
  <c r="F112" i="37"/>
  <c r="E113" i="37"/>
  <c r="F113" i="37"/>
  <c r="G113" i="37"/>
  <c r="E114" i="37"/>
  <c r="F114" i="37"/>
  <c r="G114" i="37"/>
  <c r="D19" i="37" l="1"/>
  <c r="B26" i="37" s="1"/>
  <c r="D38" i="37"/>
  <c r="E115" i="37"/>
  <c r="D57" i="37"/>
  <c r="F115" i="37"/>
  <c r="G115" i="37"/>
  <c r="B24" i="37"/>
  <c r="D24" i="37" s="1"/>
  <c r="B47" i="37"/>
  <c r="D47" i="37" s="1"/>
  <c r="B49" i="37" l="1"/>
  <c r="D49" i="37" s="1"/>
  <c r="D26" i="37"/>
  <c r="B48" i="37"/>
  <c r="D48" i="37" s="1"/>
  <c r="B25" i="37"/>
  <c r="D25" i="37" s="1"/>
  <c r="D30" i="37"/>
  <c r="D50" i="37" l="1"/>
  <c r="D27" i="37"/>
  <c r="L312" i="4"/>
  <c r="K311" i="4"/>
  <c r="F310" i="4"/>
  <c r="E310" i="4"/>
  <c r="G308" i="4"/>
  <c r="F308" i="4"/>
  <c r="K310" i="4" l="1"/>
  <c r="L310" i="4" s="1"/>
  <c r="E313" i="4"/>
  <c r="L311" i="4"/>
  <c r="F313" i="4"/>
  <c r="G313" i="4"/>
  <c r="F158" i="5" l="1"/>
  <c r="G158" i="5"/>
  <c r="E158" i="5"/>
  <c r="G160" i="15" l="1"/>
  <c r="F160" i="15"/>
  <c r="G159" i="15"/>
  <c r="F159" i="15"/>
  <c r="F162" i="15" l="1"/>
  <c r="G162" i="15"/>
  <c r="G257" i="11" l="1"/>
  <c r="D30" i="18" s="1"/>
  <c r="G256" i="11"/>
  <c r="F256" i="11"/>
  <c r="E256" i="11"/>
  <c r="G255" i="11"/>
  <c r="F255" i="11"/>
  <c r="E255" i="11"/>
  <c r="G253" i="11"/>
  <c r="F257" i="11"/>
  <c r="E258" i="11" l="1"/>
  <c r="F258" i="11"/>
  <c r="G258" i="11"/>
  <c r="D29" i="18" l="1"/>
  <c r="D28" i="18"/>
  <c r="G278" i="1"/>
  <c r="D26" i="18" l="1"/>
  <c r="D32" i="18"/>
  <c r="K32" i="18" l="1"/>
  <c r="E17" i="61"/>
  <c r="I16" i="63" l="1"/>
  <c r="I18" i="63" s="1"/>
  <c r="E18" i="63"/>
  <c r="J17" i="63"/>
  <c r="J18" i="63" s="1"/>
  <c r="I12" i="63"/>
  <c r="H12" i="63"/>
  <c r="H17" i="63" s="1"/>
  <c r="H18" i="63" s="1"/>
  <c r="G12" i="63"/>
  <c r="F12" i="63"/>
  <c r="F17" i="63" l="1"/>
  <c r="F18" i="63" s="1"/>
  <c r="G17" i="63"/>
  <c r="G18" i="63" s="1"/>
  <c r="K98" i="17" l="1"/>
  <c r="H16" i="36" l="1"/>
  <c r="H12" i="36"/>
  <c r="D253" i="1" l="1"/>
  <c r="D224" i="1"/>
  <c r="D176" i="1"/>
  <c r="D145" i="1"/>
  <c r="D243" i="1" l="1"/>
  <c r="F282" i="1" l="1"/>
  <c r="C30" i="18" s="1"/>
  <c r="F281" i="1"/>
  <c r="C29" i="18" s="1"/>
  <c r="F280" i="1"/>
  <c r="F278" i="1"/>
  <c r="F283" i="1" l="1"/>
  <c r="G286" i="1" s="1"/>
  <c r="I16" i="61" l="1"/>
  <c r="I18" i="61" s="1"/>
  <c r="H16" i="61"/>
  <c r="H18" i="61" s="1"/>
  <c r="H19" i="50" s="1"/>
  <c r="G16" i="61"/>
  <c r="G18" i="61" s="1"/>
  <c r="F16" i="61"/>
  <c r="F18" i="61" s="1"/>
  <c r="E18" i="61"/>
  <c r="J12" i="61"/>
  <c r="J17" i="61" s="1"/>
  <c r="J18" i="61" s="1"/>
  <c r="I12" i="61"/>
  <c r="H12" i="61"/>
  <c r="G12" i="61"/>
  <c r="F12" i="61"/>
  <c r="E12" i="61"/>
  <c r="D10" i="50" l="1"/>
  <c r="D13" i="50"/>
  <c r="D15" i="50" s="1"/>
  <c r="G20" i="50" s="1"/>
  <c r="E20" i="50"/>
  <c r="F20" i="50"/>
  <c r="H20" i="50"/>
  <c r="I20" i="50"/>
  <c r="E12" i="36"/>
  <c r="F12" i="36"/>
  <c r="G12" i="36"/>
  <c r="I12" i="36"/>
  <c r="I19" i="50" s="1"/>
  <c r="E16" i="36"/>
  <c r="E18" i="36" s="1"/>
  <c r="F16" i="36"/>
  <c r="F18" i="36" s="1"/>
  <c r="G16" i="36"/>
  <c r="G18" i="36" s="1"/>
  <c r="H18" i="36"/>
  <c r="I16" i="36"/>
  <c r="I18" i="36" s="1"/>
  <c r="H68" i="18"/>
  <c r="H69" i="18"/>
  <c r="H70" i="18"/>
  <c r="D7" i="1"/>
  <c r="D8" i="1"/>
  <c r="B42" i="1"/>
  <c r="D31" i="1"/>
  <c r="D33" i="1"/>
  <c r="D58" i="1"/>
  <c r="D61" i="1"/>
  <c r="D62" i="1"/>
  <c r="D66" i="1"/>
  <c r="D69" i="1"/>
  <c r="D81" i="1"/>
  <c r="D82" i="1"/>
  <c r="D83" i="1"/>
  <c r="D92" i="1"/>
  <c r="D114" i="1"/>
  <c r="D121" i="1"/>
  <c r="E281" i="1"/>
  <c r="B29" i="18" s="1"/>
  <c r="D165" i="1"/>
  <c r="B26" i="18"/>
  <c r="E280" i="1"/>
  <c r="E282" i="1"/>
  <c r="B30" i="18" s="1"/>
  <c r="B28" i="18" l="1"/>
  <c r="B32" i="18" s="1"/>
  <c r="I32" i="18" s="1"/>
  <c r="E19" i="50"/>
  <c r="B43" i="1"/>
  <c r="D43" i="1" s="1"/>
  <c r="D34" i="1"/>
  <c r="D63" i="1"/>
  <c r="D28" i="1"/>
  <c r="B53" i="1" s="1"/>
  <c r="D18" i="1"/>
  <c r="D9" i="1"/>
  <c r="D41" i="1"/>
  <c r="D42" i="1"/>
  <c r="B51" i="1"/>
  <c r="E283" i="1"/>
  <c r="D51" i="1" l="1"/>
  <c r="B52" i="1"/>
  <c r="D52" i="1" s="1"/>
  <c r="B74" i="1"/>
  <c r="D74" i="1" s="1"/>
  <c r="B73" i="1"/>
  <c r="D73" i="1" s="1"/>
  <c r="B75" i="1"/>
  <c r="B84" i="1" s="1"/>
  <c r="B44" i="1"/>
  <c r="D44" i="1" s="1"/>
  <c r="B45" i="1"/>
  <c r="D45" i="1" s="1"/>
  <c r="D37" i="1"/>
  <c r="D53" i="1"/>
  <c r="B80" i="1"/>
  <c r="D80" i="1" s="1"/>
  <c r="B50" i="1"/>
  <c r="D50" i="1" s="1"/>
  <c r="B72" i="1"/>
  <c r="D72" i="1" s="1"/>
  <c r="B40" i="1"/>
  <c r="D40" i="1" s="1"/>
  <c r="D84" i="1" l="1"/>
  <c r="D85" i="1" s="1"/>
  <c r="D75" i="1"/>
  <c r="B54" i="1"/>
  <c r="D54" i="1" s="1"/>
  <c r="D55" i="1" s="1"/>
  <c r="B46" i="1"/>
  <c r="D46" i="1" s="1"/>
  <c r="D47" i="1" s="1"/>
  <c r="B76" i="1"/>
  <c r="D76" i="1" s="1"/>
  <c r="D77" i="1" l="1"/>
  <c r="G19" i="50" l="1"/>
  <c r="F19" i="50" l="1"/>
  <c r="J19" i="50" l="1"/>
  <c r="J377" i="3" l="1"/>
  <c r="G26" i="18"/>
  <c r="F377" i="3"/>
  <c r="C26" i="18"/>
  <c r="J380" i="3" l="1"/>
  <c r="J384" i="3" s="1"/>
  <c r="G28" i="18"/>
  <c r="G32" i="18" s="1"/>
  <c r="F380" i="3"/>
  <c r="C28" i="18"/>
  <c r="C32" i="18" s="1"/>
  <c r="J32" i="18" s="1"/>
  <c r="J385" i="3" l="1"/>
</calcChain>
</file>

<file path=xl/comments1.xml><?xml version="1.0" encoding="utf-8"?>
<comments xmlns="http://schemas.openxmlformats.org/spreadsheetml/2006/main">
  <authors>
    <author>Thomas Boland</author>
  </authors>
  <commentList>
    <comment ref="D120" authorId="0" shapeId="0">
      <text>
        <r>
          <rPr>
            <b/>
            <sz val="9"/>
            <color indexed="81"/>
            <rFont val="Tahoma"/>
            <family val="2"/>
          </rPr>
          <t>Thomas Boland:</t>
        </r>
        <r>
          <rPr>
            <sz val="9"/>
            <color indexed="81"/>
            <rFont val="Tahoma"/>
            <family val="2"/>
          </rPr>
          <t xml:space="preserve">
Based on current quote from Twin State</t>
        </r>
      </text>
    </comment>
  </commentList>
</comments>
</file>

<file path=xl/comments10.xml><?xml version="1.0" encoding="utf-8"?>
<comments xmlns="http://schemas.openxmlformats.org/spreadsheetml/2006/main">
  <authors>
    <author>Matthew Casparius</author>
    <author>Thomas Boland</author>
  </authors>
  <commentList>
    <comment ref="G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H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I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J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D19" authorId="0" shapeId="0">
      <text>
        <r>
          <rPr>
            <b/>
            <sz val="9"/>
            <color indexed="81"/>
            <rFont val="Tahoma"/>
            <family val="2"/>
          </rPr>
          <t>Matthew Casparius:</t>
        </r>
        <r>
          <rPr>
            <sz val="9"/>
            <color indexed="81"/>
            <rFont val="Tahoma"/>
            <family val="2"/>
          </rPr>
          <t xml:space="preserve">
Due to lifeguard shortages, we have found that need 2 Park Attendants instead of just 1. 
</t>
        </r>
      </text>
    </comment>
    <comment ref="D20"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1"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2" authorId="0" shapeId="0">
      <text>
        <r>
          <rPr>
            <b/>
            <sz val="9"/>
            <color indexed="81"/>
            <rFont val="Tahoma"/>
            <family val="2"/>
          </rPr>
          <t>Matthew Casparius:</t>
        </r>
        <r>
          <rPr>
            <sz val="9"/>
            <color indexed="81"/>
            <rFont val="Tahoma"/>
            <family val="2"/>
          </rPr>
          <t xml:space="preserve">
2% pay increase for PT Year Round Employee
</t>
        </r>
      </text>
    </comment>
    <comment ref="D23" authorId="0" shapeId="0">
      <text>
        <r>
          <rPr>
            <b/>
            <sz val="9"/>
            <color indexed="81"/>
            <rFont val="Tahoma"/>
            <family val="2"/>
          </rPr>
          <t>Matthew Casparius:</t>
        </r>
        <r>
          <rPr>
            <sz val="9"/>
            <color indexed="81"/>
            <rFont val="Tahoma"/>
            <family val="2"/>
          </rPr>
          <t xml:space="preserve">
Unable to find someone for 20 hours per week. Voluntarily eliminated from budget. 
</t>
        </r>
      </text>
    </comment>
    <comment ref="G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H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I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J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D128" authorId="0" shapeId="0">
      <text>
        <r>
          <rPr>
            <b/>
            <sz val="9"/>
            <color indexed="81"/>
            <rFont val="Tahoma"/>
            <family val="2"/>
          </rPr>
          <t>Matthew Casparius:</t>
        </r>
        <r>
          <rPr>
            <sz val="9"/>
            <color indexed="81"/>
            <rFont val="Tahoma"/>
            <family val="2"/>
          </rPr>
          <t xml:space="preserve">
A $20 increase in the cost of this professional membership
</t>
        </r>
      </text>
    </comment>
    <comment ref="D129" authorId="0" shapeId="0">
      <text>
        <r>
          <rPr>
            <b/>
            <sz val="9"/>
            <color indexed="81"/>
            <rFont val="Tahoma"/>
            <family val="2"/>
          </rPr>
          <t>Matthew Casparius:</t>
        </r>
        <r>
          <rPr>
            <sz val="9"/>
            <color indexed="81"/>
            <rFont val="Tahoma"/>
            <family val="2"/>
          </rPr>
          <t xml:space="preserve">
This is a valuable organization to belong too in terms of benefits received by being a member. Unlike the NH Recreation &amp; Park Association, this organization charges fees based on revenues generated by the Camp and their rates increased this year. </t>
        </r>
      </text>
    </comment>
    <comment ref="D188" authorId="1" shapeId="0">
      <text>
        <r>
          <rPr>
            <b/>
            <sz val="9"/>
            <color indexed="81"/>
            <rFont val="Tahoma"/>
            <family val="2"/>
          </rPr>
          <t>Thomas Boland:</t>
        </r>
        <r>
          <rPr>
            <sz val="9"/>
            <color indexed="81"/>
            <rFont val="Tahoma"/>
            <family val="2"/>
          </rPr>
          <t xml:space="preserve">
Rotary has informed Matt that they will not be running the Midway this year.</t>
        </r>
      </text>
    </comment>
    <comment ref="G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H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I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J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D224" authorId="1" shapeId="0">
      <text>
        <r>
          <rPr>
            <b/>
            <sz val="9"/>
            <color indexed="81"/>
            <rFont val="Tahoma"/>
            <family val="2"/>
          </rPr>
          <t>Thomas Boland:</t>
        </r>
        <r>
          <rPr>
            <sz val="9"/>
            <color indexed="81"/>
            <rFont val="Tahoma"/>
            <family val="2"/>
          </rPr>
          <t xml:space="preserve">
Addn'l $3,500 needed to scrape and paint exterior wood surfaces.</t>
        </r>
      </text>
    </comment>
    <comment ref="D229" authorId="1" shapeId="0">
      <text>
        <r>
          <rPr>
            <b/>
            <sz val="9"/>
            <color indexed="81"/>
            <rFont val="Tahoma"/>
            <family val="2"/>
          </rPr>
          <t>Thomas Boland:</t>
        </r>
        <r>
          <rPr>
            <sz val="9"/>
            <color indexed="81"/>
            <rFont val="Tahoma"/>
            <family val="2"/>
          </rPr>
          <t xml:space="preserve">
$8,500 needed to replace carpet and dance floor.  Per TM we will try to find the money in FY22-23.</t>
        </r>
      </text>
    </comment>
    <comment ref="G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H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I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J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List>
</comments>
</file>

<file path=xl/comments11.xml><?xml version="1.0" encoding="utf-8"?>
<comments xmlns="http://schemas.openxmlformats.org/spreadsheetml/2006/main">
  <authors>
    <author>Couser</author>
  </authors>
  <commentList>
    <comment ref="D19" authorId="0" shapeId="0">
      <text>
        <r>
          <rPr>
            <b/>
            <sz val="9"/>
            <color indexed="81"/>
            <rFont val="Tahoma"/>
            <family val="2"/>
          </rPr>
          <t xml:space="preserve">Couser: </t>
        </r>
        <r>
          <rPr>
            <sz val="9"/>
            <color indexed="81"/>
            <rFont val="Tahoma"/>
            <family val="2"/>
          </rPr>
          <t>Restructuring the Adult Services Dept and create a FT Assistant position to focus on our digital collections, database, and tech training. This is a model other GMILCS libraries have already moved to.</t>
        </r>
        <r>
          <rPr>
            <sz val="9"/>
            <color indexed="81"/>
            <rFont val="Tahoma"/>
            <family val="2"/>
          </rPr>
          <t xml:space="preserve">
</t>
        </r>
      </text>
    </comment>
    <comment ref="D169" authorId="0" shapeId="0">
      <text>
        <r>
          <rPr>
            <b/>
            <sz val="9"/>
            <color rgb="FF000000"/>
            <rFont val="Tahoma"/>
            <family val="2"/>
          </rPr>
          <t xml:space="preserve">Couser: </t>
        </r>
        <r>
          <rPr>
            <sz val="9"/>
            <color rgb="FF000000"/>
            <rFont val="Tahoma"/>
            <family val="2"/>
          </rPr>
          <t xml:space="preserve">2023 GMILCS dues increase </t>
        </r>
      </text>
    </comment>
    <comment ref="D211" authorId="0" shapeId="0">
      <text>
        <r>
          <rPr>
            <b/>
            <sz val="9"/>
            <color rgb="FF000000"/>
            <rFont val="Tahoma"/>
            <family val="2"/>
          </rPr>
          <t>Couser:</t>
        </r>
        <r>
          <rPr>
            <sz val="9"/>
            <color rgb="FF000000"/>
            <rFont val="Tahoma"/>
            <family val="2"/>
          </rPr>
          <t xml:space="preserve">
cut 11 unused print magazines and adjust for rising cost</t>
        </r>
      </text>
    </comment>
    <comment ref="D214" authorId="0" shapeId="0">
      <text>
        <r>
          <rPr>
            <b/>
            <sz val="9"/>
            <color rgb="FF000000"/>
            <rFont val="Tahoma"/>
            <family val="2"/>
          </rPr>
          <t xml:space="preserve">Couser: </t>
        </r>
        <r>
          <rPr>
            <sz val="9"/>
            <color rgb="FF000000"/>
            <rFont val="Tahoma"/>
            <family val="2"/>
          </rPr>
          <t xml:space="preserve">not renewing low usage databases: 
</t>
        </r>
        <r>
          <rPr>
            <sz val="9"/>
            <color rgb="FF000000"/>
            <rFont val="Tahoma"/>
            <family val="2"/>
          </rPr>
          <t>Transparent Language 2000 and Auto Repair 2000 but account for 3% increase ($960) so decrease by 3K</t>
        </r>
      </text>
    </comment>
    <comment ref="D220" authorId="0" shapeId="0">
      <text>
        <r>
          <rPr>
            <b/>
            <sz val="9"/>
            <color rgb="FF000000"/>
            <rFont val="Tahoma"/>
            <family val="2"/>
          </rPr>
          <t xml:space="preserve">Couser: </t>
        </r>
        <r>
          <rPr>
            <sz val="9"/>
            <color rgb="FF000000"/>
            <rFont val="Tahoma"/>
            <family val="2"/>
          </rPr>
          <t>physical cd checkout is slowing as patrons move to digital</t>
        </r>
        <r>
          <rPr>
            <sz val="9"/>
            <color rgb="FF000000"/>
            <rFont val="Tahoma"/>
            <family val="2"/>
          </rPr>
          <t xml:space="preserve">
</t>
        </r>
        <r>
          <rPr>
            <sz val="9"/>
            <color rgb="FF000000"/>
            <rFont val="Tahoma"/>
            <family val="2"/>
          </rPr>
          <t xml:space="preserve">decrease from 700
</t>
        </r>
      </text>
    </comment>
    <comment ref="D234" authorId="0" shapeId="0">
      <text>
        <r>
          <rPr>
            <b/>
            <sz val="9"/>
            <color rgb="FF000000"/>
            <rFont val="Tahoma"/>
            <family val="2"/>
          </rPr>
          <t xml:space="preserve">Couser: </t>
        </r>
        <r>
          <rPr>
            <sz val="9"/>
            <color rgb="FF000000"/>
            <rFont val="Tahoma"/>
            <family val="2"/>
          </rPr>
          <t>increase by 1500 to replace self checkout machines in July. Nov 22 quote is $1566</t>
        </r>
      </text>
    </comment>
  </commentList>
</comments>
</file>

<file path=xl/comments12.xml><?xml version="1.0" encoding="utf-8"?>
<comments xmlns="http://schemas.openxmlformats.org/spreadsheetml/2006/main">
  <authors>
    <author>Lori Barrett</author>
  </authors>
  <commentList>
    <comment ref="D123" authorId="0" shapeId="0">
      <text>
        <r>
          <rPr>
            <b/>
            <sz val="9"/>
            <color indexed="81"/>
            <rFont val="Tahoma"/>
            <family val="2"/>
          </rPr>
          <t>Lori Barrett:</t>
        </r>
        <r>
          <rPr>
            <sz val="9"/>
            <color indexed="81"/>
            <rFont val="Tahoma"/>
            <family val="2"/>
          </rPr>
          <t xml:space="preserve">
To install in Mechanic truck for on road repairs</t>
        </r>
      </text>
    </comment>
    <comment ref="D124" authorId="0" shapeId="0">
      <text>
        <r>
          <rPr>
            <b/>
            <sz val="9"/>
            <color indexed="81"/>
            <rFont val="Tahoma"/>
            <family val="2"/>
          </rPr>
          <t>Lori Barrett:</t>
        </r>
        <r>
          <rPr>
            <sz val="9"/>
            <color indexed="81"/>
            <rFont val="Tahoma"/>
            <family val="2"/>
          </rPr>
          <t xml:space="preserve">
Replace equipment from 1996 - still in research process for model and price that best meets Town's need into the future</t>
        </r>
      </text>
    </comment>
  </commentList>
</comments>
</file>

<file path=xl/comments13.xml><?xml version="1.0" encoding="utf-8"?>
<comments xmlns="http://schemas.openxmlformats.org/spreadsheetml/2006/main">
  <authors>
    <author>Thomas Boland</author>
  </authors>
  <commentList>
    <comment ref="D138" authorId="0" shapeId="0">
      <text>
        <r>
          <rPr>
            <b/>
            <sz val="9"/>
            <color indexed="81"/>
            <rFont val="Tahoma"/>
            <family val="2"/>
          </rPr>
          <t>Thomas Boland:</t>
        </r>
        <r>
          <rPr>
            <sz val="9"/>
            <color indexed="81"/>
            <rFont val="Tahoma"/>
            <family val="2"/>
          </rPr>
          <t xml:space="preserve">
TM Reduced by $50k</t>
        </r>
      </text>
    </comment>
  </commentList>
</comments>
</file>

<file path=xl/comments14.xml><?xml version="1.0" encoding="utf-8"?>
<comments xmlns="http://schemas.openxmlformats.org/spreadsheetml/2006/main">
  <authors>
    <author>Timothy J. Thompson</author>
  </authors>
  <commentList>
    <comment ref="G72" authorId="0" shapeId="0">
      <text>
        <r>
          <rPr>
            <b/>
            <sz val="9"/>
            <color indexed="81"/>
            <rFont val="Tahoma"/>
            <family val="2"/>
          </rPr>
          <t>Timothy J. Thompson:</t>
        </r>
        <r>
          <rPr>
            <sz val="9"/>
            <color indexed="81"/>
            <rFont val="Tahoma"/>
            <family val="2"/>
          </rPr>
          <t xml:space="preserve">
Removed, as this can be covered under 8201</t>
        </r>
      </text>
    </comment>
    <comment ref="H72" authorId="0" shapeId="0">
      <text>
        <r>
          <rPr>
            <b/>
            <sz val="9"/>
            <color indexed="81"/>
            <rFont val="Tahoma"/>
            <family val="2"/>
          </rPr>
          <t>Timothy J. Thompson:</t>
        </r>
        <r>
          <rPr>
            <sz val="9"/>
            <color indexed="81"/>
            <rFont val="Tahoma"/>
            <family val="2"/>
          </rPr>
          <t xml:space="preserve">
Removed, as this can be covered under 8201</t>
        </r>
      </text>
    </comment>
    <comment ref="I72" authorId="0" shapeId="0">
      <text>
        <r>
          <rPr>
            <b/>
            <sz val="9"/>
            <color indexed="81"/>
            <rFont val="Tahoma"/>
            <family val="2"/>
          </rPr>
          <t>Timothy J. Thompson:</t>
        </r>
        <r>
          <rPr>
            <sz val="9"/>
            <color indexed="81"/>
            <rFont val="Tahoma"/>
            <family val="2"/>
          </rPr>
          <t xml:space="preserve">
Removed, as this can be covered under 8201</t>
        </r>
      </text>
    </comment>
    <comment ref="J72" authorId="0" shapeId="0">
      <text>
        <r>
          <rPr>
            <b/>
            <sz val="9"/>
            <color indexed="81"/>
            <rFont val="Tahoma"/>
            <family val="2"/>
          </rPr>
          <t>Timothy J. Thompson:</t>
        </r>
        <r>
          <rPr>
            <sz val="9"/>
            <color indexed="81"/>
            <rFont val="Tahoma"/>
            <family val="2"/>
          </rPr>
          <t xml:space="preserve">
Removed, as this can be covered under 8201</t>
        </r>
      </text>
    </comment>
    <comment ref="G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H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I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J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D92" authorId="0" shapeId="0">
      <text>
        <r>
          <rPr>
            <b/>
            <sz val="9"/>
            <color indexed="81"/>
            <rFont val="Tahoma"/>
            <family val="2"/>
          </rPr>
          <t>Timothy J. Thompson:</t>
        </r>
        <r>
          <rPr>
            <sz val="9"/>
            <color indexed="81"/>
            <rFont val="Tahoma"/>
            <family val="2"/>
          </rPr>
          <t xml:space="preserve">
updated dues from NRPC</t>
        </r>
      </text>
    </comment>
    <comment ref="D93" authorId="0" shapeId="0">
      <text>
        <r>
          <rPr>
            <b/>
            <sz val="9"/>
            <color indexed="81"/>
            <rFont val="Tahoma"/>
            <family val="2"/>
          </rPr>
          <t>Timothy J. Thompson:</t>
        </r>
        <r>
          <rPr>
            <sz val="9"/>
            <color indexed="81"/>
            <rFont val="Tahoma"/>
            <family val="2"/>
          </rPr>
          <t xml:space="preserve">
increased slightly to cover due/fee increases</t>
        </r>
      </text>
    </comment>
    <comment ref="G106" authorId="0" shapeId="0">
      <text>
        <r>
          <rPr>
            <b/>
            <sz val="9"/>
            <color indexed="81"/>
            <rFont val="Tahoma"/>
            <family val="2"/>
          </rPr>
          <t>Timothy J. Thompson:</t>
        </r>
        <r>
          <rPr>
            <sz val="9"/>
            <color indexed="81"/>
            <rFont val="Tahoma"/>
            <family val="2"/>
          </rPr>
          <t xml:space="preserve">
Increased due to age, wear/tear on copiers &amp; plotter</t>
        </r>
      </text>
    </comment>
    <comment ref="H106" authorId="0" shapeId="0">
      <text>
        <r>
          <rPr>
            <b/>
            <sz val="9"/>
            <color indexed="81"/>
            <rFont val="Tahoma"/>
            <family val="2"/>
          </rPr>
          <t>Timothy J. Thompson:</t>
        </r>
        <r>
          <rPr>
            <sz val="9"/>
            <color indexed="81"/>
            <rFont val="Tahoma"/>
            <family val="2"/>
          </rPr>
          <t xml:space="preserve">
Increased due to age, wear/tear on copiers &amp; plotter</t>
        </r>
      </text>
    </comment>
    <comment ref="I106" authorId="0" shapeId="0">
      <text>
        <r>
          <rPr>
            <b/>
            <sz val="9"/>
            <color indexed="81"/>
            <rFont val="Tahoma"/>
            <family val="2"/>
          </rPr>
          <t>Timothy J. Thompson:</t>
        </r>
        <r>
          <rPr>
            <sz val="9"/>
            <color indexed="81"/>
            <rFont val="Tahoma"/>
            <family val="2"/>
          </rPr>
          <t xml:space="preserve">
Increased due to age, wear/tear on copiers &amp; plotter</t>
        </r>
      </text>
    </comment>
    <comment ref="J106" authorId="0" shapeId="0">
      <text>
        <r>
          <rPr>
            <b/>
            <sz val="9"/>
            <color indexed="81"/>
            <rFont val="Tahoma"/>
            <family val="2"/>
          </rPr>
          <t>Timothy J. Thompson:</t>
        </r>
        <r>
          <rPr>
            <sz val="9"/>
            <color indexed="81"/>
            <rFont val="Tahoma"/>
            <family val="2"/>
          </rPr>
          <t xml:space="preserve">
Increased due to age, wear/tear on copiers &amp; plotter</t>
        </r>
      </text>
    </comment>
    <comment ref="D107" authorId="0" shapeId="0">
      <text>
        <r>
          <rPr>
            <b/>
            <sz val="9"/>
            <color indexed="81"/>
            <rFont val="Tahoma"/>
            <family val="2"/>
          </rPr>
          <t>Timothy J. Thompson:</t>
        </r>
        <r>
          <rPr>
            <sz val="9"/>
            <color indexed="81"/>
            <rFont val="Tahoma"/>
            <family val="2"/>
          </rPr>
          <t xml:space="preserve">
Increased due to age, wear/tear on copiers &amp; plotter</t>
        </r>
      </text>
    </comment>
    <comment ref="G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H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I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J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D121" authorId="0" shapeId="0">
      <text>
        <r>
          <rPr>
            <b/>
            <sz val="9"/>
            <color indexed="81"/>
            <rFont val="Tahoma"/>
            <family val="2"/>
          </rPr>
          <t>Timothy J. Thompson:</t>
        </r>
        <r>
          <rPr>
            <sz val="9"/>
            <color indexed="81"/>
            <rFont val="Tahoma"/>
            <family val="2"/>
          </rPr>
          <t xml:space="preserve">
Increased due to costs of copies of registry information</t>
        </r>
      </text>
    </comment>
    <comment ref="G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H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I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J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List>
</comments>
</file>

<file path=xl/comments15.xml><?xml version="1.0" encoding="utf-8"?>
<comments xmlns="http://schemas.openxmlformats.org/spreadsheetml/2006/main">
  <authors>
    <author>Thomas Boland</author>
  </authors>
  <commentList>
    <comment ref="C12" authorId="0" shapeId="0">
      <text>
        <r>
          <rPr>
            <b/>
            <sz val="9"/>
            <color indexed="81"/>
            <rFont val="Tahoma"/>
            <family val="2"/>
          </rPr>
          <t>Thomas Boland:</t>
        </r>
        <r>
          <rPr>
            <sz val="9"/>
            <color indexed="81"/>
            <rFont val="Tahoma"/>
            <family val="2"/>
          </rPr>
          <t xml:space="preserve">
Per TM increase TC/TC clerk rates by $1.30 per hour</t>
        </r>
      </text>
    </comment>
    <comment ref="D13" authorId="0" shapeId="0">
      <text>
        <r>
          <rPr>
            <b/>
            <sz val="9"/>
            <color indexed="81"/>
            <rFont val="Tahoma"/>
            <family val="2"/>
          </rPr>
          <t>Thomas Boland:</t>
        </r>
        <r>
          <rPr>
            <sz val="9"/>
            <color indexed="81"/>
            <rFont val="Tahoma"/>
            <family val="2"/>
          </rPr>
          <t xml:space="preserve">
Dept. voluntarily withdrew the funding of this position.</t>
        </r>
      </text>
    </comment>
    <comment ref="C14" authorId="0" shapeId="0">
      <text>
        <r>
          <rPr>
            <b/>
            <sz val="9"/>
            <color indexed="81"/>
            <rFont val="Tahoma"/>
            <family val="2"/>
          </rPr>
          <t>Thomas Boland:</t>
        </r>
        <r>
          <rPr>
            <sz val="9"/>
            <color indexed="81"/>
            <rFont val="Tahoma"/>
            <family val="2"/>
          </rPr>
          <t xml:space="preserve">
Per TM increase TC/TC clerk rates by $1.30 per hour</t>
        </r>
      </text>
    </comment>
    <comment ref="C15" authorId="0" shapeId="0">
      <text>
        <r>
          <rPr>
            <b/>
            <sz val="9"/>
            <color indexed="81"/>
            <rFont val="Tahoma"/>
            <family val="2"/>
          </rPr>
          <t>Thomas Boland:</t>
        </r>
        <r>
          <rPr>
            <sz val="9"/>
            <color indexed="81"/>
            <rFont val="Tahoma"/>
            <family val="2"/>
          </rPr>
          <t xml:space="preserve">
Per TM increase TC/TC clerk rates by $1.30 per hour</t>
        </r>
      </text>
    </comment>
    <comment ref="C16" authorId="0" shapeId="0">
      <text>
        <r>
          <rPr>
            <b/>
            <sz val="9"/>
            <color indexed="81"/>
            <rFont val="Tahoma"/>
            <family val="2"/>
          </rPr>
          <t>Thomas Boland:</t>
        </r>
        <r>
          <rPr>
            <sz val="9"/>
            <color indexed="81"/>
            <rFont val="Tahoma"/>
            <family val="2"/>
          </rPr>
          <t xml:space="preserve">
Per TM increase TC/TC clerk rates by $1.30 per hour</t>
        </r>
      </text>
    </comment>
  </commentList>
</comments>
</file>

<file path=xl/comments16.xml><?xml version="1.0" encoding="utf-8"?>
<comments xmlns="http://schemas.openxmlformats.org/spreadsheetml/2006/main">
  <authors>
    <author>Kyle Fox</author>
    <author>Sarita Croce</author>
  </authors>
  <commentList>
    <comment ref="B46" authorId="0" shapeId="0">
      <text>
        <r>
          <rPr>
            <b/>
            <sz val="9"/>
            <color indexed="81"/>
            <rFont val="Tahoma"/>
            <family val="2"/>
          </rPr>
          <t>Kyle Fox:</t>
        </r>
        <r>
          <rPr>
            <sz val="9"/>
            <color indexed="81"/>
            <rFont val="Tahoma"/>
            <family val="2"/>
          </rPr>
          <t xml:space="preserve">
Increased to add winter break hours</t>
        </r>
      </text>
    </comment>
    <comment ref="C46" authorId="0" shapeId="0">
      <text>
        <r>
          <rPr>
            <b/>
            <sz val="9"/>
            <color indexed="81"/>
            <rFont val="Tahoma"/>
            <family val="2"/>
          </rPr>
          <t>Kyle Fox:</t>
        </r>
        <r>
          <rPr>
            <sz val="9"/>
            <color indexed="81"/>
            <rFont val="Tahoma"/>
            <family val="2"/>
          </rPr>
          <t xml:space="preserve">
Suggested increase
</t>
        </r>
      </text>
    </comment>
    <comment ref="D278" authorId="1" shapeId="0">
      <text>
        <r>
          <rPr>
            <b/>
            <sz val="9"/>
            <color indexed="81"/>
            <rFont val="Tahoma"/>
            <family val="2"/>
          </rPr>
          <t>Sarita Croce:</t>
        </r>
        <r>
          <rPr>
            <sz val="9"/>
            <color indexed="81"/>
            <rFont val="Tahoma"/>
            <family val="2"/>
          </rPr>
          <t xml:space="preserve">
Based on vendor price increase</t>
        </r>
      </text>
    </comment>
    <comment ref="B299" authorId="1" shapeId="0">
      <text>
        <r>
          <rPr>
            <b/>
            <sz val="9"/>
            <color indexed="81"/>
            <rFont val="Tahoma"/>
            <family val="2"/>
          </rPr>
          <t>Sarita Croce:</t>
        </r>
        <r>
          <rPr>
            <sz val="9"/>
            <color indexed="81"/>
            <rFont val="Tahoma"/>
            <family val="2"/>
          </rPr>
          <t xml:space="preserve">
Testing companies have increased prices.
</t>
        </r>
      </text>
    </comment>
    <comment ref="D332" authorId="1" shapeId="0">
      <text>
        <r>
          <rPr>
            <b/>
            <sz val="9"/>
            <color indexed="81"/>
            <rFont val="Tahoma"/>
            <family val="2"/>
          </rPr>
          <t>Sarita Croce:</t>
        </r>
        <r>
          <rPr>
            <sz val="9"/>
            <color indexed="81"/>
            <rFont val="Tahoma"/>
            <family val="2"/>
          </rPr>
          <t xml:space="preserve">
Based on most recent bid
</t>
        </r>
      </text>
    </comment>
  </commentList>
</comments>
</file>

<file path=xl/comments17.xml><?xml version="1.0" encoding="utf-8"?>
<comments xmlns="http://schemas.openxmlformats.org/spreadsheetml/2006/main">
  <authors>
    <author>Thomas Boland</author>
  </authors>
  <commentList>
    <comment ref="C75" authorId="0" shapeId="0">
      <text>
        <r>
          <rPr>
            <b/>
            <sz val="9"/>
            <color indexed="81"/>
            <rFont val="Tahoma"/>
            <family val="2"/>
          </rPr>
          <t>Thomas Boland:</t>
        </r>
        <r>
          <rPr>
            <sz val="9"/>
            <color indexed="81"/>
            <rFont val="Tahoma"/>
            <family val="2"/>
          </rPr>
          <t xml:space="preserve">
Reduced by TM</t>
        </r>
      </text>
    </comment>
  </commentList>
</comments>
</file>

<file path=xl/comments2.xml><?xml version="1.0" encoding="utf-8"?>
<comments xmlns="http://schemas.openxmlformats.org/spreadsheetml/2006/main">
  <authors>
    <author>Tracy Doherty</author>
  </authors>
  <commentList>
    <comment ref="D58" authorId="0" shapeId="0">
      <text>
        <r>
          <rPr>
            <b/>
            <sz val="9"/>
            <color indexed="81"/>
            <rFont val="Tahoma"/>
            <family val="2"/>
          </rPr>
          <t>Tracy Doherty:</t>
        </r>
        <r>
          <rPr>
            <sz val="9"/>
            <color indexed="81"/>
            <rFont val="Tahoma"/>
            <family val="2"/>
          </rPr>
          <t xml:space="preserve">
</t>
        </r>
      </text>
    </comment>
    <comment ref="D94" authorId="0" shapeId="0">
      <text>
        <r>
          <rPr>
            <b/>
            <sz val="9"/>
            <color indexed="81"/>
            <rFont val="Tahoma"/>
            <family val="2"/>
          </rPr>
          <t>Tracy Doherty:</t>
        </r>
        <r>
          <rPr>
            <sz val="9"/>
            <color indexed="81"/>
            <rFont val="Tahoma"/>
            <family val="2"/>
          </rPr>
          <t xml:space="preserve">
vendor increase for annual services/support</t>
        </r>
      </text>
    </comment>
    <comment ref="D107" authorId="0" shapeId="0">
      <text>
        <r>
          <rPr>
            <b/>
            <sz val="9"/>
            <color indexed="81"/>
            <rFont val="Tahoma"/>
            <family val="2"/>
          </rPr>
          <t xml:space="preserve">Tracy Doherty: 
</t>
        </r>
        <r>
          <rPr>
            <sz val="9"/>
            <color indexed="81"/>
            <rFont val="Tahoma"/>
            <family val="2"/>
          </rPr>
          <t>current contract $40,000</t>
        </r>
        <r>
          <rPr>
            <sz val="9"/>
            <color indexed="81"/>
            <rFont val="Tahoma"/>
            <family val="2"/>
          </rPr>
          <t xml:space="preserve">
vendor increase to $41,400 for annual services </t>
        </r>
      </text>
    </comment>
  </commentList>
</comments>
</file>

<file path=xl/comments3.xml><?xml version="1.0" encoding="utf-8"?>
<comments xmlns="http://schemas.openxmlformats.org/spreadsheetml/2006/main">
  <authors>
    <author>Thomas Boland</author>
  </authors>
  <commentList>
    <comment ref="C96" authorId="0" shapeId="0">
      <text>
        <r>
          <rPr>
            <b/>
            <sz val="9"/>
            <color indexed="81"/>
            <rFont val="Tahoma"/>
            <family val="2"/>
          </rPr>
          <t>Thomas Boland:</t>
        </r>
        <r>
          <rPr>
            <sz val="9"/>
            <color indexed="81"/>
            <rFont val="Tahoma"/>
            <family val="2"/>
          </rPr>
          <t xml:space="preserve">
Avg OT Rate Subject to change based on new contract</t>
        </r>
      </text>
    </comment>
    <comment ref="D173" authorId="0" shapeId="0">
      <text>
        <r>
          <rPr>
            <b/>
            <sz val="9"/>
            <color indexed="81"/>
            <rFont val="Tahoma"/>
            <family val="2"/>
          </rPr>
          <t>Thomas Boland:</t>
        </r>
        <r>
          <rPr>
            <sz val="9"/>
            <color indexed="81"/>
            <rFont val="Tahoma"/>
            <family val="2"/>
          </rPr>
          <t xml:space="preserve">
Cost adjusted for price increase</t>
        </r>
      </text>
    </comment>
    <comment ref="D181" authorId="0" shapeId="0">
      <text>
        <r>
          <rPr>
            <b/>
            <sz val="9"/>
            <color indexed="81"/>
            <rFont val="Tahoma"/>
            <family val="2"/>
          </rPr>
          <t>Thomas Boland:</t>
        </r>
        <r>
          <rPr>
            <sz val="9"/>
            <color indexed="81"/>
            <rFont val="Tahoma"/>
            <family val="2"/>
          </rPr>
          <t xml:space="preserve">
Cost adjusted for price increase</t>
        </r>
      </text>
    </comment>
    <comment ref="D199" authorId="0" shapeId="0">
      <text>
        <r>
          <rPr>
            <b/>
            <sz val="9"/>
            <color indexed="81"/>
            <rFont val="Tahoma"/>
            <family val="2"/>
          </rPr>
          <t>Thomas Boland:</t>
        </r>
        <r>
          <rPr>
            <sz val="9"/>
            <color indexed="81"/>
            <rFont val="Tahoma"/>
            <family val="2"/>
          </rPr>
          <t xml:space="preserve">
Cost adjusted for price increase</t>
        </r>
      </text>
    </comment>
    <comment ref="D268" authorId="0" shapeId="0">
      <text>
        <r>
          <rPr>
            <b/>
            <sz val="9"/>
            <color indexed="81"/>
            <rFont val="Tahoma"/>
            <family val="2"/>
          </rPr>
          <t>Thomas Boland:</t>
        </r>
        <r>
          <rPr>
            <sz val="9"/>
            <color indexed="81"/>
            <rFont val="Tahoma"/>
            <family val="2"/>
          </rPr>
          <t xml:space="preserve">
Cost adjusted for price increase</t>
        </r>
      </text>
    </comment>
    <comment ref="D271" authorId="0" shapeId="0">
      <text>
        <r>
          <rPr>
            <b/>
            <sz val="9"/>
            <color indexed="81"/>
            <rFont val="Tahoma"/>
            <family val="2"/>
          </rPr>
          <t>Thomas Boland:</t>
        </r>
        <r>
          <rPr>
            <sz val="9"/>
            <color indexed="81"/>
            <rFont val="Tahoma"/>
            <family val="2"/>
          </rPr>
          <t xml:space="preserve">
Cost adjusted for price increase</t>
        </r>
      </text>
    </comment>
    <comment ref="D294" authorId="0" shapeId="0">
      <text>
        <r>
          <rPr>
            <b/>
            <sz val="9"/>
            <color indexed="81"/>
            <rFont val="Tahoma"/>
            <family val="2"/>
          </rPr>
          <t>Thomas Boland:</t>
        </r>
        <r>
          <rPr>
            <sz val="9"/>
            <color indexed="81"/>
            <rFont val="Tahoma"/>
            <family val="2"/>
          </rPr>
          <t xml:space="preserve">
Cost adjusted for price increase</t>
        </r>
      </text>
    </comment>
  </commentList>
</comments>
</file>

<file path=xl/comments4.xml><?xml version="1.0" encoding="utf-8"?>
<comments xmlns="http://schemas.openxmlformats.org/spreadsheetml/2006/main">
  <authors>
    <author>Brian Levesque</author>
  </authors>
  <commentList>
    <comment ref="D86" authorId="0" shapeId="0">
      <text>
        <r>
          <rPr>
            <b/>
            <sz val="9"/>
            <color indexed="81"/>
            <rFont val="Tahoma"/>
            <family val="2"/>
          </rPr>
          <t>Brian Levesque:</t>
        </r>
        <r>
          <rPr>
            <sz val="9"/>
            <color indexed="81"/>
            <rFont val="Tahoma"/>
            <family val="2"/>
          </rPr>
          <t xml:space="preserve">
increase 160 hours for training</t>
        </r>
      </text>
    </comment>
    <comment ref="D170" authorId="0" shapeId="0">
      <text>
        <r>
          <rPr>
            <b/>
            <sz val="9"/>
            <color indexed="81"/>
            <rFont val="Tahoma"/>
            <family val="2"/>
          </rPr>
          <t>Brian Levesque:</t>
        </r>
        <r>
          <rPr>
            <sz val="9"/>
            <color indexed="81"/>
            <rFont val="Tahoma"/>
            <family val="2"/>
          </rPr>
          <t xml:space="preserve">
purrchasing ammo this year. Still need taser, oc, batteries for optics etc.</t>
        </r>
      </text>
    </comment>
    <comment ref="D181" authorId="0" shapeId="0">
      <text>
        <r>
          <rPr>
            <b/>
            <sz val="9"/>
            <color indexed="81"/>
            <rFont val="Tahoma"/>
            <family val="2"/>
          </rPr>
          <t>Brian Levesque:</t>
        </r>
        <r>
          <rPr>
            <sz val="9"/>
            <color indexed="81"/>
            <rFont val="Tahoma"/>
            <family val="2"/>
          </rPr>
          <t xml:space="preserve">
increase $100 per vest. Cycle to replace 23 plus 5 new hires</t>
        </r>
      </text>
    </comment>
    <comment ref="D219" authorId="0" shapeId="0">
      <text>
        <r>
          <rPr>
            <b/>
            <sz val="9"/>
            <color indexed="81"/>
            <rFont val="Tahoma"/>
            <family val="2"/>
          </rPr>
          <t>Brian Levesque:</t>
        </r>
        <r>
          <rPr>
            <sz val="9"/>
            <color indexed="81"/>
            <rFont val="Tahoma"/>
            <family val="2"/>
          </rPr>
          <t xml:space="preserve">
never budgted for. The platform is linked to Clerk
data base.</t>
        </r>
      </text>
    </comment>
    <comment ref="D221" authorId="0" shapeId="0">
      <text>
        <r>
          <rPr>
            <b/>
            <sz val="9"/>
            <color indexed="81"/>
            <rFont val="Tahoma"/>
            <family val="2"/>
          </rPr>
          <t>Brian Levesque:</t>
        </r>
        <r>
          <rPr>
            <sz val="9"/>
            <color indexed="81"/>
            <rFont val="Tahoma"/>
            <family val="2"/>
          </rPr>
          <t xml:space="preserve">
yearly fee to belong</t>
        </r>
      </text>
    </comment>
    <comment ref="A240" authorId="0" shapeId="0">
      <text>
        <r>
          <rPr>
            <b/>
            <sz val="9"/>
            <color indexed="81"/>
            <rFont val="Tahoma"/>
            <family val="2"/>
          </rPr>
          <t>Brian Levesque:</t>
        </r>
        <r>
          <rPr>
            <sz val="9"/>
            <color indexed="81"/>
            <rFont val="Tahoma"/>
            <family val="2"/>
          </rPr>
          <t xml:space="preserve">
removed</t>
        </r>
      </text>
    </comment>
    <comment ref="D247" authorId="0" shapeId="0">
      <text>
        <r>
          <rPr>
            <b/>
            <sz val="9"/>
            <color indexed="81"/>
            <rFont val="Tahoma"/>
            <family val="2"/>
          </rPr>
          <t>Brian Levesque:</t>
        </r>
        <r>
          <rPr>
            <sz val="9"/>
            <color indexed="81"/>
            <rFont val="Tahoma"/>
            <family val="2"/>
          </rPr>
          <t xml:space="preserve">
contract increase</t>
        </r>
      </text>
    </comment>
    <comment ref="D255" authorId="0" shapeId="0">
      <text>
        <r>
          <rPr>
            <b/>
            <sz val="9"/>
            <color indexed="81"/>
            <rFont val="Tahoma"/>
            <family val="2"/>
          </rPr>
          <t>Brian Levesque:</t>
        </r>
        <r>
          <rPr>
            <sz val="9"/>
            <color indexed="81"/>
            <rFont val="Tahoma"/>
            <family val="2"/>
          </rPr>
          <t xml:space="preserve">
Increased required training hours</t>
        </r>
      </text>
    </comment>
    <comment ref="D267" authorId="0" shapeId="0">
      <text>
        <r>
          <rPr>
            <b/>
            <sz val="9"/>
            <color indexed="81"/>
            <rFont val="Tahoma"/>
            <family val="2"/>
          </rPr>
          <t>Brian Levesque:</t>
        </r>
        <r>
          <rPr>
            <sz val="9"/>
            <color indexed="81"/>
            <rFont val="Tahoma"/>
            <family val="2"/>
          </rPr>
          <t xml:space="preserve">
increase $400 some schools are $400</t>
        </r>
      </text>
    </comment>
    <comment ref="D282" authorId="0" shapeId="0">
      <text>
        <r>
          <rPr>
            <b/>
            <sz val="9"/>
            <color indexed="81"/>
            <rFont val="Tahoma"/>
            <family val="2"/>
          </rPr>
          <t>Brian Levesque:</t>
        </r>
        <r>
          <rPr>
            <sz val="9"/>
            <color indexed="81"/>
            <rFont val="Tahoma"/>
            <family val="2"/>
          </rPr>
          <t xml:space="preserve">
We have been getting billed for blood draws relating to DWI's</t>
        </r>
      </text>
    </comment>
    <comment ref="A284" authorId="0" shapeId="0">
      <text>
        <r>
          <rPr>
            <b/>
            <sz val="9"/>
            <color indexed="81"/>
            <rFont val="Tahoma"/>
            <family val="2"/>
          </rPr>
          <t>Brian Levesque:</t>
        </r>
        <r>
          <rPr>
            <sz val="9"/>
            <color indexed="81"/>
            <rFont val="Tahoma"/>
            <family val="2"/>
          </rPr>
          <t xml:space="preserve">
removed</t>
        </r>
      </text>
    </comment>
    <comment ref="D289" authorId="0" shapeId="0">
      <text>
        <r>
          <rPr>
            <b/>
            <sz val="9"/>
            <color indexed="81"/>
            <rFont val="Tahoma"/>
            <family val="2"/>
          </rPr>
          <t>Brian Levesque:</t>
        </r>
        <r>
          <rPr>
            <sz val="9"/>
            <color indexed="81"/>
            <rFont val="Tahoma"/>
            <family val="2"/>
          </rPr>
          <t xml:space="preserve">
Vehicles went up to $43k
Upfit around $7k.
Cycle to buy 4 cruisers. Only budgeting for 3</t>
        </r>
      </text>
    </comment>
    <comment ref="A300" authorId="0" shapeId="0">
      <text>
        <r>
          <rPr>
            <b/>
            <sz val="9"/>
            <color indexed="81"/>
            <rFont val="Tahoma"/>
            <family val="2"/>
          </rPr>
          <t>Brian Levesque:</t>
        </r>
        <r>
          <rPr>
            <sz val="9"/>
            <color indexed="81"/>
            <rFont val="Tahoma"/>
            <family val="2"/>
          </rPr>
          <t xml:space="preserve">
remove</t>
        </r>
      </text>
    </comment>
  </commentList>
</comments>
</file>

<file path=xl/comments5.xml><?xml version="1.0" encoding="utf-8"?>
<comments xmlns="http://schemas.openxmlformats.org/spreadsheetml/2006/main">
  <authors>
    <author>Brian Levesque</author>
  </authors>
  <commentList>
    <comment ref="D102" authorId="0" shapeId="0">
      <text>
        <r>
          <rPr>
            <b/>
            <sz val="9"/>
            <color indexed="81"/>
            <rFont val="Tahoma"/>
            <family val="2"/>
          </rPr>
          <t>Brian Levesque:</t>
        </r>
        <r>
          <rPr>
            <sz val="9"/>
            <color indexed="81"/>
            <rFont val="Tahoma"/>
            <family val="2"/>
          </rPr>
          <t xml:space="preserve">
Added one mdt for K9 also new system needs one at the head end</t>
        </r>
      </text>
    </comment>
    <comment ref="D123" authorId="0" shapeId="0">
      <text>
        <r>
          <rPr>
            <b/>
            <sz val="9"/>
            <color indexed="81"/>
            <rFont val="Tahoma"/>
            <family val="2"/>
          </rPr>
          <t>Brian Levesque:</t>
        </r>
        <r>
          <rPr>
            <sz val="9"/>
            <color indexed="81"/>
            <rFont val="Tahoma"/>
            <family val="2"/>
          </rPr>
          <t xml:space="preserve">
increased usage</t>
        </r>
      </text>
    </comment>
    <comment ref="D124" authorId="0" shapeId="0">
      <text>
        <r>
          <rPr>
            <b/>
            <sz val="9"/>
            <color indexed="81"/>
            <rFont val="Tahoma"/>
            <family val="2"/>
          </rPr>
          <t xml:space="preserve">Brian Levesque:
</t>
        </r>
        <r>
          <rPr>
            <sz val="9"/>
            <color indexed="81"/>
            <rFont val="Tahoma"/>
            <family val="2"/>
          </rPr>
          <t>Our first year free will be expiring in June. This will be the annual cost</t>
        </r>
      </text>
    </comment>
    <comment ref="D125" authorId="0" shapeId="0">
      <text>
        <r>
          <rPr>
            <b/>
            <sz val="9"/>
            <color indexed="81"/>
            <rFont val="Tahoma"/>
            <family val="2"/>
          </rPr>
          <t>Brian Levesque:</t>
        </r>
        <r>
          <rPr>
            <sz val="9"/>
            <color indexed="81"/>
            <rFont val="Tahoma"/>
            <family val="2"/>
          </rPr>
          <t xml:space="preserve">
Interface for ems reporting</t>
        </r>
      </text>
    </comment>
    <comment ref="D133" authorId="0" shapeId="0">
      <text>
        <r>
          <rPr>
            <b/>
            <sz val="9"/>
            <color indexed="81"/>
            <rFont val="Tahoma"/>
            <family val="2"/>
          </rPr>
          <t>Brian Levesque:</t>
        </r>
        <r>
          <rPr>
            <sz val="9"/>
            <color indexed="81"/>
            <rFont val="Tahoma"/>
            <family val="2"/>
          </rPr>
          <t xml:space="preserve">
est. 15% increase</t>
        </r>
      </text>
    </comment>
    <comment ref="D134" authorId="0" shapeId="0">
      <text>
        <r>
          <rPr>
            <b/>
            <sz val="9"/>
            <color indexed="81"/>
            <rFont val="Tahoma"/>
            <family val="2"/>
          </rPr>
          <t>Brian Levesque:</t>
        </r>
        <r>
          <rPr>
            <sz val="9"/>
            <color indexed="81"/>
            <rFont val="Tahoma"/>
            <family val="2"/>
          </rPr>
          <t xml:space="preserve">
est. 15% increase</t>
        </r>
      </text>
    </comment>
  </commentList>
</comments>
</file>

<file path=xl/comments6.xml><?xml version="1.0" encoding="utf-8"?>
<comments xmlns="http://schemas.openxmlformats.org/spreadsheetml/2006/main">
  <authors>
    <author>Thomas Boland</author>
  </authors>
  <commentList>
    <comment ref="A148" authorId="0" shapeId="0">
      <text>
        <r>
          <rPr>
            <b/>
            <sz val="9"/>
            <color indexed="81"/>
            <rFont val="Tahoma"/>
            <family val="2"/>
          </rPr>
          <t>Thomas Boland:</t>
        </r>
        <r>
          <rPr>
            <sz val="9"/>
            <color indexed="81"/>
            <rFont val="Tahoma"/>
            <family val="2"/>
          </rPr>
          <t xml:space="preserve">
Addition of online permitting system ($55k)</t>
        </r>
      </text>
    </comment>
  </commentList>
</comments>
</file>

<file path=xl/comments7.xml><?xml version="1.0" encoding="utf-8"?>
<comments xmlns="http://schemas.openxmlformats.org/spreadsheetml/2006/main">
  <authors>
    <author>Kyle Fox</author>
  </authors>
  <commentList>
    <comment ref="B23" authorId="0" shapeId="0">
      <text>
        <r>
          <rPr>
            <b/>
            <sz val="9"/>
            <color indexed="81"/>
            <rFont val="Tahoma"/>
            <family val="2"/>
          </rPr>
          <t>Kyle Fox:</t>
        </r>
        <r>
          <rPr>
            <sz val="9"/>
            <color indexed="81"/>
            <rFont val="Tahoma"/>
            <family val="2"/>
          </rPr>
          <t xml:space="preserve">
Increased to add winter break hours</t>
        </r>
      </text>
    </comment>
    <comment ref="C23" authorId="0" shapeId="0">
      <text>
        <r>
          <rPr>
            <b/>
            <sz val="9"/>
            <color indexed="81"/>
            <rFont val="Tahoma"/>
            <family val="2"/>
          </rPr>
          <t>Kyle Fox:</t>
        </r>
        <r>
          <rPr>
            <sz val="9"/>
            <color indexed="81"/>
            <rFont val="Tahoma"/>
            <family val="2"/>
          </rPr>
          <t xml:space="preserve">
Suggested increase</t>
        </r>
      </text>
    </comment>
    <comment ref="G126" authorId="0" shapeId="0">
      <text>
        <r>
          <rPr>
            <b/>
            <sz val="9"/>
            <color indexed="81"/>
            <rFont val="Tahoma"/>
            <family val="2"/>
          </rPr>
          <t>Kyle Fox:</t>
        </r>
        <r>
          <rPr>
            <sz val="9"/>
            <color indexed="81"/>
            <rFont val="Tahoma"/>
            <family val="2"/>
          </rPr>
          <t xml:space="preserve">
Reflects actual costs over past two years</t>
        </r>
      </text>
    </comment>
    <comment ref="H126" authorId="0" shapeId="0">
      <text>
        <r>
          <rPr>
            <b/>
            <sz val="9"/>
            <color indexed="81"/>
            <rFont val="Tahoma"/>
            <family val="2"/>
          </rPr>
          <t>Kyle Fox:</t>
        </r>
        <r>
          <rPr>
            <sz val="9"/>
            <color indexed="81"/>
            <rFont val="Tahoma"/>
            <family val="2"/>
          </rPr>
          <t xml:space="preserve">
Reflects actual costs over past two years</t>
        </r>
      </text>
    </comment>
    <comment ref="I126" authorId="0" shapeId="0">
      <text>
        <r>
          <rPr>
            <b/>
            <sz val="9"/>
            <color indexed="81"/>
            <rFont val="Tahoma"/>
            <family val="2"/>
          </rPr>
          <t>Kyle Fox:</t>
        </r>
        <r>
          <rPr>
            <sz val="9"/>
            <color indexed="81"/>
            <rFont val="Tahoma"/>
            <family val="2"/>
          </rPr>
          <t xml:space="preserve">
Reflects actual costs over past two years</t>
        </r>
      </text>
    </comment>
    <comment ref="J126" authorId="0" shapeId="0">
      <text>
        <r>
          <rPr>
            <b/>
            <sz val="9"/>
            <color indexed="81"/>
            <rFont val="Tahoma"/>
            <family val="2"/>
          </rPr>
          <t>Kyle Fox:</t>
        </r>
        <r>
          <rPr>
            <sz val="9"/>
            <color indexed="81"/>
            <rFont val="Tahoma"/>
            <family val="2"/>
          </rPr>
          <t xml:space="preserve">
Reflects actual costs over past two years</t>
        </r>
      </text>
    </comment>
  </commentList>
</comments>
</file>

<file path=xl/comments8.xml><?xml version="1.0" encoding="utf-8"?>
<comments xmlns="http://schemas.openxmlformats.org/spreadsheetml/2006/main">
  <authors>
    <author>Kyle Fox</author>
    <author>Lori Barrett</author>
  </authors>
  <commentList>
    <comment ref="D194" authorId="0" shapeId="0">
      <text>
        <r>
          <rPr>
            <b/>
            <sz val="9"/>
            <color indexed="81"/>
            <rFont val="Tahoma"/>
            <family val="2"/>
          </rPr>
          <t>Kyle Fox:</t>
        </r>
        <r>
          <rPr>
            <sz val="9"/>
            <color indexed="81"/>
            <rFont val="Tahoma"/>
            <family val="2"/>
          </rPr>
          <t xml:space="preserve">
Based on actual costs from last two years and expected costs coming up this year</t>
        </r>
      </text>
    </comment>
    <comment ref="D231" authorId="1" shapeId="0">
      <text>
        <r>
          <rPr>
            <b/>
            <sz val="9"/>
            <color indexed="81"/>
            <rFont val="Tahoma"/>
            <family val="2"/>
          </rPr>
          <t>Lori Barrett:</t>
        </r>
        <r>
          <rPr>
            <sz val="9"/>
            <color indexed="81"/>
            <rFont val="Tahoma"/>
            <family val="2"/>
          </rPr>
          <t xml:space="preserve">
Lowered salt quantity due to operational changes including prewet and brine</t>
        </r>
      </text>
    </comment>
    <comment ref="D232" authorId="1" shapeId="0">
      <text>
        <r>
          <rPr>
            <b/>
            <sz val="9"/>
            <color indexed="81"/>
            <rFont val="Tahoma"/>
            <family val="2"/>
          </rPr>
          <t>Lori Barrett:</t>
        </r>
        <r>
          <rPr>
            <sz val="9"/>
            <color indexed="81"/>
            <rFont val="Tahoma"/>
            <family val="2"/>
          </rPr>
          <t xml:space="preserve">
New line item for brine production</t>
        </r>
      </text>
    </comment>
    <comment ref="D233" authorId="1" shapeId="0">
      <text>
        <r>
          <rPr>
            <b/>
            <sz val="9"/>
            <color indexed="81"/>
            <rFont val="Tahoma"/>
            <family val="2"/>
          </rPr>
          <t>Lori Barrett:</t>
        </r>
        <r>
          <rPr>
            <sz val="9"/>
            <color indexed="81"/>
            <rFont val="Tahoma"/>
            <family val="2"/>
          </rPr>
          <t xml:space="preserve">
Lowered sand qty due to using stone on gravel roads and not using it as much in mix</t>
        </r>
      </text>
    </comment>
    <comment ref="D234" authorId="1" shapeId="0">
      <text>
        <r>
          <rPr>
            <b/>
            <sz val="9"/>
            <color indexed="81"/>
            <rFont val="Tahoma"/>
            <family val="2"/>
          </rPr>
          <t>Lori Barrett:</t>
        </r>
        <r>
          <rPr>
            <sz val="9"/>
            <color indexed="81"/>
            <rFont val="Tahoma"/>
            <family val="2"/>
          </rPr>
          <t xml:space="preserve">
New line item, use on gravel roads</t>
        </r>
      </text>
    </comment>
    <comment ref="D235" authorId="1" shapeId="0">
      <text>
        <r>
          <rPr>
            <b/>
            <sz val="9"/>
            <color indexed="81"/>
            <rFont val="Tahoma"/>
            <family val="2"/>
          </rPr>
          <t>Lori Barrett:</t>
        </r>
        <r>
          <rPr>
            <sz val="9"/>
            <color indexed="81"/>
            <rFont val="Tahoma"/>
            <family val="2"/>
          </rPr>
          <t xml:space="preserve">
Increase to agreement $$ Innovative Solutions</t>
        </r>
      </text>
    </comment>
    <comment ref="D239" authorId="0" shapeId="0">
      <text>
        <r>
          <rPr>
            <b/>
            <sz val="9"/>
            <color indexed="81"/>
            <rFont val="Tahoma"/>
            <family val="2"/>
          </rPr>
          <t>Kyle Fox:</t>
        </r>
        <r>
          <rPr>
            <sz val="9"/>
            <color indexed="81"/>
            <rFont val="Tahoma"/>
            <family val="2"/>
          </rPr>
          <t xml:space="preserve">
Increased cost of product</t>
        </r>
      </text>
    </comment>
    <comment ref="D263" authorId="0" shapeId="0">
      <text>
        <r>
          <rPr>
            <b/>
            <sz val="9"/>
            <color indexed="81"/>
            <rFont val="Tahoma"/>
            <family val="2"/>
          </rPr>
          <t>Kyle Fox:</t>
        </r>
        <r>
          <rPr>
            <sz val="9"/>
            <color indexed="81"/>
            <rFont val="Tahoma"/>
            <family val="2"/>
          </rPr>
          <t xml:space="preserve">
Increased material cost</t>
        </r>
      </text>
    </comment>
    <comment ref="D268" authorId="1" shapeId="0">
      <text>
        <r>
          <rPr>
            <b/>
            <sz val="9"/>
            <color indexed="81"/>
            <rFont val="Tahoma"/>
            <family val="2"/>
          </rPr>
          <t>Lori Barrett:</t>
        </r>
        <r>
          <rPr>
            <sz val="9"/>
            <color indexed="81"/>
            <rFont val="Tahoma"/>
            <family val="2"/>
          </rPr>
          <t xml:space="preserve">
Prices are expected to go up from .069/lf to .10/lf this year</t>
        </r>
      </text>
    </comment>
    <comment ref="D270" authorId="1" shapeId="0">
      <text>
        <r>
          <rPr>
            <b/>
            <sz val="9"/>
            <color indexed="81"/>
            <rFont val="Tahoma"/>
            <family val="2"/>
          </rPr>
          <t>Lori Barrett:</t>
        </r>
        <r>
          <rPr>
            <sz val="9"/>
            <color indexed="81"/>
            <rFont val="Tahoma"/>
            <family val="2"/>
          </rPr>
          <t xml:space="preserve">
Increased sweeping for Town for MS4 permit requirements</t>
        </r>
      </text>
    </comment>
    <comment ref="D271" authorId="0" shapeId="0">
      <text>
        <r>
          <rPr>
            <b/>
            <sz val="9"/>
            <color indexed="81"/>
            <rFont val="Tahoma"/>
            <family val="2"/>
          </rPr>
          <t>Kyle Fox:</t>
        </r>
        <r>
          <rPr>
            <sz val="9"/>
            <color indexed="81"/>
            <rFont val="Tahoma"/>
            <family val="2"/>
          </rPr>
          <t xml:space="preserve">
Asphalt pile is getting large - could defer if necessary</t>
        </r>
      </text>
    </comment>
    <comment ref="D298" authorId="0" shapeId="0">
      <text>
        <r>
          <rPr>
            <b/>
            <sz val="9"/>
            <color indexed="81"/>
            <rFont val="Tahoma"/>
            <family val="2"/>
          </rPr>
          <t>Kyle Fox:</t>
        </r>
        <r>
          <rPr>
            <sz val="9"/>
            <color indexed="81"/>
            <rFont val="Tahoma"/>
            <family val="2"/>
          </rPr>
          <t xml:space="preserve">
Inflation expense - assume 10% increase</t>
        </r>
      </text>
    </comment>
    <comment ref="D335" authorId="0" shapeId="0">
      <text>
        <r>
          <rPr>
            <b/>
            <sz val="9"/>
            <color indexed="81"/>
            <rFont val="Tahoma"/>
            <family val="2"/>
          </rPr>
          <t>Kyle Fox:</t>
        </r>
        <r>
          <rPr>
            <sz val="9"/>
            <color indexed="81"/>
            <rFont val="Tahoma"/>
            <family val="2"/>
          </rPr>
          <t xml:space="preserve">
Per Final CIP 2023/24 less $125k adjustment</t>
        </r>
      </text>
    </comment>
  </commentList>
</comments>
</file>

<file path=xl/comments9.xml><?xml version="1.0" encoding="utf-8"?>
<comments xmlns="http://schemas.openxmlformats.org/spreadsheetml/2006/main">
  <authors>
    <author>Kyle Fox</author>
  </authors>
  <commentList>
    <comment ref="G84" authorId="0" shapeId="0">
      <text>
        <r>
          <rPr>
            <b/>
            <sz val="9"/>
            <color indexed="81"/>
            <rFont val="Tahoma"/>
            <family val="2"/>
          </rPr>
          <t>Kyle Fox:</t>
        </r>
        <r>
          <rPr>
            <sz val="9"/>
            <color indexed="81"/>
            <rFont val="Tahoma"/>
            <family val="2"/>
          </rPr>
          <t xml:space="preserve">
Increased product costs - based on last two years' actual
</t>
        </r>
      </text>
    </comment>
    <comment ref="H84" authorId="0" shapeId="0">
      <text>
        <r>
          <rPr>
            <b/>
            <sz val="9"/>
            <color indexed="81"/>
            <rFont val="Tahoma"/>
            <family val="2"/>
          </rPr>
          <t>Kyle Fox:</t>
        </r>
        <r>
          <rPr>
            <sz val="9"/>
            <color indexed="81"/>
            <rFont val="Tahoma"/>
            <family val="2"/>
          </rPr>
          <t xml:space="preserve">
Increased product costs - based on last two years' actual
</t>
        </r>
      </text>
    </comment>
    <comment ref="I84" authorId="0" shapeId="0">
      <text>
        <r>
          <rPr>
            <b/>
            <sz val="9"/>
            <color indexed="81"/>
            <rFont val="Tahoma"/>
            <family val="2"/>
          </rPr>
          <t>Kyle Fox:</t>
        </r>
        <r>
          <rPr>
            <sz val="9"/>
            <color indexed="81"/>
            <rFont val="Tahoma"/>
            <family val="2"/>
          </rPr>
          <t xml:space="preserve">
Increased product costs - based on last two years' actual
</t>
        </r>
      </text>
    </comment>
    <comment ref="J84" authorId="0" shapeId="0">
      <text>
        <r>
          <rPr>
            <b/>
            <sz val="9"/>
            <color indexed="81"/>
            <rFont val="Tahoma"/>
            <family val="2"/>
          </rPr>
          <t>Kyle Fox:</t>
        </r>
        <r>
          <rPr>
            <sz val="9"/>
            <color indexed="81"/>
            <rFont val="Tahoma"/>
            <family val="2"/>
          </rPr>
          <t xml:space="preserve">
Increased product costs - based on last two years' actual
</t>
        </r>
      </text>
    </comment>
    <comment ref="G88" authorId="0" shapeId="0">
      <text>
        <r>
          <rPr>
            <b/>
            <sz val="9"/>
            <color indexed="81"/>
            <rFont val="Tahoma"/>
            <family val="2"/>
          </rPr>
          <t>Kyle Fox:</t>
        </r>
        <r>
          <rPr>
            <sz val="9"/>
            <color indexed="81"/>
            <rFont val="Tahoma"/>
            <family val="2"/>
          </rPr>
          <t xml:space="preserve">
Increased product costs - based on last two years' actual</t>
        </r>
      </text>
    </comment>
    <comment ref="H88" authorId="0" shapeId="0">
      <text>
        <r>
          <rPr>
            <b/>
            <sz val="9"/>
            <color indexed="81"/>
            <rFont val="Tahoma"/>
            <family val="2"/>
          </rPr>
          <t>Kyle Fox:</t>
        </r>
        <r>
          <rPr>
            <sz val="9"/>
            <color indexed="81"/>
            <rFont val="Tahoma"/>
            <family val="2"/>
          </rPr>
          <t xml:space="preserve">
Increased product costs - based on last two years' actual</t>
        </r>
      </text>
    </comment>
    <comment ref="I88" authorId="0" shapeId="0">
      <text>
        <r>
          <rPr>
            <b/>
            <sz val="9"/>
            <color indexed="81"/>
            <rFont val="Tahoma"/>
            <family val="2"/>
          </rPr>
          <t>Kyle Fox:</t>
        </r>
        <r>
          <rPr>
            <sz val="9"/>
            <color indexed="81"/>
            <rFont val="Tahoma"/>
            <family val="2"/>
          </rPr>
          <t xml:space="preserve">
Increased product costs - based on last two years' actual</t>
        </r>
      </text>
    </comment>
    <comment ref="J88" authorId="0" shapeId="0">
      <text>
        <r>
          <rPr>
            <b/>
            <sz val="9"/>
            <color indexed="81"/>
            <rFont val="Tahoma"/>
            <family val="2"/>
          </rPr>
          <t>Kyle Fox:</t>
        </r>
        <r>
          <rPr>
            <sz val="9"/>
            <color indexed="81"/>
            <rFont val="Tahoma"/>
            <family val="2"/>
          </rPr>
          <t xml:space="preserve">
Increased product costs - based on last two years' actual</t>
        </r>
      </text>
    </comment>
    <comment ref="G91" authorId="0" shapeId="0">
      <text>
        <r>
          <rPr>
            <b/>
            <sz val="9"/>
            <color indexed="81"/>
            <rFont val="Tahoma"/>
            <family val="2"/>
          </rPr>
          <t>Kyle Fox:</t>
        </r>
        <r>
          <rPr>
            <sz val="9"/>
            <color indexed="81"/>
            <rFont val="Tahoma"/>
            <family val="2"/>
          </rPr>
          <t xml:space="preserve">
Based on last two years' actuals</t>
        </r>
      </text>
    </comment>
    <comment ref="H91" authorId="0" shapeId="0">
      <text>
        <r>
          <rPr>
            <b/>
            <sz val="9"/>
            <color indexed="81"/>
            <rFont val="Tahoma"/>
            <family val="2"/>
          </rPr>
          <t>Kyle Fox:</t>
        </r>
        <r>
          <rPr>
            <sz val="9"/>
            <color indexed="81"/>
            <rFont val="Tahoma"/>
            <family val="2"/>
          </rPr>
          <t xml:space="preserve">
Based on last two years' actuals</t>
        </r>
      </text>
    </comment>
    <comment ref="I91" authorId="0" shapeId="0">
      <text>
        <r>
          <rPr>
            <b/>
            <sz val="9"/>
            <color indexed="81"/>
            <rFont val="Tahoma"/>
            <family val="2"/>
          </rPr>
          <t>Kyle Fox:</t>
        </r>
        <r>
          <rPr>
            <sz val="9"/>
            <color indexed="81"/>
            <rFont val="Tahoma"/>
            <family val="2"/>
          </rPr>
          <t xml:space="preserve">
Based on last two years' actuals</t>
        </r>
      </text>
    </comment>
    <comment ref="J91" authorId="0" shapeId="0">
      <text>
        <r>
          <rPr>
            <b/>
            <sz val="9"/>
            <color indexed="81"/>
            <rFont val="Tahoma"/>
            <family val="2"/>
          </rPr>
          <t>Kyle Fox:</t>
        </r>
        <r>
          <rPr>
            <sz val="9"/>
            <color indexed="81"/>
            <rFont val="Tahoma"/>
            <family val="2"/>
          </rPr>
          <t xml:space="preserve">
Based on last two years' actuals</t>
        </r>
      </text>
    </comment>
    <comment ref="D134" authorId="0" shapeId="0">
      <text>
        <r>
          <rPr>
            <b/>
            <sz val="9"/>
            <color indexed="81"/>
            <rFont val="Tahoma"/>
            <family val="2"/>
          </rPr>
          <t>Kyle Fox:</t>
        </r>
        <r>
          <rPr>
            <sz val="9"/>
            <color indexed="81"/>
            <rFont val="Tahoma"/>
            <family val="2"/>
          </rPr>
          <t xml:space="preserve">
Anticipating 5% increase for coming year (still in negotiations at NRPCSWMG</t>
        </r>
      </text>
    </comment>
    <comment ref="B139" authorId="0" shapeId="0">
      <text>
        <r>
          <rPr>
            <b/>
            <sz val="9"/>
            <color indexed="81"/>
            <rFont val="Tahoma"/>
            <family val="2"/>
          </rPr>
          <t>Kyle Fox:</t>
        </r>
        <r>
          <rPr>
            <sz val="9"/>
            <color indexed="81"/>
            <rFont val="Tahoma"/>
            <family val="2"/>
          </rPr>
          <t xml:space="preserve">
Two highway employess have license and can fill in as needed</t>
        </r>
      </text>
    </comment>
  </commentList>
</comments>
</file>

<file path=xl/sharedStrings.xml><?xml version="1.0" encoding="utf-8"?>
<sst xmlns="http://schemas.openxmlformats.org/spreadsheetml/2006/main" count="3939" uniqueCount="2180">
  <si>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</si>
  <si>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</si>
  <si>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</si>
  <si>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</si>
  <si>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</si>
  <si>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</si>
  <si>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</si>
  <si>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</si>
  <si>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</si>
  <si>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</si>
  <si>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</si>
  <si>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</si>
  <si>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</si>
  <si>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</si>
  <si>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</si>
  <si>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</si>
  <si>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</si>
  <si>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</si>
  <si>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</si>
  <si>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</si>
  <si>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</si>
  <si>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</si>
  <si>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</si>
  <si>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</si>
  <si>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</si>
  <si>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</si>
  <si>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</si>
  <si>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</si>
  <si>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</si>
  <si>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</si>
  <si>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</si>
  <si>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</si>
  <si>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</si>
  <si>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</si>
  <si>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</si>
  <si>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</si>
  <si>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</si>
  <si>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</si>
  <si>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</si>
  <si>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</si>
  <si>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</si>
  <si>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</si>
  <si>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</si>
  <si>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</si>
  <si>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</si>
  <si>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</si>
  <si>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</si>
  <si>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</si>
  <si>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</si>
  <si>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</si>
  <si>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</si>
  <si>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</si>
  <si>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</si>
  <si>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Unit $</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</si>
  <si>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</si>
  <si>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</si>
  <si>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</si>
  <si>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</si>
  <si>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</si>
  <si>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</si>
  <si>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</si>
  <si>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</si>
  <si>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</si>
  <si>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</si>
  <si>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</si>
  <si>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</si>
  <si>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</si>
  <si>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</si>
  <si>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t>Computer software annual support - clerk</t>
  </si>
  <si>
    <t>Computer software annual support - tax</t>
  </si>
  <si>
    <t>Antivirus Software</t>
  </si>
  <si>
    <t>Material for temporary pavement patches (roads and bridges)</t>
  </si>
  <si>
    <t>01-06-8230-0 Postage</t>
  </si>
  <si>
    <t>Telephone allocation</t>
  </si>
  <si>
    <t>31-10-8142-0 Compensated Absences</t>
  </si>
  <si>
    <t>Master Patrolmen</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</si>
  <si>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</si>
  <si>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</si>
  <si>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</si>
  <si>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</si>
  <si>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</si>
  <si>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</si>
  <si>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</si>
  <si>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</si>
  <si>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</si>
  <si>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</si>
  <si>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</si>
  <si>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</si>
  <si>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</si>
  <si>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</si>
  <si>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</si>
  <si>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</si>
  <si>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</si>
  <si>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</si>
  <si>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</si>
  <si>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</si>
  <si>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</si>
  <si>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</si>
  <si>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</si>
  <si>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01-05-8506 Communications Equipment</t>
  </si>
  <si>
    <t>01-07-8359-0 Other Outside Services</t>
  </si>
  <si>
    <t>01-09-8230 Postage</t>
  </si>
  <si>
    <t>01-15-8334-0 Maintenance-Office Equipment</t>
  </si>
  <si>
    <t>01-21-8458-0 Milfoil Treatment Program</t>
  </si>
  <si>
    <t>Building Improvements or Major Repairs</t>
  </si>
  <si>
    <t>01-07-8270-0 Dues &amp; Fees</t>
  </si>
  <si>
    <t>American Public Works Association</t>
  </si>
  <si>
    <t>AFSCME - uniform service</t>
  </si>
  <si>
    <t>Professional and safety training sessions</t>
  </si>
  <si>
    <t>01-02-8125-0 Social Security</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</si>
  <si>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</si>
  <si>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</si>
  <si>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</si>
  <si>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</si>
  <si>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</si>
  <si>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</si>
  <si>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</si>
  <si>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</si>
  <si>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</si>
  <si>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</si>
  <si>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</si>
  <si>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</si>
  <si>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</si>
  <si>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</si>
  <si>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</si>
  <si>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</si>
  <si>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</si>
  <si>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</si>
  <si>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</si>
  <si>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</si>
  <si>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</si>
  <si>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</si>
  <si>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</si>
  <si>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</si>
  <si>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</si>
  <si>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</si>
  <si>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</si>
  <si>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</si>
  <si>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</si>
  <si>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</si>
  <si>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</si>
  <si>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</si>
  <si>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</si>
  <si>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</si>
  <si>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</si>
  <si>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</si>
  <si>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</si>
  <si>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</si>
  <si>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</si>
  <si>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</si>
  <si>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</si>
  <si>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</si>
  <si>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</si>
  <si>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</si>
  <si>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</si>
  <si>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</si>
  <si>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</si>
  <si>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</si>
  <si>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</si>
  <si>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</si>
  <si>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</si>
  <si>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</si>
  <si>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</si>
  <si>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</si>
  <si>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</si>
  <si>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</si>
  <si>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</si>
  <si>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</si>
  <si>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</si>
  <si>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</si>
  <si>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</si>
  <si>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</si>
  <si>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</si>
  <si>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</si>
  <si>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</si>
  <si>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</si>
  <si>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</si>
  <si>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</si>
  <si>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</si>
  <si>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</si>
  <si>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</si>
  <si>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</si>
  <si>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</si>
  <si>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</si>
  <si>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</si>
  <si>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</si>
  <si>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</si>
  <si>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</si>
  <si>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</si>
  <si>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</si>
  <si>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</si>
  <si>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</si>
  <si>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</si>
  <si>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</si>
  <si>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</si>
  <si>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</si>
  <si>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</si>
  <si>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</si>
  <si>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</si>
  <si>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</si>
  <si>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</si>
  <si>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</si>
  <si>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</si>
  <si>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</si>
  <si>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</si>
  <si>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</si>
  <si>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</si>
  <si>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Maintenance Manager</t>
  </si>
  <si>
    <t>31-10-8504-0 Office Equipment</t>
  </si>
  <si>
    <t xml:space="preserve">No. of </t>
  </si>
  <si>
    <t>Call personnel</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</si>
  <si>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</si>
  <si>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</si>
  <si>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</si>
  <si>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</si>
  <si>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</si>
  <si>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</si>
  <si>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</si>
  <si>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</si>
  <si>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</si>
  <si>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</si>
  <si>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</si>
  <si>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</si>
  <si>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</si>
  <si>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</si>
  <si>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</si>
  <si>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</si>
  <si>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</si>
  <si>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</si>
  <si>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</si>
  <si>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</si>
  <si>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</si>
  <si>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</si>
  <si>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</si>
  <si>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</si>
  <si>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</si>
  <si>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</si>
  <si>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</si>
  <si>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</si>
  <si>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</si>
  <si>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</si>
  <si>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</si>
  <si>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</si>
  <si>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</si>
  <si>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</si>
  <si>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</si>
  <si>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</si>
  <si>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</si>
  <si>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</si>
  <si>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</si>
  <si>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</si>
  <si>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</si>
  <si>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</si>
  <si>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</si>
  <si>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</si>
  <si>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</si>
  <si>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</si>
  <si>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</si>
  <si>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</si>
  <si>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</si>
  <si>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</si>
  <si>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</si>
  <si>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</si>
  <si>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</si>
  <si>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</si>
  <si>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</si>
  <si>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</si>
  <si>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</si>
  <si>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</si>
  <si>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</si>
  <si>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</si>
  <si>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</si>
  <si>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</si>
  <si>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</si>
  <si>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</si>
  <si>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</si>
  <si>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</si>
  <si>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</si>
  <si>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</si>
  <si>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</si>
  <si>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</si>
  <si>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</si>
  <si>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</si>
  <si>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</si>
  <si>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</si>
  <si>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</si>
  <si>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</si>
  <si>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</si>
  <si>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</si>
  <si>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</si>
  <si>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</si>
  <si>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</si>
  <si>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</si>
  <si>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</si>
  <si>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</si>
  <si>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</si>
  <si>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</si>
  <si>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</si>
  <si>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</si>
  <si>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</si>
  <si>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</si>
  <si>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</si>
  <si>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</si>
  <si>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</si>
  <si>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</si>
  <si>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</si>
  <si>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</si>
  <si>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</si>
  <si>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</si>
  <si>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</si>
  <si>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</si>
  <si>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</si>
  <si>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</si>
  <si>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</si>
  <si>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</si>
  <si>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</si>
  <si>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</si>
  <si>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</si>
  <si>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</si>
  <si>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</si>
  <si>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</si>
  <si>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</si>
  <si>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</si>
  <si>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01-01-8408-0 Agricultural Committee</t>
  </si>
  <si>
    <t>Farm Bureau membership                                                          </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</si>
  <si>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</si>
  <si>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</si>
  <si>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</si>
  <si>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</si>
  <si>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</si>
  <si>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</si>
  <si>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</si>
  <si>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</si>
  <si>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</si>
  <si>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</si>
  <si>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</si>
  <si>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</si>
  <si>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</si>
  <si>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</si>
  <si>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</si>
  <si>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</si>
  <si>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</si>
  <si>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</si>
  <si>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</si>
  <si>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</si>
  <si>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</si>
  <si>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</si>
  <si>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</si>
  <si>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</si>
  <si>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</si>
  <si>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</si>
  <si>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</si>
  <si>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</si>
  <si>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</si>
  <si>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</si>
  <si>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</si>
  <si>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</si>
  <si>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</si>
  <si>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</si>
  <si>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</si>
  <si>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</si>
  <si>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</si>
  <si>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</si>
  <si>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</si>
  <si>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</si>
  <si>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</si>
  <si>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</si>
  <si>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</si>
  <si>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</si>
  <si>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</si>
  <si>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</si>
  <si>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</si>
  <si>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</si>
  <si>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</si>
  <si>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</si>
  <si>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</si>
  <si>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</si>
  <si>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</si>
  <si>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</si>
  <si>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</si>
  <si>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</si>
  <si>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01-01-8143-0 EMPLOYEE INCENTIVES/Raises</t>
  </si>
  <si>
    <t>Book binding of permanent records, mortgage search, and recording and</t>
  </si>
  <si>
    <t>01-15-8504-0 Office Equipment</t>
  </si>
  <si>
    <t>Executive Secretary</t>
  </si>
  <si>
    <t>01-03-8103-0 Wages - Supervisory</t>
  </si>
  <si>
    <t>Assistant Chief</t>
  </si>
  <si>
    <t>Captain</t>
  </si>
  <si>
    <t>Lieutenant</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</si>
  <si>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</si>
  <si>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</si>
  <si>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</si>
  <si>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</si>
  <si>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</si>
  <si>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</si>
  <si>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</si>
  <si>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</si>
  <si>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</si>
  <si>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</si>
  <si>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</si>
  <si>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</si>
  <si>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</si>
  <si>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</si>
  <si>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</si>
  <si>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</si>
  <si>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</si>
  <si>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</si>
  <si>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</si>
  <si>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</si>
  <si>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</si>
  <si>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</si>
  <si>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</si>
  <si>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</si>
  <si>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</si>
  <si>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</si>
  <si>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</si>
  <si>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</si>
  <si>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</si>
  <si>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</si>
  <si>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</si>
  <si>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</si>
  <si>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</si>
  <si>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</si>
  <si>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Council (7)</t>
  </si>
  <si>
    <t>Seminars, meetings, and conferences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</si>
  <si>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</si>
  <si>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</si>
  <si>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</si>
  <si>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</si>
  <si>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</si>
  <si>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</si>
  <si>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</si>
  <si>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</si>
  <si>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</si>
  <si>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</si>
  <si>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</si>
  <si>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</si>
  <si>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</si>
  <si>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</si>
  <si>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</si>
  <si>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</si>
  <si>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</si>
  <si>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</si>
  <si>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</si>
  <si>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</si>
  <si>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</si>
  <si>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</si>
  <si>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</si>
  <si>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</si>
  <si>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</si>
  <si>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</si>
  <si>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</si>
  <si>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</si>
  <si>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</si>
  <si>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</si>
  <si>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</si>
  <si>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</si>
  <si>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</si>
  <si>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</si>
  <si>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</si>
  <si>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</si>
  <si>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</si>
  <si>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</si>
  <si>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</si>
  <si>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</si>
  <si>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</si>
  <si>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</si>
  <si>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</si>
  <si>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</si>
  <si>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</si>
  <si>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</si>
  <si>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</si>
  <si>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</si>
  <si>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</si>
  <si>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</si>
  <si>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01-24-8103-0 Wages - Supervisory</t>
  </si>
  <si>
    <t>Transfer to Communication Equipment Capital Reserve Fund</t>
  </si>
  <si>
    <t>Transfer to Fire Equipment Capital Reserve Fund</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</si>
  <si>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</si>
  <si>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</si>
  <si>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</si>
  <si>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</si>
  <si>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</si>
  <si>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</si>
  <si>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</si>
  <si>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</si>
  <si>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</si>
  <si>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</si>
  <si>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</si>
  <si>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</si>
  <si>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</si>
  <si>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</si>
  <si>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</si>
  <si>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</si>
  <si>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</si>
  <si>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</si>
  <si>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</si>
  <si>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</si>
  <si>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</si>
  <si>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</si>
  <si>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</si>
  <si>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</si>
  <si>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</si>
  <si>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</si>
  <si>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</si>
  <si>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</si>
  <si>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</si>
  <si>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</si>
  <si>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</si>
  <si>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</si>
  <si>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</si>
  <si>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</si>
  <si>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</si>
  <si>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</si>
  <si>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</si>
  <si>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</si>
  <si>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</si>
  <si>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</si>
  <si>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</si>
  <si>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</si>
  <si>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</si>
  <si>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</si>
  <si>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</si>
  <si>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</si>
  <si>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</si>
  <si>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</si>
  <si>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</si>
  <si>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</si>
  <si>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</si>
  <si>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</si>
  <si>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</si>
  <si>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</si>
  <si>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</si>
  <si>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</si>
  <si>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Local Emergency Planning Committee (LEPC) (federal State Regulations)</t>
  </si>
  <si>
    <t>Janitorial supplies, lightbulbs</t>
  </si>
  <si>
    <t>Cable internet/VPN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</si>
  <si>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</si>
  <si>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</si>
  <si>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</si>
  <si>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</si>
  <si>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</si>
  <si>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</si>
  <si>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</si>
  <si>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</si>
  <si>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</si>
  <si>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</si>
  <si>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</si>
  <si>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Social security</t>
  </si>
  <si>
    <t>Workers compensation</t>
  </si>
  <si>
    <t>Unemployment compensation</t>
  </si>
  <si>
    <t>01-01-8405-0 Nashua Transit System</t>
  </si>
  <si>
    <t>01-03-8406-0 Emergency Management</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</si>
  <si>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</si>
  <si>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</si>
  <si>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</si>
  <si>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</si>
  <si>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</si>
  <si>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</si>
  <si>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</si>
  <si>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</si>
  <si>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</si>
  <si>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</si>
  <si>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</si>
  <si>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</si>
  <si>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</si>
  <si>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</si>
  <si>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</si>
  <si>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</si>
  <si>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</si>
  <si>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</si>
  <si>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</si>
  <si>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</si>
  <si>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</si>
  <si>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</si>
  <si>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</si>
  <si>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</si>
  <si>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</si>
  <si>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</si>
  <si>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</si>
  <si>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</si>
  <si>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</si>
  <si>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Fax/modem line</t>
  </si>
  <si>
    <t xml:space="preserve">  releasing tax liens and deeds</t>
  </si>
  <si>
    <t>01-24-8420-0 Advertising</t>
  </si>
  <si>
    <t>Dog tags</t>
  </si>
  <si>
    <t>31-10-8134-0 Disability Insurance</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</si>
  <si>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</si>
  <si>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</si>
  <si>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</si>
  <si>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</si>
  <si>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</si>
  <si>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</si>
  <si>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</si>
  <si>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</si>
  <si>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</si>
  <si>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</si>
  <si>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</si>
  <si>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</si>
  <si>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</si>
  <si>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</si>
  <si>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</si>
  <si>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</si>
  <si>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</si>
  <si>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</si>
  <si>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</si>
  <si>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</si>
  <si>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</si>
  <si>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</si>
  <si>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</si>
  <si>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</si>
  <si>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</si>
  <si>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</si>
  <si>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</si>
  <si>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</si>
  <si>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</si>
  <si>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</si>
  <si>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</si>
  <si>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</si>
  <si>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</si>
  <si>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</si>
  <si>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</si>
  <si>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</si>
  <si>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</si>
  <si>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</si>
  <si>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</si>
  <si>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</si>
  <si>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</si>
  <si>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</si>
  <si>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</si>
  <si>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</si>
  <si>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</si>
  <si>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</si>
  <si>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</si>
  <si>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</si>
  <si>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</si>
  <si>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</si>
  <si>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</si>
  <si>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</si>
  <si>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</si>
  <si>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</si>
  <si>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</si>
  <si>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</si>
  <si>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</si>
  <si>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</si>
  <si>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</si>
  <si>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</si>
  <si>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</si>
  <si>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</si>
  <si>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</si>
  <si>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</si>
  <si>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</si>
  <si>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</si>
  <si>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</si>
  <si>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</si>
  <si>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</si>
  <si>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</si>
  <si>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</si>
  <si>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</si>
  <si>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</si>
  <si>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</si>
  <si>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</si>
  <si>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</si>
  <si>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</si>
  <si>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</si>
  <si>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</si>
  <si>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</si>
  <si>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</si>
  <si>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</si>
  <si>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</si>
  <si>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</si>
  <si>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</si>
  <si>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</si>
  <si>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</si>
  <si>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</si>
  <si>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</si>
  <si>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</si>
  <si>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</si>
  <si>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</si>
  <si>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</si>
  <si>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</si>
  <si>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</si>
  <si>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</si>
  <si>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</si>
  <si>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</si>
  <si>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</si>
  <si>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</si>
  <si>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</si>
  <si>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</si>
  <si>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</si>
  <si>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</si>
  <si>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01-16-8103-0 Wages - Supervisory</t>
  </si>
  <si>
    <t>Foreman</t>
  </si>
  <si>
    <t>01-16-8104-0 Wages - Other Full-Time</t>
  </si>
  <si>
    <t>Merrimack Historical Society:</t>
  </si>
  <si>
    <t xml:space="preserve">  Electricity</t>
  </si>
  <si>
    <t xml:space="preserve">  Heat</t>
  </si>
  <si>
    <t xml:space="preserve">  Insurance</t>
  </si>
  <si>
    <t xml:space="preserve">  Postage</t>
  </si>
  <si>
    <t>Short-term disability insurance</t>
  </si>
  <si>
    <t>01-05-8260-0 Telephone</t>
  </si>
  <si>
    <t>American Red Cross-disaster, blood, health &amp; safety education</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</si>
  <si>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</si>
  <si>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</si>
  <si>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</si>
  <si>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</si>
  <si>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</si>
  <si>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</si>
  <si>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</si>
  <si>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</si>
  <si>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</si>
  <si>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</si>
  <si>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</si>
  <si>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</si>
  <si>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</si>
  <si>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</si>
  <si>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</si>
  <si>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</si>
  <si>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</si>
  <si>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</si>
  <si>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</si>
  <si>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</si>
  <si>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</si>
  <si>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</si>
  <si>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</si>
  <si>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</si>
  <si>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</si>
  <si>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</si>
  <si>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</si>
  <si>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</si>
  <si>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</si>
  <si>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</si>
  <si>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</si>
  <si>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</si>
  <si>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</si>
  <si>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</si>
  <si>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</si>
  <si>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</si>
  <si>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</si>
  <si>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</si>
  <si>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</si>
  <si>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</si>
  <si>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</si>
  <si>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</si>
  <si>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</si>
  <si>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</si>
  <si>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</si>
  <si>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</si>
  <si>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</si>
  <si>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</si>
  <si>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</si>
  <si>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</si>
  <si>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</si>
  <si>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</si>
  <si>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</si>
  <si>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</si>
  <si>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</si>
  <si>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</si>
  <si>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</si>
  <si>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</si>
  <si>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</si>
  <si>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</si>
  <si>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</si>
  <si>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</si>
  <si>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</si>
  <si>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</si>
  <si>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</si>
  <si>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</si>
  <si>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</si>
  <si>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</si>
  <si>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</si>
  <si>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</si>
  <si>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</si>
  <si>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01-13-8505-0  Infrastructure</t>
  </si>
  <si>
    <t>Nashua Soup Kitchen &amp; Shelter - basic needs and shelters</t>
  </si>
  <si>
    <t>01-05-8111-0 Overtime - Other</t>
  </si>
  <si>
    <t>Shift overtime and coverage for vacations, sick leave,</t>
  </si>
  <si>
    <t>holidays, and training</t>
  </si>
  <si>
    <t>01-05-8125-0 Social Security</t>
  </si>
  <si>
    <t>01-17-8107-0 Wages - Part-Time</t>
  </si>
  <si>
    <t>01-17-8111-0 Overtime - Other</t>
  </si>
  <si>
    <t>01-13-8322-0 Maintenance-Grounds</t>
  </si>
  <si>
    <t>01-17-8125-0 Social Security</t>
  </si>
  <si>
    <t>01-17-8128-0 Retirement</t>
  </si>
  <si>
    <t>01-17-8131-0 Health Insurance</t>
  </si>
  <si>
    <t>01-04-8102-0 Wages - Clerical</t>
  </si>
  <si>
    <t>Uniform service - AFSCME</t>
  </si>
  <si>
    <t>8103 - Planning/zoning</t>
  </si>
  <si>
    <t>Ambulance Garage</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</si>
  <si>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</si>
  <si>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</si>
  <si>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</si>
  <si>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</si>
  <si>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</si>
  <si>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</si>
  <si>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</si>
  <si>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</si>
  <si>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</si>
  <si>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</si>
  <si>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</si>
  <si>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</si>
  <si>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</si>
  <si>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</si>
  <si>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</si>
  <si>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</si>
  <si>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</si>
  <si>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</si>
  <si>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</si>
  <si>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</si>
  <si>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</si>
  <si>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</si>
  <si>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</si>
  <si>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</si>
  <si>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</si>
  <si>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</si>
  <si>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</si>
  <si>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</si>
  <si>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</si>
  <si>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</si>
  <si>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</si>
  <si>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</si>
  <si>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</si>
  <si>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</si>
  <si>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</si>
  <si>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</si>
  <si>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</si>
  <si>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</si>
  <si>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</si>
  <si>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</si>
  <si>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</si>
  <si>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</si>
  <si>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</si>
  <si>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</si>
  <si>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</si>
  <si>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</si>
  <si>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</si>
  <si>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</si>
  <si>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</si>
  <si>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</si>
  <si>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</si>
  <si>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</si>
  <si>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</si>
  <si>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</si>
  <si>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</si>
  <si>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</si>
  <si>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</si>
  <si>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</si>
  <si>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</si>
  <si>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</si>
  <si>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</si>
  <si>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</si>
  <si>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</si>
  <si>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</si>
  <si>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</si>
  <si>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</si>
  <si>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</si>
  <si>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</si>
  <si>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</si>
  <si>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</si>
  <si>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</si>
  <si>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</si>
  <si>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</si>
  <si>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</si>
  <si>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</si>
  <si>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</si>
  <si>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</si>
  <si>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</si>
  <si>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</si>
  <si>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</si>
  <si>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</si>
  <si>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</si>
  <si>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</si>
  <si>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</si>
  <si>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</si>
  <si>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</si>
  <si>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</si>
  <si>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</si>
  <si>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</si>
  <si>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</si>
  <si>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</si>
  <si>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</si>
  <si>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</si>
  <si>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</si>
  <si>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</si>
  <si>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</si>
  <si>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</si>
  <si>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</si>
  <si>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</si>
  <si>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</si>
  <si>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</si>
  <si>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</si>
  <si>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</si>
  <si>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</si>
  <si>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</si>
  <si>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</si>
  <si>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</si>
  <si>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</si>
  <si>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</si>
  <si>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</si>
  <si>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</si>
  <si>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</si>
  <si>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</si>
  <si>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</si>
  <si>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</si>
  <si>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</si>
  <si>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</si>
  <si>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</si>
  <si>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</si>
  <si>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</si>
  <si>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</si>
  <si>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</si>
  <si>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</si>
  <si>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</si>
  <si>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</si>
  <si>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</si>
  <si>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</si>
  <si>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</si>
  <si>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</si>
  <si>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</si>
  <si>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</si>
  <si>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</si>
  <si>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</si>
  <si>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</si>
  <si>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</si>
  <si>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</si>
  <si>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</si>
  <si>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</si>
  <si>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</si>
  <si>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</si>
  <si>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</si>
  <si>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</si>
  <si>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</si>
  <si>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</si>
  <si>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</si>
  <si>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</si>
  <si>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</si>
  <si>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</si>
  <si>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</si>
  <si>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</si>
  <si>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</si>
  <si>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</si>
  <si>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</si>
  <si>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</si>
  <si>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01-13-8107-0 Wages - Part-Time</t>
  </si>
  <si>
    <t>01-17-8104-0 Wages - Other Full-Time</t>
  </si>
  <si>
    <t>Compost facility heating system</t>
  </si>
  <si>
    <t>31-10-8243-0 Heating Oil</t>
  </si>
  <si>
    <t>Diesel fuel for plant generators</t>
  </si>
  <si>
    <t>Insurance</t>
  </si>
  <si>
    <t>Part time employees</t>
  </si>
  <si>
    <t>Bandstand concerts</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</si>
  <si>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</si>
  <si>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</si>
  <si>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</si>
  <si>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</si>
  <si>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</si>
  <si>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</si>
  <si>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</si>
  <si>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</si>
  <si>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</si>
  <si>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</si>
  <si>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</si>
  <si>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</si>
  <si>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</si>
  <si>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</si>
  <si>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</si>
  <si>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</si>
  <si>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</si>
  <si>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</si>
  <si>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</si>
  <si>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</si>
  <si>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</si>
  <si>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</si>
  <si>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</si>
  <si>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</si>
  <si>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</si>
  <si>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</si>
  <si>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</si>
  <si>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</si>
  <si>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</si>
  <si>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</si>
  <si>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</si>
  <si>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</si>
  <si>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</si>
  <si>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</si>
  <si>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</si>
  <si>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</si>
  <si>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</si>
  <si>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</si>
  <si>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</si>
  <si>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</si>
  <si>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</si>
  <si>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</si>
  <si>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</si>
  <si>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</si>
  <si>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</si>
  <si>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</si>
  <si>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</si>
  <si>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</si>
  <si>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</si>
  <si>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</si>
  <si>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</si>
  <si>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</si>
  <si>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</si>
  <si>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</si>
  <si>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</si>
  <si>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</si>
  <si>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</si>
  <si>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</si>
  <si>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</si>
  <si>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</si>
  <si>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</si>
  <si>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</si>
  <si>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</si>
  <si>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</si>
  <si>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</si>
  <si>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</si>
  <si>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</si>
  <si>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</si>
  <si>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</si>
  <si>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</si>
  <si>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</si>
  <si>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</si>
  <si>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</si>
  <si>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</si>
  <si>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</si>
  <si>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</si>
  <si>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</si>
  <si>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</si>
  <si>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</si>
  <si>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</si>
  <si>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</si>
  <si>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</si>
  <si>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</si>
  <si>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</si>
  <si>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</si>
  <si>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</si>
  <si>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</si>
  <si>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</si>
  <si>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</si>
  <si>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</si>
  <si>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</si>
  <si>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</si>
  <si>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</si>
  <si>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</si>
  <si>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</si>
  <si>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</si>
  <si>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</si>
  <si>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</si>
  <si>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</si>
  <si>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</si>
  <si>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</si>
  <si>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</si>
  <si>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</si>
  <si>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01-06-8503-0 Vehicles</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</si>
  <si>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</si>
  <si>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</si>
  <si>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</si>
  <si>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</si>
  <si>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</si>
  <si>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</si>
  <si>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</si>
  <si>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</si>
  <si>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</si>
  <si>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</si>
  <si>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</si>
  <si>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</si>
  <si>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</si>
  <si>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</si>
  <si>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</si>
  <si>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</si>
  <si>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</si>
  <si>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</si>
  <si>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</si>
  <si>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</si>
  <si>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</si>
  <si>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</si>
  <si>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</si>
  <si>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</si>
  <si>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</si>
  <si>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</si>
  <si>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</si>
  <si>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</si>
  <si>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</si>
  <si>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</si>
  <si>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</si>
  <si>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</si>
  <si>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</si>
  <si>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</si>
  <si>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</si>
  <si>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</si>
  <si>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</si>
  <si>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</si>
  <si>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</si>
  <si>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</si>
  <si>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</si>
  <si>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</si>
  <si>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</si>
  <si>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</si>
  <si>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</si>
  <si>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</si>
  <si>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</si>
  <si>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</si>
  <si>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</si>
  <si>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</si>
  <si>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</si>
  <si>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</si>
  <si>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</si>
  <si>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</si>
  <si>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</si>
  <si>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</si>
  <si>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</si>
  <si>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</si>
  <si>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</si>
  <si>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</si>
  <si>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</si>
  <si>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</si>
  <si>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</si>
  <si>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</si>
  <si>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</si>
  <si>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</si>
  <si>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</si>
  <si>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</si>
  <si>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</si>
  <si>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</si>
  <si>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</si>
  <si>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</si>
  <si>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</si>
  <si>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</si>
  <si>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</si>
  <si>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</si>
  <si>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</si>
  <si>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</si>
  <si>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</si>
  <si>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</si>
  <si>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</si>
  <si>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</si>
  <si>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</si>
  <si>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Firefighter Certifications and Training:</t>
  </si>
  <si>
    <t>01-16-8105-0 Overtime-Supervisory</t>
  </si>
  <si>
    <t>01-16-8111-0 Overtime - Other</t>
  </si>
  <si>
    <t>Mechanics</t>
  </si>
  <si>
    <t>01-16-8125-0 Social Security</t>
  </si>
  <si>
    <t>01-16-8128-0 Retirement</t>
  </si>
  <si>
    <t>GRAND TOTAL</t>
  </si>
  <si>
    <t>01-08-8220-0 Printing</t>
  </si>
  <si>
    <t>01-08-8241-0 Electricity</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</si>
  <si>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</si>
  <si>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</si>
  <si>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</si>
  <si>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</si>
  <si>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</si>
  <si>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</si>
  <si>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</si>
  <si>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</si>
  <si>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</si>
  <si>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</si>
  <si>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</si>
  <si>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</si>
  <si>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</si>
  <si>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</si>
  <si>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</si>
  <si>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</si>
  <si>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</si>
  <si>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</si>
  <si>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</si>
  <si>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</si>
  <si>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</si>
  <si>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</si>
  <si>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</si>
  <si>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</si>
  <si>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</si>
  <si>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</si>
  <si>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</si>
  <si>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</si>
  <si>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</si>
  <si>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</si>
  <si>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</si>
  <si>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</si>
  <si>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</si>
  <si>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</si>
  <si>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</si>
  <si>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</si>
  <si>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</si>
  <si>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</si>
  <si>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</si>
  <si>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</si>
  <si>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</si>
  <si>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</si>
  <si>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</si>
  <si>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</si>
  <si>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</si>
  <si>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</si>
  <si>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</si>
  <si>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</si>
  <si>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</si>
  <si>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</si>
  <si>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</si>
  <si>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</si>
  <si>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</si>
  <si>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</si>
  <si>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</si>
  <si>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</si>
  <si>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</si>
  <si>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</si>
  <si>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</si>
  <si>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</si>
  <si>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</si>
  <si>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</si>
  <si>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</si>
  <si>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</si>
  <si>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</si>
  <si>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</si>
  <si>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</si>
  <si>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</si>
  <si>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</si>
  <si>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</si>
  <si>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</si>
  <si>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</si>
  <si>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</si>
  <si>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</si>
  <si>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</si>
  <si>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</si>
  <si>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</si>
  <si>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</si>
  <si>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</si>
  <si>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</si>
  <si>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</si>
  <si>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</si>
  <si>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</si>
  <si>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</si>
  <si>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</si>
  <si>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</si>
  <si>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</si>
  <si>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</si>
  <si>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</si>
  <si>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</si>
  <si>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</si>
  <si>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</si>
  <si>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</si>
  <si>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</si>
  <si>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</si>
  <si>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</si>
  <si>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</si>
  <si>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</si>
  <si>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</si>
  <si>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</si>
  <si>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</si>
  <si>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</si>
  <si>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</si>
  <si>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</si>
  <si>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</si>
  <si>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</si>
  <si>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</si>
  <si>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</si>
  <si>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</si>
  <si>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</si>
  <si>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</si>
  <si>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</si>
  <si>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</si>
  <si>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</si>
  <si>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</si>
  <si>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</si>
  <si>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</si>
  <si>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</si>
  <si>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</si>
  <si>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</si>
  <si>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</si>
  <si>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</si>
  <si>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</si>
  <si>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</si>
  <si>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</si>
  <si>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</si>
  <si>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</si>
  <si>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</si>
  <si>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</si>
  <si>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</si>
  <si>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</si>
  <si>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</si>
  <si>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</si>
  <si>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</si>
  <si>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</si>
  <si>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</si>
  <si>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</si>
  <si>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</si>
  <si>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</si>
  <si>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</si>
  <si>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</si>
  <si>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</si>
  <si>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</si>
  <si>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</si>
  <si>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</si>
  <si>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</si>
  <si>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</si>
  <si>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</si>
  <si>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</si>
  <si>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</si>
  <si>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</si>
  <si>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</si>
  <si>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</si>
  <si>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</si>
  <si>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</si>
  <si>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</si>
  <si>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</si>
  <si>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</si>
  <si>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</si>
  <si>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</si>
  <si>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</si>
  <si>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</si>
  <si>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</si>
  <si>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01-09-8352-0 Education &amp; Training</t>
  </si>
  <si>
    <t>01-09-8359-0 Other Outside Services</t>
  </si>
  <si>
    <t>01-09-8388-0 Special Waste Disposal</t>
  </si>
  <si>
    <t>01-17-8136-0 Unemployment Compensation</t>
  </si>
  <si>
    <t>01-07-8260-0 Telephone</t>
  </si>
  <si>
    <t>Continuing education</t>
  </si>
  <si>
    <t xml:space="preserve">Temp - Part-time Tax </t>
  </si>
  <si>
    <t>01-02-8103-0 Wages - Field Personnel</t>
  </si>
  <si>
    <t>Assessing Coordinator</t>
  </si>
  <si>
    <t>DRA intensive training courses</t>
  </si>
  <si>
    <t>01-08-8230-0 Postage</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</si>
  <si>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</si>
  <si>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</si>
  <si>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</si>
  <si>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</si>
  <si>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</si>
  <si>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</si>
  <si>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</si>
  <si>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</si>
  <si>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</si>
  <si>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</si>
  <si>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</si>
  <si>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</si>
  <si>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</si>
  <si>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</si>
  <si>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</si>
  <si>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</si>
  <si>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</si>
  <si>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</si>
  <si>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</si>
  <si>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</si>
  <si>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</si>
  <si>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</si>
  <si>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</si>
  <si>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</si>
  <si>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</si>
  <si>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</si>
  <si>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</si>
  <si>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Sewer Inspector</t>
  </si>
  <si>
    <t>and holidays and on call</t>
  </si>
  <si>
    <t>Compost facility (meter charge 1")</t>
  </si>
  <si>
    <t>On Call / Per-Diem EMS Attendant Protective Clothing</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</si>
  <si>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</si>
  <si>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</si>
  <si>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</si>
  <si>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</si>
  <si>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</si>
  <si>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DMV Training</t>
  </si>
  <si>
    <t>ACIM (A Child Is Missing Alert)</t>
  </si>
  <si>
    <t>General Building Renovations</t>
  </si>
  <si>
    <t>01-16-8352-0 Education &amp; Training</t>
  </si>
  <si>
    <t xml:space="preserve">Survey supplies, stakes, nails, marking paint and </t>
  </si>
  <si>
    <t>Virtual Town Hall</t>
  </si>
  <si>
    <t>Heat (Gas)</t>
  </si>
  <si>
    <t>Post Office (PO) Box</t>
  </si>
  <si>
    <t>Telephone &amp; Internet</t>
  </si>
  <si>
    <t xml:space="preserve">water and sewer </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</si>
  <si>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</si>
  <si>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</si>
  <si>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</si>
  <si>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</si>
  <si>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</si>
  <si>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</si>
  <si>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</si>
  <si>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</si>
  <si>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</si>
  <si>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</si>
  <si>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</si>
  <si>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</si>
  <si>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</si>
  <si>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</si>
  <si>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</si>
  <si>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</si>
  <si>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Assistant Chief  Support Services</t>
  </si>
  <si>
    <t>Paramedic In-house Educational Shift Class Coverage</t>
  </si>
  <si>
    <t>Emergency Call Back</t>
  </si>
  <si>
    <t>Holidays - 10 holidays X 24 hr. X 2 personnel</t>
  </si>
  <si>
    <t>CPR AED Supplies</t>
  </si>
  <si>
    <t>Cost Ea.</t>
  </si>
  <si>
    <t xml:space="preserve"> wireless for laptops</t>
  </si>
  <si>
    <t>Total wages</t>
  </si>
  <si>
    <t>Director allocation (revenue transfer to General Fund)</t>
  </si>
  <si>
    <t>T-shirts</t>
  </si>
  <si>
    <t>Watson Park</t>
  </si>
  <si>
    <t>Fourth of July Celebration - Parade &amp; Fun Day</t>
  </si>
  <si>
    <t>Winter carnival (Port-a-potty, activity items)</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</si>
  <si>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</si>
  <si>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</si>
  <si>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</si>
  <si>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</si>
  <si>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</si>
  <si>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</si>
  <si>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</si>
  <si>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</si>
  <si>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</si>
  <si>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</si>
  <si>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</si>
  <si>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</si>
  <si>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Maintenance of lawn mowers, bagger for mower, snowblowers and vacuum cleaners</t>
  </si>
  <si>
    <t>log books and miscellaneous supplies</t>
  </si>
  <si>
    <t>Skid steer, loader, forklift and truck</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</si>
  <si>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</si>
  <si>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</si>
  <si>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</si>
  <si>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</si>
  <si>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</si>
  <si>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</si>
  <si>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</si>
  <si>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</si>
  <si>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</si>
  <si>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</si>
  <si>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</si>
  <si>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</si>
  <si>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Uniform service-Part Time</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</si>
  <si>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</si>
  <si>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</si>
  <si>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</si>
  <si>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</si>
  <si>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</si>
  <si>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</si>
  <si>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</si>
  <si>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</si>
  <si>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</si>
  <si>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</si>
  <si>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</si>
  <si>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</si>
  <si>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</si>
  <si>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</si>
  <si>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</si>
  <si>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</si>
  <si>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</si>
  <si>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</si>
  <si>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</si>
  <si>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</si>
  <si>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</si>
  <si>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Police details</t>
  </si>
  <si>
    <t>Volunteer supplies, Public Work Week outreach and MS4 education</t>
  </si>
  <si>
    <t>Traffic Light Preemption</t>
  </si>
  <si>
    <t>Excess Sick Leave Purchase</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</si>
  <si>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</si>
  <si>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</si>
  <si>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</si>
  <si>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</si>
  <si>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</si>
  <si>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</si>
  <si>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</si>
  <si>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</si>
  <si>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33-33-8363-0 Fire Protection Area</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</si>
  <si>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</si>
  <si>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</si>
  <si>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</si>
  <si>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</si>
  <si>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</si>
  <si>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</si>
  <si>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Registration Software for Recreation Programs</t>
  </si>
  <si>
    <t xml:space="preserve">Credit Card Transaction Fees </t>
  </si>
  <si>
    <t>Compost</t>
  </si>
  <si>
    <t>Phase II</t>
  </si>
  <si>
    <t>Phase II and Compost</t>
  </si>
  <si>
    <t xml:space="preserve">   Less revenues</t>
  </si>
  <si>
    <t>Chairs-Replacement (Dispatch Console)</t>
  </si>
  <si>
    <t>Camera / Recorder - Detectives</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</si>
  <si>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</si>
  <si>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</si>
  <si>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</si>
  <si>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</si>
  <si>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</si>
  <si>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</si>
  <si>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</si>
  <si>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</si>
  <si>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</si>
  <si>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</si>
  <si>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</si>
  <si>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Sewer Pump Maintenance agreement  -Police</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</si>
  <si>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</si>
  <si>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</si>
  <si>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</si>
  <si>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</si>
  <si>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</si>
  <si>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</si>
  <si>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</si>
  <si>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</si>
  <si>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</si>
  <si>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</si>
  <si>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</si>
  <si>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</si>
  <si>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</si>
  <si>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Wing Rate</t>
  </si>
  <si>
    <t>and brochures and meals (over 14 hours of work during an emergency)</t>
  </si>
  <si>
    <t>Full-time employees - NEPBA 12</t>
  </si>
  <si>
    <t>Employee cost sharing - NEPBA 12</t>
  </si>
  <si>
    <t>Full-time employees - AFSCME 3657</t>
  </si>
  <si>
    <t>Full-time employees - NEPBA 112</t>
  </si>
  <si>
    <t>01-09-8503-0 Vehicles</t>
  </si>
  <si>
    <t>01-17-8359-0 Other Outside Services</t>
  </si>
  <si>
    <t>8104 - Program Manager</t>
  </si>
  <si>
    <t>Wasserman Park facilities and outdoor lighting</t>
  </si>
  <si>
    <t>AFSCME 3657</t>
  </si>
  <si>
    <t>Operator I</t>
  </si>
  <si>
    <t>Operator II</t>
  </si>
  <si>
    <t>Maintainer I</t>
  </si>
  <si>
    <t>89-89-8375-0 Day Camp</t>
  </si>
  <si>
    <t xml:space="preserve">Uniforms </t>
  </si>
  <si>
    <t>Supplies</t>
  </si>
  <si>
    <t>Sibling Discount</t>
  </si>
  <si>
    <t>School Vacation Week Programs (3 weeks)</t>
  </si>
  <si>
    <t>Back ground checks  (4 x $25.00 each)</t>
  </si>
  <si>
    <t xml:space="preserve">Operating Expense - Food </t>
  </si>
  <si>
    <t>20-13-8375-0 Day Camp Moved to revolving fund</t>
  </si>
  <si>
    <t>TOTAL</t>
  </si>
  <si>
    <t>Access Control / Security System Maintenance (PMI) Agreement</t>
  </si>
  <si>
    <t>Criminal  &amp; Driving records checks</t>
  </si>
  <si>
    <t>Educational Incentive</t>
  </si>
  <si>
    <t>Museum Passes ( Library Insight)</t>
  </si>
  <si>
    <t>EMS Training Requirements</t>
  </si>
  <si>
    <t>Auto Pulse Bands</t>
  </si>
  <si>
    <t>EZIO Needles</t>
  </si>
  <si>
    <t>Custodian Town Hall - Nights</t>
  </si>
  <si>
    <t>Adult Community Center (General Maintenance)</t>
  </si>
  <si>
    <t>Maintenance of B&amp;G Vehicles</t>
  </si>
  <si>
    <t xml:space="preserve">Fleet management license agreement </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</si>
  <si>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</si>
  <si>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</si>
  <si>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</si>
  <si>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</si>
  <si>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</si>
  <si>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</si>
  <si>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</si>
  <si>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</si>
  <si>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</si>
  <si>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</si>
  <si>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</si>
  <si>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</si>
  <si>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</si>
  <si>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</si>
  <si>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</si>
  <si>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</si>
  <si>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</si>
  <si>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</si>
  <si>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</si>
  <si>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</si>
  <si>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</si>
  <si>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</si>
  <si>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</si>
  <si>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</si>
  <si>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</si>
  <si>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</si>
  <si>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(5021 Line 1; 7536 Line 3; 8456 Fire Alarm; 2519 &amp; 7537 DSL)</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</si>
  <si>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</si>
  <si>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</si>
  <si>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</si>
  <si>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</si>
  <si>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</si>
  <si>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</si>
  <si>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</si>
  <si>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</si>
  <si>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</si>
  <si>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</si>
  <si>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</si>
  <si>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</si>
  <si>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</si>
  <si>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</si>
  <si>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</si>
  <si>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</si>
  <si>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</si>
  <si>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</si>
  <si>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</si>
  <si>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</si>
  <si>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</si>
  <si>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</si>
  <si>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</si>
  <si>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</si>
  <si>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</si>
  <si>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Grand Total All FUNDS</t>
  </si>
  <si>
    <t xml:space="preserve">Animal Control Officer </t>
  </si>
  <si>
    <t>Fuction Hall (propane)</t>
  </si>
  <si>
    <t>Wage Adjustment</t>
  </si>
  <si>
    <t>32-32-8143-0 EMPLOYEE INCENTIVES/Raises</t>
  </si>
  <si>
    <t>Misc.</t>
  </si>
  <si>
    <t>01-01-8128-0 Retirement</t>
  </si>
  <si>
    <t>Highway Facility Project Bond</t>
  </si>
  <si>
    <t>01-07-8111-0 Overtime - Other</t>
  </si>
  <si>
    <t>01-21-8111-0 Overtime - Other</t>
  </si>
  <si>
    <t>31-10-8502-0 Buildings</t>
  </si>
  <si>
    <t>31-10-8505-0 Infrastructure</t>
  </si>
  <si>
    <t>32-32-8502-0 Building Improvements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</si>
  <si>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</si>
  <si>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</si>
  <si>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</si>
  <si>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</si>
  <si>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</si>
  <si>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</si>
  <si>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</si>
  <si>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</si>
  <si>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</si>
  <si>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</si>
  <si>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</si>
  <si>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</si>
  <si>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</si>
  <si>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</si>
  <si>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</si>
  <si>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</si>
  <si>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</si>
  <si>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</si>
  <si>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</si>
  <si>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</si>
  <si>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</si>
  <si>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</si>
  <si>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</si>
  <si>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</si>
  <si>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</si>
  <si>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</si>
  <si>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Seasonal activities - Movies in the Park</t>
  </si>
  <si>
    <t>Back ground checks  (5 x $25.00 each)</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</si>
  <si>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</si>
  <si>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</si>
  <si>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</si>
  <si>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</si>
  <si>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</si>
  <si>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</si>
  <si>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</si>
  <si>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</si>
  <si>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</si>
  <si>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</si>
  <si>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</si>
  <si>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</si>
  <si>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</si>
  <si>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</si>
  <si>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</si>
  <si>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        Sewer/Pretreatment Program/Lab/Collections System</t>
  </si>
  <si>
    <t>1-Year round, part time maintainer (24 hours/week)</t>
  </si>
  <si>
    <t xml:space="preserve">City of Nashua </t>
  </si>
  <si>
    <t xml:space="preserve">Trucks, loaders and sewer cleaner </t>
  </si>
  <si>
    <t>Summer Maintainer T-shirts and safety boot allowance</t>
  </si>
  <si>
    <t>All-weather picnic tables (long lasting) (Replace 5 per year)</t>
  </si>
  <si>
    <t>Irrigation maintenance - (Vets, Reeds, Bise and Bishop)</t>
  </si>
  <si>
    <t>NE Resource Recovery Association</t>
  </si>
  <si>
    <t>Maintenenace software for Scale</t>
  </si>
  <si>
    <t>Chargers and batteries for vehicle and portable radios</t>
  </si>
  <si>
    <t>01-21-8503-0 Vehicle</t>
  </si>
  <si>
    <t>Pool Car</t>
  </si>
  <si>
    <t>45 - Capital Project Fund</t>
  </si>
  <si>
    <t xml:space="preserve">  10 holidays X 10 hours X 9 officers = 900 hours</t>
  </si>
  <si>
    <t>Unemployment compensation - .18%</t>
  </si>
  <si>
    <t>Last Rest Cemetery</t>
  </si>
  <si>
    <t>Milfoil Treatment Expendable trust</t>
  </si>
  <si>
    <t>8107 - Part Time &gt; $14,000</t>
  </si>
  <si>
    <t>8107 - Part Time &lt; $14,000</t>
  </si>
  <si>
    <t>8107 &gt; $14,000</t>
  </si>
  <si>
    <t>8107 - Part Time &gt;$14,000</t>
  </si>
  <si>
    <t>SPO2 Adult/Pediatric</t>
  </si>
  <si>
    <t>International Association Chief of Police (IACP) Model Policy update and subscription service</t>
  </si>
  <si>
    <r>
      <t xml:space="preserve">01-25-8491-0 Other </t>
    </r>
    <r>
      <rPr>
        <sz val="8"/>
        <rFont val="Times New Roman"/>
        <family val="1"/>
      </rPr>
      <t>(property taxes, sewer, water, and personal maintenance)</t>
    </r>
  </si>
  <si>
    <t>Asst Director Waste Water</t>
  </si>
  <si>
    <t>Laptops for patrol vehicles</t>
  </si>
  <si>
    <t>Crossing Guards</t>
  </si>
  <si>
    <t>Pearson Rd. / Reeds Ferry School Ball field</t>
  </si>
  <si>
    <t>Turkey Hill &amp; Martel</t>
  </si>
  <si>
    <t>Matthew Thornton Room Cameras and Equipment</t>
  </si>
  <si>
    <t>8101 - Medicare only</t>
  </si>
  <si>
    <t>8101 - exempt</t>
  </si>
  <si>
    <t>8107 Other</t>
  </si>
  <si>
    <t>01-01-8502-0 Building Improvements</t>
  </si>
  <si>
    <t>01-09-8460-0 Miscellaneous Expenses</t>
  </si>
  <si>
    <t>01-17-8203-0 Operating Supplies</t>
  </si>
  <si>
    <t>01-17-8212-0 Equipment Rental</t>
  </si>
  <si>
    <t>01-24-8460-0 Misc Operating Expenses</t>
  </si>
  <si>
    <t>31-10-8220-0 Printing</t>
  </si>
  <si>
    <t>45-45-8505-0 Infrastructure</t>
  </si>
  <si>
    <t>Workers compensation - 0.15%</t>
  </si>
  <si>
    <t xml:space="preserve">Pump station monitoring </t>
  </si>
  <si>
    <t>Comcast</t>
  </si>
  <si>
    <t>Liability insurance allocation</t>
  </si>
  <si>
    <t>Modems</t>
  </si>
  <si>
    <t>Detectives Secretary</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</si>
  <si>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</si>
  <si>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</si>
  <si>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</si>
  <si>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</si>
  <si>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</si>
  <si>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</si>
  <si>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</si>
  <si>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</si>
  <si>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</si>
  <si>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</si>
  <si>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</si>
  <si>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</si>
  <si>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</si>
  <si>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</si>
  <si>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</si>
  <si>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</si>
  <si>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</si>
  <si>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 xml:space="preserve">RDT Drum  - </t>
  </si>
  <si>
    <t>Professional services - permit renewals/compliance</t>
  </si>
  <si>
    <t>Plumber Services</t>
  </si>
  <si>
    <t>Electrician Services</t>
  </si>
  <si>
    <t>Door/Security Maintenance</t>
  </si>
  <si>
    <t>Irrigation Maintenance</t>
  </si>
  <si>
    <t>Repairs to Gazebo at Abbie Griffin Park</t>
  </si>
  <si>
    <t>Maintenance Supplies</t>
  </si>
  <si>
    <t>safety supplies/PPE</t>
  </si>
  <si>
    <t>GIS consultant support / Vueworks</t>
  </si>
  <si>
    <t>Stationery, plans, maps, business cards and forms, Door Hangers</t>
  </si>
  <si>
    <t>Schedule Anywhere</t>
  </si>
  <si>
    <t xml:space="preserve">Wasserman Park Function Hall </t>
  </si>
  <si>
    <t>89-89-8375-0 Day Camp - 9 weeks</t>
  </si>
  <si>
    <t>Education &amp; training - ACA conference, Staff Training Costs</t>
  </si>
  <si>
    <t>Total Expenses</t>
  </si>
  <si>
    <t>Counselors  - 40 hrs/wk x 3 wks x 3 employees</t>
  </si>
  <si>
    <t xml:space="preserve">Cook  - 20 hrs/wk x 3 wks </t>
  </si>
  <si>
    <t>Wilderness Medical Training Courses</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</si>
  <si>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</si>
  <si>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</si>
  <si>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</si>
  <si>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</si>
  <si>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</si>
  <si>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</si>
  <si>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</si>
  <si>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</si>
  <si>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</si>
  <si>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</si>
  <si>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</si>
  <si>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Media Staff software</t>
  </si>
  <si>
    <t>Cablecast and local head end equipment</t>
  </si>
  <si>
    <t>Computers/RMS</t>
  </si>
  <si>
    <t>01-06-8204-0 Uniforms, Personal Protective Clothing</t>
  </si>
  <si>
    <t>01-21-8510-0 Transfer To GIS CRF</t>
  </si>
  <si>
    <t>SIU Overtime</t>
  </si>
  <si>
    <t>Custodian - Full-time</t>
  </si>
  <si>
    <t>Water analysis re: industrial pretreatment program(PFAS GenX)</t>
  </si>
  <si>
    <t xml:space="preserve">Town Hall (east &amp; west), Ambulance Garage building, </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</si>
  <si>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</si>
  <si>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</si>
  <si>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</si>
  <si>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</si>
  <si>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</si>
  <si>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</si>
  <si>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</si>
  <si>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</si>
  <si>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</si>
  <si>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Overtime - other</t>
  </si>
  <si>
    <t>01-05-8300-0 Travel &amp; Meetings</t>
  </si>
  <si>
    <t>01-07-8204 Uniforms</t>
  </si>
  <si>
    <t>32-32-8111-0 Overtime - Other</t>
  </si>
  <si>
    <t>Radio voting system - phone lines - (Consolidated Communications)</t>
  </si>
  <si>
    <t>Vehicle storage facility (old garage)</t>
  </si>
  <si>
    <t>Ipad Pro</t>
  </si>
  <si>
    <t>Scale House</t>
  </si>
  <si>
    <t>Band Stand</t>
  </si>
  <si>
    <t>Town Hall (east &amp; west),</t>
  </si>
  <si>
    <t>Ambulance Garage building</t>
  </si>
  <si>
    <t>Incinerator Building</t>
  </si>
  <si>
    <t>Chlorine Building</t>
  </si>
  <si>
    <t>BOT-L-GAS</t>
  </si>
  <si>
    <t>Pager Admin Fee</t>
  </si>
  <si>
    <t>Police Record Clerk</t>
  </si>
  <si>
    <t>Program Manager (50/50 GF and Revolving Fund)</t>
  </si>
  <si>
    <t>Projects</t>
  </si>
  <si>
    <t>Wasserman Park Tennis Court Resurfacing</t>
  </si>
  <si>
    <t xml:space="preserve">8107- Maintenance </t>
  </si>
  <si>
    <t>8103- Parks &amp; Recreation Director</t>
  </si>
  <si>
    <t>Program Supplies (Sports equipment, Arts &amp; Crafts, Radios, Equipment, etc)</t>
  </si>
  <si>
    <t>Advertising/Marketing</t>
  </si>
  <si>
    <t>Rec Desk - Registration Software Allocation</t>
  </si>
  <si>
    <t>Certified mail, reg mail and shipping</t>
  </si>
  <si>
    <t>Computers 3 work stations</t>
  </si>
  <si>
    <t>Seminars</t>
  </si>
  <si>
    <t>01-05-8504-0 Office Equipment</t>
  </si>
  <si>
    <t>computer replacement</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</si>
  <si>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</si>
  <si>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</si>
  <si>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</si>
  <si>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</si>
  <si>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</si>
  <si>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</si>
  <si>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</si>
  <si>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 Hydrant and scum chamber equipment</t>
  </si>
  <si>
    <t>Replacement of Gear Boxes</t>
  </si>
  <si>
    <t>Maintenance of compost screener</t>
  </si>
  <si>
    <t>Manhole cover replacement</t>
  </si>
  <si>
    <t>Recycling Building</t>
  </si>
  <si>
    <t>Point of Entry Treatment System Maintenance (3)</t>
  </si>
  <si>
    <t>Install/Remove Netting at Twardowsky</t>
  </si>
  <si>
    <t>Fuel tank tightness tests</t>
  </si>
  <si>
    <t>Materials testing</t>
  </si>
  <si>
    <t>Surveillance System</t>
  </si>
  <si>
    <t>Exmark Mower - Replacement of 1 mower</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</si>
  <si>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</si>
  <si>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</si>
  <si>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</si>
  <si>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</si>
  <si>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</si>
  <si>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</si>
  <si>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</si>
  <si>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LED Upgrade of Town Hall buildings, Ambulance Garage, and</t>
  </si>
  <si>
    <t xml:space="preserve">     Abbie Griffin Park</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</si>
  <si>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</si>
  <si>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</si>
  <si>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</si>
  <si>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</si>
  <si>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</si>
  <si>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</si>
  <si>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</si>
  <si>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</si>
  <si>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</si>
  <si>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HVAC maintenance</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</si>
  <si>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</si>
  <si>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</si>
  <si>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</si>
  <si>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</si>
  <si>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</si>
  <si>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Turnover (average $4870) - 1</t>
  </si>
  <si>
    <t>Asst Chief Operator</t>
  </si>
  <si>
    <t>Shift Differential</t>
  </si>
  <si>
    <t>Shift Diferential</t>
  </si>
  <si>
    <t>2021-22</t>
  </si>
  <si>
    <t>Verizon Wireless modem</t>
  </si>
  <si>
    <t xml:space="preserve">Environmental Coordinator </t>
  </si>
  <si>
    <t>Stormwater Foreman</t>
  </si>
  <si>
    <t>Asst. Tech Coordinator</t>
  </si>
  <si>
    <t>Time Clock System</t>
  </si>
  <si>
    <t xml:space="preserve">  Employees - NHRS Group II - 20 years of service - 4</t>
  </si>
  <si>
    <t xml:space="preserve">  Employees - NHRS Group I - age 60  - 0</t>
  </si>
  <si>
    <t xml:space="preserve">Director   </t>
  </si>
  <si>
    <t xml:space="preserve">Office Manager - Administration  </t>
  </si>
  <si>
    <t xml:space="preserve">  Library Assistant I - Youth Services  </t>
  </si>
  <si>
    <t xml:space="preserve">  Aide I - Youth Services </t>
  </si>
  <si>
    <t xml:space="preserve">  Aide I -Youth Services  </t>
  </si>
  <si>
    <t xml:space="preserve">  Page/Aide - Children's Room  </t>
  </si>
  <si>
    <t>GMILCS Web Dewey</t>
  </si>
  <si>
    <t>GMILCS Van</t>
  </si>
  <si>
    <t>Hot spot fees</t>
  </si>
  <si>
    <t xml:space="preserve"> Teen materials (incl. graphic &amp; manga)</t>
  </si>
  <si>
    <t xml:space="preserve">Adult Graphic Novels </t>
  </si>
  <si>
    <t xml:space="preserve">Databases  </t>
  </si>
  <si>
    <t>kanopy (streaming video)</t>
  </si>
  <si>
    <t>Personal Protective Equipment</t>
  </si>
  <si>
    <t>Leads Online</t>
  </si>
  <si>
    <t>Rape Aggression Defense Instrutor</t>
  </si>
  <si>
    <t xml:space="preserve">Power DMS </t>
  </si>
  <si>
    <t>K-9 Insurance`</t>
  </si>
  <si>
    <t xml:space="preserve">  Printing</t>
  </si>
  <si>
    <t>Wasserman Park - Dock Replacement</t>
  </si>
  <si>
    <t>Wasserman Park - Office ADA Accessibility &amp; Roof</t>
  </si>
  <si>
    <t>Harbor Care (Transitional Housing for Mental Health, HIV &amp; Substance Misue Treatment)</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</si>
  <si>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</si>
  <si>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</si>
  <si>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</si>
  <si>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</si>
  <si>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</si>
  <si>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</si>
  <si>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</si>
  <si>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</si>
  <si>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</si>
  <si>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</si>
  <si>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</si>
  <si>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</si>
  <si>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</si>
  <si>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</si>
  <si>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</si>
  <si>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</si>
  <si>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</si>
  <si>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</si>
  <si>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</si>
  <si>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</si>
  <si>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</si>
  <si>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</si>
  <si>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</si>
  <si>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</si>
  <si>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</si>
  <si>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</si>
  <si>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</si>
  <si>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</si>
  <si>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</si>
  <si>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</si>
  <si>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</si>
  <si>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</si>
  <si>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</si>
  <si>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</si>
  <si>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</si>
  <si>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</si>
  <si>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</si>
  <si>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</si>
  <si>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</si>
  <si>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</si>
  <si>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</si>
  <si>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</si>
  <si>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</si>
  <si>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</si>
  <si>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</si>
  <si>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</si>
  <si>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</si>
  <si>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</si>
  <si>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</si>
  <si>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</si>
  <si>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</si>
  <si>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</si>
  <si>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</si>
  <si>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</si>
  <si>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</si>
  <si>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</si>
  <si>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</si>
  <si>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</si>
  <si>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</si>
  <si>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</si>
  <si>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</si>
  <si>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</si>
  <si>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</si>
  <si>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</si>
  <si>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</si>
  <si>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</si>
  <si>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</si>
  <si>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</si>
  <si>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</si>
  <si>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Outfall testing, Stormwater meetings</t>
  </si>
  <si>
    <t>ID Wear, safety footwear</t>
  </si>
  <si>
    <t>Vehicle storage facility (old garage) &amp; Salt Shed</t>
  </si>
  <si>
    <t xml:space="preserve">  Signage and wood stock to make repairs</t>
  </si>
  <si>
    <t>APWAPaver, Iworq, ArcView, fuel software)</t>
  </si>
  <si>
    <t xml:space="preserve">  Maintenance of existing lights</t>
  </si>
  <si>
    <t>20 hr/wk</t>
  </si>
  <si>
    <t>Propane tanks for forklift</t>
  </si>
  <si>
    <t>Propane fuel: forklift</t>
  </si>
  <si>
    <t>Pressure Wash Buildings</t>
  </si>
  <si>
    <t>Waste Oil</t>
  </si>
  <si>
    <t>Misc. Training Courses</t>
  </si>
  <si>
    <t xml:space="preserve">Rubber boots, gloves and safety items - COVID Cost Increases are not reflected </t>
  </si>
  <si>
    <t>State Agency permit fees (lab, air, compost, scale, hazwaste) - increase to air fee</t>
  </si>
  <si>
    <t>Polymer for screw press</t>
  </si>
  <si>
    <t>Compost facility equipment maintenance (includes agitators)</t>
  </si>
  <si>
    <t xml:space="preserve">Operator 10 Plus Premium Support </t>
  </si>
  <si>
    <t>Part-time Summer Maintainer</t>
  </si>
  <si>
    <t xml:space="preserve">  Aide I - Circulation </t>
  </si>
  <si>
    <t xml:space="preserve">  Aide I - Circulation  </t>
  </si>
  <si>
    <t>Online SRP Tracking - all (Beanstack) 3 yr contract @ 1020/yr</t>
  </si>
  <si>
    <t>Full-time employees -  Union</t>
  </si>
  <si>
    <t xml:space="preserve">General Govt. Part-time </t>
  </si>
  <si>
    <t>2022-23</t>
  </si>
  <si>
    <t>01-03-8503-0  Vehicles</t>
  </si>
  <si>
    <t>01-08-8440-0 Cemetery Maintenance</t>
  </si>
  <si>
    <t>01-08-8506-0 Communications Equipment</t>
  </si>
  <si>
    <t>01-09-8350-0 Material Handling</t>
  </si>
  <si>
    <t>01-13-8370-0 275th Anniversary Celebration</t>
  </si>
  <si>
    <t>01-15-8460-0 Misc Expense</t>
  </si>
  <si>
    <t>01-17-8352-0 Education &amp; Training</t>
  </si>
  <si>
    <t>01-17-8508-0 Operating Equipment</t>
  </si>
  <si>
    <t>31-10-8503-0 Vehicles</t>
  </si>
  <si>
    <t xml:space="preserve">  Turnover (average $2500) - 12</t>
  </si>
  <si>
    <t>Finance Director</t>
  </si>
  <si>
    <t>Patrolmen</t>
  </si>
  <si>
    <t>Comcast charges</t>
  </si>
  <si>
    <t>Cellular telephones - (5 Data / 3 service)</t>
  </si>
  <si>
    <t>Cellular telephones -3 data / 1 service</t>
  </si>
  <si>
    <t>Cellular telephone ( 2 )</t>
  </si>
  <si>
    <t xml:space="preserve">Cellular telephones and wireless communications (6) </t>
  </si>
  <si>
    <t>Reeds Ferry Field + other</t>
  </si>
  <si>
    <t>Maintainer I 25 hrs x week (Part Time Year Round)</t>
  </si>
  <si>
    <t>Seasonal Park Maintainer (20 hrs / week x 12 weeks)</t>
  </si>
  <si>
    <t>Farmers Market Attendant (4 hrs / wk x 12 weeks)</t>
  </si>
  <si>
    <t>Farmers Market  (Signage, Admin Costs, Rain Space)</t>
  </si>
  <si>
    <t>Wasserman Park - Roof Replacement</t>
  </si>
  <si>
    <t>Assistant Director- 8 hours/day x 47 days</t>
  </si>
  <si>
    <t>Medical Supplies</t>
  </si>
  <si>
    <t>Librarian I - Circulation</t>
  </si>
  <si>
    <t>Invoice Cloud - online tax payment software support</t>
  </si>
  <si>
    <t>Barcode scanners (5) motor vehicle and dog processing</t>
  </si>
  <si>
    <t>St. Joseph's Community Services - Meals on Wheels</t>
  </si>
  <si>
    <t>Zoom</t>
  </si>
  <si>
    <t>Media Assistant - Full time</t>
  </si>
  <si>
    <t>Tightrope Media Systems (cablecast &amp; streaming)</t>
  </si>
  <si>
    <t>Public Access editing system and equipment</t>
  </si>
  <si>
    <t xml:space="preserve">Sawdust bulking agent for composting </t>
  </si>
  <si>
    <t>Maintenance of nine pump stations</t>
  </si>
  <si>
    <t xml:space="preserve">Replacement liners for screw conveyors  </t>
  </si>
  <si>
    <t>FKC Screw press PM- Build-up Screw</t>
  </si>
  <si>
    <r>
      <t>Rebuild 3 Biofilters  (3000 compost biofilter yd</t>
    </r>
    <r>
      <rPr>
        <vertAlign val="superscript"/>
        <sz val="10"/>
        <rFont val="Times New Roman"/>
        <family val="1"/>
      </rPr>
      <t xml:space="preserve">3 - </t>
    </r>
    <r>
      <rPr>
        <sz val="10"/>
        <rFont val="Times New Roman"/>
        <family val="1"/>
      </rPr>
      <t>to replace media  ) $13.12/yd + 500 yards  (remaining biofilters) + cost to excavate and replace</t>
    </r>
  </si>
  <si>
    <t>Construction Cost   $15,000</t>
  </si>
  <si>
    <t>Horizon Solutions MCC - Electrical &amp; VFD PM Program Development</t>
  </si>
  <si>
    <t>Maintenance of ancillary &amp; support equipment to include SCADA/VFD/MCC</t>
  </si>
  <si>
    <t>Licensed Electrician Services</t>
  </si>
  <si>
    <t>Third year of five year program to evaluate the sewer system</t>
  </si>
  <si>
    <t>Compost Blowers (15/yr for 5 years)</t>
  </si>
  <si>
    <t xml:space="preserve">Chemicals, filter paper, glassware, small instruments and </t>
  </si>
  <si>
    <t>other lab supplies necessary to comply with NPDES permit</t>
  </si>
  <si>
    <t>Elevator inspection/maintenance/permits</t>
  </si>
  <si>
    <t>Repairs to building exterior - siding, roof, etc</t>
  </si>
  <si>
    <t>Fertilizer/soil supplements</t>
  </si>
  <si>
    <t>Parking Lot Reconstruction - Church Lot</t>
  </si>
  <si>
    <t>One-ton Dump Truck, B&amp;G-1</t>
  </si>
  <si>
    <t>Computer paper, ink and misc office supplies - Purchsed under Highway budget</t>
  </si>
  <si>
    <t>Hand tools, maintenance of power tools, lifts, jacks  and other equip</t>
  </si>
  <si>
    <t>Scanner Program Updates</t>
  </si>
  <si>
    <t>Tipping fee for solid waste disposal (6,600T x $79.25/T)</t>
  </si>
  <si>
    <t>Tipping fee for construction and demolition disposal (1,500T x $96.00/T)</t>
  </si>
  <si>
    <t>Public Works Week</t>
  </si>
  <si>
    <t>Office Trailer</t>
  </si>
  <si>
    <t>Wireless traffic counter</t>
  </si>
  <si>
    <t>PT Custodian (12 hours per week)</t>
  </si>
  <si>
    <t>Rental of Misc Equipment and power tools</t>
  </si>
  <si>
    <t>Paver Rental - 2 weeks</t>
  </si>
  <si>
    <t>RC Mower - Stormwater Basins - 1 week</t>
  </si>
  <si>
    <t>American Public Works Association (4 members)</t>
  </si>
  <si>
    <t>Liquid Mag Chloride/Brine Operations</t>
  </si>
  <si>
    <t>Trash removal - Dumpster</t>
  </si>
  <si>
    <t>Trash Removal - Dumpster (MYA/Vets/Bise field)</t>
  </si>
  <si>
    <t>Landfill Mower</t>
  </si>
  <si>
    <t>Administration vehicle</t>
  </si>
  <si>
    <t>01-05-8270-0 Dues &amp; Fees</t>
  </si>
  <si>
    <t>APCO Membership</t>
  </si>
  <si>
    <t>System Upgrade Agreement (SUAII)</t>
  </si>
  <si>
    <t>Annual Preventive Maintenance, Security Upgrade Services</t>
  </si>
  <si>
    <t>Radio User fee</t>
  </si>
  <si>
    <t>Holiday pay:10 holidays X 10 hr X 36 employees</t>
  </si>
  <si>
    <t xml:space="preserve">MYA Request to maintain 15 light towers - </t>
  </si>
  <si>
    <t>Unleaded gasoline for 3 vehicles  PT Insp +200</t>
  </si>
  <si>
    <t xml:space="preserve">PT Inspector </t>
  </si>
  <si>
    <t>Building Inspections after hours (50)</t>
  </si>
  <si>
    <t>Janitorial Supplies; Light Bulbs; tools; Misc Hardware (as of 12/1/21 spent $2,271)</t>
  </si>
  <si>
    <t>Annual EMS Certifications and Training (National Registry Requirements) Proj Increase</t>
  </si>
  <si>
    <t>Annual Employee Health Physicals  Is this enough for 45 Employees ??</t>
  </si>
  <si>
    <t>New Portables</t>
  </si>
  <si>
    <t>Holidays - 10 holidays X 24 hr. X 11 personnel</t>
  </si>
  <si>
    <t>non-union wage increase</t>
  </si>
  <si>
    <t>01-15-8111-0 Overtime-Other</t>
  </si>
  <si>
    <t>Safety Glasses</t>
  </si>
  <si>
    <t>WWTF Phase IV Bond</t>
  </si>
  <si>
    <t>Safety Glasses - Teamsters</t>
  </si>
  <si>
    <t>01-09-8508-0 Operating Equipment</t>
  </si>
  <si>
    <t>2023-24 BUDGET</t>
  </si>
  <si>
    <t>2023-24</t>
  </si>
  <si>
    <t>Head of Circulation</t>
  </si>
  <si>
    <t>Head of Technical Services/Exec Dept Head</t>
  </si>
  <si>
    <t>Intern</t>
  </si>
  <si>
    <t>Master Patrolman</t>
  </si>
  <si>
    <t>Holiday pay - 10 holidays X 8 hr X 8 employees</t>
  </si>
  <si>
    <t>Minus 88 for Uniform Allowance</t>
  </si>
  <si>
    <t>21-22 Use</t>
  </si>
  <si>
    <t>IAAO</t>
  </si>
  <si>
    <t>Open Fox Mobile Messaging</t>
  </si>
  <si>
    <t xml:space="preserve">  Website Hosting Services</t>
  </si>
  <si>
    <t>SMARTSAFE services</t>
  </si>
  <si>
    <t>HR - Civic Plus software and support</t>
  </si>
  <si>
    <t>2023 Phase III Plant Renovations</t>
  </si>
  <si>
    <t>* need to spread 59,191 of overhead cost</t>
  </si>
  <si>
    <t xml:space="preserve">Dog License Look Up </t>
  </si>
  <si>
    <t>Southern NH Special Operations</t>
  </si>
  <si>
    <t>Blood Draws at hospitals</t>
  </si>
  <si>
    <t>Patrol SUVs (4)</t>
  </si>
  <si>
    <t>Taser Replancement Program</t>
  </si>
  <si>
    <t>2 Weekend Park Attendants for town beach (416 hrs) &amp; Function Hall Rentals (25 hours)</t>
  </si>
  <si>
    <t>1 Lifeguard for town beach - 40 hr x 9 wks</t>
  </si>
  <si>
    <t xml:space="preserve">Waterfront Director hours divided between town and camp - 20 hr x 10 wk </t>
  </si>
  <si>
    <t>4th of July</t>
  </si>
  <si>
    <t>NH Rec and Park Association (2 Professionals)</t>
  </si>
  <si>
    <t>NH Camp Directors Association (Agency Membership)</t>
  </si>
  <si>
    <t>National Recreation &amp; Park Association (2 Professionals)</t>
  </si>
  <si>
    <t>Park grounds</t>
  </si>
  <si>
    <t>Wasserman Park - Road &amp; Parking Improvements</t>
  </si>
  <si>
    <t xml:space="preserve">  Library Assistant I - Reference    </t>
  </si>
  <si>
    <r>
      <t xml:space="preserve">  Library Assistant I - Reference </t>
    </r>
    <r>
      <rPr>
        <b/>
        <sz val="10"/>
        <rFont val="Times New Roman"/>
        <family val="1"/>
      </rPr>
      <t>Trustees approved FT Position</t>
    </r>
  </si>
  <si>
    <t>Sustaining the Library (LBOT $1000Q,$2400PLC)</t>
  </si>
  <si>
    <t>Programs (LBOT $3000 Special DCU)</t>
  </si>
  <si>
    <t xml:space="preserve">Adult materials (LBOT $1000L) </t>
  </si>
  <si>
    <t>Large print (LBOT $400 PLC)</t>
  </si>
  <si>
    <t xml:space="preserve">Children's materials (LBOT $1200PLC, $1000L) </t>
  </si>
  <si>
    <t xml:space="preserve">Museum passes (LBOT $5,000 FINES) </t>
  </si>
  <si>
    <t xml:space="preserve">Library of Things </t>
  </si>
  <si>
    <r>
      <t>Welfare officials workshop (</t>
    </r>
    <r>
      <rPr>
        <b/>
        <sz val="10"/>
        <rFont val="Times New Roman"/>
        <family val="1"/>
      </rPr>
      <t>$75</t>
    </r>
    <r>
      <rPr>
        <sz val="10"/>
        <rFont val="Times New Roman"/>
        <family val="1"/>
      </rPr>
      <t xml:space="preserve">) &amp; meeting seminars(4 x </t>
    </r>
    <r>
      <rPr>
        <b/>
        <sz val="10"/>
        <rFont val="Times New Roman"/>
        <family val="1"/>
      </rPr>
      <t>$20</t>
    </r>
    <r>
      <rPr>
        <sz val="10"/>
        <rFont val="Times New Roman"/>
        <family val="1"/>
      </rPr>
      <t>)</t>
    </r>
  </si>
  <si>
    <t>CSI RMS Annual fee</t>
  </si>
  <si>
    <t>Interface between Image Trend and RMS</t>
  </si>
  <si>
    <t>Reconstruct Building Sprinkler System in Town Hall, East and West Wings</t>
  </si>
  <si>
    <t>Air Compressor - M1</t>
  </si>
  <si>
    <t>Tire changer and Wheel Balancer</t>
  </si>
  <si>
    <t>The rate is $32,000 per quarter</t>
  </si>
  <si>
    <t xml:space="preserve">Proposed Increase </t>
  </si>
  <si>
    <t>Screw and Liner repairs</t>
  </si>
  <si>
    <t>Misc operating expenses not otherwise assigned, Publuc Works Week</t>
  </si>
  <si>
    <t>APWA Emerging Leaders Program - Operations Manager</t>
  </si>
  <si>
    <t>Salt for winter road maintenance -2000 ton x $79.22</t>
  </si>
  <si>
    <t>Solar Salt 110 ton x $89.50</t>
  </si>
  <si>
    <t>Sand  - 1000 ton x $18</t>
  </si>
  <si>
    <t>1/2" Stone - 500 ton x $12.50 (gravel roads)</t>
  </si>
  <si>
    <t>Old Highway Garage Overhead Doors (Replace 1 per year over four years)</t>
  </si>
  <si>
    <t>Updated fuel distribution system</t>
  </si>
  <si>
    <t>Brine Storage Tank</t>
  </si>
  <si>
    <t>Replace base radio unit and desk units (2 each) (FY23 project)</t>
  </si>
  <si>
    <t>Plate Compactor</t>
  </si>
  <si>
    <t>Single stream disposal costs (1,500T x $150/T)</t>
  </si>
  <si>
    <t>Prevention, Education, Treatment Officer</t>
  </si>
  <si>
    <t>2 Interns - Interns to assist Sewer/Pretreatment</t>
  </si>
  <si>
    <t>Office 365 Security</t>
  </si>
  <si>
    <t>Office 365 Email</t>
  </si>
  <si>
    <t>Anti- Ransom Ware protection</t>
  </si>
  <si>
    <t>Live Fire Training</t>
  </si>
  <si>
    <t xml:space="preserve">  Telephone &amp; Internet</t>
  </si>
  <si>
    <t xml:space="preserve">Naticook Day Camp </t>
  </si>
  <si>
    <t>Camp/ASP Director - 8 hrs/days x 5 days x 13 weeks</t>
  </si>
  <si>
    <t xml:space="preserve">Camp Nurse - 8 hrs/day x 47 days </t>
  </si>
  <si>
    <t>Kitchen Manager/Cook - 8 hrs/day x 47 days</t>
  </si>
  <si>
    <t>Kitchen Help/Cooks Assistant - 8 hrs/day x 47 days</t>
  </si>
  <si>
    <t>Waterfront Director-hrs divided between town &amp; camp - 4 hrs/day x 47days</t>
  </si>
  <si>
    <t>Lifeguard - 8 hrs / day x 47 days x 2 employees</t>
  </si>
  <si>
    <t>WSI's for camp swim lesson- 8 hrs/day x 47 days X 3 employees</t>
  </si>
  <si>
    <t>Senior Counselors- 8 hrs/days x 47 days x 11 employees</t>
  </si>
  <si>
    <t>Junior Counselors -8 hrs/day x 47 days x 6 employees</t>
  </si>
  <si>
    <t>1:1 Aides - 8 hrs/ day x47 days x 2 employees</t>
  </si>
  <si>
    <t>Activity Specialists -8 hrs / days x 47 days x 4 employees</t>
  </si>
  <si>
    <t>CIT Coordinator / Programs - hours/day x 47 days</t>
  </si>
  <si>
    <t>Seasonal Park Maintainer - 8 hrs/ day x 47 Days</t>
  </si>
  <si>
    <t>Parks &amp; Recreation Intern (40 Hrs/ wk x 12 weeks)</t>
  </si>
  <si>
    <t>Total Wages</t>
  </si>
  <si>
    <t>Operating supplies - Food</t>
  </si>
  <si>
    <t>Camp Special Events</t>
  </si>
  <si>
    <t>Back ground checks  (36x $25.00 each)</t>
  </si>
  <si>
    <t>Program Administration Expenses  (Medical Management software)</t>
  </si>
  <si>
    <t>Town Employee Discount (last years rate)</t>
  </si>
  <si>
    <t>Camp / ASP Director's Benefits-25%</t>
  </si>
  <si>
    <t>Camp Trek</t>
  </si>
  <si>
    <t>Director - 8 hrs/day x 48 days</t>
  </si>
  <si>
    <t>Senior Counselors - 8 hrs / day x 47 x 6 employees</t>
  </si>
  <si>
    <t>Back ground checks  (7 x $25.00 each)</t>
  </si>
  <si>
    <t>Program Supplies</t>
  </si>
  <si>
    <t>Trek - Bus Transportation (5 Days per week x 9 weeks) - $416/trip average</t>
  </si>
  <si>
    <t xml:space="preserve">Trek - Field Trip Admisssion Fees (5 days wk x 9 weeks) </t>
  </si>
  <si>
    <t xml:space="preserve">Theater Camp </t>
  </si>
  <si>
    <t xml:space="preserve">Director - 50 hours/wk  </t>
  </si>
  <si>
    <t>Senior Counselors - 50 hrs  x 3 employees</t>
  </si>
  <si>
    <t>After School Program</t>
  </si>
  <si>
    <t>Director - 8 hrs/day x 5 days x 36 weeks</t>
  </si>
  <si>
    <t xml:space="preserve">Senior Counselor - 4 hrs / day x180 days </t>
  </si>
  <si>
    <t>Junior Counselor - 4 hrs / day x 180 days</t>
  </si>
  <si>
    <t>Transportation ($200/day x 180)</t>
  </si>
  <si>
    <t>Operating Supplies - Food</t>
  </si>
  <si>
    <t>Operating Supplies - Program Supplies</t>
  </si>
  <si>
    <t>Uniforms</t>
  </si>
  <si>
    <t>State Licensing Fees</t>
  </si>
  <si>
    <t>Credit Card Transaction Fees</t>
  </si>
  <si>
    <t>Camp / ASP Director's Benefits - 69.23 %</t>
  </si>
  <si>
    <t>Director - 8 hrs/days x 5 days x 3 weeks</t>
  </si>
  <si>
    <t xml:space="preserve">Rec Desk Registration Software Allocation </t>
  </si>
  <si>
    <t>Camp / ASP Director's Benefits - 5.76 %</t>
  </si>
  <si>
    <t>Parent's Night Out Programs</t>
  </si>
  <si>
    <t xml:space="preserve">Director - 4 hrs/days x 13 days </t>
  </si>
  <si>
    <t xml:space="preserve">Counselors  - 4 hrs x 13 days </t>
  </si>
  <si>
    <t>Jr. Counselor - 4 hrs x 13 days</t>
  </si>
  <si>
    <t>Back ground checks  (3 x $25.00 each)</t>
  </si>
  <si>
    <t>Contracted Program</t>
  </si>
  <si>
    <t>SuppliesFood for participants</t>
  </si>
  <si>
    <t>SOLO Course Participant Fees - $110/pp x 75 pp</t>
  </si>
  <si>
    <t>Deputy Public Works Director/Environmnetal</t>
  </si>
  <si>
    <t>Firefighter  MFF</t>
  </si>
  <si>
    <t>Firefighter</t>
  </si>
  <si>
    <t>Fire Fighter - Paramedic  MFF</t>
  </si>
  <si>
    <t>Fire Fighter - Paramedic</t>
  </si>
  <si>
    <t>Master Firefighter - Paramedic</t>
  </si>
  <si>
    <t>Security</t>
  </si>
  <si>
    <t>Tennis Lessons</t>
  </si>
  <si>
    <t>Races - Trail and Road</t>
  </si>
  <si>
    <t>Swimming Lessons</t>
  </si>
  <si>
    <t>Total Programs</t>
  </si>
  <si>
    <t>Human Resource Director</t>
  </si>
  <si>
    <t>Part Time Secretary</t>
  </si>
  <si>
    <t>Media Assistant On-Call</t>
  </si>
  <si>
    <t>Cellular telephones (3)</t>
  </si>
  <si>
    <t>Cellular airtime for mobile data terminals - 12</t>
  </si>
  <si>
    <t>Community Services Officer</t>
  </si>
  <si>
    <t xml:space="preserve">  Supervisors of Checklist - 600 hr X $20</t>
  </si>
  <si>
    <t xml:space="preserve">  Moderators - 150 hr X 2 elections = 300 hr X $20</t>
  </si>
  <si>
    <t xml:space="preserve">  Election workers - 150 hr X 2 election = 300 hr X $10.00</t>
  </si>
  <si>
    <r>
      <t xml:space="preserve">  Library Assistant I - Reference</t>
    </r>
    <r>
      <rPr>
        <b/>
        <sz val="10"/>
        <rFont val="Times New Roman"/>
        <family val="1"/>
      </rPr>
      <t xml:space="preserve"> Trustees approved FT Position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</si>
</sst>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_);_(* \(#,##0.000\);_(* &quot;-&quot;???_);_(@_)"/>
    <numFmt numFmtId="166" formatCode="0_);\(0\)"/>
    <numFmt numFmtId="167" formatCode="_(* #,##0.0_);_(* \(#,##0.0\);_(* &quot;-&quot;?_);_(@_)"/>
    <numFmt numFmtId="168" formatCode="0.0%"/>
    <numFmt numFmtId="169" formatCode="_(* #,##0.00_);_(* \(#,##0.00\);_(* &quot;-&quot;_);_(@_)"/>
    <numFmt numFmtId="170" formatCode="&quot;$&quot;#,##0.00"/>
    <numFmt numFmtId="171" formatCode="_(* #,##0_);_(* \(#,##0\);_(* &quot;-&quot;??_);_(@_)"/>
    <numFmt numFmtId="172" formatCode="&quot;$&quot;#,##0"/>
    <numFmt numFmtId="173" formatCode="_(* #,##0.00_);_(* \(#,##0.00\);_(* &quot;-&quot;????_);_(@_)"/>
    <numFmt numFmtId="174" formatCode="_(&quot;$&quot;* #,##0_);_(&quot;$&quot;* \(#,##0\);_(&quot;$&quot;* &quot;-&quot;??_);_(@_)"/>
    <numFmt numFmtId="176" formatCode="#,##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u val="singleAccounting"/>
      <sz val="10"/>
      <name val="Arial"/>
      <family val="2"/>
    </font>
    <font>
      <b/>
      <sz val="14"/>
      <name val="Times New Roman"/>
      <family val="1"/>
    </font>
    <font>
      <sz val="11"/>
      <color theme="1"/>
      <name val="Calibri"/>
      <family val="2"/>
      <scheme val="minor"/>
    </font>
    <font>
      <sz val="11"/>
      <name val="Calibri"/>
      <family val="2"/>
      <scheme val="minor"/>
    </font>
    <font>
      <sz val="10"/>
      <name val="Arial"/>
      <family val="2"/>
    </font>
    <font>
      <b/>
      <sz val="11"/>
      <name val="Times New Roman"/>
      <family val="1"/>
    </font>
    <font>
      <b/>
      <sz val="10"/>
      <name val="Arial"/>
      <family val="2"/>
    </font>
    <font>
      <b/>
      <sz val="11"/>
      <name val="Calibri"/>
      <family val="2"/>
      <scheme val="minor"/>
    </font>
    <font>
      <sz val="10"/>
      <name val="Calibri"/>
      <family val="2"/>
      <scheme val="minor"/>
    </font>
    <font>
      <u/>
      <sz val="10"/>
      <name val="Calibri"/>
      <family val="2"/>
      <scheme val="minor"/>
    </font>
    <font>
      <sz val="10"/>
      <color theme="1"/>
      <name val="Times New Roman"/>
      <family val="1"/>
    </font>
    <font>
      <sz val="10"/>
      <color theme="1"/>
      <name val="Calibri"/>
      <family val="2"/>
      <scheme val="minor"/>
    </font>
    <font>
      <b/>
      <sz val="10"/>
      <color theme="1"/>
      <name val="Times New Roman"/>
      <family val="1"/>
    </font>
    <font>
      <vertAlign val="superscript"/>
      <sz val="10"/>
      <name val="Times New Roman"/>
      <family val="1"/>
    </font>
    <font>
      <b/>
      <i/>
      <u/>
      <sz val="10"/>
      <color theme="1"/>
      <name val="Times New Roman"/>
      <family val="1"/>
    </font>
    <font>
      <u/>
      <sz val="10"/>
      <color theme="1"/>
      <name val="Times New Roman"/>
      <family val="1"/>
    </font>
    <font>
      <u val="singleAccounting"/>
      <sz val="10"/>
      <color theme="1"/>
      <name val="Times New Roman"/>
      <family val="1"/>
    </font>
    <font>
      <b/>
      <u/>
      <sz val="10"/>
      <color theme="1"/>
      <name val="Times New Roman"/>
      <family val="1"/>
    </font>
    <font>
      <b/>
      <sz val="9"/>
      <name val="Arial"/>
      <family val="2"/>
    </font>
    <font>
      <b/>
      <sz val="8"/>
      <name val="Arial"/>
      <family val="2"/>
    </font>
    <font>
      <i/>
      <sz val="10"/>
      <color rgb="FFFF0000"/>
      <name val="Times New Roman"/>
      <family val="1"/>
    </font>
    <font>
      <b/>
      <sz val="8"/>
      <name val="Times New Roman"/>
      <family val="1"/>
    </font>
    <font>
      <b/>
      <sz val="9"/>
      <color indexed="81"/>
      <name val="Tahoma"/>
      <family val="2"/>
    </font>
    <font>
      <sz val="9"/>
      <color indexed="81"/>
      <name val="Tahoma"/>
      <family val="2"/>
    </font>
    <font>
      <b/>
      <sz val="9"/>
      <color rgb="FF000000"/>
      <name val="Tahoma"/>
      <family val="2"/>
    </font>
    <font>
      <sz val="9"/>
      <color rgb="FF000000"/>
      <name val="Tahoma"/>
      <family val="2"/>
    </font>
    <font>
      <u val="singleAccounting"/>
      <sz val="9"/>
      <name val="Arial"/>
      <family val="2"/>
    </font>
    <font>
      <sz val="9"/>
      <name val="Arial"/>
      <family val="2"/>
    </font>
    <font>
      <sz val="9"/>
      <name val="Calibri"/>
      <family val="2"/>
      <scheme val="minor"/>
    </font>
    <font>
      <b/>
      <sz val="9"/>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3" fontId="5" fillId="0" borderId="0" applyFont="0" applyFill="0" applyBorder="0" applyAlignment="0" applyProtection="0"/>
    <xf numFmtId="44" fontId="4" fillId="0" borderId="0" applyFont="0" applyFill="0" applyBorder="0" applyAlignment="0" applyProtection="0"/>
    <xf numFmtId="0" fontId="5" fillId="0" borderId="0"/>
    <xf numFmtId="0" fontId="23" fillId="0" borderId="0"/>
    <xf numFmtId="0" fontId="5" fillId="0" borderId="0"/>
    <xf numFmtId="0" fontId="5" fillId="0" borderId="0"/>
    <xf numFmtId="0" fontId="4" fillId="0" borderId="0"/>
    <xf numFmtId="0" fontId="6" fillId="0" borderId="0"/>
    <xf numFmtId="9" fontId="4" fillId="0" borderId="0" applyFont="0" applyFill="0" applyBorder="0" applyAlignment="0" applyProtection="0"/>
    <xf numFmtId="43" fontId="25" fillId="0" borderId="0" applyFon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327">
    <xf numFmtId="0" fontId="0" fillId="0" borderId="0" xfId="0"/>
    <xf numFmtId="41" fontId="8" fillId="0" borderId="0" xfId="0" applyNumberFormat="1" applyFont="1" applyFill="1"/>
    <xf numFmtId="41" fontId="9" fillId="0" borderId="0" xfId="0" applyNumberFormat="1" applyFont="1" applyFill="1"/>
    <xf numFmtId="41" fontId="9" fillId="0" borderId="0" xfId="0" applyNumberFormat="1" applyFont="1" applyFill="1" applyBorder="1"/>
    <xf numFmtId="41" fontId="8" fillId="0" borderId="0" xfId="0" applyNumberFormat="1" applyFont="1" applyFill="1" applyAlignment="1">
      <alignment horizontal="center"/>
    </xf>
    <xf numFmtId="0" fontId="9" fillId="0" borderId="0" xfId="0" applyFont="1" applyFill="1" applyAlignment="1"/>
    <xf numFmtId="0" fontId="9" fillId="0" borderId="0" xfId="0" applyFont="1" applyFill="1"/>
    <xf numFmtId="41" fontId="9" fillId="0" borderId="0" xfId="0" applyNumberFormat="1" applyFont="1" applyFill="1" applyAlignment="1">
      <alignment horizontal="right"/>
    </xf>
    <xf numFmtId="41" fontId="10" fillId="0" borderId="0" xfId="0" applyNumberFormat="1" applyFont="1" applyFill="1" applyAlignment="1">
      <alignment horizontal="right"/>
    </xf>
    <xf numFmtId="0" fontId="12" fillId="0" borderId="0" xfId="0" applyFont="1" applyFill="1" applyAlignment="1">
      <alignment horizontal="center"/>
    </xf>
    <xf numFmtId="41" fontId="10" fillId="0" borderId="0" xfId="0" applyNumberFormat="1" applyFont="1" applyFill="1"/>
    <xf numFmtId="43" fontId="9" fillId="0" borderId="0" xfId="0" applyNumberFormat="1" applyFont="1" applyFill="1"/>
    <xf numFmtId="0" fontId="9" fillId="0" borderId="0" xfId="0" quotePrefix="1" applyFont="1" applyFill="1"/>
    <xf numFmtId="164" fontId="9" fillId="0" borderId="0" xfId="0" applyNumberFormat="1" applyFont="1" applyFill="1"/>
    <xf numFmtId="0" fontId="12" fillId="0" borderId="0" xfId="0" quotePrefix="1" applyFont="1" applyFill="1" applyAlignment="1">
      <alignment horizontal="center"/>
    </xf>
    <xf numFmtId="41" fontId="9" fillId="0" borderId="0" xfId="0" applyNumberFormat="1" applyFont="1" applyFill="1" applyAlignment="1">
      <alignment horizontal="center"/>
    </xf>
    <xf numFmtId="14" fontId="12" fillId="0" borderId="0" xfId="0" applyNumberFormat="1" applyFont="1" applyFill="1" applyAlignment="1">
      <alignment horizontal="center"/>
    </xf>
    <xf numFmtId="41" fontId="13" fillId="0" borderId="0" xfId="0" applyNumberFormat="1" applyFont="1" applyFill="1"/>
    <xf numFmtId="41" fontId="13" fillId="0" borderId="0" xfId="0" applyNumberFormat="1" applyFont="1" applyFill="1" applyAlignment="1">
      <alignment horizontal="right"/>
    </xf>
    <xf numFmtId="0" fontId="8" fillId="0" borderId="0" xfId="0" applyFont="1" applyFill="1"/>
    <xf numFmtId="0" fontId="9" fillId="0" borderId="0" xfId="0" applyFont="1" applyFill="1" applyAlignment="1">
      <alignment horizontal="center"/>
    </xf>
    <xf numFmtId="43" fontId="9" fillId="0" borderId="0" xfId="0" applyNumberFormat="1" applyFont="1" applyFill="1" applyAlignment="1">
      <alignment horizontal="right"/>
    </xf>
    <xf numFmtId="0" fontId="9" fillId="0" borderId="0" xfId="0" applyFont="1" applyFill="1" applyAlignment="1">
      <alignment horizontal="left"/>
    </xf>
    <xf numFmtId="41" fontId="8" fillId="0" borderId="0" xfId="0" applyNumberFormat="1" applyFont="1" applyFill="1" applyAlignment="1">
      <alignment horizontal="right"/>
    </xf>
    <xf numFmtId="41" fontId="18" fillId="0" borderId="0" xfId="0" applyNumberFormat="1" applyFont="1" applyFill="1"/>
    <xf numFmtId="0" fontId="13" fillId="0" borderId="0" xfId="0" applyFont="1" applyFill="1"/>
    <xf numFmtId="41" fontId="13" fillId="0" borderId="0" xfId="0" applyNumberFormat="1" applyFont="1" applyFill="1" applyAlignment="1">
      <alignment horizontal="center"/>
    </xf>
    <xf numFmtId="0" fontId="9" fillId="0" borderId="0" xfId="0" applyFont="1" applyFill="1" applyAlignment="1">
      <alignment horizontal="right"/>
    </xf>
    <xf numFmtId="41" fontId="10" fillId="0" borderId="0" xfId="0" applyNumberFormat="1" applyFont="1" applyFill="1" applyBorder="1"/>
    <xf numFmtId="0" fontId="9" fillId="0" borderId="0" xfId="0" applyFont="1" applyFill="1" applyAlignment="1">
      <alignment wrapText="1"/>
    </xf>
    <xf numFmtId="0" fontId="9" fillId="0" borderId="0" xfId="0" quotePrefix="1" applyFont="1" applyFill="1" applyAlignment="1">
      <alignment horizontal="left"/>
    </xf>
    <xf numFmtId="41" fontId="9" fillId="0" borderId="1" xfId="0" applyNumberFormat="1" applyFont="1" applyFill="1" applyBorder="1"/>
    <xf numFmtId="43" fontId="8" fillId="0" borderId="0" xfId="0" applyNumberFormat="1" applyFont="1" applyFill="1" applyAlignment="1">
      <alignment horizontal="center"/>
    </xf>
    <xf numFmtId="0" fontId="13" fillId="0" borderId="0" xfId="0" applyFont="1" applyFill="1" applyAlignment="1">
      <alignment horizontal="right"/>
    </xf>
    <xf numFmtId="43" fontId="9" fillId="0" borderId="0" xfId="0" applyNumberFormat="1" applyFont="1" applyFill="1" applyAlignment="1">
      <alignment horizontal="center"/>
    </xf>
    <xf numFmtId="43" fontId="10" fillId="0" borderId="0" xfId="0" applyNumberFormat="1" applyFont="1" applyFill="1"/>
    <xf numFmtId="0" fontId="9" fillId="0" borderId="0" xfId="0" applyFont="1" applyFill="1" applyBorder="1" applyAlignment="1">
      <alignment horizontal="left"/>
    </xf>
    <xf numFmtId="0" fontId="9" fillId="0" borderId="0" xfId="0" applyNumberFormat="1" applyFont="1" applyFill="1" applyBorder="1" applyAlignment="1">
      <alignment horizontal="left"/>
    </xf>
    <xf numFmtId="41" fontId="9" fillId="0" borderId="0" xfId="0" applyNumberFormat="1" applyFont="1" applyFill="1" applyBorder="1" applyAlignment="1"/>
    <xf numFmtId="41" fontId="9" fillId="0" borderId="0" xfId="0" applyNumberFormat="1" applyFont="1" applyFill="1" applyBorder="1" applyAlignment="1">
      <alignment horizontal="left"/>
    </xf>
    <xf numFmtId="165" fontId="9" fillId="0" borderId="0" xfId="0" applyNumberFormat="1" applyFont="1" applyFill="1"/>
    <xf numFmtId="3" fontId="9" fillId="0" borderId="0" xfId="0" applyNumberFormat="1" applyFont="1" applyFill="1"/>
    <xf numFmtId="41" fontId="9" fillId="0" borderId="0" xfId="0" quotePrefix="1" applyNumberFormat="1" applyFont="1" applyFill="1"/>
    <xf numFmtId="41" fontId="9" fillId="0" borderId="0" xfId="0"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xf numFmtId="0" fontId="9" fillId="0" borderId="0" xfId="8" applyFont="1" applyFill="1" applyAlignment="1">
      <alignment horizontal="left"/>
    </xf>
    <xf numFmtId="0" fontId="14" fillId="0" borderId="0" xfId="0" applyFont="1" applyFill="1" applyAlignment="1">
      <alignment horizontal="center"/>
    </xf>
    <xf numFmtId="49" fontId="8" fillId="0" borderId="0" xfId="7" applyNumberFormat="1" applyFont="1" applyFill="1"/>
    <xf numFmtId="0" fontId="9" fillId="0" borderId="0" xfId="0" applyFont="1" applyFill="1" applyBorder="1"/>
    <xf numFmtId="0" fontId="12" fillId="0" borderId="0" xfId="0" applyFont="1" applyFill="1" applyBorder="1" applyAlignment="1">
      <alignment horizontal="center"/>
    </xf>
    <xf numFmtId="0" fontId="9" fillId="0" borderId="0" xfId="0" applyFont="1" applyFill="1" applyBorder="1" applyAlignment="1"/>
    <xf numFmtId="43" fontId="9" fillId="0" borderId="0" xfId="0" applyNumberFormat="1" applyFont="1" applyFill="1" applyBorder="1"/>
    <xf numFmtId="41" fontId="9" fillId="0" borderId="0" xfId="2" applyNumberFormat="1" applyFont="1" applyFill="1"/>
    <xf numFmtId="0" fontId="20" fillId="0" borderId="0" xfId="0" applyFont="1" applyFill="1" applyAlignment="1"/>
    <xf numFmtId="3" fontId="13" fillId="0" borderId="0" xfId="0" applyNumberFormat="1" applyFont="1" applyFill="1"/>
    <xf numFmtId="1" fontId="9" fillId="0" borderId="0" xfId="0" applyNumberFormat="1" applyFont="1" applyFill="1"/>
    <xf numFmtId="168" fontId="9" fillId="0" borderId="0" xfId="9" applyNumberFormat="1" applyFont="1" applyFill="1" applyAlignment="1">
      <alignment horizontal="left"/>
    </xf>
    <xf numFmtId="41" fontId="13" fillId="0" borderId="0" xfId="0" applyNumberFormat="1" applyFont="1" applyFill="1" applyBorder="1"/>
    <xf numFmtId="41" fontId="9" fillId="0" borderId="0" xfId="0" applyNumberFormat="1" applyFont="1" applyFill="1" applyBorder="1" applyAlignment="1">
      <alignment horizontal="center"/>
    </xf>
    <xf numFmtId="41" fontId="9" fillId="0" borderId="0" xfId="0" applyNumberFormat="1" applyFont="1" applyFill="1" applyBorder="1" applyAlignment="1">
      <alignment horizontal="right"/>
    </xf>
    <xf numFmtId="41" fontId="9" fillId="0" borderId="0" xfId="2" applyNumberFormat="1" applyFont="1" applyFill="1" applyBorder="1"/>
    <xf numFmtId="38" fontId="9" fillId="0" borderId="0" xfId="0" applyNumberFormat="1" applyFont="1" applyFill="1"/>
    <xf numFmtId="164" fontId="9" fillId="0" borderId="0" xfId="0" applyNumberFormat="1" applyFont="1" applyFill="1" applyBorder="1"/>
    <xf numFmtId="3" fontId="9" fillId="0" borderId="0" xfId="0" applyNumberFormat="1" applyFont="1" applyFill="1" applyBorder="1"/>
    <xf numFmtId="41" fontId="15" fillId="0" borderId="0" xfId="0" applyNumberFormat="1" applyFont="1" applyFill="1"/>
    <xf numFmtId="14" fontId="11" fillId="0" borderId="0" xfId="0" applyNumberFormat="1" applyFont="1" applyFill="1" applyBorder="1" applyAlignment="1">
      <alignment horizontal="center"/>
    </xf>
    <xf numFmtId="3" fontId="9" fillId="0" borderId="0" xfId="0" applyNumberFormat="1" applyFont="1" applyFill="1" applyBorder="1" applyAlignment="1" applyProtection="1">
      <alignment horizontal="left"/>
      <protection locked="0"/>
    </xf>
    <xf numFmtId="10" fontId="9" fillId="0" borderId="0" xfId="0" applyNumberFormat="1" applyFont="1" applyFill="1"/>
    <xf numFmtId="0" fontId="13" fillId="0" borderId="0" xfId="0" applyFont="1" applyFill="1" applyAlignment="1">
      <alignment horizontal="left"/>
    </xf>
    <xf numFmtId="0" fontId="12" fillId="0" borderId="0" xfId="0" quotePrefix="1" applyFont="1" applyFill="1" applyBorder="1" applyAlignment="1">
      <alignment horizontal="center"/>
    </xf>
    <xf numFmtId="0" fontId="8" fillId="0" borderId="0" xfId="0" applyFont="1" applyFill="1" applyAlignment="1"/>
    <xf numFmtId="41" fontId="9" fillId="0" borderId="0" xfId="3" applyNumberFormat="1" applyFont="1" applyFill="1" applyBorder="1"/>
    <xf numFmtId="0" fontId="9" fillId="0" borderId="0" xfId="3" applyFont="1" applyFill="1" applyBorder="1"/>
    <xf numFmtId="0" fontId="9" fillId="0" borderId="0" xfId="0" applyNumberFormat="1" applyFont="1" applyFill="1"/>
    <xf numFmtId="0" fontId="12" fillId="0" borderId="0" xfId="0" applyFont="1" applyFill="1" applyAlignment="1">
      <alignment horizontal="left"/>
    </xf>
    <xf numFmtId="41" fontId="9" fillId="0" borderId="0" xfId="0" applyNumberFormat="1" applyFont="1" applyFill="1" applyBorder="1" applyAlignment="1" applyProtection="1">
      <protection locked="0"/>
    </xf>
    <xf numFmtId="41" fontId="13" fillId="0" borderId="0" xfId="0" applyNumberFormat="1" applyFont="1" applyFill="1" applyBorder="1" applyAlignment="1" applyProtection="1">
      <protection locked="0"/>
    </xf>
    <xf numFmtId="169" fontId="9" fillId="0" borderId="0" xfId="0" applyNumberFormat="1" applyFont="1" applyFill="1"/>
    <xf numFmtId="166" fontId="9" fillId="0" borderId="0" xfId="0" applyNumberFormat="1" applyFont="1" applyFill="1"/>
    <xf numFmtId="41" fontId="9" fillId="0" borderId="0" xfId="4" applyNumberFormat="1" applyFont="1" applyFill="1"/>
    <xf numFmtId="41" fontId="9" fillId="0" borderId="0" xfId="4" applyNumberFormat="1" applyFont="1" applyFill="1" applyAlignment="1">
      <alignment horizontal="center" vertical="center"/>
    </xf>
    <xf numFmtId="41" fontId="10" fillId="0" borderId="0" xfId="4" applyNumberFormat="1" applyFont="1" applyFill="1"/>
    <xf numFmtId="41" fontId="10" fillId="0" borderId="0" xfId="4" applyNumberFormat="1" applyFont="1" applyFill="1" applyAlignment="1">
      <alignment horizontal="center" vertical="center"/>
    </xf>
    <xf numFmtId="0" fontId="13" fillId="0" borderId="0" xfId="0" applyFont="1" applyFill="1" applyAlignment="1">
      <alignment horizontal="center"/>
    </xf>
    <xf numFmtId="0" fontId="24" fillId="0" borderId="0" xfId="4" applyFont="1" applyFill="1"/>
    <xf numFmtId="167" fontId="9" fillId="0" borderId="0" xfId="0" applyNumberFormat="1" applyFont="1" applyFill="1"/>
    <xf numFmtId="43" fontId="8" fillId="0" borderId="0" xfId="0" applyNumberFormat="1" applyFont="1" applyFill="1"/>
    <xf numFmtId="170" fontId="9" fillId="0" borderId="0" xfId="0" applyNumberFormat="1" applyFont="1" applyFill="1"/>
    <xf numFmtId="3" fontId="9" fillId="0" borderId="0" xfId="0" applyNumberFormat="1" applyFont="1" applyFill="1" applyAlignment="1">
      <alignment horizontal="right"/>
    </xf>
    <xf numFmtId="3" fontId="10" fillId="0" borderId="0" xfId="0" applyNumberFormat="1" applyFont="1" applyFill="1" applyAlignment="1">
      <alignment horizontal="right"/>
    </xf>
    <xf numFmtId="0" fontId="9" fillId="0" borderId="0" xfId="5" applyFont="1" applyFill="1"/>
    <xf numFmtId="41" fontId="9" fillId="0" borderId="0" xfId="0" quotePrefix="1" applyNumberFormat="1" applyFont="1" applyFill="1" applyAlignment="1">
      <alignment horizontal="left"/>
    </xf>
    <xf numFmtId="14"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2" fillId="0" borderId="0" xfId="0" applyFont="1" applyFill="1" applyAlignment="1"/>
    <xf numFmtId="41" fontId="8" fillId="0" borderId="0" xfId="0" applyNumberFormat="1" applyFont="1" applyFill="1" applyAlignment="1"/>
    <xf numFmtId="41" fontId="22" fillId="0" borderId="0" xfId="0" applyNumberFormat="1" applyFont="1" applyFill="1" applyAlignment="1"/>
    <xf numFmtId="0" fontId="22" fillId="0" borderId="0" xfId="0" applyFont="1" applyFill="1" applyBorder="1" applyAlignment="1"/>
    <xf numFmtId="41" fontId="14" fillId="0" borderId="0" xfId="0" applyNumberFormat="1" applyFont="1" applyFill="1"/>
    <xf numFmtId="41" fontId="22" fillId="0" borderId="0" xfId="0" applyNumberFormat="1" applyFont="1" applyFill="1"/>
    <xf numFmtId="0" fontId="9" fillId="0" borderId="0" xfId="0" applyFont="1" applyFill="1"/>
    <xf numFmtId="0" fontId="12" fillId="0" borderId="0" xfId="0" applyFont="1" applyFill="1" applyAlignment="1">
      <alignment horizontal="center"/>
    </xf>
    <xf numFmtId="0" fontId="9" fillId="0" borderId="0" xfId="0" applyFont="1" applyFill="1"/>
    <xf numFmtId="41" fontId="9" fillId="0" borderId="0" xfId="0" quotePrefix="1" applyNumberFormat="1" applyFont="1" applyFill="1" applyBorder="1"/>
    <xf numFmtId="10" fontId="9" fillId="0" borderId="0" xfId="0" applyNumberFormat="1" applyFont="1" applyFill="1" applyBorder="1"/>
    <xf numFmtId="8" fontId="4" fillId="0" borderId="0" xfId="6" applyNumberFormat="1" applyFont="1" applyFill="1"/>
    <xf numFmtId="0" fontId="4" fillId="0" borderId="0" xfId="0" applyFont="1" applyFill="1"/>
    <xf numFmtId="0" fontId="9" fillId="0" borderId="0" xfId="0" applyFont="1" applyFill="1" applyBorder="1" applyAlignment="1">
      <alignment wrapText="1"/>
    </xf>
    <xf numFmtId="41" fontId="9" fillId="0" borderId="0" xfId="0" applyNumberFormat="1" applyFont="1" applyFill="1" applyAlignment="1">
      <alignment wrapText="1"/>
    </xf>
    <xf numFmtId="0" fontId="9" fillId="0" borderId="0" xfId="0" applyFont="1" applyFill="1"/>
    <xf numFmtId="171" fontId="9" fillId="0" borderId="0" xfId="10" applyNumberFormat="1" applyFont="1" applyFill="1"/>
    <xf numFmtId="41" fontId="4" fillId="0" borderId="0" xfId="6" applyNumberFormat="1" applyFont="1" applyFill="1"/>
    <xf numFmtId="3" fontId="9" fillId="0" borderId="0" xfId="0" quotePrefix="1" applyNumberFormat="1" applyFont="1" applyFill="1"/>
    <xf numFmtId="41" fontId="9" fillId="0" borderId="1" xfId="0" quotePrefix="1" applyNumberFormat="1" applyFont="1" applyFill="1" applyBorder="1"/>
    <xf numFmtId="0" fontId="9" fillId="0" borderId="0" xfId="0" applyFont="1" applyFill="1"/>
    <xf numFmtId="0" fontId="8" fillId="0" borderId="0" xfId="0" applyFont="1" applyFill="1" applyBorder="1" applyAlignment="1">
      <alignment horizontal="left"/>
    </xf>
    <xf numFmtId="3" fontId="8" fillId="0" borderId="0" xfId="0" applyNumberFormat="1" applyFont="1" applyFill="1"/>
    <xf numFmtId="41" fontId="8" fillId="0" borderId="0" xfId="0" applyNumberFormat="1" applyFont="1" applyFill="1" applyAlignment="1">
      <alignment horizontal="center" vertical="center"/>
    </xf>
    <xf numFmtId="41" fontId="24" fillId="0" borderId="0" xfId="4" applyNumberFormat="1" applyFont="1" applyFill="1"/>
    <xf numFmtId="0" fontId="11" fillId="0" borderId="0" xfId="0" applyFont="1" applyFill="1" applyAlignment="1">
      <alignment horizontal="center"/>
    </xf>
    <xf numFmtId="41" fontId="8" fillId="0" borderId="0" xfId="0" quotePrefix="1" applyNumberFormat="1" applyFont="1" applyFill="1"/>
    <xf numFmtId="0" fontId="9" fillId="0" borderId="0" xfId="0" applyFont="1" applyFill="1"/>
    <xf numFmtId="0" fontId="12" fillId="0" borderId="0" xfId="0" applyFont="1" applyFill="1" applyAlignment="1">
      <alignment horizontal="center"/>
    </xf>
    <xf numFmtId="0" fontId="13" fillId="0" borderId="0" xfId="0" applyFont="1" applyFill="1" applyBorder="1" applyAlignment="1">
      <alignment horizontal="right"/>
    </xf>
    <xf numFmtId="41" fontId="13" fillId="0" borderId="0" xfId="0" applyNumberFormat="1" applyFont="1" applyFill="1" applyBorder="1" applyAlignment="1">
      <alignment horizontal="right"/>
    </xf>
    <xf numFmtId="0" fontId="9" fillId="0" borderId="0" xfId="0" applyFont="1" applyFill="1" applyBorder="1" applyAlignment="1">
      <alignment horizontal="center"/>
    </xf>
    <xf numFmtId="172" fontId="9" fillId="0" borderId="0" xfId="0" applyNumberFormat="1" applyFont="1" applyFill="1"/>
    <xf numFmtId="2" fontId="9" fillId="0" borderId="0" xfId="0" applyNumberFormat="1" applyFont="1" applyFill="1"/>
    <xf numFmtId="8" fontId="9" fillId="0" borderId="0" xfId="0" applyNumberFormat="1" applyFont="1" applyFill="1"/>
    <xf numFmtId="41" fontId="9" fillId="0" borderId="0" xfId="5" applyNumberFormat="1" applyFont="1" applyFill="1" applyBorder="1"/>
    <xf numFmtId="9" fontId="9" fillId="0" borderId="0" xfId="0" applyNumberFormat="1" applyFont="1" applyFill="1" applyBorder="1"/>
    <xf numFmtId="6" fontId="9" fillId="0" borderId="0" xfId="0" applyNumberFormat="1" applyFont="1" applyFill="1"/>
    <xf numFmtId="41" fontId="4" fillId="0" borderId="0" xfId="0" applyNumberFormat="1" applyFont="1" applyFill="1"/>
    <xf numFmtId="0" fontId="9" fillId="0" borderId="0" xfId="0" applyFont="1" applyFill="1"/>
    <xf numFmtId="0" fontId="17" fillId="0" borderId="0" xfId="0" applyFont="1" applyFill="1" applyAlignment="1">
      <alignment vertical="center"/>
    </xf>
    <xf numFmtId="0" fontId="9" fillId="0" borderId="0" xfId="0" applyFont="1" applyFill="1"/>
    <xf numFmtId="41" fontId="10" fillId="0" borderId="0" xfId="0" applyNumberFormat="1" applyFont="1" applyFill="1" applyAlignment="1">
      <alignment horizontal="center"/>
    </xf>
    <xf numFmtId="0" fontId="8" fillId="0" borderId="0" xfId="0" applyFont="1" applyFill="1" applyAlignment="1">
      <alignment horizontal="center"/>
    </xf>
    <xf numFmtId="0" fontId="9" fillId="0" borderId="0" xfId="0" applyFont="1" applyFill="1"/>
    <xf numFmtId="0" fontId="12" fillId="0" borderId="0" xfId="0" applyFont="1" applyFill="1" applyAlignment="1">
      <alignment horizontal="center"/>
    </xf>
    <xf numFmtId="0" fontId="22" fillId="0" borderId="0" xfId="11" applyFont="1" applyFill="1" applyAlignment="1"/>
    <xf numFmtId="41" fontId="9" fillId="0" borderId="0" xfId="11" applyNumberFormat="1" applyFont="1" applyFill="1"/>
    <xf numFmtId="9" fontId="9" fillId="0" borderId="0" xfId="11" applyNumberFormat="1" applyFont="1" applyFill="1"/>
    <xf numFmtId="0" fontId="12" fillId="0" borderId="0" xfId="12" applyFont="1" applyFill="1" applyBorder="1" applyAlignment="1">
      <alignment horizontal="center"/>
    </xf>
    <xf numFmtId="41" fontId="26" fillId="0" borderId="0" xfId="12" applyNumberFormat="1" applyFont="1" applyFill="1" applyBorder="1"/>
    <xf numFmtId="41" fontId="9" fillId="0" borderId="0" xfId="12" applyNumberFormat="1" applyFont="1" applyFill="1" applyBorder="1"/>
    <xf numFmtId="0" fontId="9" fillId="0" borderId="0" xfId="12" applyFont="1" applyFill="1" applyBorder="1"/>
    <xf numFmtId="41" fontId="8" fillId="0" borderId="0" xfId="12" applyNumberFormat="1" applyFont="1" applyFill="1" applyBorder="1"/>
    <xf numFmtId="0" fontId="9" fillId="0" borderId="0" xfId="12" applyNumberFormat="1" applyFont="1" applyFill="1" applyBorder="1" applyAlignment="1">
      <alignment horizontal="left"/>
    </xf>
    <xf numFmtId="41" fontId="10" fillId="0" borderId="0" xfId="12" applyNumberFormat="1" applyFont="1" applyFill="1" applyBorder="1"/>
    <xf numFmtId="43" fontId="9" fillId="0" borderId="0" xfId="11" applyNumberFormat="1" applyFont="1" applyFill="1"/>
    <xf numFmtId="43" fontId="9" fillId="0" borderId="0" xfId="12" applyNumberFormat="1" applyFont="1" applyFill="1" applyBorder="1"/>
    <xf numFmtId="0" fontId="12" fillId="0" borderId="0" xfId="11" applyFont="1" applyFill="1" applyAlignment="1">
      <alignment horizontal="center"/>
    </xf>
    <xf numFmtId="0" fontId="9" fillId="0" borderId="0" xfId="12" applyFont="1" applyFill="1" applyBorder="1" applyAlignment="1">
      <alignment horizontal="left"/>
    </xf>
    <xf numFmtId="0" fontId="9" fillId="0" borderId="0" xfId="12" quotePrefix="1" applyFont="1" applyFill="1" applyBorder="1"/>
    <xf numFmtId="164" fontId="9" fillId="0" borderId="0" xfId="12" applyNumberFormat="1" applyFont="1" applyFill="1" applyBorder="1"/>
    <xf numFmtId="0" fontId="9" fillId="0" borderId="0" xfId="12" applyFont="1" applyFill="1" applyBorder="1" applyAlignment="1"/>
    <xf numFmtId="14" fontId="12" fillId="0" borderId="0" xfId="12" applyNumberFormat="1" applyFont="1" applyFill="1" applyBorder="1" applyAlignment="1">
      <alignment horizontal="center"/>
    </xf>
    <xf numFmtId="41" fontId="9" fillId="0" borderId="0" xfId="12" applyNumberFormat="1" applyFont="1" applyFill="1" applyBorder="1" applyAlignment="1">
      <alignment horizontal="left"/>
    </xf>
    <xf numFmtId="3" fontId="9" fillId="0" borderId="0" xfId="11" applyNumberFormat="1" applyFont="1" applyFill="1"/>
    <xf numFmtId="41" fontId="9" fillId="0" borderId="0" xfId="12" applyNumberFormat="1" applyFont="1" applyFill="1" applyBorder="1" applyProtection="1">
      <protection locked="0"/>
    </xf>
    <xf numFmtId="41" fontId="9" fillId="0" borderId="0" xfId="11" applyNumberFormat="1" applyFont="1" applyFill="1" applyBorder="1"/>
    <xf numFmtId="0" fontId="9" fillId="0" borderId="0" xfId="11" applyFont="1" applyFill="1" applyBorder="1"/>
    <xf numFmtId="170" fontId="13" fillId="0" borderId="0" xfId="0" applyNumberFormat="1" applyFont="1" applyFill="1"/>
    <xf numFmtId="171" fontId="9" fillId="0" borderId="0" xfId="0" applyNumberFormat="1" applyFont="1" applyFill="1"/>
    <xf numFmtId="171" fontId="9" fillId="0" borderId="1" xfId="0" applyNumberFormat="1" applyFont="1" applyFill="1" applyBorder="1"/>
    <xf numFmtId="41" fontId="12" fillId="0" borderId="0" xfId="12" applyNumberFormat="1" applyFont="1" applyFill="1" applyBorder="1" applyAlignment="1">
      <alignment horizontal="center"/>
    </xf>
    <xf numFmtId="41" fontId="9" fillId="0" borderId="0" xfId="12" applyNumberFormat="1" applyFont="1" applyFill="1" applyBorder="1" applyAlignment="1">
      <alignment horizontal="right"/>
    </xf>
    <xf numFmtId="41" fontId="8" fillId="0" borderId="0" xfId="12" applyNumberFormat="1" applyFont="1" applyFill="1" applyBorder="1" applyAlignment="1">
      <alignment horizontal="right"/>
    </xf>
    <xf numFmtId="41" fontId="11" fillId="0" borderId="0" xfId="0" applyNumberFormat="1" applyFont="1" applyFill="1" applyBorder="1" applyAlignment="1">
      <alignment horizontal="center"/>
    </xf>
    <xf numFmtId="41" fontId="19" fillId="0" borderId="0" xfId="0" applyNumberFormat="1" applyFont="1" applyFill="1" applyBorder="1" applyAlignment="1">
      <alignment horizontal="center"/>
    </xf>
    <xf numFmtId="41" fontId="10"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0" fontId="8" fillId="0" borderId="0" xfId="0" applyFont="1" applyFill="1" applyBorder="1" applyAlignment="1">
      <alignment horizontal="right"/>
    </xf>
    <xf numFmtId="41" fontId="14" fillId="0" borderId="0" xfId="12" applyNumberFormat="1" applyFont="1" applyFill="1" applyAlignment="1">
      <alignment horizontal="center"/>
    </xf>
    <xf numFmtId="41" fontId="9" fillId="0" borderId="0" xfId="12" applyNumberFormat="1" applyFont="1" applyFill="1"/>
    <xf numFmtId="41" fontId="9" fillId="0" borderId="0" xfId="12" applyNumberFormat="1" applyFont="1" applyFill="1" applyAlignment="1">
      <alignment horizontal="right"/>
    </xf>
    <xf numFmtId="173" fontId="9" fillId="0" borderId="0" xfId="0" applyNumberFormat="1" applyFont="1" applyFill="1"/>
    <xf numFmtId="41" fontId="13" fillId="0" borderId="1" xfId="0" applyNumberFormat="1" applyFont="1" applyFill="1" applyBorder="1"/>
    <xf numFmtId="0" fontId="4" fillId="0" borderId="0" xfId="0" quotePrefix="1" applyFont="1" applyFill="1"/>
    <xf numFmtId="174" fontId="9" fillId="0" borderId="0" xfId="2" applyNumberFormat="1" applyFont="1" applyFill="1"/>
    <xf numFmtId="0" fontId="8" fillId="0" borderId="0" xfId="0" applyFont="1" applyFill="1" applyAlignment="1">
      <alignment horizontal="center"/>
    </xf>
    <xf numFmtId="0" fontId="9" fillId="0" borderId="0" xfId="0" applyFont="1" applyFill="1"/>
    <xf numFmtId="0" fontId="9" fillId="0" borderId="0" xfId="11" applyFont="1" applyFill="1"/>
    <xf numFmtId="0" fontId="12" fillId="0" borderId="0" xfId="0" applyFont="1" applyFill="1" applyAlignment="1">
      <alignment horizontal="center"/>
    </xf>
    <xf numFmtId="0" fontId="9" fillId="0" borderId="0" xfId="0" applyFont="1" applyFill="1"/>
    <xf numFmtId="0" fontId="20" fillId="0" borderId="0" xfId="0" applyFont="1" applyFill="1"/>
    <xf numFmtId="41" fontId="27" fillId="0" borderId="0" xfId="0" applyNumberFormat="1" applyFont="1" applyFill="1"/>
    <xf numFmtId="0" fontId="28" fillId="0" borderId="0" xfId="0" applyFont="1" applyFill="1"/>
    <xf numFmtId="41" fontId="29" fillId="0" borderId="0" xfId="0" applyNumberFormat="1" applyFont="1" applyFill="1"/>
    <xf numFmtId="41" fontId="30" fillId="0" borderId="0" xfId="0" applyNumberFormat="1" applyFont="1" applyFill="1"/>
    <xf numFmtId="0" fontId="9" fillId="0" borderId="0" xfId="0" applyFont="1" applyFill="1"/>
    <xf numFmtId="0" fontId="9" fillId="0" borderId="0" xfId="0" applyFont="1" applyFill="1"/>
    <xf numFmtId="0" fontId="9" fillId="0" borderId="0" xfId="11" applyFont="1" applyFill="1"/>
    <xf numFmtId="0" fontId="9" fillId="0" borderId="0" xfId="0" applyFont="1" applyFill="1"/>
    <xf numFmtId="0" fontId="12" fillId="0" borderId="0" xfId="0" applyFont="1" applyFill="1" applyAlignment="1">
      <alignment horizontal="center"/>
    </xf>
    <xf numFmtId="0" fontId="9" fillId="0" borderId="0" xfId="0" applyFont="1" applyFill="1"/>
    <xf numFmtId="0" fontId="11" fillId="0" borderId="0" xfId="0" applyFont="1" applyFill="1" applyAlignment="1">
      <alignment horizontal="left"/>
    </xf>
    <xf numFmtId="0" fontId="31" fillId="0" borderId="0" xfId="0" applyFont="1"/>
    <xf numFmtId="174" fontId="9" fillId="0" borderId="0" xfId="2" applyNumberFormat="1" applyFont="1" applyFill="1" applyBorder="1"/>
    <xf numFmtId="174" fontId="29" fillId="0" borderId="0" xfId="2" applyNumberFormat="1" applyFont="1" applyFill="1"/>
    <xf numFmtId="43" fontId="29" fillId="0" borderId="0" xfId="13" applyNumberFormat="1" applyFont="1" applyFill="1"/>
    <xf numFmtId="174" fontId="10" fillId="0" borderId="0" xfId="2" applyNumberFormat="1" applyFont="1" applyFill="1"/>
    <xf numFmtId="0" fontId="8" fillId="0" borderId="0" xfId="11" quotePrefix="1" applyFont="1" applyFill="1"/>
    <xf numFmtId="0" fontId="9" fillId="3" borderId="0" xfId="0" applyFont="1" applyFill="1"/>
    <xf numFmtId="0" fontId="9" fillId="0" borderId="0" xfId="0" applyFont="1" applyFill="1"/>
    <xf numFmtId="0" fontId="12" fillId="0" borderId="0" xfId="0" applyFont="1" applyFill="1" applyAlignment="1">
      <alignment horizontal="center"/>
    </xf>
    <xf numFmtId="0" fontId="9" fillId="0" borderId="0" xfId="0" applyFont="1" applyFill="1"/>
    <xf numFmtId="0" fontId="12" fillId="0" borderId="0" xfId="0" applyFont="1" applyFill="1" applyAlignment="1">
      <alignment horizontal="center"/>
    </xf>
    <xf numFmtId="0" fontId="4" fillId="0" borderId="0" xfId="12" applyFont="1" applyFill="1"/>
    <xf numFmtId="0" fontId="35" fillId="0" borderId="0" xfId="0" applyFont="1" applyAlignment="1">
      <alignment horizontal="center"/>
    </xf>
    <xf numFmtId="3" fontId="31" fillId="0" borderId="0" xfId="0" applyNumberFormat="1" applyFont="1"/>
    <xf numFmtId="3" fontId="31" fillId="0" borderId="0" xfId="0" applyNumberFormat="1" applyFont="1" applyFill="1"/>
    <xf numFmtId="3" fontId="31" fillId="0" borderId="0" xfId="0" applyNumberFormat="1" applyFont="1" applyFill="1" applyBorder="1"/>
    <xf numFmtId="0" fontId="9" fillId="0" borderId="0" xfId="0" applyFont="1" applyFill="1"/>
    <xf numFmtId="0" fontId="12" fillId="0" borderId="0" xfId="0" applyFont="1" applyFill="1" applyAlignment="1">
      <alignment horizontal="center"/>
    </xf>
    <xf numFmtId="0" fontId="31" fillId="0" borderId="0" xfId="0" applyFont="1" applyFill="1" applyBorder="1"/>
    <xf numFmtId="3" fontId="36" fillId="0" borderId="0" xfId="0" applyNumberFormat="1" applyFont="1" applyFill="1" applyBorder="1"/>
    <xf numFmtId="0" fontId="9" fillId="0" borderId="0" xfId="0" applyFont="1" applyFill="1"/>
    <xf numFmtId="170" fontId="31" fillId="0" borderId="0" xfId="0" applyNumberFormat="1" applyFont="1"/>
    <xf numFmtId="43" fontId="31" fillId="0" borderId="0" xfId="0" applyNumberFormat="1" applyFont="1"/>
    <xf numFmtId="0" fontId="32" fillId="0" borderId="0" xfId="0" applyFont="1"/>
    <xf numFmtId="44" fontId="31" fillId="0" borderId="0" xfId="0" applyNumberFormat="1" applyFont="1"/>
    <xf numFmtId="0" fontId="38" fillId="0" borderId="0" xfId="0" applyFont="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0" fontId="12"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41" fontId="40" fillId="0" borderId="0" xfId="0" applyNumberFormat="1" applyFont="1" applyFill="1"/>
    <xf numFmtId="41" fontId="39" fillId="0" borderId="0" xfId="0" applyNumberFormat="1" applyFont="1" applyFill="1"/>
    <xf numFmtId="41" fontId="10" fillId="0" borderId="0" xfId="12" applyNumberFormat="1" applyFont="1" applyFill="1"/>
    <xf numFmtId="41" fontId="10" fillId="0" borderId="0" xfId="0" applyNumberFormat="1" applyFont="1" applyFill="1" applyBorder="1" applyAlignment="1">
      <alignment horizontal="center"/>
    </xf>
    <xf numFmtId="0" fontId="35" fillId="0" borderId="0" xfId="0" applyFont="1" applyFill="1" applyBorder="1" applyAlignment="1">
      <alignment horizontal="center"/>
    </xf>
    <xf numFmtId="0" fontId="31" fillId="0" borderId="0" xfId="0" applyFont="1" applyFill="1" applyBorder="1" applyAlignment="1">
      <alignment horizontal="left"/>
    </xf>
    <xf numFmtId="171" fontId="37" fillId="0" borderId="0" xfId="10" applyNumberFormat="1" applyFont="1" applyFill="1" applyBorder="1"/>
    <xf numFmtId="41" fontId="9" fillId="0" borderId="0" xfId="0" quotePrefix="1" applyNumberFormat="1" applyFont="1" applyFill="1" applyAlignment="1">
      <alignment horizontal="right"/>
    </xf>
    <xf numFmtId="10" fontId="31" fillId="0" borderId="0" xfId="9" applyNumberFormat="1" applyFont="1" applyFill="1" applyBorder="1"/>
    <xf numFmtId="10" fontId="31" fillId="0" borderId="0" xfId="9" applyNumberFormat="1" applyFont="1"/>
    <xf numFmtId="41" fontId="41" fillId="0" borderId="0" xfId="0" applyNumberFormat="1" applyFont="1" applyFill="1"/>
    <xf numFmtId="0" fontId="9" fillId="0" borderId="0" xfId="0" applyFont="1" applyFill="1"/>
    <xf numFmtId="41" fontId="8" fillId="2" borderId="0" xfId="0" applyNumberFormat="1" applyFont="1" applyFill="1"/>
    <xf numFmtId="41" fontId="8" fillId="0" borderId="0" xfId="0" applyNumberFormat="1" applyFont="1" applyFill="1" applyBorder="1"/>
    <xf numFmtId="1" fontId="4" fillId="0" borderId="0" xfId="10" applyNumberFormat="1" applyFont="1" applyFill="1"/>
    <xf numFmtId="0" fontId="27" fillId="0" borderId="0" xfId="0" applyFont="1" applyFill="1"/>
    <xf numFmtId="1" fontId="9" fillId="0" borderId="0" xfId="0" applyNumberFormat="1" applyFont="1" applyFill="1" applyBorder="1"/>
    <xf numFmtId="1" fontId="4" fillId="0" borderId="0" xfId="6" applyNumberFormat="1" applyFont="1" applyFill="1"/>
    <xf numFmtId="43" fontId="8" fillId="0" borderId="0" xfId="0" applyNumberFormat="1" applyFont="1" applyFill="1" applyBorder="1"/>
    <xf numFmtId="0" fontId="9" fillId="0" borderId="0" xfId="0" applyFont="1" applyFill="1"/>
    <xf numFmtId="41" fontId="10" fillId="0" borderId="0" xfId="0" applyNumberFormat="1" applyFont="1" applyFill="1" applyAlignment="1">
      <alignment horizontal="center"/>
    </xf>
    <xf numFmtId="170" fontId="4" fillId="0" borderId="0" xfId="0" applyNumberFormat="1" applyFont="1" applyFill="1"/>
    <xf numFmtId="9" fontId="4" fillId="0" borderId="0" xfId="0" applyNumberFormat="1" applyFont="1" applyFill="1"/>
    <xf numFmtId="10" fontId="42" fillId="0" borderId="0" xfId="9" applyNumberFormat="1" applyFont="1" applyFill="1"/>
    <xf numFmtId="43" fontId="4" fillId="0" borderId="0" xfId="0" applyNumberFormat="1" applyFont="1" applyFill="1"/>
    <xf numFmtId="0" fontId="9" fillId="0" borderId="0" xfId="0" applyFont="1" applyFill="1"/>
    <xf numFmtId="41" fontId="10" fillId="0" borderId="0" xfId="0" applyNumberFormat="1" applyFont="1" applyFill="1" applyAlignment="1">
      <alignment horizontal="center"/>
    </xf>
    <xf numFmtId="0" fontId="12" fillId="0" borderId="0" xfId="0" applyFont="1" applyFill="1" applyAlignment="1">
      <alignment horizontal="center"/>
    </xf>
    <xf numFmtId="0" fontId="9" fillId="0" borderId="0" xfId="0" applyFont="1" applyFill="1"/>
    <xf numFmtId="0" fontId="12" fillId="0" borderId="0" xfId="0" applyFont="1" applyFill="1" applyAlignment="1">
      <alignment horizontal="center"/>
    </xf>
    <xf numFmtId="171" fontId="9" fillId="0" borderId="0" xfId="10" applyNumberFormat="1" applyFont="1" applyFill="1" applyBorder="1"/>
    <xf numFmtId="171" fontId="10" fillId="0" borderId="0" xfId="10" applyNumberFormat="1" applyFont="1" applyFill="1"/>
    <xf numFmtId="0" fontId="9" fillId="0" borderId="0" xfId="0" applyFont="1" applyFill="1"/>
    <xf numFmtId="0" fontId="8" fillId="0" borderId="0" xfId="0" applyFont="1" applyFill="1" applyBorder="1" applyAlignment="1">
      <alignment horizontal="center"/>
    </xf>
    <xf numFmtId="0" fontId="9" fillId="0" borderId="0" xfId="0" applyFont="1" applyFill="1"/>
    <xf numFmtId="43" fontId="31" fillId="0" borderId="0" xfId="0" applyNumberFormat="1" applyFont="1" applyFill="1"/>
    <xf numFmtId="43" fontId="36" fillId="0" borderId="0" xfId="0" applyNumberFormat="1" applyFont="1"/>
    <xf numFmtId="43" fontId="8" fillId="0" borderId="3" xfId="0" applyNumberFormat="1" applyFont="1" applyFill="1" applyBorder="1"/>
    <xf numFmtId="43" fontId="8" fillId="0" borderId="4" xfId="0" applyNumberFormat="1" applyFont="1" applyFill="1" applyBorder="1"/>
    <xf numFmtId="43" fontId="8" fillId="0" borderId="5" xfId="0" applyNumberFormat="1" applyFont="1" applyFill="1" applyBorder="1"/>
    <xf numFmtId="170" fontId="31" fillId="0" borderId="0" xfId="0" applyNumberFormat="1" applyFont="1" applyFill="1"/>
    <xf numFmtId="41" fontId="8" fillId="0" borderId="3" xfId="0" applyNumberFormat="1" applyFont="1" applyFill="1" applyBorder="1"/>
    <xf numFmtId="41" fontId="8" fillId="0" borderId="4" xfId="0" applyNumberFormat="1" applyFont="1" applyFill="1" applyBorder="1"/>
    <xf numFmtId="0" fontId="33" fillId="0" borderId="3" xfId="0" applyFont="1" applyBorder="1"/>
    <xf numFmtId="0" fontId="31" fillId="0" borderId="4" xfId="0" applyFont="1" applyBorder="1"/>
    <xf numFmtId="0" fontId="33" fillId="0" borderId="2" xfId="0" applyFont="1" applyBorder="1"/>
    <xf numFmtId="0" fontId="31" fillId="0" borderId="2" xfId="0" applyFont="1" applyBorder="1"/>
    <xf numFmtId="0" fontId="33" fillId="0" borderId="3" xfId="0" applyFont="1" applyFill="1" applyBorder="1"/>
    <xf numFmtId="0" fontId="31" fillId="0" borderId="4" xfId="0" applyFont="1" applyFill="1" applyBorder="1"/>
    <xf numFmtId="0" fontId="8"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11" fillId="0" borderId="0" xfId="0" applyFont="1" applyFill="1" applyBorder="1" applyAlignment="1">
      <alignment horizontal="center"/>
    </xf>
    <xf numFmtId="0" fontId="12" fillId="0" borderId="0" xfId="0" applyFont="1" applyFill="1" applyAlignment="1">
      <alignment horizontal="center"/>
    </xf>
    <xf numFmtId="10" fontId="9" fillId="0" borderId="0" xfId="9" applyNumberFormat="1" applyFont="1" applyFill="1"/>
    <xf numFmtId="41" fontId="8" fillId="0" borderId="0" xfId="0" applyNumberFormat="1" applyFont="1" applyFill="1" applyBorder="1" applyAlignment="1"/>
    <xf numFmtId="41" fontId="19" fillId="0" borderId="0" xfId="0" applyNumberFormat="1" applyFont="1" applyFill="1" applyAlignment="1">
      <alignment horizontal="center"/>
    </xf>
    <xf numFmtId="41" fontId="7" fillId="0" borderId="0" xfId="0" applyNumberFormat="1" applyFont="1" applyFill="1"/>
    <xf numFmtId="41" fontId="47" fillId="0" borderId="0" xfId="0" applyNumberFormat="1" applyFont="1" applyFill="1"/>
    <xf numFmtId="41" fontId="48" fillId="0" borderId="0" xfId="0" applyNumberFormat="1" applyFont="1" applyFill="1"/>
    <xf numFmtId="41" fontId="48" fillId="0" borderId="0" xfId="0" applyNumberFormat="1" applyFont="1" applyFill="1" applyBorder="1"/>
    <xf numFmtId="43" fontId="9" fillId="0" borderId="0" xfId="12" applyNumberFormat="1" applyFont="1" applyFill="1"/>
    <xf numFmtId="0" fontId="49" fillId="0" borderId="0" xfId="4" applyFont="1" applyFill="1"/>
    <xf numFmtId="1" fontId="9" fillId="0" borderId="0" xfId="10" applyNumberFormat="1" applyFont="1" applyFill="1"/>
    <xf numFmtId="1" fontId="4" fillId="0" borderId="0" xfId="12" applyNumberFormat="1" applyFont="1" applyFill="1"/>
    <xf numFmtId="1" fontId="4" fillId="0" borderId="0" xfId="0" applyNumberFormat="1" applyFont="1" applyFill="1"/>
    <xf numFmtId="10" fontId="9" fillId="0" borderId="0" xfId="9" applyNumberFormat="1" applyFont="1" applyFill="1" applyBorder="1"/>
    <xf numFmtId="176" fontId="31" fillId="0" borderId="0" xfId="0" applyNumberFormat="1" applyFont="1" applyFill="1" applyBorder="1"/>
    <xf numFmtId="4" fontId="31" fillId="0" borderId="0" xfId="0" applyNumberFormat="1" applyFont="1" applyFill="1" applyBorder="1"/>
    <xf numFmtId="41" fontId="10" fillId="0" borderId="0" xfId="11" applyNumberFormat="1" applyFont="1" applyFill="1" applyBorder="1"/>
    <xf numFmtId="0" fontId="31" fillId="0" borderId="0" xfId="0" applyFont="1" applyFill="1"/>
    <xf numFmtId="10" fontId="31" fillId="0" borderId="0" xfId="9" applyNumberFormat="1" applyFont="1" applyFill="1"/>
    <xf numFmtId="0" fontId="35" fillId="0" borderId="0" xfId="0" applyFont="1" applyFill="1" applyAlignment="1">
      <alignment horizontal="center"/>
    </xf>
    <xf numFmtId="176" fontId="31" fillId="0" borderId="0" xfId="0" applyNumberFormat="1" applyFont="1" applyFill="1"/>
    <xf numFmtId="3" fontId="36" fillId="0" borderId="0" xfId="0" applyNumberFormat="1" applyFont="1" applyFill="1"/>
    <xf numFmtId="4" fontId="31" fillId="0" borderId="0" xfId="0" applyNumberFormat="1" applyFont="1" applyFill="1"/>
    <xf numFmtId="43" fontId="31" fillId="0" borderId="0" xfId="10" applyFont="1" applyFill="1"/>
    <xf numFmtId="171" fontId="4" fillId="0" borderId="0" xfId="10" quotePrefix="1" applyNumberFormat="1" applyFont="1" applyFill="1"/>
    <xf numFmtId="171" fontId="4" fillId="0" borderId="0" xfId="10" applyNumberFormat="1" applyFont="1" applyFill="1"/>
    <xf numFmtId="171" fontId="21" fillId="0" borderId="0" xfId="10" applyNumberFormat="1" applyFont="1" applyFill="1"/>
    <xf numFmtId="0" fontId="9" fillId="0" borderId="0" xfId="0" applyFont="1" applyFill="1"/>
    <xf numFmtId="41" fontId="9" fillId="2" borderId="0" xfId="0" applyNumberFormat="1" applyFont="1" applyFill="1"/>
    <xf numFmtId="3" fontId="36" fillId="0" borderId="1" xfId="0" applyNumberFormat="1" applyFont="1" applyFill="1" applyBorder="1"/>
    <xf numFmtId="0" fontId="9" fillId="0" borderId="0" xfId="0" applyFont="1" applyFill="1"/>
    <xf numFmtId="41" fontId="10" fillId="0" borderId="0" xfId="0" applyNumberFormat="1" applyFont="1" applyFill="1" applyAlignment="1">
      <alignment horizontal="center"/>
    </xf>
    <xf numFmtId="0" fontId="9" fillId="0" borderId="0" xfId="0" applyFont="1" applyFill="1"/>
    <xf numFmtId="0" fontId="8"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8" fillId="0" borderId="0" xfId="0" applyFont="1" applyFill="1" applyBorder="1" applyAlignment="1">
      <alignment horizontal="center"/>
    </xf>
    <xf numFmtId="0" fontId="10" fillId="0" borderId="0" xfId="0" applyFont="1" applyFill="1" applyAlignment="1">
      <alignment horizontal="center"/>
    </xf>
    <xf numFmtId="41" fontId="50" fillId="0" borderId="0" xfId="0" applyNumberFormat="1" applyFont="1" applyFill="1" applyAlignment="1">
      <alignment horizontal="center" wrapText="1"/>
    </xf>
    <xf numFmtId="0" fontId="8" fillId="0" borderId="0" xfId="0" applyFont="1" applyFill="1" applyAlignment="1">
      <alignment horizontal="center" wrapText="1"/>
    </xf>
    <xf numFmtId="0" fontId="12" fillId="0" borderId="0" xfId="0" applyFont="1" applyFill="1" applyAlignment="1">
      <alignment horizontal="center"/>
    </xf>
  </cellXfs>
  <cellStyles count="16">
    <cellStyle name="Comma" xfId="10" builtinId="3"/>
    <cellStyle name="Comma 2" xfId="1"/>
    <cellStyle name="Currency" xfId="2" builtinId="4"/>
    <cellStyle name="Normal" xfId="0" builtinId="0"/>
    <cellStyle name="Normal 2" xfId="3"/>
    <cellStyle name="Normal 2 2" xfId="12"/>
    <cellStyle name="Normal 3" xfId="4"/>
    <cellStyle name="Normal 3 2" xfId="13"/>
    <cellStyle name="Normal 4" xfId="11"/>
    <cellStyle name="Normal 5" xfId="14"/>
    <cellStyle name="Normal 6" xfId="15"/>
    <cellStyle name="Normal_03-fire" xfId="5"/>
    <cellStyle name="Normal_04-police" xfId="6"/>
    <cellStyle name="Normal_budget detail 2006-07" xfId="7"/>
    <cellStyle name="Normal_Highway Parks Solid Waste EquipMaint Budgets"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bob\LOCALS~1\Temp\Administrator\Local%20Settings\Temporary%20Internet%20Files\Content.IE5\YNCLY5G7\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8"/>
  <sheetViews>
    <sheetView tabSelected="1" view="pageBreakPreview" zoomScaleNormal="100" zoomScaleSheetLayoutView="100" workbookViewId="0">
      <pane ySplit="5" topLeftCell="A6" activePane="bottomLeft" state="frozen"/>
      <selection activeCell="D43" sqref="D43"/>
      <selection pane="bottomLeft" activeCell="A17" sqref="A17"/>
    </sheetView>
  </sheetViews>
  <sheetFormatPr defaultColWidth="8.85546875" defaultRowHeight="12.75" x14ac:dyDescent="0.2"/>
  <cols>
    <col min="1" max="1" width="53.7109375" style="2" customWidth="1"/>
    <col min="2" max="2" width="8.7109375" style="2" bestFit="1" customWidth="1"/>
    <col min="3" max="3" width="10.42578125" style="2" customWidth="1"/>
    <col min="4" max="4" width="11.42578125" style="2" customWidth="1"/>
    <col min="5" max="7" width="10.85546875" style="2" customWidth="1"/>
    <col min="8" max="8" width="13.28515625" style="2" customWidth="1"/>
    <col min="9" max="10" width="10.85546875" style="2" customWidth="1"/>
    <col min="11" max="16384" width="8.85546875" style="2"/>
  </cols>
  <sheetData>
    <row r="1" spans="1:10" x14ac:dyDescent="0.2">
      <c r="A1" s="319" t="s">
        <v>2038</v>
      </c>
      <c r="B1" s="320"/>
      <c r="C1" s="320"/>
      <c r="D1" s="320"/>
      <c r="E1" s="320"/>
      <c r="F1" s="320"/>
      <c r="G1" s="320"/>
      <c r="H1" s="320"/>
      <c r="I1" s="320"/>
      <c r="J1" s="320"/>
    </row>
    <row r="2" spans="1:10" ht="18.75" x14ac:dyDescent="0.3">
      <c r="A2" s="97" t="s">
        <v>1559</v>
      </c>
      <c r="B2" s="96"/>
      <c r="C2" s="96"/>
      <c r="D2" s="96"/>
      <c r="E2" s="96"/>
      <c r="F2" s="96"/>
    </row>
    <row r="4" spans="1:10" x14ac:dyDescent="0.2">
      <c r="E4" s="15" t="s">
        <v>199</v>
      </c>
      <c r="F4" s="15" t="s">
        <v>200</v>
      </c>
      <c r="G4" s="15" t="s">
        <v>60</v>
      </c>
      <c r="H4" s="15" t="s">
        <v>351</v>
      </c>
      <c r="I4" s="15" t="s">
        <v>264</v>
      </c>
      <c r="J4" s="15" t="s">
        <v>295</v>
      </c>
    </row>
    <row r="5" spans="1:10" ht="15" x14ac:dyDescent="0.35">
      <c r="E5" s="284" t="s">
        <v>1825</v>
      </c>
      <c r="F5" s="284" t="s">
        <v>1947</v>
      </c>
      <c r="G5" s="284" t="s">
        <v>2039</v>
      </c>
      <c r="H5" s="284" t="s">
        <v>2039</v>
      </c>
      <c r="I5" s="284" t="s">
        <v>2039</v>
      </c>
      <c r="J5" s="284" t="s">
        <v>2039</v>
      </c>
    </row>
    <row r="6" spans="1:10" ht="13.5" x14ac:dyDescent="0.25">
      <c r="A6" s="44" t="s">
        <v>1065</v>
      </c>
      <c r="E6" s="2">
        <v>27200</v>
      </c>
      <c r="F6" s="2">
        <v>27200</v>
      </c>
      <c r="G6" s="2">
        <v>27200</v>
      </c>
      <c r="H6" s="2">
        <v>27200</v>
      </c>
      <c r="I6" s="2">
        <v>27200</v>
      </c>
      <c r="J6" s="2">
        <v>27200</v>
      </c>
    </row>
    <row r="7" spans="1:10" x14ac:dyDescent="0.2">
      <c r="A7" s="2" t="s">
        <v>423</v>
      </c>
      <c r="B7" s="2">
        <v>7</v>
      </c>
      <c r="C7" s="2">
        <v>3600</v>
      </c>
      <c r="D7" s="2">
        <f>ROUND(B7*C7,0)</f>
        <v>25200</v>
      </c>
    </row>
    <row r="8" spans="1:10" ht="15" x14ac:dyDescent="0.35">
      <c r="A8" s="2" t="s">
        <v>1066</v>
      </c>
      <c r="B8" s="2">
        <v>1</v>
      </c>
      <c r="C8" s="2">
        <v>2000</v>
      </c>
      <c r="D8" s="10">
        <f>ROUND(B8*C8,0)</f>
        <v>2000</v>
      </c>
    </row>
    <row r="9" spans="1:10" x14ac:dyDescent="0.2">
      <c r="A9" s="2" t="s">
        <v>1067</v>
      </c>
      <c r="D9" s="2">
        <f>SUM(D7:D8)</f>
        <v>27200</v>
      </c>
    </row>
    <row r="11" spans="1:10" ht="13.5" x14ac:dyDescent="0.25">
      <c r="A11" s="44" t="s">
        <v>350</v>
      </c>
      <c r="E11" s="2">
        <v>510304</v>
      </c>
      <c r="F11" s="2">
        <v>530232</v>
      </c>
      <c r="G11" s="2">
        <v>530746</v>
      </c>
      <c r="H11" s="2">
        <v>530746</v>
      </c>
      <c r="I11" s="2">
        <v>549083</v>
      </c>
      <c r="J11" s="2">
        <v>549083</v>
      </c>
    </row>
    <row r="12" spans="1:10" x14ac:dyDescent="0.2">
      <c r="A12" s="2" t="s">
        <v>351</v>
      </c>
      <c r="B12" s="2">
        <v>52</v>
      </c>
      <c r="C12" s="2">
        <v>2985</v>
      </c>
      <c r="D12" s="2">
        <f t="shared" ref="D12:D16" si="0">ROUND(B12*C12,0)</f>
        <v>155220</v>
      </c>
    </row>
    <row r="13" spans="1:10" x14ac:dyDescent="0.2">
      <c r="A13" s="2" t="s">
        <v>1958</v>
      </c>
      <c r="B13" s="2">
        <v>52</v>
      </c>
      <c r="C13" s="2">
        <v>2060</v>
      </c>
      <c r="D13" s="2">
        <f t="shared" si="0"/>
        <v>107120</v>
      </c>
    </row>
    <row r="14" spans="1:10" x14ac:dyDescent="0.2">
      <c r="A14" s="2" t="s">
        <v>1323</v>
      </c>
      <c r="B14" s="2">
        <v>52</v>
      </c>
      <c r="C14" s="2">
        <v>1558</v>
      </c>
      <c r="D14" s="2">
        <f t="shared" si="0"/>
        <v>81016</v>
      </c>
    </row>
    <row r="15" spans="1:10" x14ac:dyDescent="0.2">
      <c r="A15" s="2" t="s">
        <v>2170</v>
      </c>
      <c r="B15" s="2">
        <v>52</v>
      </c>
      <c r="C15" s="2">
        <v>1936</v>
      </c>
      <c r="D15" s="2">
        <f t="shared" si="0"/>
        <v>100672</v>
      </c>
    </row>
    <row r="16" spans="1:10" x14ac:dyDescent="0.2">
      <c r="A16" s="2" t="s">
        <v>1551</v>
      </c>
      <c r="B16" s="2">
        <v>52</v>
      </c>
      <c r="C16" s="2">
        <v>1879</v>
      </c>
      <c r="D16" s="2">
        <f t="shared" si="0"/>
        <v>97708</v>
      </c>
    </row>
    <row r="17" spans="1:10" ht="15" x14ac:dyDescent="0.35">
      <c r="A17" s="2" t="s">
        <v>818</v>
      </c>
      <c r="D17" s="10">
        <v>7347</v>
      </c>
    </row>
    <row r="18" spans="1:10" x14ac:dyDescent="0.2">
      <c r="D18" s="2">
        <f>SUM(D12:D17)</f>
        <v>549083</v>
      </c>
    </row>
    <row r="20" spans="1:10" ht="13.5" x14ac:dyDescent="0.25">
      <c r="A20" s="44" t="s">
        <v>285</v>
      </c>
      <c r="E20" s="2">
        <v>300810</v>
      </c>
      <c r="F20" s="2">
        <v>326871</v>
      </c>
      <c r="G20" s="2">
        <v>324916</v>
      </c>
      <c r="H20" s="2">
        <v>324916</v>
      </c>
      <c r="I20" s="2">
        <v>336241</v>
      </c>
      <c r="J20" s="2">
        <v>336241</v>
      </c>
    </row>
    <row r="21" spans="1:10" x14ac:dyDescent="0.2">
      <c r="A21" s="2" t="s">
        <v>620</v>
      </c>
      <c r="B21" s="2">
        <v>52</v>
      </c>
      <c r="C21" s="2">
        <v>996</v>
      </c>
      <c r="D21" s="2">
        <f t="shared" ref="D21:D26" si="1">ROUND(B21*C21,0)</f>
        <v>51792</v>
      </c>
    </row>
    <row r="22" spans="1:10" x14ac:dyDescent="0.2">
      <c r="A22" s="2" t="s">
        <v>931</v>
      </c>
      <c r="B22" s="2">
        <v>52</v>
      </c>
      <c r="C22" s="2">
        <v>836</v>
      </c>
      <c r="D22" s="2">
        <f t="shared" si="1"/>
        <v>43472</v>
      </c>
    </row>
    <row r="23" spans="1:10" x14ac:dyDescent="0.2">
      <c r="A23" s="2" t="s">
        <v>149</v>
      </c>
      <c r="B23" s="2">
        <v>52</v>
      </c>
      <c r="C23" s="2">
        <v>1129</v>
      </c>
      <c r="D23" s="2">
        <f t="shared" si="1"/>
        <v>58708</v>
      </c>
    </row>
    <row r="24" spans="1:10" x14ac:dyDescent="0.2">
      <c r="A24" s="2" t="s">
        <v>384</v>
      </c>
      <c r="B24" s="2">
        <v>52</v>
      </c>
      <c r="C24" s="2">
        <v>976</v>
      </c>
      <c r="D24" s="2">
        <f t="shared" si="1"/>
        <v>50752</v>
      </c>
    </row>
    <row r="25" spans="1:10" x14ac:dyDescent="0.2">
      <c r="A25" s="2" t="s">
        <v>384</v>
      </c>
      <c r="B25" s="2">
        <v>52</v>
      </c>
      <c r="C25" s="2">
        <v>1074</v>
      </c>
      <c r="D25" s="2">
        <f t="shared" si="1"/>
        <v>55848</v>
      </c>
    </row>
    <row r="26" spans="1:10" x14ac:dyDescent="0.2">
      <c r="A26" s="2" t="s">
        <v>1829</v>
      </c>
      <c r="B26" s="2">
        <v>52</v>
      </c>
      <c r="C26" s="2">
        <v>1440</v>
      </c>
      <c r="D26" s="2">
        <f t="shared" si="1"/>
        <v>74880</v>
      </c>
    </row>
    <row r="27" spans="1:10" ht="15" x14ac:dyDescent="0.35">
      <c r="A27" s="2" t="s">
        <v>818</v>
      </c>
      <c r="B27" s="2" t="s">
        <v>338</v>
      </c>
      <c r="C27" s="2" t="s">
        <v>338</v>
      </c>
      <c r="D27" s="10">
        <v>789</v>
      </c>
    </row>
    <row r="28" spans="1:10" x14ac:dyDescent="0.2">
      <c r="A28" s="2" t="s">
        <v>1067</v>
      </c>
      <c r="D28" s="2">
        <f>SUM(D21:D27)</f>
        <v>336241</v>
      </c>
    </row>
    <row r="30" spans="1:10" ht="13.5" x14ac:dyDescent="0.25">
      <c r="A30" s="44" t="s">
        <v>339</v>
      </c>
      <c r="E30" s="2">
        <v>28186</v>
      </c>
      <c r="F30" s="2">
        <v>41067</v>
      </c>
      <c r="G30" s="2">
        <v>41292</v>
      </c>
      <c r="H30" s="2">
        <v>41292</v>
      </c>
      <c r="I30" s="2">
        <v>42736</v>
      </c>
      <c r="J30" s="2">
        <v>42736</v>
      </c>
    </row>
    <row r="31" spans="1:10" x14ac:dyDescent="0.2">
      <c r="A31" s="2" t="s">
        <v>1253</v>
      </c>
      <c r="B31" s="2">
        <v>530</v>
      </c>
      <c r="C31" s="11">
        <v>10.039999999999999</v>
      </c>
      <c r="D31" s="2">
        <f>ROUND(B31*C31,0)</f>
        <v>5321</v>
      </c>
    </row>
    <row r="32" spans="1:10" x14ac:dyDescent="0.2">
      <c r="A32" s="2" t="s">
        <v>1324</v>
      </c>
      <c r="B32" s="2">
        <v>225</v>
      </c>
      <c r="C32" s="11">
        <v>22.73</v>
      </c>
      <c r="D32" s="2">
        <f>ROUND(B32*C32,0)</f>
        <v>5114</v>
      </c>
    </row>
    <row r="33" spans="1:10" ht="15" x14ac:dyDescent="0.35">
      <c r="A33" s="43" t="s">
        <v>1946</v>
      </c>
      <c r="B33" s="2">
        <v>1455</v>
      </c>
      <c r="C33" s="11">
        <v>22.2</v>
      </c>
      <c r="D33" s="10">
        <f>ROUND(B33*C33,0)</f>
        <v>32301</v>
      </c>
    </row>
    <row r="34" spans="1:10" x14ac:dyDescent="0.2">
      <c r="C34" s="11"/>
      <c r="D34" s="2">
        <f>SUM(D31:D33)</f>
        <v>42736</v>
      </c>
    </row>
    <row r="35" spans="1:10" x14ac:dyDescent="0.2">
      <c r="C35" s="11"/>
    </row>
    <row r="36" spans="1:10" ht="13.5" x14ac:dyDescent="0.25">
      <c r="A36" s="44" t="s">
        <v>682</v>
      </c>
      <c r="C36" s="11"/>
      <c r="E36" s="2">
        <v>2182</v>
      </c>
      <c r="F36" s="2">
        <v>11758</v>
      </c>
      <c r="G36" s="2">
        <v>7792</v>
      </c>
      <c r="H36" s="2">
        <v>7792</v>
      </c>
      <c r="I36" s="2">
        <v>8064</v>
      </c>
      <c r="J36" s="2">
        <v>8064</v>
      </c>
    </row>
    <row r="37" spans="1:10" x14ac:dyDescent="0.2">
      <c r="A37" s="283" t="s">
        <v>1750</v>
      </c>
      <c r="B37" s="2">
        <v>200</v>
      </c>
      <c r="C37" s="11">
        <f>SUM(C21:C26)/40/6*1.5</f>
        <v>40.318750000000001</v>
      </c>
      <c r="D37" s="2">
        <f>+C37*B37</f>
        <v>8063.75</v>
      </c>
    </row>
    <row r="38" spans="1:10" x14ac:dyDescent="0.2">
      <c r="A38" s="2" t="s">
        <v>338</v>
      </c>
      <c r="B38" s="2" t="s">
        <v>338</v>
      </c>
      <c r="C38" s="2" t="s">
        <v>338</v>
      </c>
      <c r="D38" s="2" t="s">
        <v>338</v>
      </c>
    </row>
    <row r="39" spans="1:10" ht="13.5" x14ac:dyDescent="0.25">
      <c r="A39" s="44" t="s">
        <v>150</v>
      </c>
      <c r="E39" s="2">
        <v>69192</v>
      </c>
      <c r="F39" s="2">
        <v>69501</v>
      </c>
      <c r="G39" s="2">
        <v>69107</v>
      </c>
      <c r="H39" s="2">
        <v>69107</v>
      </c>
      <c r="I39" s="2">
        <v>71181</v>
      </c>
      <c r="J39" s="2">
        <v>71181</v>
      </c>
    </row>
    <row r="40" spans="1:10" hidden="1" x14ac:dyDescent="0.2">
      <c r="A40" s="42" t="s">
        <v>151</v>
      </c>
      <c r="B40" s="2">
        <f>+D9</f>
        <v>27200</v>
      </c>
      <c r="C40" s="13">
        <v>1.4500000000000001E-2</v>
      </c>
      <c r="D40" s="2">
        <f>ROUND(B40*C40,0)</f>
        <v>394</v>
      </c>
    </row>
    <row r="41" spans="1:10" hidden="1" x14ac:dyDescent="0.2">
      <c r="A41" s="42" t="s">
        <v>152</v>
      </c>
      <c r="B41" s="2">
        <v>141900</v>
      </c>
      <c r="C41" s="13">
        <v>7.6499999999999999E-2</v>
      </c>
      <c r="D41" s="2">
        <f t="shared" ref="D41:D46" si="2">ROUND(B41*C41,0)</f>
        <v>10855</v>
      </c>
    </row>
    <row r="42" spans="1:10" hidden="1" x14ac:dyDescent="0.2">
      <c r="A42" s="2" t="s">
        <v>152</v>
      </c>
      <c r="B42" s="2">
        <f>IF((D12)&gt;141900,+D12+-141900,D12)</f>
        <v>13320</v>
      </c>
      <c r="C42" s="13">
        <v>1.4500000000000001E-2</v>
      </c>
      <c r="D42" s="2">
        <f t="shared" si="2"/>
        <v>193</v>
      </c>
    </row>
    <row r="43" spans="1:10" hidden="1" x14ac:dyDescent="0.2">
      <c r="A43" s="42" t="s">
        <v>1199</v>
      </c>
      <c r="B43" s="2">
        <f>SUM(D13:D17)</f>
        <v>393863</v>
      </c>
      <c r="C43" s="13">
        <v>7.6499999999999999E-2</v>
      </c>
      <c r="D43" s="2">
        <f t="shared" si="2"/>
        <v>30131</v>
      </c>
    </row>
    <row r="44" spans="1:10" hidden="1" x14ac:dyDescent="0.2">
      <c r="A44" s="42" t="s">
        <v>683</v>
      </c>
      <c r="B44" s="2">
        <f>+D28</f>
        <v>336241</v>
      </c>
      <c r="C44" s="13">
        <v>7.6499999999999999E-2</v>
      </c>
      <c r="D44" s="2">
        <f t="shared" si="2"/>
        <v>25722</v>
      </c>
    </row>
    <row r="45" spans="1:10" hidden="1" x14ac:dyDescent="0.2">
      <c r="A45" s="42" t="s">
        <v>153</v>
      </c>
      <c r="B45" s="2">
        <f>+D34</f>
        <v>42736</v>
      </c>
      <c r="C45" s="13">
        <v>7.6499999999999999E-2</v>
      </c>
      <c r="D45" s="2">
        <f t="shared" si="2"/>
        <v>3269</v>
      </c>
    </row>
    <row r="46" spans="1:10" ht="15" hidden="1" x14ac:dyDescent="0.35">
      <c r="A46" s="42" t="s">
        <v>154</v>
      </c>
      <c r="B46" s="2">
        <f>+D37</f>
        <v>8063.75</v>
      </c>
      <c r="C46" s="13">
        <v>7.6499999999999999E-2</v>
      </c>
      <c r="D46" s="10">
        <f t="shared" si="2"/>
        <v>617</v>
      </c>
    </row>
    <row r="47" spans="1:10" hidden="1" x14ac:dyDescent="0.2">
      <c r="A47" s="2" t="s">
        <v>1067</v>
      </c>
      <c r="C47" s="13"/>
      <c r="D47" s="2">
        <f>SUM(D40:D46)</f>
        <v>71181</v>
      </c>
    </row>
    <row r="48" spans="1:10" x14ac:dyDescent="0.2">
      <c r="C48" s="13"/>
    </row>
    <row r="49" spans="1:10" ht="13.5" x14ac:dyDescent="0.25">
      <c r="A49" s="44" t="s">
        <v>1589</v>
      </c>
      <c r="C49" s="13"/>
      <c r="E49" s="2">
        <v>125558</v>
      </c>
      <c r="F49" s="2">
        <v>122159</v>
      </c>
      <c r="G49" s="2">
        <v>116823</v>
      </c>
      <c r="H49" s="2">
        <v>116823</v>
      </c>
      <c r="I49" s="2">
        <v>120873</v>
      </c>
      <c r="J49" s="2">
        <v>120873</v>
      </c>
    </row>
    <row r="50" spans="1:10" hidden="1" x14ac:dyDescent="0.2">
      <c r="A50" s="42" t="s">
        <v>1076</v>
      </c>
      <c r="B50" s="2">
        <f>+D9</f>
        <v>27200</v>
      </c>
      <c r="C50" s="13">
        <v>0</v>
      </c>
      <c r="D50" s="2">
        <f>+C50*B50</f>
        <v>0</v>
      </c>
    </row>
    <row r="51" spans="1:10" hidden="1" x14ac:dyDescent="0.2">
      <c r="A51" s="42" t="s">
        <v>152</v>
      </c>
      <c r="B51" s="2">
        <f>+D12</f>
        <v>155220</v>
      </c>
      <c r="C51" s="287">
        <v>0.1353</v>
      </c>
      <c r="D51" s="2">
        <f>+C51*B51</f>
        <v>21001.266</v>
      </c>
    </row>
    <row r="52" spans="1:10" hidden="1" x14ac:dyDescent="0.2">
      <c r="A52" s="42" t="s">
        <v>1077</v>
      </c>
      <c r="B52" s="2">
        <f>+D18-B51</f>
        <v>393863</v>
      </c>
      <c r="C52" s="287">
        <v>0.1353</v>
      </c>
      <c r="D52" s="2">
        <f>ROUND(B52*C52,0)</f>
        <v>53290</v>
      </c>
    </row>
    <row r="53" spans="1:10" hidden="1" x14ac:dyDescent="0.2">
      <c r="A53" s="2" t="s">
        <v>1078</v>
      </c>
      <c r="B53" s="2">
        <f>+D28</f>
        <v>336241</v>
      </c>
      <c r="C53" s="287">
        <v>0.1353</v>
      </c>
      <c r="D53" s="2">
        <f>ROUND(B53*C53,0)</f>
        <v>45493</v>
      </c>
    </row>
    <row r="54" spans="1:10" ht="15" hidden="1" x14ac:dyDescent="0.35">
      <c r="A54" s="42" t="s">
        <v>1200</v>
      </c>
      <c r="B54" s="2">
        <f>+D37</f>
        <v>8063.75</v>
      </c>
      <c r="C54" s="287">
        <v>0.1353</v>
      </c>
      <c r="D54" s="10">
        <f>ROUND(B54*C54,0)</f>
        <v>1091</v>
      </c>
    </row>
    <row r="55" spans="1:10" hidden="1" x14ac:dyDescent="0.2">
      <c r="A55" s="2" t="s">
        <v>1067</v>
      </c>
      <c r="D55" s="2">
        <f>SUM(D50:D54)-2</f>
        <v>120873.266</v>
      </c>
    </row>
    <row r="57" spans="1:10" ht="13.5" x14ac:dyDescent="0.25">
      <c r="A57" s="44" t="s">
        <v>790</v>
      </c>
      <c r="E57" s="2">
        <v>198471</v>
      </c>
      <c r="F57" s="2">
        <v>209000</v>
      </c>
      <c r="G57" s="2">
        <v>222750</v>
      </c>
      <c r="H57" s="2">
        <v>222750</v>
      </c>
      <c r="I57" s="2">
        <v>222750</v>
      </c>
      <c r="J57" s="2">
        <v>222750</v>
      </c>
    </row>
    <row r="58" spans="1:10" hidden="1" x14ac:dyDescent="0.2">
      <c r="A58" s="2" t="s">
        <v>358</v>
      </c>
      <c r="B58" s="2">
        <v>11</v>
      </c>
      <c r="C58" s="2">
        <v>20250</v>
      </c>
      <c r="D58" s="2">
        <f>ROUND(B58*C58,0)</f>
        <v>222750</v>
      </c>
    </row>
    <row r="60" spans="1:10" ht="13.5" x14ac:dyDescent="0.25">
      <c r="A60" s="44" t="s">
        <v>791</v>
      </c>
      <c r="E60" s="2">
        <v>13068</v>
      </c>
      <c r="F60" s="2">
        <v>13613</v>
      </c>
      <c r="G60" s="2">
        <v>13613</v>
      </c>
      <c r="H60" s="2">
        <v>13613</v>
      </c>
      <c r="I60" s="2">
        <v>13613</v>
      </c>
      <c r="J60" s="2">
        <v>13613</v>
      </c>
    </row>
    <row r="61" spans="1:10" hidden="1" x14ac:dyDescent="0.2">
      <c r="A61" s="2" t="s">
        <v>358</v>
      </c>
      <c r="B61" s="2">
        <v>11</v>
      </c>
      <c r="C61" s="2">
        <v>1375</v>
      </c>
      <c r="D61" s="2">
        <f>ROUND(B61*C61,0)</f>
        <v>15125</v>
      </c>
    </row>
    <row r="62" spans="1:10" ht="15" hidden="1" x14ac:dyDescent="0.35">
      <c r="A62" s="2" t="s">
        <v>193</v>
      </c>
      <c r="D62" s="10">
        <f>-C61*0.1*B61</f>
        <v>-1512.5</v>
      </c>
    </row>
    <row r="63" spans="1:10" hidden="1" x14ac:dyDescent="0.2">
      <c r="A63" s="283" t="s">
        <v>678</v>
      </c>
      <c r="D63" s="2">
        <f>SUM(D61:D62)</f>
        <v>13612.5</v>
      </c>
    </row>
    <row r="65" spans="1:10" ht="13.5" x14ac:dyDescent="0.25">
      <c r="A65" s="44" t="s">
        <v>792</v>
      </c>
      <c r="E65" s="2">
        <v>1751</v>
      </c>
      <c r="F65" s="2">
        <v>1485</v>
      </c>
      <c r="G65" s="2">
        <v>1595</v>
      </c>
      <c r="H65" s="2">
        <v>1595</v>
      </c>
      <c r="I65" s="2">
        <v>1595</v>
      </c>
      <c r="J65" s="2">
        <v>1595</v>
      </c>
    </row>
    <row r="66" spans="1:10" hidden="1" x14ac:dyDescent="0.2">
      <c r="A66" s="2" t="s">
        <v>1075</v>
      </c>
      <c r="B66" s="2">
        <v>11</v>
      </c>
      <c r="C66" s="2">
        <v>145</v>
      </c>
      <c r="D66" s="2">
        <f>ROUND(B66*C66,0)</f>
        <v>1595</v>
      </c>
    </row>
    <row r="68" spans="1:10" ht="13.5" x14ac:dyDescent="0.25">
      <c r="A68" s="44" t="s">
        <v>793</v>
      </c>
      <c r="E68" s="2">
        <v>7999</v>
      </c>
      <c r="F68" s="2">
        <v>5775</v>
      </c>
      <c r="G68" s="2">
        <v>6215</v>
      </c>
      <c r="H68" s="2">
        <v>6215</v>
      </c>
      <c r="I68" s="2">
        <v>6215</v>
      </c>
      <c r="J68" s="2">
        <v>6215</v>
      </c>
    </row>
    <row r="69" spans="1:10" hidden="1" x14ac:dyDescent="0.2">
      <c r="A69" s="2" t="s">
        <v>699</v>
      </c>
      <c r="B69" s="2">
        <v>11</v>
      </c>
      <c r="C69" s="2">
        <v>565</v>
      </c>
      <c r="D69" s="2">
        <f>ROUND(B69*C69,0)</f>
        <v>6215</v>
      </c>
    </row>
    <row r="71" spans="1:10" ht="13.5" x14ac:dyDescent="0.25">
      <c r="A71" s="44" t="s">
        <v>1270</v>
      </c>
      <c r="E71" s="2">
        <v>-2825</v>
      </c>
      <c r="F71" s="2">
        <v>1641</v>
      </c>
      <c r="G71" s="2">
        <v>1772</v>
      </c>
      <c r="H71" s="2">
        <v>1772</v>
      </c>
      <c r="I71" s="2">
        <v>1831</v>
      </c>
      <c r="J71" s="2">
        <v>1831</v>
      </c>
    </row>
    <row r="72" spans="1:10" ht="12.6" hidden="1" customHeight="1" x14ac:dyDescent="0.2">
      <c r="A72" s="42" t="s">
        <v>151</v>
      </c>
      <c r="B72" s="2">
        <f>+D9</f>
        <v>27200</v>
      </c>
      <c r="C72" s="13">
        <v>1.89E-3</v>
      </c>
      <c r="D72" s="2">
        <f>ROUND(B72*C72,0)</f>
        <v>51</v>
      </c>
    </row>
    <row r="73" spans="1:10" ht="12.6" hidden="1" customHeight="1" x14ac:dyDescent="0.2">
      <c r="A73" s="42" t="s">
        <v>1264</v>
      </c>
      <c r="B73" s="2">
        <f>+D18</f>
        <v>549083</v>
      </c>
      <c r="C73" s="13">
        <v>1.89E-3</v>
      </c>
      <c r="D73" s="2">
        <f>ROUND(B73*C73,0)+6</f>
        <v>1044</v>
      </c>
    </row>
    <row r="74" spans="1:10" ht="12.6" hidden="1" customHeight="1" x14ac:dyDescent="0.2">
      <c r="A74" s="42" t="s">
        <v>683</v>
      </c>
      <c r="B74" s="2">
        <f>+D28</f>
        <v>336241</v>
      </c>
      <c r="C74" s="13">
        <v>1.89E-3</v>
      </c>
      <c r="D74" s="2">
        <f>ROUND(B74*C74,0)</f>
        <v>635</v>
      </c>
    </row>
    <row r="75" spans="1:10" ht="12.6" hidden="1" customHeight="1" x14ac:dyDescent="0.2">
      <c r="A75" s="42" t="s">
        <v>153</v>
      </c>
      <c r="B75" s="2">
        <f>+D34</f>
        <v>42736</v>
      </c>
      <c r="C75" s="13">
        <v>1.89E-3</v>
      </c>
      <c r="D75" s="2">
        <f>ROUND(B75*C75,0)</f>
        <v>81</v>
      </c>
    </row>
    <row r="76" spans="1:10" ht="14.45" hidden="1" customHeight="1" x14ac:dyDescent="0.35">
      <c r="A76" s="42" t="s">
        <v>154</v>
      </c>
      <c r="B76" s="2">
        <f>+D37</f>
        <v>8063.75</v>
      </c>
      <c r="C76" s="13">
        <v>1.89E-3</v>
      </c>
      <c r="D76" s="10">
        <f>ROUND(B76*C76,0)</f>
        <v>15</v>
      </c>
    </row>
    <row r="77" spans="1:10" ht="12.6" hidden="1" customHeight="1" x14ac:dyDescent="0.2">
      <c r="A77" s="2" t="s">
        <v>1067</v>
      </c>
      <c r="D77" s="2">
        <f>SUM(D72:D76)+5</f>
        <v>1831</v>
      </c>
    </row>
    <row r="79" spans="1:10" ht="13.5" x14ac:dyDescent="0.25">
      <c r="A79" s="44" t="s">
        <v>286</v>
      </c>
      <c r="E79" s="2">
        <v>103</v>
      </c>
      <c r="F79" s="2">
        <v>253</v>
      </c>
      <c r="G79" s="2">
        <v>254</v>
      </c>
      <c r="H79" s="2">
        <v>254</v>
      </c>
      <c r="I79" s="2">
        <v>255</v>
      </c>
      <c r="J79" s="2">
        <v>255</v>
      </c>
    </row>
    <row r="80" spans="1:10" ht="12" hidden="1" customHeight="1" x14ac:dyDescent="0.2">
      <c r="A80" s="42" t="s">
        <v>151</v>
      </c>
      <c r="B80" s="2">
        <f>+D9</f>
        <v>27200</v>
      </c>
      <c r="C80" s="2">
        <v>0</v>
      </c>
      <c r="D80" s="2">
        <f>ROUND(B80*C80,0)</f>
        <v>0</v>
      </c>
    </row>
    <row r="81" spans="1:10" ht="12.6" hidden="1" customHeight="1" x14ac:dyDescent="0.2">
      <c r="A81" s="42" t="s">
        <v>1264</v>
      </c>
      <c r="B81" s="2">
        <v>4</v>
      </c>
      <c r="C81" s="2">
        <v>20</v>
      </c>
      <c r="D81" s="2">
        <f>ROUND(B81*C81,0)</f>
        <v>80</v>
      </c>
    </row>
    <row r="82" spans="1:10" ht="12.6" hidden="1" customHeight="1" x14ac:dyDescent="0.2">
      <c r="A82" s="42" t="s">
        <v>683</v>
      </c>
      <c r="B82" s="2">
        <v>7</v>
      </c>
      <c r="C82" s="2">
        <v>20</v>
      </c>
      <c r="D82" s="2">
        <f>ROUND(B82*C82,0)</f>
        <v>140</v>
      </c>
    </row>
    <row r="83" spans="1:10" ht="12.6" hidden="1" customHeight="1" x14ac:dyDescent="0.2">
      <c r="A83" s="42" t="s">
        <v>1327</v>
      </c>
      <c r="B83" s="2">
        <v>1</v>
      </c>
      <c r="C83" s="2">
        <v>20</v>
      </c>
      <c r="D83" s="2">
        <f>ROUND(B83*C83,0)</f>
        <v>20</v>
      </c>
    </row>
    <row r="84" spans="1:10" ht="14.45" hidden="1" customHeight="1" x14ac:dyDescent="0.35">
      <c r="A84" s="42" t="s">
        <v>153</v>
      </c>
      <c r="B84" s="2">
        <f>+B75-D33</f>
        <v>10435</v>
      </c>
      <c r="C84" s="13">
        <v>1.4E-3</v>
      </c>
      <c r="D84" s="10">
        <f>ROUND(B84*C84,0)</f>
        <v>15</v>
      </c>
    </row>
    <row r="85" spans="1:10" ht="12.6" hidden="1" customHeight="1" x14ac:dyDescent="0.2">
      <c r="A85" s="2" t="s">
        <v>1067</v>
      </c>
      <c r="D85" s="2">
        <f>SUM(D80:D84)</f>
        <v>255</v>
      </c>
    </row>
    <row r="86" spans="1:10" ht="13.5" x14ac:dyDescent="0.25">
      <c r="A86" s="99"/>
    </row>
    <row r="87" spans="1:10" ht="13.5" x14ac:dyDescent="0.25">
      <c r="A87" s="44" t="s">
        <v>214</v>
      </c>
      <c r="B87" s="2" t="s">
        <v>338</v>
      </c>
      <c r="E87" s="2">
        <v>141205</v>
      </c>
      <c r="F87" s="2">
        <v>155000</v>
      </c>
      <c r="G87" s="2">
        <v>55000</v>
      </c>
      <c r="H87" s="2">
        <v>55000</v>
      </c>
      <c r="I87" s="2">
        <v>55000</v>
      </c>
      <c r="J87" s="2">
        <v>55000</v>
      </c>
    </row>
    <row r="88" spans="1:10" x14ac:dyDescent="0.2">
      <c r="A88" s="2" t="s">
        <v>252</v>
      </c>
    </row>
    <row r="89" spans="1:10" x14ac:dyDescent="0.2">
      <c r="A89" s="2" t="s">
        <v>1832</v>
      </c>
      <c r="D89" s="2">
        <v>0</v>
      </c>
    </row>
    <row r="90" spans="1:10" x14ac:dyDescent="0.2">
      <c r="A90" s="2" t="s">
        <v>1831</v>
      </c>
      <c r="D90" s="2">
        <v>25000</v>
      </c>
    </row>
    <row r="91" spans="1:10" ht="15" x14ac:dyDescent="0.35">
      <c r="A91" s="2" t="s">
        <v>1957</v>
      </c>
      <c r="D91" s="10">
        <v>30000</v>
      </c>
    </row>
    <row r="92" spans="1:10" x14ac:dyDescent="0.2">
      <c r="A92" s="2" t="s">
        <v>216</v>
      </c>
      <c r="D92" s="2">
        <f>SUM(D89:D91)</f>
        <v>55000</v>
      </c>
    </row>
    <row r="94" spans="1:10" ht="13.5" x14ac:dyDescent="0.25">
      <c r="A94" s="44" t="s">
        <v>381</v>
      </c>
      <c r="E94" s="2">
        <v>750</v>
      </c>
      <c r="F94" s="2">
        <v>25000</v>
      </c>
      <c r="G94" s="2">
        <v>55000</v>
      </c>
      <c r="H94" s="2">
        <v>55000</v>
      </c>
      <c r="I94" s="2">
        <v>55000</v>
      </c>
      <c r="J94" s="2">
        <v>55000</v>
      </c>
    </row>
    <row r="95" spans="1:10" x14ac:dyDescent="0.2">
      <c r="A95" s="43" t="s">
        <v>148</v>
      </c>
      <c r="D95" s="2">
        <v>5000</v>
      </c>
    </row>
    <row r="96" spans="1:10" x14ac:dyDescent="0.2">
      <c r="A96" s="43" t="s">
        <v>2032</v>
      </c>
      <c r="D96" s="2">
        <v>0</v>
      </c>
    </row>
    <row r="97" spans="1:10" ht="15" x14ac:dyDescent="0.35">
      <c r="A97" s="43" t="s">
        <v>1586</v>
      </c>
      <c r="D97" s="10">
        <v>50000</v>
      </c>
    </row>
    <row r="98" spans="1:10" x14ac:dyDescent="0.2">
      <c r="A98" s="43"/>
      <c r="D98" s="2">
        <f>SUM(D95:D97)</f>
        <v>55000</v>
      </c>
    </row>
    <row r="99" spans="1:10" ht="15" x14ac:dyDescent="0.35">
      <c r="A99" s="43"/>
      <c r="D99" s="10"/>
    </row>
    <row r="100" spans="1:10" ht="13.5" x14ac:dyDescent="0.25">
      <c r="A100" s="44" t="s">
        <v>217</v>
      </c>
      <c r="E100" s="2">
        <v>9999</v>
      </c>
      <c r="F100" s="2">
        <v>12000</v>
      </c>
      <c r="G100" s="2">
        <v>12000</v>
      </c>
      <c r="H100" s="2">
        <v>12000</v>
      </c>
      <c r="I100" s="2">
        <v>12000</v>
      </c>
      <c r="J100" s="2">
        <v>12000</v>
      </c>
    </row>
    <row r="101" spans="1:10" x14ac:dyDescent="0.2">
      <c r="A101" s="2" t="s">
        <v>253</v>
      </c>
      <c r="B101" s="2">
        <v>8500</v>
      </c>
      <c r="C101" s="2">
        <v>11000</v>
      </c>
      <c r="D101" s="2">
        <v>12000</v>
      </c>
    </row>
    <row r="102" spans="1:10" x14ac:dyDescent="0.2">
      <c r="A102" s="2" t="s">
        <v>338</v>
      </c>
      <c r="C102" s="2" t="s">
        <v>338</v>
      </c>
      <c r="D102" s="2" t="s">
        <v>338</v>
      </c>
    </row>
    <row r="103" spans="1:10" ht="15" x14ac:dyDescent="0.35">
      <c r="A103" s="44" t="s">
        <v>1276</v>
      </c>
      <c r="B103" s="284" t="s">
        <v>1825</v>
      </c>
      <c r="C103" s="284" t="s">
        <v>1947</v>
      </c>
      <c r="D103" s="284" t="s">
        <v>2039</v>
      </c>
      <c r="E103" s="2">
        <v>10035</v>
      </c>
      <c r="F103" s="2">
        <v>10000</v>
      </c>
      <c r="G103" s="2">
        <v>10000</v>
      </c>
      <c r="H103" s="2">
        <v>10000</v>
      </c>
      <c r="I103" s="2">
        <v>10000</v>
      </c>
      <c r="J103" s="2">
        <v>10000</v>
      </c>
    </row>
    <row r="104" spans="1:10" x14ac:dyDescent="0.2">
      <c r="A104" s="2" t="s">
        <v>1277</v>
      </c>
      <c r="B104" s="2">
        <v>3000</v>
      </c>
      <c r="C104" s="2">
        <v>3000</v>
      </c>
      <c r="D104" s="2">
        <v>3000</v>
      </c>
    </row>
    <row r="105" spans="1:10" x14ac:dyDescent="0.2">
      <c r="A105" s="2" t="s">
        <v>520</v>
      </c>
      <c r="B105" s="2">
        <v>5000</v>
      </c>
      <c r="C105" s="2">
        <v>5000</v>
      </c>
      <c r="D105" s="2">
        <v>5000</v>
      </c>
    </row>
    <row r="106" spans="1:10" x14ac:dyDescent="0.2">
      <c r="A106" s="2" t="s">
        <v>1379</v>
      </c>
      <c r="B106" s="2">
        <v>500</v>
      </c>
      <c r="C106" s="2">
        <v>500</v>
      </c>
      <c r="D106" s="2">
        <v>500</v>
      </c>
    </row>
    <row r="107" spans="1:10" x14ac:dyDescent="0.2">
      <c r="A107" s="2" t="s">
        <v>267</v>
      </c>
      <c r="B107" s="2">
        <v>700</v>
      </c>
      <c r="C107" s="2">
        <v>700</v>
      </c>
      <c r="D107" s="2">
        <v>700</v>
      </c>
    </row>
    <row r="108" spans="1:10" ht="15" x14ac:dyDescent="0.35">
      <c r="A108" s="2" t="s">
        <v>268</v>
      </c>
      <c r="B108" s="10">
        <v>800</v>
      </c>
      <c r="C108" s="10">
        <v>800</v>
      </c>
      <c r="D108" s="10">
        <v>800</v>
      </c>
    </row>
    <row r="109" spans="1:10" x14ac:dyDescent="0.2">
      <c r="A109" s="2" t="s">
        <v>1067</v>
      </c>
      <c r="B109" s="2">
        <f>SUM(B104:B108)</f>
        <v>10000</v>
      </c>
      <c r="C109" s="2">
        <f>SUM(C104:C108)</f>
        <v>10000</v>
      </c>
      <c r="D109" s="2">
        <f>SUM(D104:D108)</f>
        <v>10000</v>
      </c>
    </row>
    <row r="111" spans="1:10" ht="15" x14ac:dyDescent="0.35">
      <c r="A111" s="44" t="s">
        <v>269</v>
      </c>
      <c r="B111" s="284" t="s">
        <v>1825</v>
      </c>
      <c r="C111" s="284" t="s">
        <v>1947</v>
      </c>
      <c r="D111" s="284" t="s">
        <v>2039</v>
      </c>
      <c r="E111" s="2">
        <v>7851</v>
      </c>
      <c r="F111" s="2">
        <v>11250</v>
      </c>
      <c r="G111" s="2">
        <v>11250</v>
      </c>
      <c r="H111" s="2">
        <v>11250</v>
      </c>
      <c r="I111" s="2">
        <v>11250</v>
      </c>
      <c r="J111" s="2">
        <v>11250</v>
      </c>
    </row>
    <row r="112" spans="1:10" x14ac:dyDescent="0.2">
      <c r="A112" s="2" t="s">
        <v>270</v>
      </c>
      <c r="B112" s="2">
        <v>11100</v>
      </c>
      <c r="C112" s="2">
        <v>11250</v>
      </c>
      <c r="D112" s="2">
        <v>11250</v>
      </c>
    </row>
    <row r="113" spans="1:10" ht="15" x14ac:dyDescent="0.35">
      <c r="A113" s="2" t="s">
        <v>271</v>
      </c>
      <c r="B113" s="10">
        <v>800</v>
      </c>
      <c r="C113" s="10">
        <v>0</v>
      </c>
      <c r="D113" s="10">
        <v>0</v>
      </c>
    </row>
    <row r="114" spans="1:10" x14ac:dyDescent="0.2">
      <c r="A114" s="2" t="s">
        <v>1067</v>
      </c>
      <c r="B114" s="15">
        <f>SUM(B112:B113)</f>
        <v>11900</v>
      </c>
      <c r="C114" s="15">
        <f>SUM(C112:C113)</f>
        <v>11250</v>
      </c>
      <c r="D114" s="15">
        <f>SUM(D112:D113)</f>
        <v>11250</v>
      </c>
    </row>
    <row r="116" spans="1:10" ht="15" x14ac:dyDescent="0.35">
      <c r="A116" s="44" t="s">
        <v>272</v>
      </c>
      <c r="B116" s="284" t="s">
        <v>1825</v>
      </c>
      <c r="C116" s="284" t="s">
        <v>1947</v>
      </c>
      <c r="D116" s="284" t="s">
        <v>2039</v>
      </c>
      <c r="E116" s="2">
        <v>12326</v>
      </c>
      <c r="F116" s="2">
        <v>10900</v>
      </c>
      <c r="G116" s="2">
        <v>25400</v>
      </c>
      <c r="H116" s="2">
        <v>25400</v>
      </c>
      <c r="I116" s="2">
        <v>25400</v>
      </c>
      <c r="J116" s="2">
        <v>25400</v>
      </c>
    </row>
    <row r="117" spans="1:10" x14ac:dyDescent="0.2">
      <c r="A117" s="2" t="s">
        <v>805</v>
      </c>
      <c r="B117" s="2">
        <v>4000</v>
      </c>
      <c r="C117" s="2">
        <v>4250</v>
      </c>
      <c r="D117" s="2">
        <v>5250</v>
      </c>
    </row>
    <row r="118" spans="1:10" x14ac:dyDescent="0.2">
      <c r="A118" s="2" t="s">
        <v>181</v>
      </c>
      <c r="B118" s="2">
        <v>5400</v>
      </c>
      <c r="C118" s="2">
        <f>85*5*12</f>
        <v>5100</v>
      </c>
      <c r="D118" s="2">
        <f>85*5*12</f>
        <v>5100</v>
      </c>
    </row>
    <row r="119" spans="1:10" x14ac:dyDescent="0.2">
      <c r="A119" s="2" t="s">
        <v>1764</v>
      </c>
      <c r="B119" s="2">
        <v>50</v>
      </c>
      <c r="C119" s="2">
        <v>50</v>
      </c>
      <c r="D119" s="2">
        <v>50</v>
      </c>
    </row>
    <row r="120" spans="1:10" ht="15" x14ac:dyDescent="0.35">
      <c r="A120" s="2" t="s">
        <v>257</v>
      </c>
      <c r="B120" s="10">
        <v>2000</v>
      </c>
      <c r="C120" s="10">
        <v>1500</v>
      </c>
      <c r="D120" s="10">
        <v>15000</v>
      </c>
    </row>
    <row r="121" spans="1:10" x14ac:dyDescent="0.2">
      <c r="A121" s="2" t="s">
        <v>1067</v>
      </c>
      <c r="B121" s="2">
        <f>SUM(B117:B120)</f>
        <v>11450</v>
      </c>
      <c r="C121" s="2">
        <f>SUM(C117:C120)</f>
        <v>10900</v>
      </c>
      <c r="D121" s="2">
        <f>SUM(D117:D120)</f>
        <v>25400</v>
      </c>
    </row>
    <row r="123" spans="1:10" ht="15" x14ac:dyDescent="0.35">
      <c r="A123" s="44" t="s">
        <v>1194</v>
      </c>
      <c r="B123" s="284" t="s">
        <v>1825</v>
      </c>
      <c r="C123" s="284" t="s">
        <v>1825</v>
      </c>
      <c r="D123" s="284" t="s">
        <v>2039</v>
      </c>
      <c r="E123" s="2">
        <v>26513</v>
      </c>
      <c r="F123" s="2">
        <v>27134</v>
      </c>
      <c r="G123" s="2">
        <v>28815</v>
      </c>
      <c r="H123" s="2">
        <v>28815</v>
      </c>
      <c r="I123" s="2">
        <v>28815</v>
      </c>
      <c r="J123" s="2">
        <v>28815</v>
      </c>
    </row>
    <row r="124" spans="1:10" x14ac:dyDescent="0.2">
      <c r="A124" s="2" t="s">
        <v>1195</v>
      </c>
      <c r="B124" s="2">
        <v>25319</v>
      </c>
      <c r="C124" s="2">
        <v>25319</v>
      </c>
      <c r="D124" s="2">
        <v>27000</v>
      </c>
    </row>
    <row r="125" spans="1:10" x14ac:dyDescent="0.2">
      <c r="A125" s="2" t="s">
        <v>958</v>
      </c>
      <c r="B125" s="2">
        <v>250</v>
      </c>
      <c r="C125" s="2">
        <v>250</v>
      </c>
      <c r="D125" s="2">
        <v>250</v>
      </c>
    </row>
    <row r="126" spans="1:10" x14ac:dyDescent="0.2">
      <c r="A126" s="2" t="s">
        <v>959</v>
      </c>
      <c r="B126" s="2">
        <v>1000</v>
      </c>
      <c r="C126" s="2">
        <v>1000</v>
      </c>
      <c r="D126" s="2">
        <v>1000</v>
      </c>
    </row>
    <row r="127" spans="1:10" x14ac:dyDescent="0.2">
      <c r="A127" s="2" t="s">
        <v>1024</v>
      </c>
      <c r="B127" s="2">
        <v>360</v>
      </c>
      <c r="C127" s="2">
        <v>360</v>
      </c>
      <c r="D127" s="2">
        <v>360</v>
      </c>
    </row>
    <row r="128" spans="1:10" x14ac:dyDescent="0.2">
      <c r="A128" s="2" t="s">
        <v>849</v>
      </c>
      <c r="B128" s="2">
        <v>175</v>
      </c>
      <c r="C128" s="2">
        <v>175</v>
      </c>
      <c r="D128" s="2">
        <v>175</v>
      </c>
    </row>
    <row r="129" spans="1:10" ht="15" x14ac:dyDescent="0.35">
      <c r="A129" s="2" t="s">
        <v>1328</v>
      </c>
      <c r="B129" s="10">
        <v>30</v>
      </c>
      <c r="C129" s="10">
        <v>30</v>
      </c>
      <c r="D129" s="10">
        <v>30</v>
      </c>
    </row>
    <row r="130" spans="1:10" x14ac:dyDescent="0.2">
      <c r="A130" s="2" t="s">
        <v>1067</v>
      </c>
      <c r="B130" s="2">
        <f>SUM(B124:B129)</f>
        <v>27134</v>
      </c>
      <c r="C130" s="2">
        <f>SUM(C124:C129)</f>
        <v>27134</v>
      </c>
      <c r="D130" s="2">
        <f>SUM(D124:D129)</f>
        <v>28815</v>
      </c>
    </row>
    <row r="132" spans="1:10" ht="15" x14ac:dyDescent="0.35">
      <c r="A132" s="44" t="s">
        <v>146</v>
      </c>
      <c r="B132" s="284" t="s">
        <v>1825</v>
      </c>
      <c r="C132" s="284" t="s">
        <v>1947</v>
      </c>
      <c r="D132" s="284" t="s">
        <v>2039</v>
      </c>
      <c r="E132" s="2">
        <v>3688</v>
      </c>
      <c r="F132" s="2">
        <v>3970</v>
      </c>
      <c r="G132" s="2">
        <v>3970</v>
      </c>
      <c r="H132" s="2">
        <v>3970</v>
      </c>
      <c r="I132" s="2">
        <v>3970</v>
      </c>
      <c r="J132" s="2">
        <v>3970</v>
      </c>
    </row>
    <row r="133" spans="1:10" x14ac:dyDescent="0.2">
      <c r="A133" s="43" t="s">
        <v>1977</v>
      </c>
      <c r="B133" s="15">
        <v>0</v>
      </c>
      <c r="C133" s="15">
        <v>2400</v>
      </c>
      <c r="D133" s="15">
        <v>2400</v>
      </c>
    </row>
    <row r="134" spans="1:10" x14ac:dyDescent="0.2">
      <c r="A134" s="2" t="s">
        <v>268</v>
      </c>
      <c r="B134" s="2">
        <v>300</v>
      </c>
      <c r="C134" s="2">
        <v>300</v>
      </c>
      <c r="D134" s="2">
        <v>300</v>
      </c>
    </row>
    <row r="135" spans="1:10" x14ac:dyDescent="0.2">
      <c r="A135" s="2" t="s">
        <v>1066</v>
      </c>
      <c r="B135" s="2">
        <v>600</v>
      </c>
      <c r="C135" s="2">
        <v>600</v>
      </c>
      <c r="D135" s="2">
        <v>600</v>
      </c>
    </row>
    <row r="136" spans="1:10" ht="15" x14ac:dyDescent="0.35">
      <c r="A136" s="2" t="s">
        <v>897</v>
      </c>
      <c r="B136" s="10">
        <v>670</v>
      </c>
      <c r="C136" s="10">
        <v>670</v>
      </c>
      <c r="D136" s="10">
        <v>670</v>
      </c>
    </row>
    <row r="137" spans="1:10" x14ac:dyDescent="0.2">
      <c r="A137" s="2" t="s">
        <v>1067</v>
      </c>
      <c r="B137" s="2">
        <f>SUM(B133:B136)</f>
        <v>1570</v>
      </c>
      <c r="C137" s="2">
        <f>SUM(C133:C136)</f>
        <v>3970</v>
      </c>
      <c r="D137" s="2">
        <f>SUM(D133:D136)</f>
        <v>3970</v>
      </c>
    </row>
    <row r="139" spans="1:10" ht="15" x14ac:dyDescent="0.35">
      <c r="A139" s="44" t="s">
        <v>899</v>
      </c>
      <c r="B139" s="284" t="s">
        <v>1825</v>
      </c>
      <c r="C139" s="284" t="s">
        <v>1947</v>
      </c>
      <c r="D139" s="284" t="s">
        <v>2039</v>
      </c>
      <c r="E139" s="2">
        <v>17731</v>
      </c>
      <c r="F139" s="2">
        <v>9755</v>
      </c>
      <c r="G139" s="2">
        <v>10243</v>
      </c>
      <c r="H139" s="2">
        <v>10243</v>
      </c>
      <c r="I139" s="2">
        <v>10243</v>
      </c>
      <c r="J139" s="2">
        <v>10243</v>
      </c>
    </row>
    <row r="140" spans="1:10" x14ac:dyDescent="0.2">
      <c r="A140" s="2" t="s">
        <v>900</v>
      </c>
      <c r="B140" s="2">
        <v>9027</v>
      </c>
      <c r="C140" s="2">
        <v>9755</v>
      </c>
      <c r="D140" s="2">
        <v>10243</v>
      </c>
    </row>
    <row r="142" spans="1:10" ht="15" x14ac:dyDescent="0.35">
      <c r="A142" s="44" t="s">
        <v>901</v>
      </c>
      <c r="B142" s="284" t="s">
        <v>1825</v>
      </c>
      <c r="C142" s="284" t="s">
        <v>1947</v>
      </c>
      <c r="D142" s="284" t="s">
        <v>2039</v>
      </c>
      <c r="E142" s="2">
        <v>218502</v>
      </c>
      <c r="F142" s="2">
        <v>140000</v>
      </c>
      <c r="G142" s="2">
        <v>140000</v>
      </c>
      <c r="H142" s="2">
        <v>140000</v>
      </c>
      <c r="I142" s="2">
        <v>140000</v>
      </c>
      <c r="J142" s="2">
        <v>140000</v>
      </c>
    </row>
    <row r="143" spans="1:10" x14ac:dyDescent="0.2">
      <c r="A143" s="2" t="s">
        <v>369</v>
      </c>
      <c r="B143" s="2">
        <v>100000</v>
      </c>
      <c r="C143" s="2">
        <v>125000</v>
      </c>
      <c r="D143" s="2">
        <v>125000</v>
      </c>
    </row>
    <row r="144" spans="1:10" ht="15" x14ac:dyDescent="0.35">
      <c r="A144" s="2" t="s">
        <v>1817</v>
      </c>
      <c r="B144" s="10">
        <v>10000</v>
      </c>
      <c r="C144" s="10">
        <v>15000</v>
      </c>
      <c r="D144" s="10">
        <v>15000</v>
      </c>
    </row>
    <row r="145" spans="1:10" x14ac:dyDescent="0.2">
      <c r="B145" s="2">
        <f>SUM(B143:B144)</f>
        <v>110000</v>
      </c>
      <c r="C145" s="2">
        <f>SUM(C143:C144)</f>
        <v>140000</v>
      </c>
      <c r="D145" s="2">
        <f>SUM(D143:D144)</f>
        <v>140000</v>
      </c>
    </row>
    <row r="147" spans="1:10" ht="15" x14ac:dyDescent="0.35">
      <c r="A147" s="44" t="s">
        <v>902</v>
      </c>
      <c r="B147" s="284" t="s">
        <v>1825</v>
      </c>
      <c r="C147" s="284" t="s">
        <v>1947</v>
      </c>
      <c r="D147" s="284" t="s">
        <v>2039</v>
      </c>
      <c r="E147" s="2">
        <v>790</v>
      </c>
      <c r="F147" s="2">
        <v>1750</v>
      </c>
      <c r="G147" s="2">
        <v>1750</v>
      </c>
      <c r="H147" s="2">
        <v>1750</v>
      </c>
      <c r="I147" s="2">
        <v>1750</v>
      </c>
      <c r="J147" s="2">
        <v>1750</v>
      </c>
    </row>
    <row r="148" spans="1:10" x14ac:dyDescent="0.2">
      <c r="A148" s="2" t="s">
        <v>461</v>
      </c>
      <c r="B148" s="2">
        <v>250</v>
      </c>
      <c r="C148" s="2">
        <v>250</v>
      </c>
      <c r="D148" s="2">
        <v>250</v>
      </c>
    </row>
    <row r="149" spans="1:10" x14ac:dyDescent="0.2">
      <c r="A149" s="2" t="s">
        <v>126</v>
      </c>
      <c r="B149" s="2">
        <v>250</v>
      </c>
      <c r="C149" s="2">
        <v>250</v>
      </c>
      <c r="D149" s="2">
        <v>250</v>
      </c>
    </row>
    <row r="150" spans="1:10" x14ac:dyDescent="0.2">
      <c r="A150" s="2" t="s">
        <v>195</v>
      </c>
      <c r="B150" s="2">
        <v>250</v>
      </c>
      <c r="C150" s="2">
        <v>250</v>
      </c>
      <c r="D150" s="2">
        <v>250</v>
      </c>
    </row>
    <row r="151" spans="1:10" ht="15" x14ac:dyDescent="0.35">
      <c r="A151" s="2" t="s">
        <v>268</v>
      </c>
      <c r="B151" s="10">
        <v>1000</v>
      </c>
      <c r="C151" s="10">
        <v>1000</v>
      </c>
      <c r="D151" s="10">
        <v>1000</v>
      </c>
    </row>
    <row r="152" spans="1:10" x14ac:dyDescent="0.2">
      <c r="A152" s="2" t="s">
        <v>1067</v>
      </c>
      <c r="B152" s="2">
        <f>SUM(B148:B151)</f>
        <v>1750</v>
      </c>
      <c r="C152" s="2">
        <f>SUM(C148:C151)</f>
        <v>1750</v>
      </c>
      <c r="D152" s="2">
        <f>SUM(D148:D151)</f>
        <v>1750</v>
      </c>
    </row>
    <row r="154" spans="1:10" ht="15" x14ac:dyDescent="0.35">
      <c r="A154" s="44" t="s">
        <v>460</v>
      </c>
      <c r="B154" s="284" t="s">
        <v>1825</v>
      </c>
      <c r="C154" s="284" t="s">
        <v>1947</v>
      </c>
      <c r="D154" s="284" t="s">
        <v>2039</v>
      </c>
      <c r="E154" s="2">
        <v>6721</v>
      </c>
      <c r="F154" s="2">
        <v>11483</v>
      </c>
      <c r="G154" s="2">
        <v>12595</v>
      </c>
      <c r="H154" s="2">
        <v>12595</v>
      </c>
      <c r="I154" s="2">
        <v>12595</v>
      </c>
      <c r="J154" s="2">
        <v>12595</v>
      </c>
    </row>
    <row r="155" spans="1:10" x14ac:dyDescent="0.2">
      <c r="A155" s="2" t="s">
        <v>905</v>
      </c>
      <c r="B155" s="2">
        <v>1885</v>
      </c>
      <c r="C155" s="2">
        <v>1885</v>
      </c>
      <c r="D155" s="2">
        <v>2500</v>
      </c>
    </row>
    <row r="156" spans="1:10" x14ac:dyDescent="0.2">
      <c r="A156" s="2" t="s">
        <v>445</v>
      </c>
      <c r="B156" s="2">
        <v>2003</v>
      </c>
      <c r="C156" s="2">
        <v>2003</v>
      </c>
      <c r="D156" s="2">
        <v>2500</v>
      </c>
    </row>
    <row r="157" spans="1:10" x14ac:dyDescent="0.2">
      <c r="A157" s="2" t="s">
        <v>532</v>
      </c>
      <c r="B157" s="2">
        <v>945</v>
      </c>
      <c r="C157" s="2">
        <v>945</v>
      </c>
      <c r="D157" s="2">
        <v>945</v>
      </c>
    </row>
    <row r="158" spans="1:10" x14ac:dyDescent="0.2">
      <c r="A158" s="2" t="s">
        <v>1830</v>
      </c>
      <c r="B158" s="2">
        <v>0</v>
      </c>
      <c r="C158" s="2">
        <v>6500</v>
      </c>
      <c r="D158" s="2">
        <v>6500</v>
      </c>
    </row>
    <row r="159" spans="1:10" ht="15" x14ac:dyDescent="0.35">
      <c r="A159" s="2" t="s">
        <v>268</v>
      </c>
      <c r="B159" s="10">
        <v>150</v>
      </c>
      <c r="C159" s="10">
        <v>150</v>
      </c>
      <c r="D159" s="10">
        <v>150</v>
      </c>
    </row>
    <row r="160" spans="1:10" x14ac:dyDescent="0.2">
      <c r="A160" s="2" t="s">
        <v>1067</v>
      </c>
      <c r="B160" s="2">
        <f>SUM(B155:B159)</f>
        <v>4983</v>
      </c>
      <c r="C160" s="2">
        <f>SUM(C155:C159)</f>
        <v>11483</v>
      </c>
      <c r="D160" s="2">
        <f>SUM(D155:D159)</f>
        <v>12595</v>
      </c>
    </row>
    <row r="162" spans="1:10" ht="15" x14ac:dyDescent="0.35">
      <c r="A162" s="44" t="s">
        <v>40</v>
      </c>
      <c r="B162" s="284" t="s">
        <v>1825</v>
      </c>
      <c r="C162" s="284" t="s">
        <v>1825</v>
      </c>
      <c r="D162" s="284" t="s">
        <v>2039</v>
      </c>
      <c r="E162" s="2">
        <v>6598</v>
      </c>
      <c r="F162" s="2">
        <v>5000</v>
      </c>
      <c r="G162" s="2">
        <v>5000</v>
      </c>
      <c r="H162" s="2">
        <v>5000</v>
      </c>
      <c r="I162" s="2">
        <v>5000</v>
      </c>
      <c r="J162" s="2">
        <v>5000</v>
      </c>
    </row>
    <row r="163" spans="1:10" x14ac:dyDescent="0.2">
      <c r="A163" s="2" t="s">
        <v>558</v>
      </c>
      <c r="B163" s="2">
        <v>5000</v>
      </c>
      <c r="C163" s="2">
        <v>5000</v>
      </c>
      <c r="D163" s="2">
        <v>5000</v>
      </c>
    </row>
    <row r="164" spans="1:10" ht="15" x14ac:dyDescent="0.35">
      <c r="A164" s="2" t="s">
        <v>1600</v>
      </c>
      <c r="B164" s="28">
        <v>0</v>
      </c>
      <c r="C164" s="28">
        <v>0</v>
      </c>
      <c r="D164" s="28">
        <v>0</v>
      </c>
    </row>
    <row r="165" spans="1:10" x14ac:dyDescent="0.2">
      <c r="B165" s="2">
        <f>SUM(B163:B164)</f>
        <v>5000</v>
      </c>
      <c r="C165" s="2">
        <f>SUM(C163:C164)</f>
        <v>5000</v>
      </c>
      <c r="D165" s="2">
        <f>SUM(D163:D164)</f>
        <v>5000</v>
      </c>
    </row>
    <row r="167" spans="1:10" ht="15" x14ac:dyDescent="0.35">
      <c r="A167" s="44" t="s">
        <v>41</v>
      </c>
      <c r="B167" s="284" t="s">
        <v>1825</v>
      </c>
      <c r="C167" s="284" t="s">
        <v>1947</v>
      </c>
      <c r="D167" s="284" t="s">
        <v>2039</v>
      </c>
      <c r="E167" s="2">
        <v>9632</v>
      </c>
      <c r="F167" s="2">
        <v>13650</v>
      </c>
      <c r="G167" s="2">
        <v>13650</v>
      </c>
      <c r="H167" s="2">
        <v>13650</v>
      </c>
      <c r="I167" s="2">
        <v>13650</v>
      </c>
      <c r="J167" s="2">
        <v>13650</v>
      </c>
    </row>
    <row r="168" spans="1:10" x14ac:dyDescent="0.2">
      <c r="A168" s="2" t="s">
        <v>461</v>
      </c>
      <c r="B168" s="2">
        <v>750</v>
      </c>
      <c r="C168" s="2">
        <v>750</v>
      </c>
      <c r="D168" s="2">
        <v>750</v>
      </c>
    </row>
    <row r="169" spans="1:10" x14ac:dyDescent="0.2">
      <c r="A169" s="2" t="s">
        <v>879</v>
      </c>
      <c r="B169" s="2">
        <v>500</v>
      </c>
      <c r="C169" s="2">
        <v>500</v>
      </c>
      <c r="D169" s="2">
        <v>500</v>
      </c>
    </row>
    <row r="170" spans="1:10" x14ac:dyDescent="0.2">
      <c r="A170" s="2" t="s">
        <v>1368</v>
      </c>
      <c r="B170" s="2">
        <v>2500</v>
      </c>
      <c r="C170" s="2">
        <v>2500</v>
      </c>
      <c r="D170" s="2">
        <v>2500</v>
      </c>
    </row>
    <row r="171" spans="1:10" x14ac:dyDescent="0.2">
      <c r="A171" s="2" t="s">
        <v>238</v>
      </c>
      <c r="B171" s="2">
        <v>150</v>
      </c>
      <c r="C171" s="2">
        <v>150</v>
      </c>
      <c r="D171" s="2">
        <v>150</v>
      </c>
    </row>
    <row r="172" spans="1:10" x14ac:dyDescent="0.2">
      <c r="A172" s="2" t="s">
        <v>1369</v>
      </c>
      <c r="B172" s="2">
        <v>1000</v>
      </c>
      <c r="C172" s="2">
        <v>1000</v>
      </c>
      <c r="D172" s="2">
        <v>1000</v>
      </c>
    </row>
    <row r="173" spans="1:10" x14ac:dyDescent="0.2">
      <c r="A173" s="2" t="s">
        <v>237</v>
      </c>
      <c r="B173" s="2">
        <v>1000</v>
      </c>
      <c r="C173" s="2">
        <v>1000</v>
      </c>
      <c r="D173" s="2">
        <v>1000</v>
      </c>
    </row>
    <row r="174" spans="1:10" x14ac:dyDescent="0.2">
      <c r="A174" s="2" t="s">
        <v>196</v>
      </c>
      <c r="B174" s="2">
        <v>250</v>
      </c>
      <c r="C174" s="2">
        <v>250</v>
      </c>
      <c r="D174" s="2">
        <v>250</v>
      </c>
    </row>
    <row r="175" spans="1:10" ht="15" x14ac:dyDescent="0.35">
      <c r="A175" s="2" t="s">
        <v>25</v>
      </c>
      <c r="B175" s="10">
        <v>7500</v>
      </c>
      <c r="C175" s="10">
        <v>7500</v>
      </c>
      <c r="D175" s="10">
        <v>7500</v>
      </c>
    </row>
    <row r="176" spans="1:10" x14ac:dyDescent="0.2">
      <c r="A176" s="2" t="s">
        <v>1067</v>
      </c>
      <c r="B176" s="2">
        <f>SUM(B168:B175)</f>
        <v>13650</v>
      </c>
      <c r="C176" s="2">
        <f>SUM(C168:C175)</f>
        <v>13650</v>
      </c>
      <c r="D176" s="2">
        <f>SUM(D168:D175)</f>
        <v>13650</v>
      </c>
    </row>
    <row r="178" spans="1:10" ht="15" x14ac:dyDescent="0.35">
      <c r="A178" s="44" t="s">
        <v>965</v>
      </c>
      <c r="B178" s="284" t="s">
        <v>1825</v>
      </c>
      <c r="C178" s="284" t="s">
        <v>1947</v>
      </c>
      <c r="D178" s="284" t="s">
        <v>2039</v>
      </c>
      <c r="E178" s="2">
        <v>144920</v>
      </c>
      <c r="F178" s="2">
        <v>130900</v>
      </c>
      <c r="G178" s="2">
        <v>213707</v>
      </c>
      <c r="H178" s="2">
        <v>213707</v>
      </c>
      <c r="I178" s="2">
        <v>175933</v>
      </c>
      <c r="J178" s="2">
        <v>175933</v>
      </c>
    </row>
    <row r="179" spans="1:10" x14ac:dyDescent="0.2">
      <c r="A179" s="2" t="s">
        <v>507</v>
      </c>
      <c r="B179" s="2">
        <v>42500</v>
      </c>
      <c r="C179" s="2">
        <v>64000</v>
      </c>
      <c r="D179" s="2">
        <v>64000</v>
      </c>
    </row>
    <row r="180" spans="1:10" x14ac:dyDescent="0.2">
      <c r="A180" s="2" t="s">
        <v>553</v>
      </c>
      <c r="B180" s="2">
        <v>12000</v>
      </c>
      <c r="C180" s="2">
        <v>7000</v>
      </c>
      <c r="D180" s="2">
        <v>9500</v>
      </c>
    </row>
    <row r="181" spans="1:10" x14ac:dyDescent="0.2">
      <c r="A181" s="2" t="s">
        <v>70</v>
      </c>
      <c r="B181" s="2">
        <v>5000</v>
      </c>
      <c r="C181" s="2">
        <v>5000</v>
      </c>
      <c r="D181" s="2">
        <v>13793.18</v>
      </c>
    </row>
    <row r="182" spans="1:10" x14ac:dyDescent="0.2">
      <c r="A182" s="2" t="s">
        <v>1362</v>
      </c>
      <c r="B182" s="2">
        <v>2300</v>
      </c>
      <c r="C182" s="2">
        <v>6800</v>
      </c>
      <c r="D182" s="2">
        <v>8800</v>
      </c>
    </row>
    <row r="183" spans="1:10" x14ac:dyDescent="0.2">
      <c r="A183" s="2" t="s">
        <v>2102</v>
      </c>
      <c r="B183" s="2">
        <v>23100</v>
      </c>
      <c r="C183" s="2">
        <v>23100</v>
      </c>
      <c r="D183" s="2">
        <v>29000</v>
      </c>
    </row>
    <row r="184" spans="1:10" x14ac:dyDescent="0.2">
      <c r="A184" s="2" t="s">
        <v>2100</v>
      </c>
      <c r="B184" s="2">
        <v>0</v>
      </c>
      <c r="C184" s="2">
        <v>0</v>
      </c>
      <c r="D184" s="2">
        <v>15840</v>
      </c>
    </row>
    <row r="185" spans="1:10" x14ac:dyDescent="0.2">
      <c r="A185" s="2" t="s">
        <v>2101</v>
      </c>
      <c r="B185" s="2">
        <v>0</v>
      </c>
      <c r="C185" s="2">
        <v>0</v>
      </c>
      <c r="D185" s="2">
        <v>0</v>
      </c>
    </row>
    <row r="186" spans="1:10" ht="15" x14ac:dyDescent="0.35">
      <c r="A186" s="2" t="s">
        <v>546</v>
      </c>
      <c r="B186" s="10">
        <f>35000-10000</f>
        <v>25000</v>
      </c>
      <c r="C186" s="10">
        <v>25000</v>
      </c>
      <c r="D186" s="10">
        <v>35000</v>
      </c>
    </row>
    <row r="187" spans="1:10" x14ac:dyDescent="0.2">
      <c r="A187" s="2" t="s">
        <v>1067</v>
      </c>
      <c r="B187" s="2">
        <f>SUM(B179:B186)</f>
        <v>109900</v>
      </c>
      <c r="C187" s="2">
        <f>SUM(C179:C186)</f>
        <v>130900</v>
      </c>
      <c r="D187" s="2">
        <f>SUM(D179:D186)</f>
        <v>175933.18</v>
      </c>
    </row>
    <row r="189" spans="1:10" ht="15" x14ac:dyDescent="0.35">
      <c r="A189" s="44" t="s">
        <v>508</v>
      </c>
      <c r="B189" s="284" t="s">
        <v>1825</v>
      </c>
      <c r="C189" s="284" t="s">
        <v>1947</v>
      </c>
      <c r="D189" s="284" t="s">
        <v>2039</v>
      </c>
      <c r="E189" s="2">
        <v>142801</v>
      </c>
      <c r="F189" s="2">
        <v>118200</v>
      </c>
      <c r="G189" s="2">
        <v>143700</v>
      </c>
      <c r="H189" s="2">
        <v>143700</v>
      </c>
      <c r="I189" s="2">
        <v>125200</v>
      </c>
      <c r="J189" s="2">
        <v>125200</v>
      </c>
    </row>
    <row r="190" spans="1:10" x14ac:dyDescent="0.2">
      <c r="A190" s="2" t="s">
        <v>509</v>
      </c>
      <c r="B190" s="2">
        <f>36000-3000</f>
        <v>33000</v>
      </c>
      <c r="C190" s="2">
        <f>36000-3000</f>
        <v>33000</v>
      </c>
      <c r="D190" s="2">
        <f>35000</f>
        <v>35000</v>
      </c>
    </row>
    <row r="191" spans="1:10" x14ac:dyDescent="0.2">
      <c r="A191" s="2" t="s">
        <v>2051</v>
      </c>
      <c r="B191" s="2">
        <v>0</v>
      </c>
      <c r="C191" s="2">
        <v>0</v>
      </c>
      <c r="D191" s="2">
        <v>0</v>
      </c>
    </row>
    <row r="192" spans="1:10" x14ac:dyDescent="0.2">
      <c r="A192" s="2" t="s">
        <v>893</v>
      </c>
      <c r="B192" s="2">
        <f>15000-3000</f>
        <v>12000</v>
      </c>
      <c r="C192" s="2">
        <v>15500</v>
      </c>
      <c r="D192" s="2">
        <v>15500</v>
      </c>
    </row>
    <row r="193" spans="1:10" x14ac:dyDescent="0.2">
      <c r="A193" s="2" t="s">
        <v>2050</v>
      </c>
      <c r="B193" s="2">
        <v>0</v>
      </c>
      <c r="C193" s="2">
        <v>0</v>
      </c>
      <c r="D193" s="2">
        <v>3000</v>
      </c>
    </row>
    <row r="194" spans="1:10" x14ac:dyDescent="0.2">
      <c r="A194" s="2" t="s">
        <v>1689</v>
      </c>
      <c r="B194" s="2">
        <v>4000</v>
      </c>
      <c r="C194" s="2">
        <v>4000</v>
      </c>
      <c r="D194" s="2">
        <v>4000</v>
      </c>
    </row>
    <row r="195" spans="1:10" x14ac:dyDescent="0.2">
      <c r="A195" s="2" t="s">
        <v>1521</v>
      </c>
      <c r="B195" s="2">
        <v>12000</v>
      </c>
      <c r="C195" s="2">
        <v>12000</v>
      </c>
      <c r="D195" s="2">
        <v>12000</v>
      </c>
    </row>
    <row r="196" spans="1:10" x14ac:dyDescent="0.2">
      <c r="A196" s="2" t="s">
        <v>767</v>
      </c>
      <c r="B196" s="2">
        <v>3700</v>
      </c>
      <c r="C196" s="2">
        <v>3700</v>
      </c>
      <c r="D196" s="2">
        <v>3700</v>
      </c>
    </row>
    <row r="197" spans="1:10" x14ac:dyDescent="0.2">
      <c r="A197" s="2" t="s">
        <v>611</v>
      </c>
      <c r="B197" s="17">
        <f>48150-4000</f>
        <v>44150</v>
      </c>
      <c r="C197" s="17">
        <v>50000</v>
      </c>
      <c r="D197" s="17">
        <v>52000</v>
      </c>
    </row>
    <row r="198" spans="1:10" x14ac:dyDescent="0.2">
      <c r="A198" s="2" t="s">
        <v>1067</v>
      </c>
      <c r="B198" s="2">
        <f>SUM(B190:B197)</f>
        <v>108850</v>
      </c>
      <c r="C198" s="2">
        <f>SUM(C190:C197)</f>
        <v>118200</v>
      </c>
      <c r="D198" s="2">
        <f>SUM(D190:D197)</f>
        <v>125200</v>
      </c>
    </row>
    <row r="200" spans="1:10" ht="15" x14ac:dyDescent="0.35">
      <c r="A200" s="44" t="s">
        <v>551</v>
      </c>
      <c r="B200" s="284" t="s">
        <v>1825</v>
      </c>
      <c r="C200" s="284" t="s">
        <v>1947</v>
      </c>
      <c r="D200" s="284" t="s">
        <v>2039</v>
      </c>
      <c r="E200" s="2">
        <v>38866</v>
      </c>
      <c r="F200" s="2">
        <v>38866</v>
      </c>
      <c r="G200" s="2">
        <v>38866</v>
      </c>
      <c r="H200" s="2">
        <v>38866</v>
      </c>
      <c r="I200" s="2">
        <v>38866</v>
      </c>
      <c r="J200" s="2">
        <v>38866</v>
      </c>
    </row>
    <row r="201" spans="1:10" x14ac:dyDescent="0.2">
      <c r="A201" s="2" t="s">
        <v>357</v>
      </c>
      <c r="B201" s="2">
        <v>38866</v>
      </c>
      <c r="C201" s="2">
        <v>38866</v>
      </c>
      <c r="D201" s="2">
        <v>38866</v>
      </c>
    </row>
    <row r="203" spans="1:10" ht="13.5" x14ac:dyDescent="0.25">
      <c r="A203" s="44" t="s">
        <v>518</v>
      </c>
      <c r="E203" s="2">
        <v>10030</v>
      </c>
      <c r="F203" s="2">
        <v>10425</v>
      </c>
      <c r="G203" s="2">
        <v>10000</v>
      </c>
      <c r="H203" s="2">
        <v>10000</v>
      </c>
      <c r="I203" s="2">
        <v>10000</v>
      </c>
      <c r="J203" s="2">
        <v>10000</v>
      </c>
    </row>
    <row r="204" spans="1:10" ht="15" x14ac:dyDescent="0.35">
      <c r="A204" s="2" t="s">
        <v>694</v>
      </c>
      <c r="B204" s="284" t="s">
        <v>1825</v>
      </c>
      <c r="C204" s="284" t="s">
        <v>1947</v>
      </c>
      <c r="D204" s="284" t="s">
        <v>2039</v>
      </c>
    </row>
    <row r="205" spans="1:10" x14ac:dyDescent="0.2">
      <c r="A205" s="2" t="s">
        <v>695</v>
      </c>
      <c r="B205" s="2">
        <v>600</v>
      </c>
      <c r="C205" s="2">
        <v>600</v>
      </c>
      <c r="D205" s="2">
        <v>600</v>
      </c>
    </row>
    <row r="206" spans="1:10" x14ac:dyDescent="0.2">
      <c r="A206" s="2" t="s">
        <v>2104</v>
      </c>
      <c r="B206" s="2">
        <v>550</v>
      </c>
      <c r="C206" s="2">
        <v>550</v>
      </c>
      <c r="D206" s="2">
        <v>1500</v>
      </c>
    </row>
    <row r="207" spans="1:10" x14ac:dyDescent="0.2">
      <c r="A207" s="2" t="s">
        <v>696</v>
      </c>
      <c r="B207" s="2">
        <v>1400</v>
      </c>
      <c r="C207" s="2">
        <v>1400</v>
      </c>
      <c r="D207" s="2">
        <v>3200</v>
      </c>
    </row>
    <row r="208" spans="1:10" x14ac:dyDescent="0.2">
      <c r="A208" s="2" t="s">
        <v>697</v>
      </c>
      <c r="B208" s="2">
        <v>1500</v>
      </c>
      <c r="C208" s="2">
        <v>1500</v>
      </c>
      <c r="D208" s="2">
        <v>1250</v>
      </c>
    </row>
    <row r="209" spans="1:10" x14ac:dyDescent="0.2">
      <c r="A209" s="2" t="s">
        <v>698</v>
      </c>
      <c r="B209" s="2">
        <v>120</v>
      </c>
      <c r="C209" s="2">
        <v>120</v>
      </c>
      <c r="D209" s="2">
        <v>120</v>
      </c>
    </row>
    <row r="210" spans="1:10" x14ac:dyDescent="0.2">
      <c r="A210" s="2" t="s">
        <v>687</v>
      </c>
      <c r="B210" s="2">
        <v>4500</v>
      </c>
      <c r="C210" s="2">
        <v>4500</v>
      </c>
      <c r="D210" s="2">
        <v>4500</v>
      </c>
    </row>
    <row r="211" spans="1:10" x14ac:dyDescent="0.2">
      <c r="A211" s="2" t="s">
        <v>612</v>
      </c>
      <c r="B211" s="2">
        <v>200</v>
      </c>
      <c r="C211" s="2">
        <v>200</v>
      </c>
      <c r="D211" s="2">
        <v>350</v>
      </c>
    </row>
    <row r="212" spans="1:10" x14ac:dyDescent="0.2">
      <c r="A212" s="2" t="s">
        <v>1851</v>
      </c>
      <c r="B212" s="2">
        <v>2400</v>
      </c>
      <c r="C212" s="2">
        <v>2400</v>
      </c>
      <c r="D212" s="2">
        <v>2400</v>
      </c>
    </row>
    <row r="213" spans="1:10" ht="15" x14ac:dyDescent="0.35">
      <c r="A213" s="2" t="s">
        <v>1111</v>
      </c>
      <c r="B213" s="10">
        <f>100+500+400+200+50</f>
        <v>1250</v>
      </c>
      <c r="C213" s="10">
        <f>100+500+400+200+50</f>
        <v>1250</v>
      </c>
      <c r="D213" s="10">
        <f>100+500+400+200+50</f>
        <v>1250</v>
      </c>
    </row>
    <row r="214" spans="1:10" x14ac:dyDescent="0.2">
      <c r="A214" s="2" t="s">
        <v>1112</v>
      </c>
      <c r="B214" s="2">
        <f>SUM(B205:B213)</f>
        <v>12520</v>
      </c>
      <c r="C214" s="2">
        <f>SUM(C205:C213)</f>
        <v>12520</v>
      </c>
      <c r="D214" s="2">
        <f>SUM(D205:D213)</f>
        <v>15170</v>
      </c>
    </row>
    <row r="215" spans="1:10" x14ac:dyDescent="0.2">
      <c r="A215" s="2" t="s">
        <v>1469</v>
      </c>
      <c r="B215" s="2">
        <v>-2520</v>
      </c>
      <c r="C215" s="2">
        <v>-2520</v>
      </c>
      <c r="D215" s="2">
        <v>-5170</v>
      </c>
    </row>
    <row r="216" spans="1:10" x14ac:dyDescent="0.2">
      <c r="A216" s="2" t="s">
        <v>1197</v>
      </c>
      <c r="B216" s="17">
        <v>0</v>
      </c>
      <c r="C216" s="17">
        <v>0</v>
      </c>
      <c r="D216" s="17">
        <v>0</v>
      </c>
    </row>
    <row r="217" spans="1:10" x14ac:dyDescent="0.2">
      <c r="A217" s="2" t="s">
        <v>1378</v>
      </c>
      <c r="B217" s="2">
        <f>SUM(B214:B216)</f>
        <v>10000</v>
      </c>
      <c r="C217" s="2">
        <f>SUM(C214:C216)</f>
        <v>10000</v>
      </c>
      <c r="D217" s="2">
        <f>SUM(D214:D216)</f>
        <v>10000</v>
      </c>
    </row>
    <row r="218" spans="1:10" x14ac:dyDescent="0.2">
      <c r="A218" s="2" t="s">
        <v>1377</v>
      </c>
      <c r="B218" s="17">
        <v>350</v>
      </c>
      <c r="C218" s="17">
        <v>425</v>
      </c>
      <c r="D218" s="17">
        <v>0</v>
      </c>
    </row>
    <row r="219" spans="1:10" x14ac:dyDescent="0.2">
      <c r="A219" s="2" t="s">
        <v>391</v>
      </c>
      <c r="B219" s="2">
        <f>SUM(B217:B218)</f>
        <v>10350</v>
      </c>
      <c r="C219" s="2">
        <f>SUM(C217:C218)</f>
        <v>10425</v>
      </c>
      <c r="D219" s="2">
        <f>SUM(D217:D218)</f>
        <v>10000</v>
      </c>
    </row>
    <row r="221" spans="1:10" ht="15" x14ac:dyDescent="0.35">
      <c r="A221" s="44" t="s">
        <v>323</v>
      </c>
      <c r="B221" s="284" t="s">
        <v>1825</v>
      </c>
      <c r="C221" s="284" t="s">
        <v>1947</v>
      </c>
      <c r="D221" s="284" t="s">
        <v>2039</v>
      </c>
      <c r="E221" s="2">
        <v>0</v>
      </c>
      <c r="F221" s="2">
        <v>0</v>
      </c>
      <c r="G221" s="2">
        <v>0</v>
      </c>
      <c r="H221" s="2">
        <v>0</v>
      </c>
      <c r="I221" s="2">
        <v>0</v>
      </c>
      <c r="J221" s="2">
        <v>0</v>
      </c>
    </row>
    <row r="222" spans="1:10" x14ac:dyDescent="0.2">
      <c r="A222" s="283" t="s">
        <v>324</v>
      </c>
      <c r="B222" s="2">
        <v>75</v>
      </c>
      <c r="C222" s="2">
        <v>0</v>
      </c>
      <c r="D222" s="2">
        <v>0</v>
      </c>
    </row>
    <row r="223" spans="1:10" ht="15" x14ac:dyDescent="0.35">
      <c r="A223" s="283" t="s">
        <v>26</v>
      </c>
      <c r="B223" s="10">
        <v>0</v>
      </c>
      <c r="C223" s="10">
        <v>0</v>
      </c>
      <c r="D223" s="10">
        <v>0</v>
      </c>
    </row>
    <row r="224" spans="1:10" x14ac:dyDescent="0.2">
      <c r="B224" s="2">
        <f>SUM(B222:B223)</f>
        <v>75</v>
      </c>
      <c r="C224" s="2">
        <f>SUM(C222:C223)</f>
        <v>0</v>
      </c>
      <c r="D224" s="2">
        <f>SUM(D222:D223)</f>
        <v>0</v>
      </c>
    </row>
    <row r="227" spans="1:10" ht="15" x14ac:dyDescent="0.35">
      <c r="A227" s="44" t="s">
        <v>392</v>
      </c>
      <c r="B227" s="284" t="s">
        <v>1825</v>
      </c>
      <c r="C227" s="284" t="s">
        <v>1947</v>
      </c>
      <c r="D227" s="284" t="s">
        <v>2039</v>
      </c>
      <c r="E227" s="2">
        <v>14171</v>
      </c>
      <c r="F227" s="2">
        <v>38522</v>
      </c>
      <c r="G227" s="2">
        <v>29384</v>
      </c>
      <c r="H227" s="2">
        <v>29384</v>
      </c>
      <c r="I227" s="2">
        <v>29384</v>
      </c>
      <c r="J227" s="2">
        <v>39698</v>
      </c>
    </row>
    <row r="228" spans="1:10" x14ac:dyDescent="0.2">
      <c r="A228" s="2" t="s">
        <v>393</v>
      </c>
    </row>
    <row r="229" spans="1:10" x14ac:dyDescent="0.2">
      <c r="A229" s="2" t="s">
        <v>2176</v>
      </c>
      <c r="B229" s="2">
        <v>6000</v>
      </c>
      <c r="C229" s="2">
        <v>6000</v>
      </c>
      <c r="D229" s="2">
        <v>12000</v>
      </c>
    </row>
    <row r="230" spans="1:10" x14ac:dyDescent="0.2">
      <c r="A230" s="2" t="s">
        <v>2177</v>
      </c>
      <c r="B230" s="2">
        <v>1500</v>
      </c>
      <c r="C230" s="2">
        <v>4500</v>
      </c>
      <c r="D230" s="2">
        <v>6000</v>
      </c>
    </row>
    <row r="231" spans="1:10" ht="15" x14ac:dyDescent="0.35">
      <c r="A231" s="2" t="s">
        <v>2178</v>
      </c>
      <c r="B231" s="10">
        <v>1088</v>
      </c>
      <c r="C231" s="10">
        <v>3263</v>
      </c>
      <c r="D231" s="10">
        <v>3000</v>
      </c>
    </row>
    <row r="232" spans="1:10" x14ac:dyDescent="0.2">
      <c r="A232" s="2" t="s">
        <v>394</v>
      </c>
      <c r="B232" s="2">
        <f>SUM(B229:B231)</f>
        <v>8588</v>
      </c>
      <c r="C232" s="2">
        <f>SUM(C229:C231)</f>
        <v>13763</v>
      </c>
      <c r="D232" s="2">
        <f>SUM(D229:D231)</f>
        <v>21000</v>
      </c>
    </row>
    <row r="233" spans="1:10" x14ac:dyDescent="0.2">
      <c r="A233" s="2" t="s">
        <v>395</v>
      </c>
      <c r="B233" s="2">
        <f>ROUND(B229*0.0765,0)</f>
        <v>459</v>
      </c>
      <c r="C233" s="2">
        <f>ROUND(C229*0.0765,0)</f>
        <v>459</v>
      </c>
      <c r="D233" s="2">
        <f>ROUND(D229*0.0765,0)</f>
        <v>918</v>
      </c>
    </row>
    <row r="234" spans="1:10" x14ac:dyDescent="0.2">
      <c r="A234" s="2" t="s">
        <v>1679</v>
      </c>
      <c r="B234" s="2">
        <f>ROUND(B229*0.0016,0)</f>
        <v>10</v>
      </c>
      <c r="C234" s="2">
        <f>ROUND(C229*0.0016,0)</f>
        <v>10</v>
      </c>
      <c r="D234" s="2">
        <f>ROUND(D229*0.0016,0)</f>
        <v>19</v>
      </c>
    </row>
    <row r="235" spans="1:10" x14ac:dyDescent="0.2">
      <c r="A235" s="2" t="s">
        <v>1653</v>
      </c>
      <c r="B235" s="2">
        <f>+B229*0.34%</f>
        <v>20.400000000000002</v>
      </c>
      <c r="C235" s="2">
        <f>+C229*0.34%</f>
        <v>20.400000000000002</v>
      </c>
      <c r="D235" s="2">
        <f>+D229*0.34%</f>
        <v>40.800000000000004</v>
      </c>
    </row>
    <row r="236" spans="1:10" x14ac:dyDescent="0.2">
      <c r="A236" s="2" t="s">
        <v>540</v>
      </c>
      <c r="B236" s="2">
        <v>1400</v>
      </c>
      <c r="C236" s="2">
        <v>4200</v>
      </c>
      <c r="D236" s="2">
        <v>2800</v>
      </c>
    </row>
    <row r="237" spans="1:10" x14ac:dyDescent="0.2">
      <c r="A237" s="2" t="s">
        <v>416</v>
      </c>
      <c r="B237" s="2">
        <v>4000</v>
      </c>
      <c r="C237" s="2">
        <v>12000</v>
      </c>
      <c r="D237" s="2">
        <v>8000</v>
      </c>
    </row>
    <row r="238" spans="1:10" x14ac:dyDescent="0.2">
      <c r="A238" s="2" t="s">
        <v>184</v>
      </c>
      <c r="B238" s="2">
        <v>250</v>
      </c>
      <c r="C238" s="2">
        <v>750</v>
      </c>
      <c r="D238" s="2">
        <v>500</v>
      </c>
    </row>
    <row r="239" spans="1:10" x14ac:dyDescent="0.2">
      <c r="A239" s="2" t="s">
        <v>311</v>
      </c>
      <c r="B239" s="2">
        <v>1200</v>
      </c>
      <c r="C239" s="2">
        <v>3300</v>
      </c>
      <c r="D239" s="2">
        <v>2400</v>
      </c>
    </row>
    <row r="240" spans="1:10" x14ac:dyDescent="0.2">
      <c r="A240" s="2" t="s">
        <v>17</v>
      </c>
      <c r="B240" s="2">
        <v>2400</v>
      </c>
      <c r="C240" s="2">
        <v>2400</v>
      </c>
      <c r="D240" s="2">
        <v>2400</v>
      </c>
    </row>
    <row r="241" spans="1:10" x14ac:dyDescent="0.2">
      <c r="A241" s="2" t="s">
        <v>506</v>
      </c>
      <c r="B241" s="2">
        <v>120</v>
      </c>
      <c r="C241" s="2">
        <v>120</v>
      </c>
      <c r="D241" s="2">
        <v>120</v>
      </c>
    </row>
    <row r="242" spans="1:10" ht="15" x14ac:dyDescent="0.35">
      <c r="A242" s="2" t="s">
        <v>18</v>
      </c>
      <c r="B242" s="10">
        <v>1500</v>
      </c>
      <c r="C242" s="10">
        <v>1500</v>
      </c>
      <c r="D242" s="10">
        <v>1500</v>
      </c>
    </row>
    <row r="243" spans="1:10" x14ac:dyDescent="0.2">
      <c r="A243" s="2" t="s">
        <v>1067</v>
      </c>
      <c r="B243" s="2">
        <f>SUM(B232:B242)</f>
        <v>19947.400000000001</v>
      </c>
      <c r="C243" s="2">
        <f>SUM(C232:C242)</f>
        <v>38522.400000000001</v>
      </c>
      <c r="D243" s="2">
        <f>SUM(D232:D242)</f>
        <v>39697.800000000003</v>
      </c>
    </row>
    <row r="245" spans="1:10" ht="15" x14ac:dyDescent="0.35">
      <c r="A245" s="44" t="s">
        <v>19</v>
      </c>
      <c r="B245" s="284" t="s">
        <v>1825</v>
      </c>
      <c r="C245" s="284" t="s">
        <v>1947</v>
      </c>
      <c r="D245" s="284" t="s">
        <v>2039</v>
      </c>
      <c r="E245" s="2">
        <v>24291</v>
      </c>
      <c r="F245" s="2">
        <v>15000</v>
      </c>
      <c r="G245" s="2">
        <v>20000</v>
      </c>
      <c r="H245" s="2">
        <v>17500</v>
      </c>
      <c r="I245" s="2">
        <v>17500</v>
      </c>
      <c r="J245" s="2">
        <v>17500</v>
      </c>
    </row>
    <row r="246" spans="1:10" x14ac:dyDescent="0.2">
      <c r="A246" s="2" t="s">
        <v>581</v>
      </c>
      <c r="B246" s="2">
        <v>20000</v>
      </c>
      <c r="C246" s="2">
        <v>15000</v>
      </c>
      <c r="D246" s="2">
        <v>17500</v>
      </c>
    </row>
    <row r="248" spans="1:10" ht="15" x14ac:dyDescent="0.35">
      <c r="A248" s="44" t="s">
        <v>1001</v>
      </c>
      <c r="B248" s="284" t="s">
        <v>1825</v>
      </c>
      <c r="C248" s="284" t="s">
        <v>1947</v>
      </c>
      <c r="D248" s="284" t="s">
        <v>2039</v>
      </c>
      <c r="E248" s="2">
        <v>18207</v>
      </c>
      <c r="F248" s="2">
        <v>16300</v>
      </c>
      <c r="G248" s="2">
        <v>16300</v>
      </c>
      <c r="H248" s="2">
        <v>16300</v>
      </c>
      <c r="I248" s="2">
        <v>16300</v>
      </c>
      <c r="J248" s="2">
        <v>16300</v>
      </c>
    </row>
    <row r="249" spans="1:10" x14ac:dyDescent="0.2">
      <c r="A249" s="2" t="s">
        <v>1002</v>
      </c>
      <c r="B249" s="2">
        <v>5000</v>
      </c>
      <c r="C249" s="2">
        <v>2500</v>
      </c>
      <c r="D249" s="2">
        <v>2500</v>
      </c>
    </row>
    <row r="250" spans="1:10" x14ac:dyDescent="0.2">
      <c r="A250" s="2" t="s">
        <v>1654</v>
      </c>
      <c r="B250" s="2">
        <v>5000</v>
      </c>
      <c r="C250" s="2">
        <v>5000</v>
      </c>
      <c r="D250" s="2">
        <v>5000</v>
      </c>
    </row>
    <row r="251" spans="1:10" x14ac:dyDescent="0.2">
      <c r="A251" s="2" t="s">
        <v>125</v>
      </c>
      <c r="B251" s="2">
        <v>8500</v>
      </c>
      <c r="C251" s="2">
        <v>8500</v>
      </c>
      <c r="D251" s="2">
        <v>8500</v>
      </c>
    </row>
    <row r="252" spans="1:10" ht="15" x14ac:dyDescent="0.35">
      <c r="A252" s="2" t="s">
        <v>268</v>
      </c>
      <c r="B252" s="10">
        <v>300</v>
      </c>
      <c r="C252" s="10">
        <v>300</v>
      </c>
      <c r="D252" s="10">
        <v>300</v>
      </c>
    </row>
    <row r="253" spans="1:10" x14ac:dyDescent="0.2">
      <c r="A253" s="2" t="s">
        <v>1067</v>
      </c>
      <c r="B253" s="2">
        <f>SUM(B249:B252)</f>
        <v>18800</v>
      </c>
      <c r="C253" s="2">
        <f>SUM(C249:C252)</f>
        <v>16300</v>
      </c>
      <c r="D253" s="2">
        <f>SUM(D249:D252)</f>
        <v>16300</v>
      </c>
    </row>
    <row r="255" spans="1:10" ht="15" x14ac:dyDescent="0.35">
      <c r="A255" s="44" t="s">
        <v>1274</v>
      </c>
      <c r="B255" s="284" t="s">
        <v>1825</v>
      </c>
      <c r="C255" s="284" t="s">
        <v>1947</v>
      </c>
      <c r="D255" s="284" t="s">
        <v>2039</v>
      </c>
      <c r="E255" s="2">
        <v>0</v>
      </c>
      <c r="F255" s="2">
        <v>1</v>
      </c>
      <c r="G255" s="2">
        <v>1</v>
      </c>
      <c r="H255" s="2">
        <v>1</v>
      </c>
      <c r="I255" s="2">
        <v>1</v>
      </c>
      <c r="J255" s="2">
        <v>1</v>
      </c>
    </row>
    <row r="256" spans="1:10" x14ac:dyDescent="0.2">
      <c r="A256" s="2" t="s">
        <v>569</v>
      </c>
      <c r="B256" s="2">
        <v>1</v>
      </c>
      <c r="C256" s="2">
        <v>1</v>
      </c>
      <c r="D256" s="2">
        <v>1</v>
      </c>
    </row>
    <row r="258" spans="1:10" ht="15" x14ac:dyDescent="0.35">
      <c r="A258" s="44" t="s">
        <v>1672</v>
      </c>
      <c r="B258" s="284"/>
      <c r="C258" s="284"/>
      <c r="D258" s="284"/>
      <c r="E258" s="2">
        <v>0</v>
      </c>
      <c r="F258" s="2">
        <v>0</v>
      </c>
      <c r="G258" s="2">
        <v>0</v>
      </c>
      <c r="H258" s="2">
        <v>0</v>
      </c>
      <c r="I258" s="2">
        <v>0</v>
      </c>
      <c r="J258" s="2">
        <v>0</v>
      </c>
    </row>
    <row r="259" spans="1:10" x14ac:dyDescent="0.2">
      <c r="A259" s="2" t="s">
        <v>1023</v>
      </c>
    </row>
    <row r="262" spans="1:10" ht="15" x14ac:dyDescent="0.35">
      <c r="A262" s="44" t="s">
        <v>681</v>
      </c>
      <c r="B262" s="284" t="s">
        <v>1825</v>
      </c>
      <c r="C262" s="284" t="s">
        <v>1947</v>
      </c>
      <c r="D262" s="284" t="s">
        <v>2039</v>
      </c>
      <c r="E262" s="2">
        <v>41300</v>
      </c>
      <c r="F262" s="2">
        <v>3500</v>
      </c>
      <c r="G262" s="2">
        <v>3500</v>
      </c>
      <c r="H262" s="2">
        <v>3500</v>
      </c>
      <c r="I262" s="2">
        <v>3500</v>
      </c>
      <c r="J262" s="2">
        <v>3500</v>
      </c>
    </row>
    <row r="263" spans="1:10" ht="15" x14ac:dyDescent="0.35">
      <c r="A263" s="2" t="s">
        <v>1219</v>
      </c>
      <c r="B263" s="10">
        <v>3500</v>
      </c>
      <c r="C263" s="10">
        <v>3500</v>
      </c>
      <c r="D263" s="10">
        <v>3500</v>
      </c>
    </row>
    <row r="264" spans="1:10" x14ac:dyDescent="0.2">
      <c r="A264" s="2" t="s">
        <v>1067</v>
      </c>
      <c r="B264" s="2">
        <f>SUM(B263:B263)</f>
        <v>3500</v>
      </c>
      <c r="C264" s="2">
        <f>SUM(C263:C263)</f>
        <v>3500</v>
      </c>
      <c r="D264" s="2">
        <f>SUM(D263:D263)</f>
        <v>3500</v>
      </c>
    </row>
    <row r="266" spans="1:10" ht="15" x14ac:dyDescent="0.35">
      <c r="A266" s="44" t="s">
        <v>1226</v>
      </c>
      <c r="B266" s="284" t="s">
        <v>1825</v>
      </c>
      <c r="C266" s="284" t="s">
        <v>1947</v>
      </c>
      <c r="D266" s="284" t="s">
        <v>2039</v>
      </c>
      <c r="E266" s="2">
        <v>55300</v>
      </c>
      <c r="F266" s="2">
        <v>55300</v>
      </c>
      <c r="G266" s="2">
        <v>55300</v>
      </c>
      <c r="H266" s="2">
        <v>55300</v>
      </c>
      <c r="I266" s="2">
        <v>55300</v>
      </c>
      <c r="J266" s="2">
        <v>55300</v>
      </c>
    </row>
    <row r="267" spans="1:10" ht="15" x14ac:dyDescent="0.35">
      <c r="A267" s="2" t="s">
        <v>490</v>
      </c>
      <c r="B267" s="18"/>
      <c r="C267" s="18"/>
      <c r="D267" s="18"/>
      <c r="E267" s="10"/>
      <c r="F267" s="10"/>
      <c r="G267" s="10"/>
      <c r="H267" s="10"/>
      <c r="I267" s="10"/>
      <c r="J267" s="10"/>
    </row>
    <row r="268" spans="1:10" x14ac:dyDescent="0.2">
      <c r="A268" s="2" t="s">
        <v>869</v>
      </c>
      <c r="B268" s="7">
        <v>300</v>
      </c>
      <c r="C268" s="7">
        <v>300</v>
      </c>
      <c r="D268" s="7">
        <v>300</v>
      </c>
      <c r="E268" s="7"/>
      <c r="F268" s="7"/>
      <c r="G268" s="7"/>
      <c r="H268" s="7"/>
      <c r="I268" s="7"/>
      <c r="J268" s="7"/>
    </row>
    <row r="269" spans="1:10" x14ac:dyDescent="0.2">
      <c r="A269" s="2" t="s">
        <v>1027</v>
      </c>
      <c r="B269" s="7">
        <v>0</v>
      </c>
      <c r="C269" s="7">
        <v>0</v>
      </c>
      <c r="D269" s="7">
        <v>0</v>
      </c>
      <c r="E269" s="7"/>
      <c r="F269" s="7"/>
      <c r="G269" s="7"/>
      <c r="H269" s="7"/>
      <c r="I269" s="7"/>
      <c r="J269" s="7"/>
    </row>
    <row r="270" spans="1:10" x14ac:dyDescent="0.2">
      <c r="A270" s="2" t="s">
        <v>521</v>
      </c>
      <c r="B270" s="18">
        <v>0</v>
      </c>
      <c r="C270" s="18">
        <v>0</v>
      </c>
      <c r="D270" s="18">
        <v>0</v>
      </c>
      <c r="E270" s="18"/>
      <c r="F270" s="18"/>
      <c r="G270" s="18"/>
      <c r="H270" s="18"/>
      <c r="I270" s="18"/>
      <c r="J270" s="18"/>
    </row>
    <row r="271" spans="1:10" x14ac:dyDescent="0.2">
      <c r="A271" s="2" t="s">
        <v>216</v>
      </c>
      <c r="B271" s="7">
        <f>SUM(B268:B270)</f>
        <v>300</v>
      </c>
      <c r="C271" s="7">
        <f>SUM(C268:C270)</f>
        <v>300</v>
      </c>
      <c r="D271" s="7">
        <f>SUM(D268:D270)</f>
        <v>300</v>
      </c>
      <c r="E271" s="7"/>
      <c r="F271" s="7"/>
      <c r="G271" s="7"/>
      <c r="H271" s="7"/>
      <c r="I271" s="7"/>
      <c r="J271" s="7"/>
    </row>
    <row r="272" spans="1:10" x14ac:dyDescent="0.2">
      <c r="A272" s="2" t="s">
        <v>276</v>
      </c>
      <c r="B272" s="2">
        <v>35000</v>
      </c>
      <c r="C272" s="2">
        <v>35000</v>
      </c>
      <c r="D272" s="2">
        <v>35000</v>
      </c>
    </row>
    <row r="273" spans="1:10" x14ac:dyDescent="0.2">
      <c r="A273" s="2" t="s">
        <v>1655</v>
      </c>
      <c r="B273" s="2">
        <v>10000</v>
      </c>
      <c r="C273" s="2">
        <v>10000</v>
      </c>
      <c r="D273" s="2">
        <v>10000</v>
      </c>
    </row>
    <row r="274" spans="1:10" ht="15" x14ac:dyDescent="0.35">
      <c r="A274" s="2" t="s">
        <v>277</v>
      </c>
      <c r="B274" s="10">
        <v>10000</v>
      </c>
      <c r="C274" s="10">
        <v>10000</v>
      </c>
      <c r="D274" s="10">
        <v>10000</v>
      </c>
    </row>
    <row r="275" spans="1:10" x14ac:dyDescent="0.2">
      <c r="A275" s="2" t="s">
        <v>1067</v>
      </c>
      <c r="B275" s="2">
        <f>SUM(B271:B274)</f>
        <v>55300</v>
      </c>
      <c r="C275" s="2">
        <f t="shared" ref="C275:D275" si="3">SUM(C271:C274)</f>
        <v>55300</v>
      </c>
      <c r="D275" s="2">
        <f t="shared" si="3"/>
        <v>55300</v>
      </c>
    </row>
    <row r="277" spans="1:10" x14ac:dyDescent="0.2">
      <c r="A277" s="15" t="s">
        <v>338</v>
      </c>
    </row>
    <row r="278" spans="1:10" x14ac:dyDescent="0.2">
      <c r="A278" s="2" t="s">
        <v>1144</v>
      </c>
      <c r="E278" s="2">
        <f t="shared" ref="E278:J278" si="4">SUM(E6:E271)</f>
        <v>2244226</v>
      </c>
      <c r="F278" s="2">
        <f t="shared" si="4"/>
        <v>2224461</v>
      </c>
      <c r="G278" s="2">
        <f t="shared" si="4"/>
        <v>2279506</v>
      </c>
      <c r="H278" s="2">
        <f>SUM(H6:H271)</f>
        <v>2277006</v>
      </c>
      <c r="I278" s="2">
        <f t="shared" si="4"/>
        <v>2258294</v>
      </c>
      <c r="J278" s="2">
        <f t="shared" si="4"/>
        <v>2268608</v>
      </c>
    </row>
    <row r="280" spans="1:10" x14ac:dyDescent="0.2">
      <c r="A280" s="2" t="s">
        <v>511</v>
      </c>
      <c r="E280" s="2">
        <f>SUM(E6:E94)</f>
        <v>1423954</v>
      </c>
      <c r="F280" s="2">
        <f>SUM(F6:F94)</f>
        <v>1540555</v>
      </c>
      <c r="G280" s="2">
        <f t="shared" ref="G280" si="5">SUM(G6:G94)</f>
        <v>1474075</v>
      </c>
      <c r="H280" s="2">
        <f>SUM(H6:H94)</f>
        <v>1474075</v>
      </c>
      <c r="I280" s="2">
        <f>SUM(I6:I99)</f>
        <v>1511637</v>
      </c>
      <c r="J280" s="2">
        <f>SUM(J6:J94)</f>
        <v>1511637</v>
      </c>
    </row>
    <row r="281" spans="1:10" x14ac:dyDescent="0.2">
      <c r="A281" s="2" t="s">
        <v>803</v>
      </c>
      <c r="E281" s="2">
        <f t="shared" ref="E281:J281" si="6">SUM(E100:E248)</f>
        <v>723672</v>
      </c>
      <c r="F281" s="2">
        <f t="shared" si="6"/>
        <v>625105</v>
      </c>
      <c r="G281" s="2">
        <f t="shared" ref="G281:H281" si="7">SUM(G100:G248)</f>
        <v>746630</v>
      </c>
      <c r="H281" s="2">
        <f t="shared" si="7"/>
        <v>744130</v>
      </c>
      <c r="I281" s="2">
        <f t="shared" si="6"/>
        <v>687856</v>
      </c>
      <c r="J281" s="2">
        <f t="shared" si="6"/>
        <v>698170</v>
      </c>
    </row>
    <row r="282" spans="1:10" ht="15" x14ac:dyDescent="0.35">
      <c r="A282" s="2" t="s">
        <v>804</v>
      </c>
      <c r="E282" s="10">
        <f t="shared" ref="E282:J282" si="8">SUM(E255:E271)</f>
        <v>96600</v>
      </c>
      <c r="F282" s="10">
        <f t="shared" si="8"/>
        <v>58801</v>
      </c>
      <c r="G282" s="10">
        <f t="shared" ref="G282:H282" si="9">SUM(G255:G271)</f>
        <v>58801</v>
      </c>
      <c r="H282" s="10">
        <f t="shared" si="9"/>
        <v>58801</v>
      </c>
      <c r="I282" s="10">
        <f>SUM(I255:I271)</f>
        <v>58801</v>
      </c>
      <c r="J282" s="10">
        <f t="shared" si="8"/>
        <v>58801</v>
      </c>
    </row>
    <row r="283" spans="1:10" x14ac:dyDescent="0.2">
      <c r="A283" s="2" t="s">
        <v>1067</v>
      </c>
      <c r="E283" s="2">
        <f t="shared" ref="E283:J283" si="10">SUM(E280:E282)</f>
        <v>2244226</v>
      </c>
      <c r="F283" s="2">
        <f t="shared" si="10"/>
        <v>2224461</v>
      </c>
      <c r="G283" s="2">
        <f t="shared" ref="G283:H283" si="11">SUM(G280:G282)</f>
        <v>2279506</v>
      </c>
      <c r="H283" s="2">
        <f t="shared" si="11"/>
        <v>2277006</v>
      </c>
      <c r="I283" s="2">
        <f>SUM(I280:I282)</f>
        <v>2258294</v>
      </c>
      <c r="J283" s="2">
        <f t="shared" si="10"/>
        <v>2268608</v>
      </c>
    </row>
    <row r="286" spans="1:10" x14ac:dyDescent="0.2">
      <c r="G286" s="2">
        <f>+G283-F283</f>
        <v>55045</v>
      </c>
      <c r="J286" s="2">
        <f>37562-56274</f>
        <v>-18712</v>
      </c>
    </row>
    <row r="287" spans="1:10" x14ac:dyDescent="0.2">
      <c r="I287" s="2">
        <f>I283-H283</f>
        <v>-18712</v>
      </c>
      <c r="J287" s="2">
        <f>J283-H283</f>
        <v>-8398</v>
      </c>
    </row>
    <row r="288" spans="1:10" x14ac:dyDescent="0.2">
      <c r="J288" s="2">
        <f>J286-J287</f>
        <v>-10314</v>
      </c>
    </row>
  </sheetData>
  <mergeCells count="1">
    <mergeCell ref="A1:J1"/>
  </mergeCells>
  <phoneticPr fontId="0" type="noConversion"/>
  <printOptions gridLines="1"/>
  <pageMargins left="0.75" right="0.16" top="0.51" bottom="0.22" header="0.5" footer="0.24"/>
  <pageSetup scale="85" orientation="landscape" r:id="rId1"/>
  <headerFooter alignWithMargins="0"/>
  <rowBreaks count="2" manualBreakCount="2">
    <brk id="115" max="9" man="1"/>
    <brk id="202" max="9"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32"/>
  <sheetViews>
    <sheetView view="pageBreakPreview" zoomScaleNormal="100" zoomScaleSheetLayoutView="100" workbookViewId="0">
      <pane ySplit="5" topLeftCell="A227" activePane="bottomLeft" state="frozen"/>
      <selection activeCell="D43" sqref="D43"/>
      <selection pane="bottomLeft" sqref="A1:J1"/>
    </sheetView>
  </sheetViews>
  <sheetFormatPr defaultColWidth="8.85546875" defaultRowHeight="12.75" x14ac:dyDescent="0.2"/>
  <cols>
    <col min="1" max="1" width="58.85546875" style="183" customWidth="1"/>
    <col min="2" max="3" width="9.5703125" style="183" bestFit="1" customWidth="1"/>
    <col min="4" max="4" width="9.5703125" style="2" bestFit="1" customWidth="1"/>
    <col min="5" max="6" width="9.140625" style="183" bestFit="1" customWidth="1"/>
    <col min="7" max="7" width="11.7109375" style="183" bestFit="1" customWidth="1"/>
    <col min="8" max="8" width="12.42578125" style="2" customWidth="1"/>
    <col min="9" max="9" width="9.5703125" style="183" bestFit="1" customWidth="1"/>
    <col min="10" max="10" width="9.42578125" style="183" bestFit="1" customWidth="1"/>
    <col min="11" max="16384" width="8.85546875" style="183"/>
  </cols>
  <sheetData>
    <row r="1" spans="1:10" x14ac:dyDescent="0.2">
      <c r="A1" s="319" t="s">
        <v>2038</v>
      </c>
      <c r="B1" s="320"/>
      <c r="C1" s="320"/>
      <c r="D1" s="320"/>
      <c r="E1" s="320"/>
      <c r="F1" s="320"/>
      <c r="G1" s="320"/>
      <c r="H1" s="320"/>
      <c r="I1" s="320"/>
      <c r="J1" s="320"/>
    </row>
    <row r="2" spans="1:10" ht="18.75" x14ac:dyDescent="0.3">
      <c r="A2" s="95" t="s">
        <v>1568</v>
      </c>
      <c r="B2" s="95"/>
      <c r="C2" s="95"/>
      <c r="D2" s="95"/>
      <c r="E2" s="95"/>
      <c r="F2" s="95"/>
    </row>
    <row r="3" spans="1:10" x14ac:dyDescent="0.2">
      <c r="B3" s="2"/>
      <c r="C3" s="2"/>
      <c r="E3" s="2"/>
      <c r="F3" s="2"/>
    </row>
    <row r="4" spans="1:10" x14ac:dyDescent="0.2">
      <c r="B4" s="2"/>
      <c r="C4" s="2"/>
      <c r="E4" s="15" t="s">
        <v>199</v>
      </c>
      <c r="F4" s="15" t="s">
        <v>200</v>
      </c>
      <c r="G4" s="15" t="s">
        <v>60</v>
      </c>
      <c r="H4" s="15" t="s">
        <v>351</v>
      </c>
      <c r="I4" s="15" t="s">
        <v>264</v>
      </c>
      <c r="J4" s="15" t="s">
        <v>295</v>
      </c>
    </row>
    <row r="5" spans="1:10" ht="15" x14ac:dyDescent="0.35">
      <c r="B5" s="2"/>
      <c r="C5" s="2"/>
      <c r="E5" s="232" t="s">
        <v>1825</v>
      </c>
      <c r="F5" s="232" t="s">
        <v>1947</v>
      </c>
      <c r="G5" s="232" t="s">
        <v>2039</v>
      </c>
      <c r="H5" s="232" t="s">
        <v>2039</v>
      </c>
      <c r="I5" s="232" t="s">
        <v>2039</v>
      </c>
      <c r="J5" s="232" t="s">
        <v>2039</v>
      </c>
    </row>
    <row r="6" spans="1:10" ht="13.5" x14ac:dyDescent="0.25">
      <c r="A6" s="196" t="s">
        <v>1275</v>
      </c>
      <c r="B6" s="2"/>
      <c r="C6" s="2"/>
      <c r="E6" s="2">
        <v>78289</v>
      </c>
      <c r="F6" s="2">
        <v>78486</v>
      </c>
      <c r="G6" s="2">
        <v>78496</v>
      </c>
      <c r="H6" s="2">
        <v>78496</v>
      </c>
      <c r="I6" s="2">
        <v>81200</v>
      </c>
      <c r="J6" s="2">
        <v>81200</v>
      </c>
    </row>
    <row r="7" spans="1:10" x14ac:dyDescent="0.2">
      <c r="A7" s="22" t="s">
        <v>380</v>
      </c>
      <c r="B7" s="2">
        <v>52</v>
      </c>
      <c r="C7" s="2">
        <v>1539.2</v>
      </c>
      <c r="D7" s="2">
        <f>+C7*B7</f>
        <v>80038.400000000009</v>
      </c>
      <c r="E7" s="2"/>
      <c r="F7" s="2"/>
      <c r="G7" s="2"/>
      <c r="I7" s="2"/>
      <c r="J7" s="2"/>
    </row>
    <row r="8" spans="1:10" ht="15" x14ac:dyDescent="0.35">
      <c r="A8" s="195" t="s">
        <v>818</v>
      </c>
      <c r="B8" s="2"/>
      <c r="C8" s="2"/>
      <c r="D8" s="10">
        <v>1162</v>
      </c>
      <c r="E8" s="2"/>
      <c r="F8" s="10"/>
      <c r="G8" s="10"/>
      <c r="H8" s="10"/>
      <c r="I8" s="10"/>
      <c r="J8" s="10"/>
    </row>
    <row r="9" spans="1:10" x14ac:dyDescent="0.2">
      <c r="A9" s="195" t="s">
        <v>1067</v>
      </c>
      <c r="B9" s="2"/>
      <c r="C9" s="2"/>
      <c r="D9" s="2">
        <f>SUM(D7:D8)</f>
        <v>81200.400000000009</v>
      </c>
      <c r="E9" s="2"/>
      <c r="F9" s="2"/>
      <c r="G9" s="2"/>
      <c r="I9" s="2"/>
      <c r="J9" s="2"/>
    </row>
    <row r="10" spans="1:10" x14ac:dyDescent="0.2">
      <c r="A10" s="283"/>
      <c r="B10" s="2"/>
      <c r="C10" s="2"/>
      <c r="E10" s="2"/>
      <c r="F10" s="2"/>
      <c r="G10" s="2"/>
      <c r="I10" s="2"/>
      <c r="J10" s="2"/>
    </row>
    <row r="11" spans="1:10" x14ac:dyDescent="0.2">
      <c r="A11" s="283"/>
      <c r="B11" s="2"/>
      <c r="C11" s="2"/>
      <c r="E11" s="2"/>
      <c r="F11" s="2"/>
      <c r="G11" s="2"/>
      <c r="I11" s="2"/>
      <c r="J11" s="2"/>
    </row>
    <row r="12" spans="1:10" ht="13.5" x14ac:dyDescent="0.25">
      <c r="A12" s="286" t="s">
        <v>1581</v>
      </c>
      <c r="B12" s="2"/>
      <c r="C12" s="2"/>
      <c r="E12" s="2">
        <v>46788</v>
      </c>
      <c r="F12" s="2">
        <v>47060</v>
      </c>
      <c r="G12" s="2">
        <v>47070</v>
      </c>
      <c r="H12" s="2">
        <v>47070</v>
      </c>
      <c r="I12" s="2">
        <v>48724</v>
      </c>
      <c r="J12" s="2">
        <v>48724</v>
      </c>
    </row>
    <row r="13" spans="1:10" x14ac:dyDescent="0.2">
      <c r="A13" s="283" t="s">
        <v>1766</v>
      </c>
      <c r="B13" s="2">
        <v>52</v>
      </c>
      <c r="C13" s="2">
        <v>937</v>
      </c>
      <c r="D13" s="2">
        <f>+C13*B13</f>
        <v>48724</v>
      </c>
      <c r="E13" s="2"/>
      <c r="F13" s="2"/>
      <c r="G13" s="2"/>
      <c r="I13" s="2"/>
      <c r="J13" s="2"/>
    </row>
    <row r="14" spans="1:10" ht="15" x14ac:dyDescent="0.35">
      <c r="A14" s="283" t="s">
        <v>818</v>
      </c>
      <c r="B14" s="2"/>
      <c r="C14" s="2"/>
      <c r="D14" s="10">
        <v>0</v>
      </c>
      <c r="E14" s="283"/>
      <c r="F14" s="283"/>
      <c r="G14" s="283"/>
      <c r="H14" s="283"/>
      <c r="I14" s="316"/>
      <c r="J14" s="316"/>
    </row>
    <row r="15" spans="1:10" x14ac:dyDescent="0.2">
      <c r="A15" s="283" t="s">
        <v>1067</v>
      </c>
      <c r="B15" s="2"/>
      <c r="C15" s="2"/>
      <c r="D15" s="2">
        <f>SUM(D13:D14)</f>
        <v>48724</v>
      </c>
      <c r="E15" s="2"/>
      <c r="F15" s="2"/>
      <c r="G15" s="2"/>
      <c r="I15" s="2"/>
      <c r="J15" s="2"/>
    </row>
    <row r="16" spans="1:10" x14ac:dyDescent="0.2">
      <c r="A16" s="283"/>
      <c r="B16" s="2"/>
      <c r="C16" s="2"/>
      <c r="E16" s="2"/>
      <c r="F16" s="2"/>
      <c r="G16" s="2"/>
      <c r="I16" s="2"/>
      <c r="J16" s="2"/>
    </row>
    <row r="17" spans="1:10" x14ac:dyDescent="0.2">
      <c r="A17" s="283"/>
      <c r="B17" s="2"/>
      <c r="C17" s="2"/>
      <c r="E17" s="2"/>
      <c r="F17" s="2"/>
      <c r="G17" s="2"/>
      <c r="I17" s="2"/>
      <c r="J17" s="2"/>
    </row>
    <row r="18" spans="1:10" ht="13.5" x14ac:dyDescent="0.25">
      <c r="A18" s="286" t="s">
        <v>943</v>
      </c>
      <c r="B18" s="2"/>
      <c r="C18" s="2"/>
      <c r="E18" s="2">
        <v>31394</v>
      </c>
      <c r="F18" s="2">
        <v>43869</v>
      </c>
      <c r="G18" s="2">
        <v>40245</v>
      </c>
      <c r="H18" s="2">
        <v>40245</v>
      </c>
      <c r="I18" s="2">
        <v>41012</v>
      </c>
      <c r="J18" s="2">
        <v>41012</v>
      </c>
    </row>
    <row r="19" spans="1:10" x14ac:dyDescent="0.2">
      <c r="A19" s="283" t="s">
        <v>2059</v>
      </c>
      <c r="B19" s="2">
        <v>441</v>
      </c>
      <c r="C19" s="11">
        <v>16.100000000000001</v>
      </c>
      <c r="D19" s="2">
        <f t="shared" ref="D19:D24" si="0">ROUND(B19*C19,0)</f>
        <v>7100</v>
      </c>
      <c r="E19" s="2"/>
      <c r="F19" s="2"/>
      <c r="G19" s="2"/>
      <c r="I19" s="2"/>
      <c r="J19" s="2"/>
    </row>
    <row r="20" spans="1:10" x14ac:dyDescent="0.2">
      <c r="A20" s="283" t="s">
        <v>2060</v>
      </c>
      <c r="B20" s="2">
        <v>360</v>
      </c>
      <c r="C20" s="11">
        <v>19</v>
      </c>
      <c r="D20" s="2">
        <f t="shared" si="0"/>
        <v>6840</v>
      </c>
      <c r="E20" s="2"/>
      <c r="F20" s="2"/>
      <c r="G20" s="2"/>
      <c r="I20" s="2"/>
      <c r="J20" s="2"/>
    </row>
    <row r="21" spans="1:10" x14ac:dyDescent="0.2">
      <c r="A21" s="283" t="s">
        <v>2061</v>
      </c>
      <c r="B21" s="2">
        <v>200</v>
      </c>
      <c r="C21" s="11">
        <v>21.74</v>
      </c>
      <c r="D21" s="2">
        <f t="shared" si="0"/>
        <v>4348</v>
      </c>
      <c r="E21" s="2"/>
      <c r="F21" s="2"/>
      <c r="G21" s="2"/>
      <c r="I21" s="2"/>
      <c r="J21" s="2"/>
    </row>
    <row r="22" spans="1:10" x14ac:dyDescent="0.2">
      <c r="A22" s="283" t="s">
        <v>1966</v>
      </c>
      <c r="B22" s="2">
        <v>1300</v>
      </c>
      <c r="C22" s="11">
        <v>17.48</v>
      </c>
      <c r="D22" s="2">
        <f t="shared" si="0"/>
        <v>22724</v>
      </c>
      <c r="E22" s="2"/>
      <c r="F22" s="2"/>
      <c r="G22" s="2"/>
      <c r="I22" s="2"/>
      <c r="J22" s="2"/>
    </row>
    <row r="23" spans="1:10" x14ac:dyDescent="0.2">
      <c r="A23" s="283" t="s">
        <v>1967</v>
      </c>
      <c r="B23" s="2">
        <v>0</v>
      </c>
      <c r="C23" s="11">
        <v>15.1</v>
      </c>
      <c r="D23" s="2">
        <f t="shared" si="0"/>
        <v>0</v>
      </c>
      <c r="E23" s="2"/>
      <c r="F23" s="2"/>
      <c r="G23" s="2"/>
      <c r="I23" s="2"/>
      <c r="J23" s="2"/>
    </row>
    <row r="24" spans="1:10" ht="15" x14ac:dyDescent="0.35">
      <c r="A24" s="283" t="s">
        <v>1968</v>
      </c>
      <c r="B24" s="2">
        <v>0</v>
      </c>
      <c r="C24" s="11">
        <v>0</v>
      </c>
      <c r="D24" s="10">
        <f t="shared" si="0"/>
        <v>0</v>
      </c>
      <c r="E24" s="2"/>
      <c r="F24" s="2"/>
      <c r="G24" s="2"/>
      <c r="I24" s="2"/>
      <c r="J24" s="2"/>
    </row>
    <row r="25" spans="1:10" x14ac:dyDescent="0.2">
      <c r="A25" s="283" t="s">
        <v>1067</v>
      </c>
      <c r="B25" s="2"/>
      <c r="C25" s="2"/>
      <c r="D25" s="2">
        <f>SUM(D19:D24)</f>
        <v>41012</v>
      </c>
      <c r="E25" s="2"/>
      <c r="F25" s="2"/>
      <c r="G25" s="2"/>
      <c r="I25" s="2"/>
      <c r="J25" s="2"/>
    </row>
    <row r="26" spans="1:10" x14ac:dyDescent="0.2">
      <c r="A26" s="283"/>
      <c r="B26" s="283"/>
      <c r="C26" s="283"/>
      <c r="E26" s="283"/>
      <c r="F26" s="283"/>
      <c r="G26" s="283"/>
      <c r="H26" s="283"/>
      <c r="I26" s="316"/>
      <c r="J26" s="316"/>
    </row>
    <row r="27" spans="1:10" s="193" customFormat="1" ht="13.5" x14ac:dyDescent="0.25">
      <c r="A27" s="286" t="s">
        <v>4</v>
      </c>
      <c r="B27" s="283"/>
      <c r="C27" s="283"/>
      <c r="D27" s="2"/>
      <c r="E27" s="2">
        <v>548</v>
      </c>
      <c r="F27" s="2">
        <v>599</v>
      </c>
      <c r="G27" s="2">
        <v>599</v>
      </c>
      <c r="H27" s="2">
        <v>599</v>
      </c>
      <c r="I27" s="2">
        <v>599</v>
      </c>
      <c r="J27" s="2">
        <v>599</v>
      </c>
    </row>
    <row r="28" spans="1:10" x14ac:dyDescent="0.2">
      <c r="A28" s="283" t="s">
        <v>2062</v>
      </c>
      <c r="B28" s="2">
        <v>38</v>
      </c>
      <c r="C28" s="11">
        <v>15.75</v>
      </c>
      <c r="D28" s="2">
        <f>+ROUND(C28*B28,0)</f>
        <v>599</v>
      </c>
      <c r="E28" s="2"/>
      <c r="F28" s="2"/>
      <c r="G28" s="2"/>
      <c r="I28" s="2"/>
      <c r="J28" s="2"/>
    </row>
    <row r="29" spans="1:10" x14ac:dyDescent="0.2">
      <c r="A29" s="283"/>
      <c r="B29" s="2"/>
      <c r="C29" s="11"/>
      <c r="E29" s="2"/>
      <c r="F29" s="2"/>
      <c r="G29" s="2"/>
      <c r="I29" s="2"/>
      <c r="J29" s="2"/>
    </row>
    <row r="30" spans="1:10" ht="13.5" x14ac:dyDescent="0.25">
      <c r="A30" s="286" t="s">
        <v>5</v>
      </c>
      <c r="B30" s="283"/>
      <c r="C30" s="283"/>
      <c r="E30" s="2">
        <v>11976</v>
      </c>
      <c r="F30" s="2">
        <v>13013</v>
      </c>
      <c r="G30" s="2">
        <v>12738</v>
      </c>
      <c r="H30" s="2">
        <v>12738</v>
      </c>
      <c r="I30" s="2">
        <v>13129</v>
      </c>
      <c r="J30" s="2">
        <v>13129</v>
      </c>
    </row>
    <row r="31" spans="1:10" hidden="1" x14ac:dyDescent="0.2">
      <c r="A31" s="12" t="s">
        <v>1264</v>
      </c>
      <c r="B31" s="2">
        <f>+D9</f>
        <v>81200.400000000009</v>
      </c>
      <c r="C31" s="13">
        <v>7.6499999999999999E-2</v>
      </c>
      <c r="D31" s="2">
        <f>ROUND(B31*C31,0)+6</f>
        <v>6218</v>
      </c>
      <c r="E31" s="2"/>
      <c r="F31" s="2"/>
      <c r="G31" s="2"/>
      <c r="I31" s="2"/>
      <c r="J31" s="2"/>
    </row>
    <row r="32" spans="1:10" hidden="1" x14ac:dyDescent="0.2">
      <c r="A32" s="12" t="s">
        <v>683</v>
      </c>
      <c r="B32" s="2">
        <f>+D15</f>
        <v>48724</v>
      </c>
      <c r="C32" s="13">
        <v>7.6499999999999999E-2</v>
      </c>
      <c r="D32" s="2">
        <f>ROUND(B32*C32,0)</f>
        <v>3727</v>
      </c>
      <c r="E32" s="2"/>
      <c r="F32" s="2"/>
      <c r="G32" s="2"/>
      <c r="I32" s="2"/>
      <c r="J32" s="2"/>
    </row>
    <row r="33" spans="1:10" hidden="1" x14ac:dyDescent="0.2">
      <c r="A33" s="12" t="s">
        <v>153</v>
      </c>
      <c r="B33" s="2">
        <f>+D25</f>
        <v>41012</v>
      </c>
      <c r="C33" s="13">
        <v>7.6499999999999999E-2</v>
      </c>
      <c r="D33" s="2">
        <f>ROUND(B33*C33,0)</f>
        <v>3137</v>
      </c>
      <c r="E33" s="2"/>
      <c r="F33" s="2"/>
      <c r="G33" s="2"/>
      <c r="I33" s="2"/>
      <c r="J33" s="2"/>
    </row>
    <row r="34" spans="1:10" ht="15" hidden="1" x14ac:dyDescent="0.35">
      <c r="A34" s="12" t="s">
        <v>154</v>
      </c>
      <c r="B34" s="2">
        <f>+D28</f>
        <v>599</v>
      </c>
      <c r="C34" s="13">
        <v>7.6499999999999999E-2</v>
      </c>
      <c r="D34" s="10">
        <f>ROUND(B34*C34,0)</f>
        <v>46</v>
      </c>
      <c r="E34" s="2"/>
      <c r="F34" s="2"/>
      <c r="G34" s="2"/>
      <c r="I34" s="2"/>
      <c r="J34" s="2"/>
    </row>
    <row r="35" spans="1:10" hidden="1" x14ac:dyDescent="0.2">
      <c r="A35" s="283" t="s">
        <v>1067</v>
      </c>
      <c r="B35" s="283"/>
      <c r="C35" s="283"/>
      <c r="D35" s="2">
        <f>SUM(D31:D34)+1</f>
        <v>13129</v>
      </c>
      <c r="E35" s="2"/>
      <c r="F35" s="2"/>
      <c r="G35" s="2"/>
      <c r="I35" s="2"/>
      <c r="J35" s="2"/>
    </row>
    <row r="36" spans="1:10" x14ac:dyDescent="0.2">
      <c r="A36" s="283"/>
      <c r="B36" s="283"/>
      <c r="C36" s="283"/>
      <c r="E36" s="2"/>
      <c r="F36" s="2"/>
      <c r="G36" s="2"/>
      <c r="I36" s="2"/>
      <c r="J36" s="2"/>
    </row>
    <row r="37" spans="1:10" ht="13.5" x14ac:dyDescent="0.25">
      <c r="A37" s="286" t="s">
        <v>35</v>
      </c>
      <c r="B37" s="283"/>
      <c r="C37" s="283"/>
      <c r="E37" s="2">
        <v>17403</v>
      </c>
      <c r="F37" s="2">
        <v>17652</v>
      </c>
      <c r="G37" s="2">
        <v>16990</v>
      </c>
      <c r="H37" s="2">
        <v>16990</v>
      </c>
      <c r="I37" s="2">
        <v>17578</v>
      </c>
      <c r="J37" s="2">
        <v>17578</v>
      </c>
    </row>
    <row r="38" spans="1:10" hidden="1" x14ac:dyDescent="0.2">
      <c r="A38" s="12" t="s">
        <v>1264</v>
      </c>
      <c r="B38" s="2">
        <f>+D9</f>
        <v>81200.400000000009</v>
      </c>
      <c r="C38" s="299">
        <v>0.1353</v>
      </c>
      <c r="D38" s="2">
        <f>ROUND(B38*C38,0)</f>
        <v>10986</v>
      </c>
      <c r="E38" s="2"/>
      <c r="F38" s="2"/>
      <c r="G38" s="2"/>
      <c r="I38" s="2"/>
      <c r="J38" s="2"/>
    </row>
    <row r="39" spans="1:10" ht="15" hidden="1" x14ac:dyDescent="0.35">
      <c r="A39" s="12" t="s">
        <v>683</v>
      </c>
      <c r="B39" s="2">
        <f>+D15</f>
        <v>48724</v>
      </c>
      <c r="C39" s="299">
        <v>0.1353</v>
      </c>
      <c r="D39" s="10">
        <f>ROUND(B39*C39,0)</f>
        <v>6592</v>
      </c>
      <c r="E39" s="2"/>
      <c r="F39" s="2"/>
      <c r="G39" s="2"/>
      <c r="I39" s="2"/>
      <c r="J39" s="2"/>
    </row>
    <row r="40" spans="1:10" hidden="1" x14ac:dyDescent="0.2">
      <c r="A40" s="283" t="s">
        <v>1067</v>
      </c>
      <c r="B40" s="2"/>
      <c r="C40" s="13"/>
      <c r="D40" s="2">
        <f>SUM(D38:D39)</f>
        <v>17578</v>
      </c>
      <c r="E40" s="2"/>
      <c r="F40" s="2"/>
      <c r="G40" s="2"/>
      <c r="I40" s="2"/>
      <c r="J40" s="2"/>
    </row>
    <row r="41" spans="1:10" x14ac:dyDescent="0.2">
      <c r="A41" s="283"/>
      <c r="B41" s="283"/>
      <c r="C41" s="283"/>
      <c r="E41" s="2"/>
      <c r="F41" s="2"/>
      <c r="G41" s="2"/>
      <c r="I41" s="2"/>
      <c r="J41" s="2"/>
    </row>
    <row r="42" spans="1:10" ht="13.5" x14ac:dyDescent="0.25">
      <c r="A42" s="286" t="s">
        <v>36</v>
      </c>
      <c r="B42" s="283"/>
      <c r="C42" s="283"/>
      <c r="E42" s="2">
        <v>37819</v>
      </c>
      <c r="F42" s="2">
        <v>38000</v>
      </c>
      <c r="G42" s="2">
        <v>40500</v>
      </c>
      <c r="H42" s="2">
        <v>40500</v>
      </c>
      <c r="I42" s="2">
        <v>40500</v>
      </c>
      <c r="J42" s="2">
        <v>40500</v>
      </c>
    </row>
    <row r="43" spans="1:10" hidden="1" x14ac:dyDescent="0.2">
      <c r="A43" s="283" t="s">
        <v>358</v>
      </c>
      <c r="B43" s="2">
        <v>2</v>
      </c>
      <c r="C43" s="2">
        <v>20250</v>
      </c>
      <c r="D43" s="2">
        <f>ROUND(B43*C43,0)</f>
        <v>40500</v>
      </c>
      <c r="E43" s="2"/>
      <c r="F43" s="2"/>
      <c r="G43" s="2"/>
      <c r="I43" s="2"/>
      <c r="J43" s="2"/>
    </row>
    <row r="44" spans="1:10" x14ac:dyDescent="0.2">
      <c r="A44" s="283"/>
      <c r="B44" s="2"/>
      <c r="C44" s="283"/>
      <c r="E44" s="2"/>
      <c r="F44" s="2"/>
      <c r="G44" s="2"/>
      <c r="I44" s="2"/>
      <c r="J44" s="2"/>
    </row>
    <row r="45" spans="1:10" ht="13.5" x14ac:dyDescent="0.25">
      <c r="A45" s="286" t="s">
        <v>930</v>
      </c>
      <c r="B45" s="2"/>
      <c r="C45" s="283"/>
      <c r="E45" s="2">
        <v>2490</v>
      </c>
      <c r="F45" s="2">
        <v>2475</v>
      </c>
      <c r="G45" s="2">
        <v>2475</v>
      </c>
      <c r="H45" s="2">
        <v>2475</v>
      </c>
      <c r="I45" s="2">
        <v>2475</v>
      </c>
      <c r="J45" s="2">
        <v>2475</v>
      </c>
    </row>
    <row r="46" spans="1:10" hidden="1" x14ac:dyDescent="0.2">
      <c r="A46" s="283" t="s">
        <v>358</v>
      </c>
      <c r="B46" s="2">
        <v>2</v>
      </c>
      <c r="C46" s="2">
        <v>1375</v>
      </c>
      <c r="D46" s="2">
        <f>ROUND(B46*C46,0)</f>
        <v>2750</v>
      </c>
      <c r="E46" s="2"/>
      <c r="F46" s="2"/>
      <c r="G46" s="2"/>
      <c r="I46" s="2"/>
      <c r="J46" s="2"/>
    </row>
    <row r="47" spans="1:10" ht="15" hidden="1" x14ac:dyDescent="0.35">
      <c r="A47" s="283" t="s">
        <v>193</v>
      </c>
      <c r="B47" s="2"/>
      <c r="C47" s="2"/>
      <c r="D47" s="10">
        <f>+C46*-0.1*B46</f>
        <v>-275</v>
      </c>
      <c r="E47" s="2"/>
      <c r="F47" s="2"/>
      <c r="G47" s="2"/>
      <c r="I47" s="2"/>
      <c r="J47" s="2"/>
    </row>
    <row r="48" spans="1:10" hidden="1" x14ac:dyDescent="0.2">
      <c r="A48" s="283" t="s">
        <v>678</v>
      </c>
      <c r="B48" s="2"/>
      <c r="C48" s="2"/>
      <c r="D48" s="2">
        <f>SUM(D46:D47)</f>
        <v>2475</v>
      </c>
      <c r="E48" s="2"/>
      <c r="F48" s="2"/>
      <c r="G48" s="2"/>
      <c r="I48" s="2"/>
      <c r="J48" s="2"/>
    </row>
    <row r="49" spans="1:10" x14ac:dyDescent="0.2">
      <c r="A49" s="283"/>
      <c r="B49" s="2"/>
      <c r="C49" s="283"/>
      <c r="E49" s="2"/>
      <c r="F49" s="2"/>
      <c r="G49" s="2"/>
      <c r="I49" s="2"/>
      <c r="J49" s="2"/>
    </row>
    <row r="50" spans="1:10" ht="13.5" x14ac:dyDescent="0.25">
      <c r="A50" s="286" t="s">
        <v>120</v>
      </c>
      <c r="B50" s="2"/>
      <c r="C50" s="283"/>
      <c r="E50" s="2">
        <v>272</v>
      </c>
      <c r="F50" s="2">
        <v>270</v>
      </c>
      <c r="G50" s="2">
        <v>290</v>
      </c>
      <c r="H50" s="2">
        <v>290</v>
      </c>
      <c r="I50" s="2">
        <v>290</v>
      </c>
      <c r="J50" s="2">
        <v>290</v>
      </c>
    </row>
    <row r="51" spans="1:10" hidden="1" x14ac:dyDescent="0.2">
      <c r="A51" s="283" t="s">
        <v>358</v>
      </c>
      <c r="B51" s="2">
        <v>2</v>
      </c>
      <c r="C51" s="2">
        <v>145</v>
      </c>
      <c r="D51" s="2">
        <f>ROUND(B51*C51,0)</f>
        <v>290</v>
      </c>
      <c r="E51" s="2"/>
      <c r="F51" s="2"/>
      <c r="G51" s="2"/>
      <c r="I51" s="2"/>
      <c r="J51" s="2"/>
    </row>
    <row r="52" spans="1:10" x14ac:dyDescent="0.2">
      <c r="A52" s="283"/>
      <c r="B52" s="2"/>
      <c r="C52" s="283"/>
      <c r="E52" s="2"/>
      <c r="F52" s="2"/>
      <c r="G52" s="2"/>
      <c r="I52" s="2"/>
      <c r="J52" s="2"/>
    </row>
    <row r="53" spans="1:10" ht="13.5" x14ac:dyDescent="0.25">
      <c r="A53" s="286" t="s">
        <v>121</v>
      </c>
      <c r="B53" s="2"/>
      <c r="C53" s="283"/>
      <c r="E53" s="2">
        <v>1235</v>
      </c>
      <c r="F53" s="2">
        <v>1050</v>
      </c>
      <c r="G53" s="2">
        <v>1130</v>
      </c>
      <c r="H53" s="2">
        <v>1130</v>
      </c>
      <c r="I53" s="2">
        <v>1130</v>
      </c>
      <c r="J53" s="2">
        <v>1130</v>
      </c>
    </row>
    <row r="54" spans="1:10" hidden="1" x14ac:dyDescent="0.2">
      <c r="A54" s="283" t="s">
        <v>358</v>
      </c>
      <c r="B54" s="2">
        <v>2</v>
      </c>
      <c r="C54" s="2">
        <v>565</v>
      </c>
      <c r="D54" s="2">
        <f>ROUND(B54*C54,0)</f>
        <v>1130</v>
      </c>
      <c r="E54" s="2"/>
      <c r="F54" s="2"/>
      <c r="G54" s="2"/>
      <c r="I54" s="2"/>
      <c r="J54" s="2"/>
    </row>
    <row r="55" spans="1:10" x14ac:dyDescent="0.2">
      <c r="A55" s="283"/>
      <c r="B55" s="283"/>
      <c r="C55" s="283"/>
      <c r="E55" s="2"/>
      <c r="F55" s="2"/>
      <c r="G55" s="2"/>
      <c r="I55" s="2"/>
      <c r="J55" s="2"/>
    </row>
    <row r="56" spans="1:10" ht="13.5" x14ac:dyDescent="0.25">
      <c r="A56" s="286" t="s">
        <v>122</v>
      </c>
      <c r="B56" s="283"/>
      <c r="C56" s="283"/>
      <c r="E56" s="2">
        <v>3280</v>
      </c>
      <c r="F56" s="2">
        <v>4014</v>
      </c>
      <c r="G56" s="2">
        <v>3734</v>
      </c>
      <c r="H56" s="2">
        <v>3734</v>
      </c>
      <c r="I56" s="2">
        <v>3849</v>
      </c>
      <c r="J56" s="2">
        <v>3849</v>
      </c>
    </row>
    <row r="57" spans="1:10" hidden="1" x14ac:dyDescent="0.2">
      <c r="A57" s="12" t="s">
        <v>998</v>
      </c>
      <c r="B57" s="2">
        <f>+D7+D8</f>
        <v>81200.400000000009</v>
      </c>
      <c r="C57" s="13">
        <v>2.2429999999999999E-2</v>
      </c>
      <c r="D57" s="2">
        <f>ROUND(B57*C57,0)</f>
        <v>1821</v>
      </c>
      <c r="E57" s="2"/>
      <c r="F57" s="2"/>
      <c r="G57" s="2"/>
      <c r="I57" s="2"/>
      <c r="J57" s="2"/>
    </row>
    <row r="58" spans="1:10" hidden="1" x14ac:dyDescent="0.2">
      <c r="A58" s="12" t="s">
        <v>1549</v>
      </c>
      <c r="B58" s="2">
        <f>+B32</f>
        <v>48724</v>
      </c>
      <c r="C58" s="13">
        <v>2.2429999999999999E-2</v>
      </c>
      <c r="D58" s="2">
        <f>ROUND(B58*C58,0)</f>
        <v>1093</v>
      </c>
      <c r="E58" s="2"/>
      <c r="F58" s="2"/>
      <c r="G58" s="2"/>
      <c r="I58" s="2"/>
      <c r="J58" s="2"/>
    </row>
    <row r="59" spans="1:10" hidden="1" x14ac:dyDescent="0.2">
      <c r="A59" s="12" t="s">
        <v>478</v>
      </c>
      <c r="B59" s="2">
        <f>+D22</f>
        <v>22724</v>
      </c>
      <c r="C59" s="13">
        <v>2.2429999999999999E-2</v>
      </c>
      <c r="D59" s="2">
        <f>ROUND(B59*C59,0)</f>
        <v>510</v>
      </c>
      <c r="E59" s="2"/>
      <c r="F59" s="2"/>
      <c r="G59" s="2"/>
      <c r="I59" s="2"/>
      <c r="J59" s="2"/>
    </row>
    <row r="60" spans="1:10" hidden="1" x14ac:dyDescent="0.2">
      <c r="A60" s="12" t="s">
        <v>1302</v>
      </c>
      <c r="B60" s="2">
        <f>+D21+D20+D19+D23+D24</f>
        <v>18288</v>
      </c>
      <c r="C60" s="13">
        <v>2.2429999999999999E-2</v>
      </c>
      <c r="D60" s="2">
        <f>ROUND(B60*C60,0)</f>
        <v>410</v>
      </c>
      <c r="E60" s="2"/>
      <c r="F60" s="2"/>
      <c r="G60" s="2"/>
      <c r="I60" s="2"/>
      <c r="J60" s="2"/>
    </row>
    <row r="61" spans="1:10" ht="15" hidden="1" x14ac:dyDescent="0.35">
      <c r="A61" s="12" t="s">
        <v>1597</v>
      </c>
      <c r="B61" s="2">
        <f>+D28</f>
        <v>599</v>
      </c>
      <c r="C61" s="13">
        <v>2.2429999999999999E-2</v>
      </c>
      <c r="D61" s="10">
        <f>ROUND(B61*C61,0)</f>
        <v>13</v>
      </c>
      <c r="E61" s="2"/>
      <c r="F61" s="2"/>
      <c r="G61" s="2"/>
      <c r="I61" s="2"/>
      <c r="J61" s="2"/>
    </row>
    <row r="62" spans="1:10" hidden="1" x14ac:dyDescent="0.2">
      <c r="A62" s="283" t="s">
        <v>1067</v>
      </c>
      <c r="B62" s="283"/>
      <c r="C62" s="283"/>
      <c r="D62" s="2">
        <f>SUM(D57:D61)+2</f>
        <v>3849</v>
      </c>
      <c r="E62" s="2"/>
      <c r="F62" s="2"/>
      <c r="G62" s="2"/>
      <c r="I62" s="2"/>
      <c r="J62" s="2"/>
    </row>
    <row r="63" spans="1:10" x14ac:dyDescent="0.2">
      <c r="A63" s="283"/>
      <c r="B63" s="283"/>
      <c r="C63" s="283"/>
      <c r="E63" s="2"/>
      <c r="F63" s="2"/>
      <c r="G63" s="2"/>
      <c r="I63" s="2"/>
      <c r="J63" s="2"/>
    </row>
    <row r="64" spans="1:10" ht="13.5" x14ac:dyDescent="0.25">
      <c r="A64" s="286" t="s">
        <v>287</v>
      </c>
      <c r="B64" s="283"/>
      <c r="C64" s="283"/>
      <c r="E64" s="2">
        <v>39</v>
      </c>
      <c r="F64" s="2">
        <v>114</v>
      </c>
      <c r="G64" s="2">
        <v>109</v>
      </c>
      <c r="H64" s="2">
        <v>109</v>
      </c>
      <c r="I64" s="2">
        <v>109</v>
      </c>
      <c r="J64" s="2">
        <v>109</v>
      </c>
    </row>
    <row r="65" spans="1:10" hidden="1" x14ac:dyDescent="0.2">
      <c r="A65" s="283" t="s">
        <v>1770</v>
      </c>
      <c r="B65" s="2">
        <v>1</v>
      </c>
      <c r="C65" s="2">
        <v>20</v>
      </c>
      <c r="D65" s="2">
        <f>ROUND(B65*C65,0)</f>
        <v>20</v>
      </c>
      <c r="E65" s="2"/>
      <c r="F65" s="2"/>
      <c r="G65" s="2"/>
      <c r="I65" s="2"/>
      <c r="J65" s="2"/>
    </row>
    <row r="66" spans="1:10" hidden="1" x14ac:dyDescent="0.2">
      <c r="A66" s="12" t="s">
        <v>1549</v>
      </c>
      <c r="B66" s="2">
        <v>1</v>
      </c>
      <c r="C66" s="2">
        <v>20</v>
      </c>
      <c r="D66" s="2">
        <f>ROUND(B66*C66,0)</f>
        <v>20</v>
      </c>
      <c r="E66" s="2"/>
      <c r="F66" s="2"/>
      <c r="G66" s="2"/>
      <c r="I66" s="2"/>
      <c r="J66" s="2"/>
    </row>
    <row r="67" spans="1:10" hidden="1" x14ac:dyDescent="0.2">
      <c r="A67" s="12" t="s">
        <v>1505</v>
      </c>
      <c r="B67" s="86">
        <v>0.5</v>
      </c>
      <c r="C67" s="2">
        <v>20</v>
      </c>
      <c r="D67" s="2">
        <f>ROUND(B67*C67,0)</f>
        <v>10</v>
      </c>
      <c r="E67" s="2"/>
      <c r="F67" s="2"/>
      <c r="G67" s="2"/>
      <c r="I67" s="2"/>
      <c r="J67" s="2"/>
    </row>
    <row r="68" spans="1:10" hidden="1" x14ac:dyDescent="0.2">
      <c r="A68" s="12" t="s">
        <v>153</v>
      </c>
      <c r="B68" s="2">
        <f>+D19+D20+D21+D23+D24</f>
        <v>18288</v>
      </c>
      <c r="C68" s="13">
        <v>1.4E-3</v>
      </c>
      <c r="D68" s="2">
        <f>ROUND(B68*C68,0)+13</f>
        <v>39</v>
      </c>
      <c r="E68" s="2"/>
      <c r="F68" s="2"/>
      <c r="G68" s="2"/>
      <c r="I68" s="2"/>
      <c r="J68" s="2"/>
    </row>
    <row r="69" spans="1:10" ht="15" hidden="1" x14ac:dyDescent="0.35">
      <c r="A69" s="12" t="s">
        <v>1769</v>
      </c>
      <c r="B69" s="2">
        <v>1</v>
      </c>
      <c r="C69" s="2">
        <v>20</v>
      </c>
      <c r="D69" s="10">
        <f>ROUND(B69*C69,0)</f>
        <v>20</v>
      </c>
      <c r="E69" s="2"/>
      <c r="F69" s="2"/>
      <c r="G69" s="2"/>
      <c r="I69" s="2"/>
      <c r="J69" s="2"/>
    </row>
    <row r="70" spans="1:10" hidden="1" x14ac:dyDescent="0.2">
      <c r="A70" s="283" t="s">
        <v>1067</v>
      </c>
      <c r="B70" s="283"/>
      <c r="C70" s="283"/>
      <c r="D70" s="2">
        <f>SUM(D65:D69)</f>
        <v>109</v>
      </c>
      <c r="E70" s="2"/>
      <c r="F70" s="2"/>
      <c r="G70" s="2"/>
      <c r="I70" s="2"/>
      <c r="J70" s="2"/>
    </row>
    <row r="71" spans="1:10" x14ac:dyDescent="0.2">
      <c r="A71" s="283"/>
      <c r="B71" s="283"/>
      <c r="C71" s="283"/>
      <c r="E71" s="2"/>
      <c r="F71" s="2"/>
      <c r="G71" s="2"/>
      <c r="I71" s="2"/>
      <c r="J71" s="2"/>
    </row>
    <row r="72" spans="1:10" ht="13.5" x14ac:dyDescent="0.25">
      <c r="A72" s="286" t="s">
        <v>288</v>
      </c>
      <c r="B72" s="283"/>
      <c r="C72" s="283"/>
      <c r="E72" s="2">
        <v>1709</v>
      </c>
      <c r="F72" s="2">
        <v>1000</v>
      </c>
      <c r="G72" s="2">
        <v>1000</v>
      </c>
      <c r="H72" s="2">
        <v>1000</v>
      </c>
      <c r="I72" s="2">
        <v>1000</v>
      </c>
      <c r="J72" s="2">
        <v>1000</v>
      </c>
    </row>
    <row r="73" spans="1:10" x14ac:dyDescent="0.2">
      <c r="A73" s="283" t="s">
        <v>356</v>
      </c>
      <c r="B73" s="283"/>
      <c r="C73" s="283"/>
      <c r="D73" s="2" t="s">
        <v>338</v>
      </c>
      <c r="E73" s="2"/>
      <c r="F73" s="2"/>
      <c r="G73" s="2"/>
      <c r="I73" s="2"/>
      <c r="J73" s="2"/>
    </row>
    <row r="74" spans="1:10" x14ac:dyDescent="0.2">
      <c r="A74" s="283" t="s">
        <v>505</v>
      </c>
      <c r="B74" s="283"/>
      <c r="C74" s="2"/>
      <c r="D74" s="2">
        <v>1000</v>
      </c>
      <c r="E74" s="2"/>
      <c r="F74" s="2"/>
      <c r="G74" s="2"/>
      <c r="I74" s="2"/>
      <c r="J74" s="2"/>
    </row>
    <row r="75" spans="1:10" x14ac:dyDescent="0.2">
      <c r="A75" s="283" t="s">
        <v>338</v>
      </c>
      <c r="B75" s="283"/>
      <c r="C75" s="2" t="s">
        <v>338</v>
      </c>
      <c r="D75" s="2" t="s">
        <v>338</v>
      </c>
      <c r="E75" s="2"/>
      <c r="F75" s="2"/>
      <c r="G75" s="2"/>
      <c r="I75" s="2"/>
      <c r="J75" s="2"/>
    </row>
    <row r="76" spans="1:10" ht="13.5" x14ac:dyDescent="0.25">
      <c r="A76" s="286" t="s">
        <v>1178</v>
      </c>
      <c r="B76" s="283"/>
      <c r="C76" s="2"/>
      <c r="E76" s="2">
        <v>6693</v>
      </c>
      <c r="F76" s="2">
        <v>3500</v>
      </c>
      <c r="G76" s="2">
        <v>3500</v>
      </c>
      <c r="H76" s="2">
        <v>3500</v>
      </c>
      <c r="I76" s="2">
        <v>3500</v>
      </c>
      <c r="J76" s="2">
        <v>3500</v>
      </c>
    </row>
    <row r="77" spans="1:10" x14ac:dyDescent="0.2">
      <c r="A77" s="283" t="s">
        <v>436</v>
      </c>
      <c r="B77" s="5"/>
      <c r="C77" s="2"/>
      <c r="D77" s="2">
        <v>3500</v>
      </c>
      <c r="E77" s="2"/>
      <c r="F77" s="2"/>
      <c r="G77" s="2"/>
      <c r="I77" s="2"/>
      <c r="J77" s="2"/>
    </row>
    <row r="78" spans="1:10" x14ac:dyDescent="0.2">
      <c r="A78" s="5"/>
      <c r="B78" s="5"/>
      <c r="C78" s="2"/>
      <c r="E78" s="2"/>
      <c r="F78" s="2"/>
      <c r="G78" s="2"/>
      <c r="I78" s="2"/>
      <c r="J78" s="2"/>
    </row>
    <row r="79" spans="1:10" ht="13.5" x14ac:dyDescent="0.25">
      <c r="A79" s="286" t="s">
        <v>494</v>
      </c>
      <c r="B79" s="283"/>
      <c r="C79" s="283"/>
      <c r="D79" s="2" t="s">
        <v>338</v>
      </c>
      <c r="E79" s="2">
        <v>500</v>
      </c>
      <c r="F79" s="2">
        <v>500</v>
      </c>
      <c r="G79" s="2">
        <v>500</v>
      </c>
      <c r="H79" s="2">
        <v>500</v>
      </c>
      <c r="I79" s="2">
        <v>500</v>
      </c>
      <c r="J79" s="2">
        <v>500</v>
      </c>
    </row>
    <row r="80" spans="1:10" x14ac:dyDescent="0.2">
      <c r="A80" s="283" t="s">
        <v>1392</v>
      </c>
      <c r="B80" s="2" t="s">
        <v>338</v>
      </c>
      <c r="C80" s="2" t="s">
        <v>338</v>
      </c>
      <c r="D80" s="2">
        <v>500</v>
      </c>
      <c r="E80" s="2"/>
      <c r="F80" s="2"/>
      <c r="G80" s="2"/>
      <c r="I80" s="2"/>
      <c r="J80" s="2"/>
    </row>
    <row r="81" spans="1:10" x14ac:dyDescent="0.2">
      <c r="A81" s="283"/>
      <c r="B81" s="283"/>
      <c r="C81" s="283"/>
      <c r="E81" s="2"/>
      <c r="F81" s="2"/>
      <c r="G81" s="2"/>
      <c r="I81" s="2"/>
      <c r="J81" s="2"/>
    </row>
    <row r="82" spans="1:10" ht="13.5" x14ac:dyDescent="0.25">
      <c r="A82" s="286" t="s">
        <v>895</v>
      </c>
      <c r="B82" s="283"/>
      <c r="C82" s="283"/>
      <c r="E82" s="2">
        <v>224</v>
      </c>
      <c r="F82" s="2">
        <v>300</v>
      </c>
      <c r="G82" s="2">
        <v>300</v>
      </c>
      <c r="H82" s="2">
        <v>300</v>
      </c>
      <c r="I82" s="2">
        <v>300</v>
      </c>
      <c r="J82" s="2">
        <v>300</v>
      </c>
    </row>
    <row r="83" spans="1:10" x14ac:dyDescent="0.2">
      <c r="A83" s="283" t="s">
        <v>368</v>
      </c>
      <c r="B83" s="283"/>
      <c r="C83" s="2"/>
      <c r="D83" s="2">
        <v>300</v>
      </c>
      <c r="E83" s="283"/>
      <c r="F83" s="283"/>
      <c r="G83" s="283"/>
      <c r="H83" s="283"/>
      <c r="I83" s="316"/>
      <c r="J83" s="316"/>
    </row>
    <row r="84" spans="1:10" x14ac:dyDescent="0.2">
      <c r="A84" s="283" t="s">
        <v>338</v>
      </c>
      <c r="B84" s="283"/>
      <c r="C84" s="2" t="s">
        <v>338</v>
      </c>
      <c r="D84" s="2" t="s">
        <v>338</v>
      </c>
      <c r="E84" s="2"/>
      <c r="F84" s="2"/>
      <c r="G84" s="2"/>
      <c r="I84" s="2"/>
      <c r="J84" s="2"/>
    </row>
    <row r="85" spans="1:10" ht="13.5" x14ac:dyDescent="0.25">
      <c r="A85" s="286" t="s">
        <v>964</v>
      </c>
      <c r="B85" s="283"/>
      <c r="C85" s="2"/>
      <c r="E85" s="2">
        <v>433</v>
      </c>
      <c r="F85" s="2">
        <v>500</v>
      </c>
      <c r="G85" s="2">
        <v>500</v>
      </c>
      <c r="H85" s="2">
        <v>500</v>
      </c>
      <c r="I85" s="2">
        <v>500</v>
      </c>
      <c r="J85" s="2">
        <v>500</v>
      </c>
    </row>
    <row r="86" spans="1:10" x14ac:dyDescent="0.2">
      <c r="A86" s="283" t="s">
        <v>663</v>
      </c>
      <c r="B86" s="283"/>
      <c r="C86" s="2"/>
      <c r="D86" s="2">
        <v>500</v>
      </c>
      <c r="E86" s="2"/>
      <c r="F86" s="2"/>
      <c r="G86" s="2"/>
      <c r="I86" s="2"/>
      <c r="J86" s="2"/>
    </row>
    <row r="87" spans="1:10" ht="15" x14ac:dyDescent="0.35">
      <c r="A87" s="283" t="s">
        <v>1025</v>
      </c>
      <c r="B87" s="283"/>
      <c r="C87" s="2"/>
      <c r="D87" s="10">
        <v>0</v>
      </c>
      <c r="E87" s="2"/>
      <c r="F87" s="2"/>
      <c r="G87" s="2"/>
      <c r="I87" s="2"/>
      <c r="J87" s="2"/>
    </row>
    <row r="88" spans="1:10" x14ac:dyDescent="0.2">
      <c r="A88" s="283"/>
      <c r="B88" s="283"/>
      <c r="C88" s="2"/>
      <c r="D88" s="2">
        <f>SUM(D86:D87)</f>
        <v>500</v>
      </c>
      <c r="E88" s="2"/>
      <c r="F88" s="2"/>
      <c r="G88" s="2"/>
      <c r="I88" s="2"/>
      <c r="J88" s="2"/>
    </row>
    <row r="89" spans="1:10" ht="13.5" x14ac:dyDescent="0.25">
      <c r="A89" s="286" t="s">
        <v>543</v>
      </c>
      <c r="B89" s="283"/>
      <c r="C89" s="2"/>
      <c r="E89" s="2">
        <v>28838</v>
      </c>
      <c r="F89" s="2">
        <v>29250</v>
      </c>
      <c r="G89" s="2">
        <v>29500</v>
      </c>
      <c r="H89" s="2">
        <v>29500</v>
      </c>
      <c r="I89" s="2">
        <v>29500</v>
      </c>
      <c r="J89" s="2">
        <v>29500</v>
      </c>
    </row>
    <row r="90" spans="1:10" x14ac:dyDescent="0.2">
      <c r="A90" s="283" t="s">
        <v>421</v>
      </c>
      <c r="B90" s="283"/>
      <c r="C90" s="2"/>
      <c r="D90" s="2">
        <v>10000</v>
      </c>
      <c r="E90" s="2"/>
      <c r="F90" s="2"/>
      <c r="G90" s="2"/>
      <c r="I90" s="2"/>
      <c r="J90" s="2"/>
    </row>
    <row r="91" spans="1:10" x14ac:dyDescent="0.2">
      <c r="A91" s="283" t="s">
        <v>44</v>
      </c>
      <c r="B91" s="283"/>
      <c r="C91" s="2"/>
      <c r="D91" s="2">
        <v>200</v>
      </c>
      <c r="E91" s="2"/>
      <c r="F91" s="2"/>
      <c r="G91" s="2"/>
      <c r="I91" s="2"/>
      <c r="J91" s="2"/>
    </row>
    <row r="92" spans="1:10" x14ac:dyDescent="0.2">
      <c r="A92" s="283" t="s">
        <v>254</v>
      </c>
      <c r="B92" s="283"/>
      <c r="C92" s="2"/>
      <c r="D92" s="2">
        <v>3000</v>
      </c>
      <c r="E92" s="2"/>
      <c r="F92" s="2"/>
      <c r="G92" s="2"/>
      <c r="I92" s="2"/>
      <c r="J92" s="2"/>
    </row>
    <row r="93" spans="1:10" x14ac:dyDescent="0.2">
      <c r="A93" s="283" t="s">
        <v>1965</v>
      </c>
      <c r="B93" s="283"/>
      <c r="C93" s="2"/>
      <c r="D93" s="2">
        <v>1500</v>
      </c>
      <c r="E93" s="2"/>
      <c r="F93" s="2"/>
      <c r="G93" s="2"/>
      <c r="I93" s="2"/>
      <c r="J93" s="2"/>
    </row>
    <row r="94" spans="1:10" x14ac:dyDescent="0.2">
      <c r="A94" s="283" t="s">
        <v>255</v>
      </c>
      <c r="B94" s="283"/>
      <c r="C94" s="2"/>
      <c r="D94" s="2">
        <v>1400</v>
      </c>
      <c r="E94" s="2"/>
      <c r="F94" s="2"/>
      <c r="G94" s="2"/>
      <c r="I94" s="2"/>
      <c r="J94" s="2"/>
    </row>
    <row r="95" spans="1:10" x14ac:dyDescent="0.2">
      <c r="A95" s="283" t="s">
        <v>1758</v>
      </c>
      <c r="B95" s="283"/>
      <c r="C95" s="2"/>
      <c r="D95" s="2">
        <v>450</v>
      </c>
      <c r="E95" s="2"/>
      <c r="F95" s="2"/>
      <c r="G95" s="2"/>
      <c r="I95" s="2"/>
      <c r="J95" s="2"/>
    </row>
    <row r="96" spans="1:10" x14ac:dyDescent="0.2">
      <c r="A96" s="283" t="s">
        <v>1393</v>
      </c>
      <c r="B96" s="283"/>
      <c r="C96" s="2"/>
      <c r="D96" s="2">
        <v>200</v>
      </c>
      <c r="E96" s="2"/>
      <c r="F96" s="2"/>
      <c r="G96" s="2"/>
      <c r="I96" s="2"/>
      <c r="J96" s="2"/>
    </row>
    <row r="97" spans="1:10" ht="15" x14ac:dyDescent="0.35">
      <c r="A97" s="283" t="s">
        <v>1506</v>
      </c>
      <c r="B97" s="283"/>
      <c r="C97" s="10"/>
      <c r="D97" s="2">
        <v>12550</v>
      </c>
      <c r="E97" s="2"/>
      <c r="F97" s="2"/>
      <c r="G97" s="2"/>
      <c r="I97" s="2"/>
      <c r="J97" s="2"/>
    </row>
    <row r="98" spans="1:10" ht="15" x14ac:dyDescent="0.35">
      <c r="A98" s="283" t="s">
        <v>1376</v>
      </c>
      <c r="B98" s="283"/>
      <c r="C98" s="10"/>
      <c r="D98" s="17">
        <v>200</v>
      </c>
      <c r="E98" s="2"/>
      <c r="F98" s="2"/>
      <c r="G98" s="2"/>
      <c r="I98" s="2"/>
      <c r="J98" s="2"/>
    </row>
    <row r="99" spans="1:10" x14ac:dyDescent="0.2">
      <c r="A99" s="283" t="s">
        <v>1067</v>
      </c>
      <c r="B99" s="283"/>
      <c r="C99" s="2"/>
      <c r="D99" s="2">
        <f>SUM(D90:D98)</f>
        <v>29500</v>
      </c>
      <c r="E99" s="2"/>
      <c r="F99" s="2"/>
      <c r="G99" s="2"/>
      <c r="I99" s="2"/>
      <c r="J99" s="2"/>
    </row>
    <row r="100" spans="1:10" x14ac:dyDescent="0.2">
      <c r="A100" s="283"/>
      <c r="B100" s="283"/>
      <c r="C100" s="2"/>
      <c r="E100" s="2"/>
      <c r="F100" s="2"/>
      <c r="G100" s="2"/>
      <c r="I100" s="2"/>
      <c r="J100" s="2"/>
    </row>
    <row r="101" spans="1:10" ht="13.5" x14ac:dyDescent="0.25">
      <c r="A101" s="286" t="s">
        <v>327</v>
      </c>
      <c r="B101" s="283"/>
      <c r="C101" s="2"/>
      <c r="E101" s="2">
        <v>9273</v>
      </c>
      <c r="F101" s="2">
        <v>8100</v>
      </c>
      <c r="G101" s="2">
        <v>9900</v>
      </c>
      <c r="H101" s="2">
        <v>9900</v>
      </c>
      <c r="I101" s="2">
        <v>9900</v>
      </c>
      <c r="J101" s="2">
        <v>9900</v>
      </c>
    </row>
    <row r="102" spans="1:10" x14ac:dyDescent="0.2">
      <c r="A102" s="283" t="s">
        <v>224</v>
      </c>
      <c r="B102" s="2"/>
      <c r="C102" s="11"/>
      <c r="D102" s="2">
        <v>1900</v>
      </c>
      <c r="E102" s="2"/>
      <c r="F102" s="2"/>
      <c r="G102" s="2"/>
      <c r="I102" s="2"/>
      <c r="J102" s="2"/>
    </row>
    <row r="103" spans="1:10" ht="15" x14ac:dyDescent="0.35">
      <c r="A103" s="283" t="s">
        <v>1585</v>
      </c>
      <c r="B103" s="2"/>
      <c r="C103" s="11"/>
      <c r="D103" s="10">
        <v>8000</v>
      </c>
      <c r="E103" s="2"/>
      <c r="F103" s="2"/>
      <c r="G103" s="2"/>
      <c r="I103" s="2"/>
      <c r="J103" s="2"/>
    </row>
    <row r="104" spans="1:10" x14ac:dyDescent="0.2">
      <c r="A104" s="283"/>
      <c r="B104" s="2"/>
      <c r="C104" s="11"/>
      <c r="D104" s="2">
        <f>SUM(D102:D103)</f>
        <v>9900</v>
      </c>
      <c r="E104" s="2"/>
      <c r="F104" s="2"/>
      <c r="G104" s="2"/>
      <c r="I104" s="2"/>
      <c r="J104" s="2"/>
    </row>
    <row r="105" spans="1:10" x14ac:dyDescent="0.2">
      <c r="A105" s="283"/>
      <c r="B105" s="2"/>
      <c r="C105" s="11"/>
      <c r="E105" s="2"/>
      <c r="F105" s="2"/>
      <c r="G105" s="2"/>
      <c r="I105" s="2"/>
      <c r="J105" s="2"/>
    </row>
    <row r="106" spans="1:10" ht="13.5" x14ac:dyDescent="0.25">
      <c r="A106" s="286" t="s">
        <v>225</v>
      </c>
      <c r="B106" s="283"/>
      <c r="C106" s="283"/>
      <c r="E106" s="2">
        <v>5925</v>
      </c>
      <c r="F106" s="2">
        <v>11200</v>
      </c>
      <c r="G106" s="2">
        <v>11200</v>
      </c>
      <c r="H106" s="2">
        <v>11200</v>
      </c>
      <c r="I106" s="2">
        <v>11200</v>
      </c>
      <c r="J106" s="2">
        <v>11200</v>
      </c>
    </row>
    <row r="107" spans="1:10" x14ac:dyDescent="0.2">
      <c r="A107" s="283" t="s">
        <v>1667</v>
      </c>
      <c r="B107" s="283"/>
      <c r="C107" s="283"/>
      <c r="D107" s="2">
        <v>1300</v>
      </c>
      <c r="E107" s="2"/>
      <c r="F107" s="2"/>
      <c r="G107" s="2"/>
      <c r="I107" s="2"/>
      <c r="J107" s="2"/>
    </row>
    <row r="108" spans="1:10" x14ac:dyDescent="0.2">
      <c r="A108" s="283" t="s">
        <v>1119</v>
      </c>
      <c r="B108" s="283"/>
      <c r="C108" s="283"/>
      <c r="D108" s="2">
        <v>2100</v>
      </c>
      <c r="E108" s="2"/>
      <c r="F108" s="2"/>
      <c r="G108" s="2"/>
      <c r="I108" s="2"/>
      <c r="J108" s="2"/>
    </row>
    <row r="109" spans="1:10" x14ac:dyDescent="0.2">
      <c r="A109" s="283" t="s">
        <v>1599</v>
      </c>
      <c r="B109" s="283"/>
      <c r="C109" s="283"/>
      <c r="D109" s="2">
        <v>3500</v>
      </c>
      <c r="E109" s="2"/>
      <c r="F109" s="2"/>
      <c r="G109" s="2"/>
      <c r="I109" s="2"/>
      <c r="J109" s="2"/>
    </row>
    <row r="110" spans="1:10" x14ac:dyDescent="0.2">
      <c r="A110" s="283" t="s">
        <v>1666</v>
      </c>
      <c r="B110" s="283"/>
      <c r="C110" s="283"/>
      <c r="D110" s="2">
        <v>1300</v>
      </c>
      <c r="E110" s="2"/>
      <c r="F110" s="2"/>
      <c r="G110" s="2"/>
      <c r="I110" s="2"/>
      <c r="J110" s="2"/>
    </row>
    <row r="111" spans="1:10" x14ac:dyDescent="0.2">
      <c r="A111" s="283" t="s">
        <v>1120</v>
      </c>
      <c r="B111" s="283"/>
      <c r="C111" s="283"/>
      <c r="D111" s="2">
        <v>1600</v>
      </c>
      <c r="E111" s="2"/>
      <c r="F111" s="17"/>
      <c r="G111" s="17"/>
      <c r="H111" s="17"/>
      <c r="I111" s="17"/>
      <c r="J111" s="17"/>
    </row>
    <row r="112" spans="1:10" x14ac:dyDescent="0.2">
      <c r="A112" s="283" t="s">
        <v>1121</v>
      </c>
      <c r="B112" s="25"/>
      <c r="C112" s="283"/>
      <c r="D112" s="17">
        <v>1400</v>
      </c>
      <c r="E112" s="2"/>
      <c r="F112" s="2"/>
      <c r="G112" s="2"/>
      <c r="I112" s="2"/>
      <c r="J112" s="2"/>
    </row>
    <row r="113" spans="1:10" x14ac:dyDescent="0.2">
      <c r="A113" s="283"/>
      <c r="B113" s="283"/>
      <c r="C113" s="283"/>
      <c r="D113" s="2">
        <f>SUM(D107:D112)</f>
        <v>11200</v>
      </c>
      <c r="E113" s="2"/>
      <c r="F113" s="2"/>
      <c r="G113" s="2"/>
      <c r="I113" s="2"/>
      <c r="J113" s="2"/>
    </row>
    <row r="114" spans="1:10" x14ac:dyDescent="0.2">
      <c r="A114" s="283" t="s">
        <v>338</v>
      </c>
      <c r="B114" s="283"/>
      <c r="C114" s="283"/>
      <c r="D114" s="2" t="s">
        <v>338</v>
      </c>
      <c r="E114" s="2"/>
      <c r="F114" s="2"/>
      <c r="G114" s="2"/>
      <c r="I114" s="2"/>
      <c r="J114" s="2"/>
    </row>
    <row r="115" spans="1:10" ht="13.5" x14ac:dyDescent="0.25">
      <c r="A115" s="286" t="s">
        <v>13</v>
      </c>
      <c r="B115" s="283"/>
      <c r="C115" s="283"/>
      <c r="E115" s="2">
        <v>592</v>
      </c>
      <c r="F115" s="2">
        <v>608</v>
      </c>
      <c r="G115" s="2">
        <v>680</v>
      </c>
      <c r="H115" s="2">
        <v>680</v>
      </c>
      <c r="I115" s="2">
        <v>680</v>
      </c>
      <c r="J115" s="2">
        <v>680</v>
      </c>
    </row>
    <row r="116" spans="1:10" x14ac:dyDescent="0.2">
      <c r="A116" s="283" t="s">
        <v>542</v>
      </c>
      <c r="B116" s="283"/>
      <c r="C116" s="283"/>
      <c r="D116" s="2">
        <v>680</v>
      </c>
      <c r="E116" s="2"/>
      <c r="F116" s="2"/>
      <c r="G116" s="2"/>
      <c r="I116" s="2"/>
      <c r="J116" s="2"/>
    </row>
    <row r="117" spans="1:10" x14ac:dyDescent="0.2">
      <c r="A117" s="283"/>
      <c r="B117" s="283"/>
      <c r="C117" s="283"/>
      <c r="E117" s="2"/>
      <c r="F117" s="2"/>
      <c r="G117" s="2"/>
      <c r="I117" s="2"/>
      <c r="J117" s="2"/>
    </row>
    <row r="118" spans="1:10" ht="13.5" x14ac:dyDescent="0.25">
      <c r="A118" s="286" t="s">
        <v>14</v>
      </c>
      <c r="B118" s="283"/>
      <c r="C118" s="283"/>
      <c r="E118" s="2">
        <v>625</v>
      </c>
      <c r="F118" s="2">
        <v>570</v>
      </c>
      <c r="G118" s="2">
        <v>700</v>
      </c>
      <c r="H118" s="2">
        <v>700</v>
      </c>
      <c r="I118" s="2">
        <v>700</v>
      </c>
      <c r="J118" s="2">
        <v>700</v>
      </c>
    </row>
    <row r="119" spans="1:10" x14ac:dyDescent="0.2">
      <c r="A119" s="283" t="s">
        <v>434</v>
      </c>
      <c r="B119" s="2">
        <v>200</v>
      </c>
      <c r="C119" s="11">
        <v>3.5</v>
      </c>
      <c r="D119" s="2">
        <f>ROUND(B119*C119,0)</f>
        <v>700</v>
      </c>
      <c r="E119" s="283"/>
      <c r="F119" s="2"/>
      <c r="G119" s="2"/>
      <c r="I119" s="2"/>
      <c r="J119" s="2"/>
    </row>
    <row r="120" spans="1:10" x14ac:dyDescent="0.2">
      <c r="A120" s="283"/>
      <c r="B120" s="283"/>
      <c r="C120" s="283"/>
      <c r="E120" s="2"/>
      <c r="F120" s="2"/>
      <c r="G120" s="2"/>
      <c r="I120" s="2"/>
      <c r="J120" s="2"/>
    </row>
    <row r="121" spans="1:10" ht="13.5" x14ac:dyDescent="0.25">
      <c r="A121" s="286" t="s">
        <v>794</v>
      </c>
      <c r="B121" s="283"/>
      <c r="C121" s="283"/>
      <c r="D121" s="7" t="s">
        <v>338</v>
      </c>
      <c r="E121" s="2">
        <v>6141</v>
      </c>
      <c r="F121" s="2">
        <v>6470</v>
      </c>
      <c r="G121" s="2">
        <v>6470</v>
      </c>
      <c r="H121" s="2">
        <v>6470</v>
      </c>
      <c r="I121" s="2">
        <v>6470</v>
      </c>
      <c r="J121" s="2">
        <v>6470</v>
      </c>
    </row>
    <row r="122" spans="1:10" x14ac:dyDescent="0.2">
      <c r="A122" s="283" t="s">
        <v>805</v>
      </c>
      <c r="B122" s="283"/>
      <c r="C122" s="2"/>
      <c r="D122" s="2">
        <v>3250</v>
      </c>
      <c r="E122" s="2"/>
      <c r="F122" s="17"/>
      <c r="G122" s="17"/>
      <c r="H122" s="17"/>
      <c r="I122" s="17"/>
      <c r="J122" s="17"/>
    </row>
    <row r="123" spans="1:10" x14ac:dyDescent="0.2">
      <c r="A123" s="283" t="s">
        <v>1598</v>
      </c>
      <c r="B123" s="283"/>
      <c r="C123" s="2"/>
      <c r="D123" s="2">
        <v>2200</v>
      </c>
      <c r="E123" s="2"/>
      <c r="F123" s="17"/>
      <c r="G123" s="17"/>
      <c r="H123" s="17"/>
      <c r="I123" s="17"/>
      <c r="J123" s="17"/>
    </row>
    <row r="124" spans="1:10" ht="15" x14ac:dyDescent="0.35">
      <c r="A124" s="283" t="s">
        <v>256</v>
      </c>
      <c r="B124" s="283"/>
      <c r="C124" s="10"/>
      <c r="D124" s="17">
        <v>1019.76</v>
      </c>
      <c r="E124" s="2"/>
      <c r="F124" s="2"/>
      <c r="G124" s="2"/>
      <c r="I124" s="2"/>
      <c r="J124" s="2"/>
    </row>
    <row r="125" spans="1:10" x14ac:dyDescent="0.2">
      <c r="A125" s="283" t="s">
        <v>1067</v>
      </c>
      <c r="B125" s="283"/>
      <c r="C125" s="2"/>
      <c r="D125" s="2">
        <f>SUM(D122:D124)</f>
        <v>6469.76</v>
      </c>
      <c r="E125" s="2"/>
      <c r="F125" s="2"/>
      <c r="G125" s="2"/>
      <c r="I125" s="2"/>
      <c r="J125" s="2"/>
    </row>
    <row r="126" spans="1:10" x14ac:dyDescent="0.2">
      <c r="A126" s="283"/>
      <c r="B126" s="283"/>
      <c r="C126" s="2"/>
      <c r="E126" s="2"/>
      <c r="F126" s="2"/>
      <c r="G126" s="2"/>
      <c r="I126" s="2"/>
      <c r="J126" s="2"/>
    </row>
    <row r="127" spans="1:10" ht="13.5" x14ac:dyDescent="0.25">
      <c r="A127" s="286" t="s">
        <v>1016</v>
      </c>
      <c r="B127" s="283"/>
      <c r="C127" s="2"/>
      <c r="E127" s="2">
        <v>230</v>
      </c>
      <c r="F127" s="2">
        <v>405</v>
      </c>
      <c r="G127" s="2">
        <v>750</v>
      </c>
      <c r="H127" s="2">
        <v>750</v>
      </c>
      <c r="I127" s="2">
        <v>750</v>
      </c>
      <c r="J127" s="2">
        <v>750</v>
      </c>
    </row>
    <row r="128" spans="1:10" x14ac:dyDescent="0.2">
      <c r="A128" s="283" t="s">
        <v>2063</v>
      </c>
      <c r="B128" s="2" t="s">
        <v>338</v>
      </c>
      <c r="C128" s="2"/>
      <c r="D128" s="2">
        <v>150</v>
      </c>
      <c r="E128" s="2"/>
      <c r="F128" s="2"/>
      <c r="G128" s="2"/>
      <c r="I128" s="2"/>
      <c r="J128" s="2"/>
    </row>
    <row r="129" spans="1:10" x14ac:dyDescent="0.2">
      <c r="A129" s="283" t="s">
        <v>2064</v>
      </c>
      <c r="B129" s="2"/>
      <c r="C129" s="2"/>
      <c r="D129" s="2">
        <v>250</v>
      </c>
      <c r="E129" s="2"/>
      <c r="F129" s="2"/>
      <c r="G129" s="2"/>
      <c r="I129" s="2"/>
      <c r="J129" s="2"/>
    </row>
    <row r="130" spans="1:10" ht="15" x14ac:dyDescent="0.35">
      <c r="A130" s="283" t="s">
        <v>2065</v>
      </c>
      <c r="B130" s="2"/>
      <c r="C130" s="10"/>
      <c r="D130" s="10">
        <v>350</v>
      </c>
      <c r="E130" s="2"/>
      <c r="F130" s="2"/>
      <c r="G130" s="2"/>
      <c r="I130" s="2"/>
      <c r="J130" s="2"/>
    </row>
    <row r="131" spans="1:10" x14ac:dyDescent="0.2">
      <c r="A131" s="283" t="s">
        <v>1067</v>
      </c>
      <c r="B131" s="2"/>
      <c r="C131" s="2"/>
      <c r="D131" s="2">
        <f>SUM(D128:D130)</f>
        <v>750</v>
      </c>
      <c r="E131" s="2"/>
      <c r="F131" s="2"/>
      <c r="G131" s="2"/>
      <c r="I131" s="2"/>
      <c r="J131" s="2"/>
    </row>
    <row r="132" spans="1:10" x14ac:dyDescent="0.2">
      <c r="A132" s="283" t="s">
        <v>338</v>
      </c>
      <c r="B132" s="283"/>
      <c r="C132" s="2"/>
      <c r="D132" s="2" t="s">
        <v>338</v>
      </c>
      <c r="E132" s="2"/>
      <c r="F132" s="2"/>
      <c r="G132" s="2"/>
      <c r="I132" s="2"/>
      <c r="J132" s="2"/>
    </row>
    <row r="133" spans="1:10" ht="13.5" x14ac:dyDescent="0.25">
      <c r="A133" s="16" t="s">
        <v>1182</v>
      </c>
      <c r="B133" s="283"/>
      <c r="C133" s="2"/>
      <c r="E133" s="2">
        <v>4465</v>
      </c>
      <c r="F133" s="2">
        <v>4904</v>
      </c>
      <c r="G133" s="2">
        <v>5149</v>
      </c>
      <c r="H133" s="2">
        <v>5149</v>
      </c>
      <c r="I133" s="2">
        <v>5149</v>
      </c>
      <c r="J133" s="2">
        <v>5149</v>
      </c>
    </row>
    <row r="134" spans="1:10" x14ac:dyDescent="0.2">
      <c r="A134" s="283" t="s">
        <v>900</v>
      </c>
      <c r="B134" s="283"/>
      <c r="C134" s="2"/>
      <c r="D134" s="2">
        <v>5149</v>
      </c>
      <c r="E134" s="2"/>
      <c r="F134" s="2"/>
      <c r="G134" s="2"/>
      <c r="I134" s="2"/>
      <c r="J134" s="2"/>
    </row>
    <row r="135" spans="1:10" x14ac:dyDescent="0.2">
      <c r="A135" s="283"/>
      <c r="B135" s="283"/>
      <c r="C135" s="2"/>
      <c r="E135" s="2"/>
      <c r="F135" s="2"/>
      <c r="G135" s="2"/>
      <c r="I135" s="2"/>
      <c r="J135" s="2"/>
    </row>
    <row r="136" spans="1:10" ht="13.5" x14ac:dyDescent="0.25">
      <c r="A136" s="286" t="s">
        <v>123</v>
      </c>
      <c r="B136" s="283"/>
      <c r="C136" s="2"/>
      <c r="E136" s="2">
        <v>725</v>
      </c>
      <c r="F136" s="2">
        <v>550</v>
      </c>
      <c r="G136" s="2">
        <v>550</v>
      </c>
      <c r="H136" s="2">
        <v>550</v>
      </c>
      <c r="I136" s="2">
        <v>550</v>
      </c>
      <c r="J136" s="2">
        <v>550</v>
      </c>
    </row>
    <row r="137" spans="1:10" x14ac:dyDescent="0.2">
      <c r="A137" s="283" t="s">
        <v>533</v>
      </c>
      <c r="B137" s="283"/>
      <c r="C137" s="2"/>
      <c r="D137" s="2">
        <v>550</v>
      </c>
      <c r="E137" s="2"/>
      <c r="F137" s="2"/>
      <c r="G137" s="2"/>
      <c r="I137" s="2"/>
      <c r="J137" s="2"/>
    </row>
    <row r="138" spans="1:10" x14ac:dyDescent="0.2">
      <c r="A138" s="283" t="s">
        <v>338</v>
      </c>
      <c r="B138" s="283"/>
      <c r="C138" s="2"/>
      <c r="D138" s="2" t="s">
        <v>338</v>
      </c>
      <c r="E138" s="2"/>
      <c r="F138" s="2"/>
      <c r="G138" s="2"/>
      <c r="I138" s="2"/>
      <c r="J138" s="2"/>
    </row>
    <row r="139" spans="1:10" ht="13.5" x14ac:dyDescent="0.25">
      <c r="A139" s="286" t="s">
        <v>915</v>
      </c>
      <c r="B139" s="283"/>
      <c r="C139" s="7"/>
      <c r="D139" s="7" t="s">
        <v>338</v>
      </c>
      <c r="E139" s="2">
        <v>21323</v>
      </c>
      <c r="F139" s="2">
        <v>26740</v>
      </c>
      <c r="G139" s="2">
        <v>26740</v>
      </c>
      <c r="H139" s="2">
        <v>26740</v>
      </c>
      <c r="I139" s="2">
        <v>26740</v>
      </c>
      <c r="J139" s="2">
        <v>26740</v>
      </c>
    </row>
    <row r="140" spans="1:10" x14ac:dyDescent="0.2">
      <c r="A140" s="54" t="s">
        <v>528</v>
      </c>
      <c r="B140" s="5"/>
      <c r="C140" s="2"/>
      <c r="D140" s="2">
        <v>16000</v>
      </c>
      <c r="E140" s="2"/>
      <c r="F140" s="2"/>
      <c r="G140" s="2"/>
      <c r="I140" s="2"/>
      <c r="J140" s="2"/>
    </row>
    <row r="141" spans="1:10" x14ac:dyDescent="0.2">
      <c r="A141" s="54" t="s">
        <v>81</v>
      </c>
      <c r="B141" s="5"/>
      <c r="C141" s="2"/>
      <c r="D141" s="2">
        <v>2240</v>
      </c>
      <c r="E141" s="2"/>
      <c r="F141" s="2"/>
      <c r="G141" s="2"/>
      <c r="I141" s="2"/>
      <c r="J141" s="2"/>
    </row>
    <row r="142" spans="1:10" x14ac:dyDescent="0.2">
      <c r="A142" s="5" t="s">
        <v>427</v>
      </c>
      <c r="B142" s="5"/>
      <c r="C142" s="2"/>
      <c r="D142" s="2">
        <v>3000</v>
      </c>
      <c r="E142" s="2"/>
      <c r="F142" s="2"/>
      <c r="G142" s="2"/>
      <c r="I142" s="2"/>
      <c r="J142" s="2"/>
    </row>
    <row r="143" spans="1:10" x14ac:dyDescent="0.2">
      <c r="A143" s="283" t="s">
        <v>1714</v>
      </c>
      <c r="B143" s="283"/>
      <c r="C143" s="2" t="s">
        <v>338</v>
      </c>
      <c r="D143" s="2">
        <v>3500</v>
      </c>
      <c r="E143" s="2"/>
      <c r="F143" s="2"/>
      <c r="G143" s="2"/>
      <c r="I143" s="2"/>
      <c r="J143" s="2"/>
    </row>
    <row r="144" spans="1:10" ht="18" x14ac:dyDescent="0.4">
      <c r="A144" s="283" t="s">
        <v>574</v>
      </c>
      <c r="B144" s="283"/>
      <c r="C144" s="24"/>
      <c r="D144" s="10">
        <v>2000</v>
      </c>
      <c r="E144" s="2"/>
      <c r="F144" s="2"/>
      <c r="G144" s="2"/>
      <c r="I144" s="2"/>
      <c r="J144" s="2"/>
    </row>
    <row r="145" spans="1:10" x14ac:dyDescent="0.2">
      <c r="A145" s="283" t="s">
        <v>1067</v>
      </c>
      <c r="B145" s="283"/>
      <c r="C145" s="2"/>
      <c r="D145" s="2">
        <f>SUM(D140:D144)</f>
        <v>26740</v>
      </c>
      <c r="E145" s="2"/>
      <c r="F145" s="2"/>
      <c r="G145" s="2"/>
      <c r="I145" s="2"/>
      <c r="J145" s="2"/>
    </row>
    <row r="146" spans="1:10" x14ac:dyDescent="0.2">
      <c r="A146" s="283"/>
      <c r="B146" s="283"/>
      <c r="C146" s="2"/>
      <c r="E146" s="2"/>
      <c r="F146" s="2"/>
      <c r="G146" s="2"/>
      <c r="I146" s="2"/>
      <c r="J146" s="2"/>
    </row>
    <row r="147" spans="1:10" ht="13.5" x14ac:dyDescent="0.25">
      <c r="A147" s="286" t="s">
        <v>781</v>
      </c>
      <c r="B147" s="283"/>
      <c r="C147" s="2"/>
      <c r="E147" s="2">
        <v>2001</v>
      </c>
      <c r="F147" s="2">
        <v>2000</v>
      </c>
      <c r="G147" s="2">
        <v>2000</v>
      </c>
      <c r="H147" s="2">
        <v>2000</v>
      </c>
      <c r="I147" s="2">
        <v>2000</v>
      </c>
      <c r="J147" s="2">
        <v>2000</v>
      </c>
    </row>
    <row r="148" spans="1:10" x14ac:dyDescent="0.2">
      <c r="A148" s="283" t="s">
        <v>2066</v>
      </c>
      <c r="B148" s="283"/>
      <c r="C148" s="2"/>
      <c r="D148" s="2">
        <v>2000</v>
      </c>
      <c r="E148" s="2"/>
      <c r="F148" s="283"/>
      <c r="G148" s="283"/>
      <c r="H148" s="283"/>
      <c r="I148" s="316"/>
      <c r="J148" s="316"/>
    </row>
    <row r="149" spans="1:10" x14ac:dyDescent="0.2">
      <c r="A149" s="283"/>
      <c r="B149" s="283"/>
      <c r="C149" s="2"/>
      <c r="E149" s="2"/>
      <c r="F149" s="2"/>
      <c r="G149" s="2"/>
      <c r="I149" s="2"/>
      <c r="J149" s="2"/>
    </row>
    <row r="150" spans="1:10" x14ac:dyDescent="0.2">
      <c r="A150" s="283"/>
      <c r="B150" s="283"/>
      <c r="C150" s="2"/>
      <c r="E150" s="2"/>
      <c r="F150" s="2"/>
      <c r="G150" s="2"/>
      <c r="I150" s="2"/>
      <c r="J150" s="2"/>
    </row>
    <row r="151" spans="1:10" ht="13.5" x14ac:dyDescent="0.25">
      <c r="A151" s="286" t="s">
        <v>1263</v>
      </c>
      <c r="B151" s="283"/>
      <c r="C151" s="2"/>
      <c r="E151" s="2">
        <v>2070</v>
      </c>
      <c r="F151" s="2">
        <v>1000</v>
      </c>
      <c r="G151" s="2">
        <v>1250</v>
      </c>
      <c r="H151" s="2">
        <v>1250</v>
      </c>
      <c r="I151" s="2">
        <v>1250</v>
      </c>
      <c r="J151" s="2">
        <v>1250</v>
      </c>
    </row>
    <row r="152" spans="1:10" x14ac:dyDescent="0.2">
      <c r="A152" s="283" t="s">
        <v>530</v>
      </c>
      <c r="B152" s="283"/>
      <c r="C152" s="2"/>
      <c r="D152" s="2">
        <v>1000</v>
      </c>
      <c r="E152" s="2"/>
      <c r="F152" s="2"/>
      <c r="G152" s="2"/>
      <c r="I152" s="2"/>
      <c r="J152" s="2"/>
    </row>
    <row r="153" spans="1:10" ht="15" x14ac:dyDescent="0.35">
      <c r="A153" s="283" t="s">
        <v>63</v>
      </c>
      <c r="B153" s="283"/>
      <c r="C153" s="10"/>
      <c r="D153" s="10">
        <v>250</v>
      </c>
      <c r="E153" s="2"/>
      <c r="F153" s="2"/>
      <c r="G153" s="2"/>
      <c r="I153" s="2"/>
      <c r="J153" s="2"/>
    </row>
    <row r="154" spans="1:10" x14ac:dyDescent="0.2">
      <c r="A154" s="283" t="s">
        <v>1067</v>
      </c>
      <c r="B154" s="283"/>
      <c r="C154" s="2"/>
      <c r="D154" s="2">
        <f>SUM(D152:D153)</f>
        <v>1250</v>
      </c>
      <c r="E154" s="2"/>
      <c r="F154" s="283"/>
      <c r="G154" s="283"/>
      <c r="H154" s="283"/>
      <c r="I154" s="316"/>
      <c r="J154" s="316"/>
    </row>
    <row r="155" spans="1:10" x14ac:dyDescent="0.2">
      <c r="A155" s="283"/>
      <c r="B155" s="283"/>
      <c r="C155" s="2"/>
      <c r="E155" s="2"/>
      <c r="F155" s="2"/>
      <c r="G155" s="2"/>
      <c r="I155" s="2"/>
      <c r="J155" s="2"/>
    </row>
    <row r="156" spans="1:10" ht="13.5" x14ac:dyDescent="0.25">
      <c r="A156" s="286" t="s">
        <v>1110</v>
      </c>
      <c r="B156" s="283"/>
      <c r="C156" s="2"/>
      <c r="E156" s="2">
        <v>543</v>
      </c>
      <c r="F156" s="2">
        <v>400</v>
      </c>
      <c r="G156" s="2">
        <v>400</v>
      </c>
      <c r="H156" s="2">
        <v>400</v>
      </c>
      <c r="I156" s="2">
        <v>400</v>
      </c>
      <c r="J156" s="2">
        <v>400</v>
      </c>
    </row>
    <row r="157" spans="1:10" x14ac:dyDescent="0.2">
      <c r="A157" s="283" t="s">
        <v>971</v>
      </c>
      <c r="B157" s="283"/>
      <c r="C157" s="2"/>
      <c r="D157" s="2">
        <v>400</v>
      </c>
      <c r="E157" s="2"/>
      <c r="F157" s="2"/>
      <c r="G157" s="2"/>
      <c r="I157" s="2"/>
      <c r="J157" s="2"/>
    </row>
    <row r="158" spans="1:10" x14ac:dyDescent="0.2">
      <c r="A158" s="283"/>
      <c r="B158" s="283"/>
      <c r="C158" s="2"/>
      <c r="E158" s="2"/>
      <c r="F158" s="2"/>
      <c r="G158" s="2"/>
      <c r="I158" s="2"/>
      <c r="J158" s="2"/>
    </row>
    <row r="159" spans="1:10" ht="13.5" x14ac:dyDescent="0.25">
      <c r="A159" s="286" t="s">
        <v>972</v>
      </c>
      <c r="B159" s="283"/>
      <c r="C159" s="2"/>
      <c r="E159" s="2">
        <v>375</v>
      </c>
      <c r="F159" s="2">
        <v>1000</v>
      </c>
      <c r="G159" s="2">
        <v>1000</v>
      </c>
      <c r="H159" s="2">
        <v>1000</v>
      </c>
      <c r="I159" s="2">
        <v>1000</v>
      </c>
      <c r="J159" s="2">
        <v>1000</v>
      </c>
    </row>
    <row r="160" spans="1:10" x14ac:dyDescent="0.2">
      <c r="A160" s="283" t="s">
        <v>1173</v>
      </c>
      <c r="B160" s="283"/>
      <c r="C160" s="2"/>
      <c r="D160" s="2">
        <v>1000</v>
      </c>
      <c r="E160" s="2"/>
      <c r="F160" s="2"/>
      <c r="G160" s="2"/>
      <c r="I160" s="2"/>
      <c r="J160" s="2"/>
    </row>
    <row r="161" spans="1:10" x14ac:dyDescent="0.2">
      <c r="A161" s="283" t="s">
        <v>338</v>
      </c>
      <c r="B161" s="283"/>
      <c r="C161" s="2"/>
      <c r="D161" s="2" t="s">
        <v>338</v>
      </c>
      <c r="E161" s="2"/>
      <c r="F161" s="2"/>
      <c r="G161" s="2"/>
      <c r="I161" s="2"/>
      <c r="J161" s="2"/>
    </row>
    <row r="162" spans="1:10" s="192" customFormat="1" ht="13.5" x14ac:dyDescent="0.25">
      <c r="A162" s="286" t="s">
        <v>1174</v>
      </c>
      <c r="B162" s="283"/>
      <c r="C162" s="2"/>
      <c r="D162" s="2"/>
      <c r="E162" s="2">
        <v>210</v>
      </c>
      <c r="F162" s="2">
        <v>0</v>
      </c>
      <c r="G162" s="2">
        <v>0</v>
      </c>
      <c r="H162" s="2">
        <v>0</v>
      </c>
      <c r="I162" s="2">
        <v>0</v>
      </c>
      <c r="J162" s="2">
        <v>0</v>
      </c>
    </row>
    <row r="163" spans="1:10" s="192" customFormat="1" x14ac:dyDescent="0.2">
      <c r="A163" s="283" t="s">
        <v>529</v>
      </c>
      <c r="B163" s="283"/>
      <c r="C163" s="2"/>
      <c r="D163" s="2">
        <v>0</v>
      </c>
      <c r="E163" s="2"/>
      <c r="F163" s="2"/>
      <c r="G163" s="2"/>
      <c r="H163" s="2"/>
      <c r="I163" s="2"/>
      <c r="J163" s="2"/>
    </row>
    <row r="164" spans="1:10" s="192" customFormat="1" x14ac:dyDescent="0.2">
      <c r="A164" s="283"/>
      <c r="B164" s="283"/>
      <c r="C164" s="2"/>
      <c r="D164" s="2"/>
      <c r="E164" s="2"/>
      <c r="F164" s="2"/>
      <c r="G164" s="2"/>
      <c r="H164" s="2"/>
      <c r="I164" s="2"/>
      <c r="J164" s="2"/>
    </row>
    <row r="165" spans="1:10" ht="13.5" x14ac:dyDescent="0.25">
      <c r="A165" s="286" t="s">
        <v>1952</v>
      </c>
      <c r="B165" s="283"/>
      <c r="C165" s="2"/>
      <c r="E165" s="2">
        <v>22935</v>
      </c>
      <c r="F165" s="2">
        <v>0</v>
      </c>
      <c r="G165" s="2">
        <v>0</v>
      </c>
      <c r="H165" s="2">
        <v>0</v>
      </c>
      <c r="I165" s="2">
        <v>0</v>
      </c>
      <c r="J165" s="2">
        <v>0</v>
      </c>
    </row>
    <row r="166" spans="1:10" x14ac:dyDescent="0.2">
      <c r="A166" s="283"/>
      <c r="B166" s="283"/>
      <c r="C166" s="2"/>
      <c r="D166" s="2">
        <v>0</v>
      </c>
      <c r="E166" s="2"/>
      <c r="F166" s="2"/>
      <c r="G166" s="2"/>
      <c r="I166" s="2"/>
      <c r="J166" s="2"/>
    </row>
    <row r="167" spans="1:10" x14ac:dyDescent="0.2">
      <c r="A167" s="283"/>
      <c r="B167" s="283"/>
      <c r="C167" s="283"/>
      <c r="D167" s="7" t="s">
        <v>338</v>
      </c>
      <c r="E167" s="2"/>
      <c r="F167" s="2"/>
      <c r="G167" s="2"/>
      <c r="I167" s="2"/>
      <c r="J167" s="2"/>
    </row>
    <row r="168" spans="1:10" ht="13.5" x14ac:dyDescent="0.25">
      <c r="A168" s="286" t="s">
        <v>643</v>
      </c>
      <c r="B168" s="283"/>
      <c r="C168" s="283"/>
      <c r="D168" s="283"/>
      <c r="E168" s="2">
        <v>79679</v>
      </c>
      <c r="F168" s="15">
        <v>79049</v>
      </c>
      <c r="G168" s="15">
        <v>82525</v>
      </c>
      <c r="H168" s="15">
        <v>82525</v>
      </c>
      <c r="I168" s="15">
        <v>82525</v>
      </c>
      <c r="J168" s="15">
        <v>82525</v>
      </c>
    </row>
    <row r="169" spans="1:10" ht="13.5" x14ac:dyDescent="0.25">
      <c r="A169" s="286"/>
      <c r="B169" s="18" t="s">
        <v>1825</v>
      </c>
      <c r="C169" s="18" t="s">
        <v>1947</v>
      </c>
      <c r="D169" s="18" t="s">
        <v>2039</v>
      </c>
      <c r="E169" s="2"/>
      <c r="F169" s="15"/>
      <c r="G169" s="15"/>
      <c r="H169" s="15"/>
      <c r="I169" s="15"/>
      <c r="J169" s="15"/>
    </row>
    <row r="170" spans="1:10" x14ac:dyDescent="0.2">
      <c r="A170" s="19" t="s">
        <v>1237</v>
      </c>
      <c r="B170" s="2">
        <v>29555</v>
      </c>
      <c r="C170" s="2">
        <v>38555</v>
      </c>
      <c r="D170" s="2">
        <v>59795</v>
      </c>
      <c r="E170" s="2"/>
      <c r="F170" s="283"/>
      <c r="G170" s="283"/>
      <c r="H170" s="283"/>
      <c r="I170" s="316"/>
      <c r="J170" s="316"/>
    </row>
    <row r="171" spans="1:10" x14ac:dyDescent="0.2">
      <c r="A171" s="283" t="s">
        <v>644</v>
      </c>
      <c r="B171" s="2">
        <v>139995</v>
      </c>
      <c r="C171" s="2">
        <v>141160</v>
      </c>
      <c r="D171" s="2">
        <v>143045</v>
      </c>
      <c r="E171" s="2"/>
      <c r="F171" s="283"/>
      <c r="G171" s="283"/>
      <c r="H171" s="283"/>
      <c r="I171" s="316"/>
      <c r="J171" s="316"/>
    </row>
    <row r="172" spans="1:10" x14ac:dyDescent="0.2">
      <c r="A172" s="283" t="s">
        <v>647</v>
      </c>
      <c r="B172" s="2">
        <v>63880</v>
      </c>
      <c r="C172" s="2">
        <v>60500</v>
      </c>
      <c r="D172" s="2">
        <v>97250</v>
      </c>
      <c r="E172" s="2"/>
      <c r="F172" s="283"/>
      <c r="G172" s="283"/>
      <c r="H172" s="283"/>
      <c r="I172" s="316"/>
      <c r="J172" s="316"/>
    </row>
    <row r="173" spans="1:10" x14ac:dyDescent="0.2">
      <c r="A173" s="283" t="s">
        <v>648</v>
      </c>
      <c r="B173" s="15">
        <v>44653</v>
      </c>
      <c r="C173" s="15">
        <v>52103</v>
      </c>
      <c r="D173" s="15">
        <v>53480</v>
      </c>
      <c r="E173" s="2"/>
      <c r="F173" s="15"/>
      <c r="G173" s="15"/>
      <c r="H173" s="15"/>
      <c r="I173" s="15"/>
      <c r="J173" s="15"/>
    </row>
    <row r="174" spans="1:10" x14ac:dyDescent="0.2">
      <c r="A174" s="283" t="s">
        <v>886</v>
      </c>
      <c r="B174" s="15">
        <v>74225</v>
      </c>
      <c r="C174" s="15">
        <v>77650</v>
      </c>
      <c r="D174" s="15">
        <v>82360</v>
      </c>
      <c r="E174" s="2"/>
      <c r="F174" s="15"/>
      <c r="G174" s="15"/>
      <c r="H174" s="15"/>
      <c r="I174" s="15"/>
      <c r="J174" s="15"/>
    </row>
    <row r="175" spans="1:10" x14ac:dyDescent="0.2">
      <c r="A175" s="283" t="s">
        <v>649</v>
      </c>
      <c r="B175" s="15">
        <v>43365</v>
      </c>
      <c r="C175" s="15">
        <v>35055</v>
      </c>
      <c r="D175" s="15">
        <v>45782</v>
      </c>
      <c r="E175" s="2"/>
      <c r="F175" s="15"/>
      <c r="G175" s="15"/>
      <c r="H175" s="15"/>
      <c r="I175" s="15"/>
      <c r="J175" s="15"/>
    </row>
    <row r="176" spans="1:10" x14ac:dyDescent="0.2">
      <c r="A176" s="283" t="s">
        <v>1012</v>
      </c>
      <c r="B176" s="15">
        <v>51052</v>
      </c>
      <c r="C176" s="15">
        <v>29736</v>
      </c>
      <c r="D176" s="15">
        <v>29736</v>
      </c>
      <c r="E176" s="2"/>
      <c r="F176" s="15"/>
      <c r="G176" s="15"/>
      <c r="H176" s="15"/>
      <c r="I176" s="15"/>
      <c r="J176" s="15"/>
    </row>
    <row r="177" spans="1:10" ht="15" x14ac:dyDescent="0.35">
      <c r="A177" s="283" t="s">
        <v>768</v>
      </c>
      <c r="B177" s="284">
        <v>16866</v>
      </c>
      <c r="C177" s="284">
        <v>16950</v>
      </c>
      <c r="D177" s="284">
        <v>20000</v>
      </c>
      <c r="E177" s="2"/>
      <c r="F177" s="284"/>
      <c r="G177" s="284"/>
      <c r="H177" s="284"/>
      <c r="I177" s="317"/>
      <c r="J177" s="317"/>
    </row>
    <row r="178" spans="1:10" x14ac:dyDescent="0.2">
      <c r="A178" s="283" t="s">
        <v>650</v>
      </c>
      <c r="B178" s="15">
        <f>SUM(B170:B177)</f>
        <v>463591</v>
      </c>
      <c r="C178" s="15">
        <f>SUM(C170:C177)</f>
        <v>451709</v>
      </c>
      <c r="D178" s="15">
        <f>SUM(D170:D177)</f>
        <v>531448</v>
      </c>
      <c r="E178" s="2"/>
      <c r="F178" s="15"/>
      <c r="G178" s="15"/>
      <c r="H178" s="15"/>
      <c r="I178" s="15"/>
      <c r="J178" s="15"/>
    </row>
    <row r="179" spans="1:10" ht="15" x14ac:dyDescent="0.35">
      <c r="A179" s="283" t="s">
        <v>651</v>
      </c>
      <c r="B179" s="284">
        <v>-383912</v>
      </c>
      <c r="C179" s="284">
        <f>-372660</f>
        <v>-372660</v>
      </c>
      <c r="D179" s="284">
        <v>-448923</v>
      </c>
      <c r="E179" s="2"/>
      <c r="F179" s="284"/>
      <c r="G179" s="284"/>
      <c r="H179" s="284"/>
      <c r="I179" s="317"/>
      <c r="J179" s="317"/>
    </row>
    <row r="180" spans="1:10" x14ac:dyDescent="0.2">
      <c r="A180" s="283" t="s">
        <v>652</v>
      </c>
      <c r="B180" s="15">
        <f>B178+B179</f>
        <v>79679</v>
      </c>
      <c r="C180" s="15">
        <f>C178+C179</f>
        <v>79049</v>
      </c>
      <c r="D180" s="15">
        <f>D178+D179</f>
        <v>82525</v>
      </c>
      <c r="E180" s="2"/>
      <c r="F180" s="15"/>
      <c r="G180" s="15"/>
      <c r="H180" s="15"/>
      <c r="I180" s="15"/>
      <c r="J180" s="15"/>
    </row>
    <row r="181" spans="1:10" ht="15" x14ac:dyDescent="0.35">
      <c r="A181" s="283" t="s">
        <v>1125</v>
      </c>
      <c r="B181" s="284">
        <v>0</v>
      </c>
      <c r="C181" s="284">
        <v>0</v>
      </c>
      <c r="D181" s="284">
        <v>0</v>
      </c>
      <c r="E181" s="2"/>
      <c r="F181" s="284"/>
      <c r="G181" s="284"/>
      <c r="H181" s="284"/>
      <c r="I181" s="317"/>
      <c r="J181" s="317"/>
    </row>
    <row r="182" spans="1:10" x14ac:dyDescent="0.2">
      <c r="A182" s="283" t="s">
        <v>1126</v>
      </c>
      <c r="B182" s="15">
        <f>+B180+B181</f>
        <v>79679</v>
      </c>
      <c r="C182" s="15">
        <f>+C180+C181</f>
        <v>79049</v>
      </c>
      <c r="D182" s="15">
        <f>+D180+D181</f>
        <v>82525</v>
      </c>
      <c r="E182" s="2"/>
      <c r="F182" s="15"/>
      <c r="G182" s="15"/>
      <c r="H182" s="15"/>
      <c r="I182" s="15"/>
      <c r="J182" s="15"/>
    </row>
    <row r="183" spans="1:10" x14ac:dyDescent="0.2">
      <c r="A183" s="283" t="s">
        <v>597</v>
      </c>
      <c r="B183" s="15"/>
      <c r="C183" s="15"/>
      <c r="D183" s="15"/>
      <c r="E183" s="2"/>
      <c r="F183" s="15"/>
      <c r="G183" s="15"/>
      <c r="H183" s="15"/>
      <c r="I183" s="15"/>
      <c r="J183" s="15"/>
    </row>
    <row r="184" spans="1:10" x14ac:dyDescent="0.2">
      <c r="A184" s="283" t="s">
        <v>1252</v>
      </c>
      <c r="B184" s="26">
        <v>0</v>
      </c>
      <c r="C184" s="26">
        <v>0</v>
      </c>
      <c r="D184" s="26">
        <v>0</v>
      </c>
      <c r="E184" s="2"/>
      <c r="F184" s="26"/>
      <c r="G184" s="26"/>
      <c r="H184" s="26"/>
      <c r="I184" s="26"/>
      <c r="J184" s="26"/>
    </row>
    <row r="185" spans="1:10" x14ac:dyDescent="0.2">
      <c r="A185" s="283"/>
      <c r="B185" s="15">
        <f>SUM(B182:B184)</f>
        <v>79679</v>
      </c>
      <c r="C185" s="15">
        <f>SUM(C182:C184)</f>
        <v>79049</v>
      </c>
      <c r="D185" s="15">
        <f>SUM(D182:D184)</f>
        <v>82525</v>
      </c>
      <c r="E185" s="2"/>
      <c r="F185" s="15"/>
      <c r="G185" s="15"/>
      <c r="H185" s="15"/>
      <c r="I185" s="15"/>
      <c r="J185" s="15"/>
    </row>
    <row r="186" spans="1:10" x14ac:dyDescent="0.2">
      <c r="A186" s="283"/>
      <c r="B186" s="2"/>
      <c r="C186" s="2"/>
      <c r="D186" s="26"/>
      <c r="E186" s="2"/>
      <c r="F186" s="15"/>
      <c r="G186" s="15"/>
      <c r="H186" s="15"/>
      <c r="I186" s="15"/>
      <c r="J186" s="15"/>
    </row>
    <row r="187" spans="1:10" ht="13.5" x14ac:dyDescent="0.25">
      <c r="A187" s="286" t="s">
        <v>675</v>
      </c>
      <c r="B187" s="27" t="s">
        <v>338</v>
      </c>
      <c r="C187" s="27" t="s">
        <v>338</v>
      </c>
      <c r="D187" s="15"/>
      <c r="E187" s="2">
        <v>27696</v>
      </c>
      <c r="F187" s="2">
        <v>50000</v>
      </c>
      <c r="G187" s="2">
        <v>40000</v>
      </c>
      <c r="H187" s="2">
        <v>40000</v>
      </c>
      <c r="I187" s="2">
        <v>40000</v>
      </c>
      <c r="J187" s="2">
        <v>40000</v>
      </c>
    </row>
    <row r="188" spans="1:10" x14ac:dyDescent="0.2">
      <c r="A188" s="283" t="s">
        <v>1394</v>
      </c>
      <c r="B188" s="2" t="s">
        <v>338</v>
      </c>
      <c r="C188" s="2" t="s">
        <v>338</v>
      </c>
      <c r="D188" s="2">
        <v>40000</v>
      </c>
      <c r="E188" s="2"/>
      <c r="F188" s="2"/>
      <c r="G188" s="2"/>
      <c r="I188" s="2"/>
      <c r="J188" s="2"/>
    </row>
    <row r="189" spans="1:10" x14ac:dyDescent="0.2">
      <c r="A189" s="283"/>
      <c r="B189" s="283"/>
      <c r="C189" s="283"/>
      <c r="E189" s="2"/>
      <c r="F189" s="2"/>
      <c r="G189" s="2"/>
      <c r="I189" s="2"/>
      <c r="J189" s="2"/>
    </row>
    <row r="190" spans="1:10" ht="13.5" x14ac:dyDescent="0.25">
      <c r="A190" s="286" t="s">
        <v>346</v>
      </c>
      <c r="B190" s="283"/>
      <c r="C190" s="283"/>
      <c r="E190" s="2">
        <v>1000</v>
      </c>
      <c r="F190" s="2">
        <v>1000</v>
      </c>
      <c r="G190" s="2">
        <v>1000</v>
      </c>
      <c r="H190" s="2">
        <v>1000</v>
      </c>
      <c r="I190" s="2">
        <v>1000</v>
      </c>
      <c r="J190" s="2">
        <v>1000</v>
      </c>
    </row>
    <row r="191" spans="1:10" x14ac:dyDescent="0.2">
      <c r="A191" s="283" t="s">
        <v>347</v>
      </c>
      <c r="B191" s="283"/>
      <c r="C191" s="283"/>
      <c r="D191" s="2">
        <v>1000</v>
      </c>
      <c r="E191" s="2"/>
      <c r="F191" s="2"/>
      <c r="G191" s="2"/>
      <c r="I191" s="2"/>
      <c r="J191" s="2"/>
    </row>
    <row r="192" spans="1:10" x14ac:dyDescent="0.2">
      <c r="A192" s="283"/>
      <c r="B192" s="283"/>
      <c r="C192" s="283"/>
      <c r="E192" s="2"/>
      <c r="F192" s="2"/>
      <c r="G192" s="2"/>
      <c r="I192" s="2"/>
      <c r="J192" s="2"/>
    </row>
    <row r="193" spans="1:10" ht="13.5" x14ac:dyDescent="0.25">
      <c r="A193" s="286" t="s">
        <v>566</v>
      </c>
      <c r="B193" s="283"/>
      <c r="C193" s="283"/>
      <c r="D193" s="7" t="s">
        <v>338</v>
      </c>
      <c r="E193" s="2">
        <v>13816</v>
      </c>
      <c r="F193" s="2">
        <v>13950</v>
      </c>
      <c r="G193" s="2">
        <v>13950</v>
      </c>
      <c r="H193" s="2">
        <v>13950</v>
      </c>
      <c r="I193" s="2">
        <v>13950</v>
      </c>
      <c r="J193" s="2">
        <v>13950</v>
      </c>
    </row>
    <row r="194" spans="1:10" x14ac:dyDescent="0.2">
      <c r="A194" s="283" t="s">
        <v>567</v>
      </c>
      <c r="B194" s="283"/>
      <c r="C194" s="2"/>
      <c r="D194" s="2">
        <v>1500</v>
      </c>
      <c r="E194" s="2"/>
      <c r="F194" s="283"/>
      <c r="G194" s="283"/>
      <c r="H194" s="283"/>
      <c r="I194" s="316"/>
      <c r="J194" s="316"/>
    </row>
    <row r="195" spans="1:10" x14ac:dyDescent="0.2">
      <c r="A195" s="283" t="s">
        <v>64</v>
      </c>
      <c r="B195" s="283"/>
      <c r="C195" s="2"/>
      <c r="D195" s="2">
        <v>0</v>
      </c>
      <c r="E195" s="2"/>
      <c r="F195" s="283"/>
      <c r="G195" s="283"/>
      <c r="H195" s="283"/>
      <c r="I195" s="316"/>
      <c r="J195" s="316"/>
    </row>
    <row r="196" spans="1:10" x14ac:dyDescent="0.2">
      <c r="A196" s="283" t="s">
        <v>65</v>
      </c>
      <c r="B196" s="283"/>
      <c r="C196" s="2"/>
      <c r="D196" s="2">
        <v>2000</v>
      </c>
      <c r="E196" s="2"/>
      <c r="F196" s="283"/>
      <c r="G196" s="283"/>
      <c r="H196" s="283"/>
      <c r="I196" s="316"/>
      <c r="J196" s="316"/>
    </row>
    <row r="197" spans="1:10" x14ac:dyDescent="0.2">
      <c r="A197" s="283" t="s">
        <v>66</v>
      </c>
      <c r="B197" s="283"/>
      <c r="C197" s="2"/>
      <c r="D197" s="2">
        <v>1200</v>
      </c>
      <c r="E197" s="2"/>
      <c r="F197" s="2"/>
      <c r="G197" s="2"/>
      <c r="I197" s="2"/>
      <c r="J197" s="2"/>
    </row>
    <row r="198" spans="1:10" x14ac:dyDescent="0.2">
      <c r="A198" s="283" t="s">
        <v>67</v>
      </c>
      <c r="B198" s="283"/>
      <c r="C198" s="2"/>
      <c r="D198" s="2">
        <v>1200</v>
      </c>
      <c r="E198" s="2"/>
      <c r="F198" s="2"/>
      <c r="G198" s="2"/>
      <c r="I198" s="2"/>
      <c r="J198" s="2"/>
    </row>
    <row r="199" spans="1:10" x14ac:dyDescent="0.2">
      <c r="A199" s="283" t="s">
        <v>1395</v>
      </c>
      <c r="B199" s="283"/>
      <c r="C199" s="2"/>
      <c r="D199" s="2">
        <v>1200</v>
      </c>
      <c r="E199" s="2"/>
      <c r="F199" s="2"/>
      <c r="G199" s="2"/>
      <c r="I199" s="2"/>
      <c r="J199" s="2"/>
    </row>
    <row r="200" spans="1:10" x14ac:dyDescent="0.2">
      <c r="A200" s="283" t="s">
        <v>1969</v>
      </c>
      <c r="B200" s="283"/>
      <c r="C200" s="2"/>
      <c r="D200" s="2">
        <f>-C200</f>
        <v>0</v>
      </c>
      <c r="E200" s="2"/>
      <c r="F200" s="2"/>
      <c r="G200" s="2"/>
      <c r="I200" s="2"/>
      <c r="J200" s="2"/>
    </row>
    <row r="201" spans="1:10" x14ac:dyDescent="0.2">
      <c r="A201" s="283" t="s">
        <v>1622</v>
      </c>
      <c r="B201" s="283"/>
      <c r="C201" s="2"/>
      <c r="D201" s="2">
        <v>1200</v>
      </c>
      <c r="E201" s="2"/>
      <c r="F201" s="2"/>
      <c r="G201" s="2"/>
      <c r="I201" s="2"/>
      <c r="J201" s="2"/>
    </row>
    <row r="202" spans="1:10" ht="15" x14ac:dyDescent="0.35">
      <c r="A202" s="283" t="s">
        <v>950</v>
      </c>
      <c r="B202" s="283"/>
      <c r="C202" s="2"/>
      <c r="D202" s="10">
        <v>5650</v>
      </c>
      <c r="E202" s="2"/>
      <c r="F202" s="2"/>
      <c r="G202" s="2"/>
      <c r="I202" s="2"/>
      <c r="J202" s="2"/>
    </row>
    <row r="203" spans="1:10" x14ac:dyDescent="0.2">
      <c r="A203" s="5" t="s">
        <v>1332</v>
      </c>
      <c r="B203" s="283"/>
      <c r="C203" s="2"/>
      <c r="D203" s="2">
        <f>SUM(D194:D202)</f>
        <v>13950</v>
      </c>
      <c r="E203" s="2"/>
      <c r="F203" s="2"/>
      <c r="G203" s="2"/>
      <c r="I203" s="2"/>
      <c r="J203" s="2"/>
    </row>
    <row r="204" spans="1:10" x14ac:dyDescent="0.2">
      <c r="A204" s="5"/>
      <c r="B204" s="283"/>
      <c r="C204" s="2"/>
      <c r="E204" s="2"/>
      <c r="F204" s="2"/>
      <c r="G204" s="2"/>
      <c r="I204" s="2"/>
      <c r="J204" s="2"/>
    </row>
    <row r="205" spans="1:10" ht="13.5" x14ac:dyDescent="0.25">
      <c r="A205" s="286" t="s">
        <v>404</v>
      </c>
      <c r="B205" s="283"/>
      <c r="C205" s="283"/>
      <c r="E205" s="2">
        <v>4000</v>
      </c>
      <c r="F205" s="2">
        <v>8000</v>
      </c>
      <c r="G205" s="2">
        <v>8000</v>
      </c>
      <c r="H205" s="2">
        <v>8000</v>
      </c>
      <c r="I205" s="2">
        <v>8000</v>
      </c>
      <c r="J205" s="2">
        <v>8000</v>
      </c>
    </row>
    <row r="206" spans="1:10" x14ac:dyDescent="0.2">
      <c r="A206" s="283" t="s">
        <v>405</v>
      </c>
      <c r="B206" s="283" t="s">
        <v>338</v>
      </c>
      <c r="C206" s="2"/>
      <c r="D206" s="2">
        <v>8000</v>
      </c>
      <c r="E206" s="2"/>
      <c r="F206" s="2"/>
      <c r="G206" s="2"/>
      <c r="I206" s="2"/>
      <c r="J206" s="2"/>
    </row>
    <row r="207" spans="1:10" x14ac:dyDescent="0.2">
      <c r="A207" s="283"/>
      <c r="B207" s="283"/>
      <c r="C207" s="283"/>
      <c r="D207" s="7" t="s">
        <v>338</v>
      </c>
      <c r="E207" s="2"/>
      <c r="F207" s="2"/>
      <c r="G207" s="2"/>
      <c r="I207" s="2"/>
      <c r="J207" s="2"/>
    </row>
    <row r="208" spans="1:10" ht="13.5" x14ac:dyDescent="0.25">
      <c r="A208" s="286" t="s">
        <v>406</v>
      </c>
      <c r="B208" s="283"/>
      <c r="C208" s="283"/>
      <c r="D208" s="283"/>
      <c r="E208" s="2">
        <v>27690</v>
      </c>
      <c r="F208" s="2">
        <v>27690</v>
      </c>
      <c r="G208" s="2">
        <v>27690</v>
      </c>
      <c r="H208" s="2">
        <v>31325</v>
      </c>
      <c r="I208" s="2">
        <v>31325</v>
      </c>
      <c r="J208" s="2">
        <v>31325</v>
      </c>
    </row>
    <row r="209" spans="1:10" ht="13.5" x14ac:dyDescent="0.25">
      <c r="A209" s="286"/>
      <c r="B209" s="18" t="s">
        <v>1825</v>
      </c>
      <c r="C209" s="18" t="s">
        <v>1947</v>
      </c>
      <c r="D209" s="18" t="s">
        <v>2039</v>
      </c>
      <c r="E209" s="2"/>
      <c r="F209" s="2"/>
      <c r="G209" s="2"/>
      <c r="I209" s="2"/>
      <c r="J209" s="2"/>
    </row>
    <row r="210" spans="1:10" x14ac:dyDescent="0.2">
      <c r="A210" s="283" t="s">
        <v>893</v>
      </c>
      <c r="B210" s="81">
        <v>40</v>
      </c>
      <c r="C210" s="81">
        <v>40</v>
      </c>
      <c r="D210" s="81">
        <v>40</v>
      </c>
      <c r="E210" s="2"/>
      <c r="F210" s="283"/>
      <c r="G210" s="283"/>
      <c r="H210" s="283"/>
      <c r="I210" s="316"/>
      <c r="J210" s="316"/>
    </row>
    <row r="211" spans="1:10" x14ac:dyDescent="0.2">
      <c r="A211" s="283" t="s">
        <v>1198</v>
      </c>
      <c r="B211" s="81">
        <v>50</v>
      </c>
      <c r="C211" s="81">
        <v>60</v>
      </c>
      <c r="D211" s="81">
        <v>0</v>
      </c>
      <c r="E211" s="2"/>
      <c r="F211" s="283"/>
      <c r="G211" s="283"/>
      <c r="H211" s="283"/>
      <c r="I211" s="316"/>
      <c r="J211" s="316"/>
    </row>
    <row r="212" spans="1:10" x14ac:dyDescent="0.2">
      <c r="A212" s="283" t="s">
        <v>1010</v>
      </c>
      <c r="B212" s="81">
        <v>300</v>
      </c>
      <c r="C212" s="81">
        <v>350</v>
      </c>
      <c r="D212" s="81">
        <v>375</v>
      </c>
      <c r="E212" s="2"/>
      <c r="F212" s="283"/>
      <c r="G212" s="283"/>
      <c r="H212" s="283"/>
      <c r="I212" s="316"/>
      <c r="J212" s="316"/>
    </row>
    <row r="213" spans="1:10" x14ac:dyDescent="0.2">
      <c r="A213" s="283" t="s">
        <v>236</v>
      </c>
      <c r="B213" s="81">
        <v>400</v>
      </c>
      <c r="C213" s="81">
        <v>500</v>
      </c>
      <c r="D213" s="81">
        <v>500</v>
      </c>
      <c r="E213" s="2"/>
      <c r="F213" s="2"/>
      <c r="G213" s="2"/>
      <c r="I213" s="2"/>
      <c r="J213" s="2"/>
    </row>
    <row r="214" spans="1:10" x14ac:dyDescent="0.2">
      <c r="A214" s="283" t="s">
        <v>855</v>
      </c>
      <c r="B214" s="81">
        <v>8500</v>
      </c>
      <c r="C214" s="81">
        <v>8000</v>
      </c>
      <c r="D214" s="81">
        <v>8300</v>
      </c>
      <c r="E214" s="2"/>
      <c r="F214" s="2"/>
      <c r="G214" s="2"/>
      <c r="I214" s="2"/>
      <c r="J214" s="2"/>
    </row>
    <row r="215" spans="1:10" x14ac:dyDescent="0.2">
      <c r="A215" s="283" t="s">
        <v>1172</v>
      </c>
      <c r="B215" s="81">
        <v>7400</v>
      </c>
      <c r="C215" s="81">
        <v>7700</v>
      </c>
      <c r="D215" s="81">
        <v>12320</v>
      </c>
      <c r="E215" s="2"/>
      <c r="F215" s="2"/>
      <c r="G215" s="2"/>
      <c r="I215" s="2"/>
      <c r="J215" s="2"/>
    </row>
    <row r="216" spans="1:10" x14ac:dyDescent="0.2">
      <c r="A216" s="283" t="s">
        <v>856</v>
      </c>
      <c r="B216" s="81">
        <v>300</v>
      </c>
      <c r="C216" s="81">
        <v>200</v>
      </c>
      <c r="D216" s="81">
        <v>300</v>
      </c>
      <c r="E216" s="2"/>
      <c r="F216" s="2"/>
      <c r="G216" s="2"/>
      <c r="I216" s="2"/>
      <c r="J216" s="2"/>
    </row>
    <row r="217" spans="1:10" x14ac:dyDescent="0.2">
      <c r="A217" s="283" t="s">
        <v>1363</v>
      </c>
      <c r="B217" s="81">
        <v>2100</v>
      </c>
      <c r="C217" s="81">
        <v>2300</v>
      </c>
      <c r="D217" s="81">
        <v>3000</v>
      </c>
      <c r="E217" s="2"/>
      <c r="F217" s="2"/>
      <c r="G217" s="2"/>
      <c r="I217" s="2"/>
      <c r="J217" s="2"/>
    </row>
    <row r="218" spans="1:10" x14ac:dyDescent="0.2">
      <c r="A218" s="283" t="s">
        <v>948</v>
      </c>
      <c r="B218" s="81">
        <v>1200</v>
      </c>
      <c r="C218" s="81">
        <v>1200</v>
      </c>
      <c r="D218" s="81">
        <v>1500</v>
      </c>
      <c r="E218" s="2"/>
      <c r="F218" s="2"/>
      <c r="G218" s="2"/>
      <c r="I218" s="2"/>
      <c r="J218" s="2"/>
    </row>
    <row r="219" spans="1:10" x14ac:dyDescent="0.2">
      <c r="A219" s="283" t="s">
        <v>865</v>
      </c>
      <c r="B219" s="81">
        <v>2000</v>
      </c>
      <c r="C219" s="81">
        <v>1200</v>
      </c>
      <c r="D219" s="81">
        <v>1300</v>
      </c>
      <c r="E219" s="2"/>
      <c r="F219" s="2"/>
      <c r="G219" s="2"/>
      <c r="I219" s="2"/>
      <c r="J219" s="2"/>
    </row>
    <row r="220" spans="1:10" x14ac:dyDescent="0.2">
      <c r="A220" s="283" t="s">
        <v>896</v>
      </c>
      <c r="B220" s="81">
        <v>300</v>
      </c>
      <c r="C220" s="81">
        <v>850</v>
      </c>
      <c r="D220" s="81">
        <v>850</v>
      </c>
      <c r="E220" s="2"/>
      <c r="F220" s="2"/>
      <c r="G220" s="2"/>
      <c r="I220" s="2"/>
      <c r="J220" s="2"/>
    </row>
    <row r="221" spans="1:10" x14ac:dyDescent="0.2">
      <c r="A221" s="283" t="s">
        <v>721</v>
      </c>
      <c r="B221" s="81">
        <v>300</v>
      </c>
      <c r="C221" s="81">
        <v>300</v>
      </c>
      <c r="D221" s="81">
        <v>300</v>
      </c>
      <c r="E221" s="2"/>
      <c r="F221" s="2"/>
      <c r="G221" s="2"/>
      <c r="I221" s="2"/>
      <c r="J221" s="2"/>
    </row>
    <row r="222" spans="1:10" ht="15" x14ac:dyDescent="0.25">
      <c r="A222" s="283" t="s">
        <v>270</v>
      </c>
      <c r="B222" s="119">
        <v>100</v>
      </c>
      <c r="C222" s="119">
        <v>130</v>
      </c>
      <c r="D222" s="119">
        <v>140</v>
      </c>
      <c r="E222" s="2"/>
      <c r="F222" s="2"/>
      <c r="G222" s="2"/>
      <c r="I222" s="2"/>
      <c r="J222" s="2"/>
    </row>
    <row r="223" spans="1:10" ht="15" x14ac:dyDescent="0.25">
      <c r="A223" s="283" t="s">
        <v>1364</v>
      </c>
      <c r="B223" s="119">
        <v>200</v>
      </c>
      <c r="C223" s="119">
        <v>225</v>
      </c>
      <c r="D223" s="119">
        <v>250</v>
      </c>
      <c r="E223" s="2"/>
      <c r="F223" s="2"/>
      <c r="G223" s="2"/>
      <c r="I223" s="2"/>
      <c r="J223" s="2"/>
    </row>
    <row r="224" spans="1:10" ht="15" x14ac:dyDescent="0.25">
      <c r="A224" s="283" t="s">
        <v>857</v>
      </c>
      <c r="B224" s="119">
        <v>1000</v>
      </c>
      <c r="C224" s="119">
        <v>1500</v>
      </c>
      <c r="D224" s="119">
        <v>4500</v>
      </c>
      <c r="E224" s="2"/>
      <c r="F224" s="2"/>
      <c r="G224" s="2"/>
      <c r="I224" s="2"/>
      <c r="J224" s="2"/>
    </row>
    <row r="225" spans="1:10" x14ac:dyDescent="0.2">
      <c r="A225" s="283" t="s">
        <v>858</v>
      </c>
      <c r="B225" s="81">
        <v>100</v>
      </c>
      <c r="C225" s="81">
        <v>100</v>
      </c>
      <c r="D225" s="81">
        <v>100</v>
      </c>
      <c r="E225" s="2"/>
      <c r="F225" s="2"/>
      <c r="G225" s="2"/>
      <c r="I225" s="2"/>
      <c r="J225" s="2"/>
    </row>
    <row r="226" spans="1:10" x14ac:dyDescent="0.2">
      <c r="A226" s="283" t="s">
        <v>1011</v>
      </c>
      <c r="B226" s="81">
        <v>200</v>
      </c>
      <c r="C226" s="81">
        <v>200</v>
      </c>
      <c r="D226" s="81">
        <v>200</v>
      </c>
      <c r="E226" s="2"/>
      <c r="F226" s="2"/>
      <c r="G226" s="2"/>
      <c r="I226" s="2"/>
      <c r="J226" s="2"/>
    </row>
    <row r="227" spans="1:10" x14ac:dyDescent="0.2">
      <c r="A227" s="283" t="s">
        <v>1365</v>
      </c>
      <c r="B227" s="81">
        <v>1500</v>
      </c>
      <c r="C227" s="81">
        <v>1600</v>
      </c>
      <c r="D227" s="81">
        <v>1900</v>
      </c>
      <c r="E227" s="2"/>
      <c r="F227" s="2"/>
      <c r="G227" s="2"/>
      <c r="I227" s="2"/>
      <c r="J227" s="2"/>
    </row>
    <row r="228" spans="1:10" x14ac:dyDescent="0.2">
      <c r="A228" s="283" t="s">
        <v>1366</v>
      </c>
      <c r="B228" s="81">
        <v>1200</v>
      </c>
      <c r="C228" s="81">
        <v>1350</v>
      </c>
      <c r="D228" s="81">
        <v>1450</v>
      </c>
      <c r="E228" s="2"/>
      <c r="F228" s="2"/>
      <c r="G228" s="2"/>
      <c r="I228" s="2"/>
      <c r="J228" s="2"/>
    </row>
    <row r="229" spans="1:10" x14ac:dyDescent="0.2">
      <c r="A229" s="283" t="s">
        <v>1023</v>
      </c>
      <c r="B229" s="81">
        <v>500</v>
      </c>
      <c r="C229" s="81">
        <f>3185+500</f>
        <v>3685</v>
      </c>
      <c r="D229" s="81">
        <v>0</v>
      </c>
      <c r="E229" s="2"/>
      <c r="F229" s="2"/>
      <c r="G229" s="2"/>
      <c r="I229" s="2"/>
      <c r="J229" s="2"/>
    </row>
    <row r="230" spans="1:10" ht="15" x14ac:dyDescent="0.2">
      <c r="A230" s="283" t="s">
        <v>798</v>
      </c>
      <c r="B230" s="83">
        <v>18000</v>
      </c>
      <c r="C230" s="83">
        <v>18000</v>
      </c>
      <c r="D230" s="83">
        <v>18000</v>
      </c>
      <c r="E230" s="2"/>
      <c r="F230" s="2"/>
      <c r="G230" s="2"/>
      <c r="I230" s="2"/>
      <c r="J230" s="2"/>
    </row>
    <row r="231" spans="1:10" x14ac:dyDescent="0.2">
      <c r="A231" s="283" t="s">
        <v>650</v>
      </c>
      <c r="B231" s="81">
        <f>SUM(B210:B230)</f>
        <v>45690</v>
      </c>
      <c r="C231" s="81">
        <f>SUM(C210:C230)</f>
        <v>49490</v>
      </c>
      <c r="D231" s="81">
        <f>SUM(D210:D230)</f>
        <v>55325</v>
      </c>
      <c r="E231" s="2"/>
      <c r="F231" s="2"/>
      <c r="G231" s="2"/>
      <c r="I231" s="2"/>
      <c r="J231" s="2"/>
    </row>
    <row r="232" spans="1:10" x14ac:dyDescent="0.2">
      <c r="A232" s="283" t="s">
        <v>598</v>
      </c>
      <c r="B232" s="80">
        <v>-18000</v>
      </c>
      <c r="C232" s="80">
        <v>-21800</v>
      </c>
      <c r="D232" s="80">
        <v>-24000</v>
      </c>
      <c r="E232" s="2"/>
      <c r="F232" s="2"/>
      <c r="G232" s="2"/>
      <c r="I232" s="2"/>
      <c r="J232" s="2"/>
    </row>
    <row r="233" spans="1:10" ht="15" x14ac:dyDescent="0.35">
      <c r="A233" s="283" t="s">
        <v>1252</v>
      </c>
      <c r="B233" s="82">
        <v>0</v>
      </c>
      <c r="C233" s="82">
        <v>0</v>
      </c>
      <c r="D233" s="82">
        <v>0</v>
      </c>
      <c r="E233" s="2"/>
      <c r="F233" s="2"/>
      <c r="G233" s="2"/>
      <c r="I233" s="2"/>
      <c r="J233" s="2"/>
    </row>
    <row r="234" spans="1:10" x14ac:dyDescent="0.2">
      <c r="A234" s="283" t="s">
        <v>633</v>
      </c>
      <c r="B234" s="80">
        <f>SUM(B231:B233)</f>
        <v>27690</v>
      </c>
      <c r="C234" s="80">
        <f>SUM(C231:C233)</f>
        <v>27690</v>
      </c>
      <c r="D234" s="80">
        <f>SUM(D231:D233)</f>
        <v>31325</v>
      </c>
      <c r="E234" s="2"/>
      <c r="F234" s="2"/>
      <c r="G234" s="2"/>
      <c r="I234" s="2"/>
      <c r="J234" s="2"/>
    </row>
    <row r="235" spans="1:10" x14ac:dyDescent="0.2">
      <c r="A235" s="283"/>
      <c r="B235" s="2"/>
      <c r="C235" s="80"/>
      <c r="D235" s="80"/>
      <c r="E235" s="2"/>
      <c r="F235" s="2"/>
      <c r="G235" s="2"/>
      <c r="I235" s="2"/>
      <c r="J235" s="2"/>
    </row>
    <row r="236" spans="1:10" ht="13.5" x14ac:dyDescent="0.25">
      <c r="A236" s="286" t="s">
        <v>349</v>
      </c>
      <c r="B236" s="18" t="s">
        <v>1825</v>
      </c>
      <c r="C236" s="18" t="s">
        <v>1947</v>
      </c>
      <c r="D236" s="18" t="s">
        <v>2039</v>
      </c>
      <c r="E236" s="2">
        <v>0</v>
      </c>
      <c r="F236" s="2">
        <v>0</v>
      </c>
      <c r="G236" s="2">
        <v>0</v>
      </c>
      <c r="H236" s="2">
        <v>0</v>
      </c>
      <c r="I236" s="2">
        <v>0</v>
      </c>
      <c r="J236" s="2">
        <v>0</v>
      </c>
    </row>
    <row r="237" spans="1:10" x14ac:dyDescent="0.2">
      <c r="A237" s="283" t="s">
        <v>1464</v>
      </c>
      <c r="B237" s="2">
        <v>0</v>
      </c>
      <c r="C237" s="2">
        <v>0</v>
      </c>
      <c r="D237" s="2">
        <v>0</v>
      </c>
      <c r="E237" s="2"/>
      <c r="F237" s="2"/>
      <c r="G237" s="2"/>
      <c r="I237" s="2"/>
      <c r="J237" s="2"/>
    </row>
    <row r="238" spans="1:10" x14ac:dyDescent="0.2">
      <c r="A238" s="283"/>
      <c r="B238" s="2"/>
      <c r="C238" s="2"/>
      <c r="E238" s="2"/>
      <c r="F238" s="2"/>
      <c r="G238" s="2"/>
      <c r="I238" s="2"/>
      <c r="J238" s="2"/>
    </row>
    <row r="239" spans="1:10" x14ac:dyDescent="0.2">
      <c r="A239" s="120" t="s">
        <v>773</v>
      </c>
      <c r="B239" s="18" t="s">
        <v>1825</v>
      </c>
      <c r="C239" s="18" t="s">
        <v>1947</v>
      </c>
      <c r="D239" s="18" t="s">
        <v>2039</v>
      </c>
      <c r="E239" s="2">
        <v>206609</v>
      </c>
      <c r="F239" s="2">
        <v>32500</v>
      </c>
      <c r="G239" s="2">
        <v>230000</v>
      </c>
      <c r="H239" s="2">
        <v>0</v>
      </c>
      <c r="I239" s="2">
        <v>0</v>
      </c>
      <c r="J239" s="2">
        <v>0</v>
      </c>
    </row>
    <row r="240" spans="1:10" x14ac:dyDescent="0.2">
      <c r="A240" s="22" t="s">
        <v>1970</v>
      </c>
      <c r="B240" s="2">
        <v>0</v>
      </c>
      <c r="C240" s="2">
        <v>32500</v>
      </c>
      <c r="D240" s="2">
        <v>0</v>
      </c>
      <c r="E240" s="2"/>
      <c r="F240" s="2"/>
      <c r="G240" s="2"/>
      <c r="I240" s="2"/>
      <c r="J240" s="2"/>
    </row>
    <row r="241" spans="1:10" x14ac:dyDescent="0.2">
      <c r="A241" s="22" t="s">
        <v>2067</v>
      </c>
      <c r="B241" s="2">
        <v>0</v>
      </c>
      <c r="C241" s="2">
        <v>0</v>
      </c>
      <c r="D241" s="2">
        <v>230000</v>
      </c>
      <c r="E241" s="2"/>
      <c r="F241" s="2"/>
      <c r="G241" s="2"/>
      <c r="I241" s="2"/>
      <c r="J241" s="2"/>
    </row>
    <row r="242" spans="1:10" x14ac:dyDescent="0.2">
      <c r="A242" s="22" t="s">
        <v>1768</v>
      </c>
      <c r="B242" s="2">
        <v>37000</v>
      </c>
      <c r="C242" s="2">
        <v>0</v>
      </c>
      <c r="D242" s="2">
        <v>0</v>
      </c>
      <c r="E242" s="2"/>
      <c r="F242" s="2"/>
      <c r="G242" s="2"/>
      <c r="I242" s="2"/>
      <c r="J242" s="2"/>
    </row>
    <row r="243" spans="1:10" x14ac:dyDescent="0.2">
      <c r="A243" s="22" t="s">
        <v>1852</v>
      </c>
      <c r="B243" s="2">
        <v>0</v>
      </c>
      <c r="C243" s="2">
        <v>26400</v>
      </c>
      <c r="D243" s="2">
        <v>0</v>
      </c>
      <c r="E243" s="2"/>
      <c r="F243" s="2"/>
      <c r="G243" s="2"/>
      <c r="I243" s="2"/>
      <c r="J243" s="2"/>
    </row>
    <row r="244" spans="1:10" ht="15" x14ac:dyDescent="0.35">
      <c r="A244" s="22" t="s">
        <v>1853</v>
      </c>
      <c r="B244" s="10">
        <v>0</v>
      </c>
      <c r="C244" s="10">
        <v>14800</v>
      </c>
      <c r="D244" s="10">
        <v>0</v>
      </c>
      <c r="E244" s="10"/>
      <c r="F244" s="2"/>
      <c r="G244" s="2"/>
      <c r="I244" s="2"/>
      <c r="J244" s="2"/>
    </row>
    <row r="245" spans="1:10" x14ac:dyDescent="0.2">
      <c r="A245" s="69"/>
      <c r="B245" s="2">
        <f>SUM(B240:B244)</f>
        <v>37000</v>
      </c>
      <c r="C245" s="2">
        <f>SUM(C240:C244)</f>
        <v>73700</v>
      </c>
      <c r="D245" s="2">
        <f>SUM(D240:D244)</f>
        <v>230000</v>
      </c>
      <c r="E245" s="2"/>
      <c r="F245" s="2"/>
      <c r="G245" s="2"/>
      <c r="I245" s="2"/>
      <c r="J245" s="2"/>
    </row>
    <row r="246" spans="1:10" x14ac:dyDescent="0.2">
      <c r="A246" s="69"/>
      <c r="B246" s="2"/>
      <c r="C246" s="2"/>
      <c r="E246" s="2"/>
      <c r="F246" s="2"/>
      <c r="G246" s="2"/>
      <c r="I246" s="2"/>
      <c r="J246" s="2"/>
    </row>
    <row r="247" spans="1:10" ht="13.5" x14ac:dyDescent="0.25">
      <c r="A247" s="286" t="s">
        <v>349</v>
      </c>
      <c r="B247" s="2"/>
      <c r="C247" s="2"/>
      <c r="E247" s="2">
        <v>0</v>
      </c>
      <c r="F247" s="2"/>
      <c r="G247" s="2"/>
      <c r="I247" s="2"/>
      <c r="J247" s="2"/>
    </row>
    <row r="248" spans="1:10" s="228" customFormat="1" ht="13.5" x14ac:dyDescent="0.25">
      <c r="A248" s="286"/>
      <c r="B248" s="2"/>
      <c r="C248" s="2"/>
      <c r="D248" s="2"/>
      <c r="E248" s="2"/>
      <c r="F248" s="2"/>
      <c r="G248" s="2"/>
      <c r="H248" s="2"/>
      <c r="I248" s="2"/>
      <c r="J248" s="2"/>
    </row>
    <row r="249" spans="1:10" s="228" customFormat="1" ht="13.5" x14ac:dyDescent="0.25">
      <c r="A249" s="286" t="s">
        <v>1225</v>
      </c>
      <c r="B249" s="18" t="s">
        <v>1825</v>
      </c>
      <c r="C249" s="18" t="s">
        <v>1947</v>
      </c>
      <c r="D249" s="18" t="s">
        <v>2039</v>
      </c>
      <c r="E249" s="2"/>
      <c r="F249" s="2"/>
      <c r="G249" s="2"/>
      <c r="H249" s="2"/>
      <c r="I249" s="2"/>
      <c r="J249" s="2"/>
    </row>
    <row r="250" spans="1:10" s="228" customFormat="1" ht="15" x14ac:dyDescent="0.35">
      <c r="A250" s="283" t="s">
        <v>352</v>
      </c>
      <c r="B250" s="2">
        <v>5000</v>
      </c>
      <c r="C250" s="2">
        <v>5000</v>
      </c>
      <c r="D250" s="2">
        <v>5000</v>
      </c>
      <c r="E250" s="10">
        <v>5000</v>
      </c>
      <c r="F250" s="10">
        <v>5000</v>
      </c>
      <c r="G250" s="10">
        <v>5000</v>
      </c>
      <c r="H250" s="10">
        <v>5000</v>
      </c>
      <c r="I250" s="10">
        <v>5000</v>
      </c>
      <c r="J250" s="10">
        <v>5000</v>
      </c>
    </row>
    <row r="251" spans="1:10" x14ac:dyDescent="0.2">
      <c r="A251" s="283"/>
      <c r="B251" s="2"/>
      <c r="C251" s="2"/>
      <c r="E251" s="2"/>
      <c r="F251" s="2"/>
      <c r="G251" s="2"/>
      <c r="I251" s="2"/>
      <c r="J251" s="2"/>
    </row>
    <row r="252" spans="1:10" x14ac:dyDescent="0.2">
      <c r="A252" s="283"/>
      <c r="B252" s="2"/>
      <c r="C252" s="2"/>
      <c r="E252" s="2"/>
      <c r="F252" s="2"/>
      <c r="G252" s="2"/>
      <c r="I252" s="2"/>
      <c r="J252" s="2"/>
    </row>
    <row r="253" spans="1:10" x14ac:dyDescent="0.2">
      <c r="A253" s="283" t="s">
        <v>1144</v>
      </c>
      <c r="B253" s="283"/>
      <c r="C253" s="2"/>
      <c r="E253" s="2">
        <f>SUM(E6:E251)</f>
        <v>712853</v>
      </c>
      <c r="F253" s="2">
        <f>SUM(F6:F251)</f>
        <v>562788</v>
      </c>
      <c r="G253" s="2">
        <f t="shared" ref="G253:J253" si="1">SUM(G6:G251)</f>
        <v>754630</v>
      </c>
      <c r="H253" s="2">
        <f t="shared" ref="H253" si="2">SUM(H6:H251)</f>
        <v>528265</v>
      </c>
      <c r="I253" s="2">
        <f t="shared" si="1"/>
        <v>534484</v>
      </c>
      <c r="J253" s="2">
        <f t="shared" si="1"/>
        <v>534484</v>
      </c>
    </row>
    <row r="254" spans="1:10" x14ac:dyDescent="0.2">
      <c r="A254" s="283"/>
      <c r="B254" s="283"/>
      <c r="C254" s="2"/>
      <c r="E254" s="2"/>
      <c r="F254" s="2"/>
      <c r="G254" s="2"/>
      <c r="I254" s="2"/>
      <c r="J254" s="2"/>
    </row>
    <row r="255" spans="1:10" x14ac:dyDescent="0.2">
      <c r="A255" s="283" t="s">
        <v>823</v>
      </c>
      <c r="B255" s="283"/>
      <c r="C255" s="283"/>
      <c r="E255" s="2">
        <f t="shared" ref="E255:J255" si="3">SUM(E6:E68)</f>
        <v>231533</v>
      </c>
      <c r="F255" s="2">
        <f t="shared" si="3"/>
        <v>246602</v>
      </c>
      <c r="G255" s="2">
        <f t="shared" si="3"/>
        <v>244376</v>
      </c>
      <c r="H255" s="2">
        <f t="shared" ref="H255" si="4">SUM(H6:H68)</f>
        <v>244376</v>
      </c>
      <c r="I255" s="2">
        <f t="shared" si="3"/>
        <v>250595</v>
      </c>
      <c r="J255" s="2">
        <f t="shared" si="3"/>
        <v>250595</v>
      </c>
    </row>
    <row r="256" spans="1:10" x14ac:dyDescent="0.2">
      <c r="A256" s="283" t="s">
        <v>803</v>
      </c>
      <c r="B256" s="283"/>
      <c r="C256" s="283"/>
      <c r="E256" s="2">
        <f t="shared" ref="E256:J256" si="5">SUM(E70:E232)</f>
        <v>269711</v>
      </c>
      <c r="F256" s="2">
        <f t="shared" si="5"/>
        <v>278686</v>
      </c>
      <c r="G256" s="2">
        <f t="shared" si="5"/>
        <v>275254</v>
      </c>
      <c r="H256" s="2">
        <f t="shared" ref="H256" si="6">SUM(H70:H232)</f>
        <v>278889</v>
      </c>
      <c r="I256" s="2">
        <f t="shared" si="5"/>
        <v>278889</v>
      </c>
      <c r="J256" s="2">
        <f t="shared" si="5"/>
        <v>278889</v>
      </c>
    </row>
    <row r="257" spans="1:10" ht="15" x14ac:dyDescent="0.35">
      <c r="A257" s="283" t="s">
        <v>804</v>
      </c>
      <c r="B257" s="283"/>
      <c r="C257" s="283"/>
      <c r="E257" s="10">
        <f>SUM(E234:E251)</f>
        <v>211609</v>
      </c>
      <c r="F257" s="10">
        <f t="shared" ref="F257:J257" si="7">SUM(F234:F251)</f>
        <v>37500</v>
      </c>
      <c r="G257" s="10">
        <f t="shared" si="7"/>
        <v>235000</v>
      </c>
      <c r="H257" s="10">
        <f t="shared" ref="H257" si="8">SUM(H234:H251)</f>
        <v>5000</v>
      </c>
      <c r="I257" s="10">
        <f>SUM(I234:I251)</f>
        <v>5000</v>
      </c>
      <c r="J257" s="10">
        <f t="shared" si="7"/>
        <v>5000</v>
      </c>
    </row>
    <row r="258" spans="1:10" x14ac:dyDescent="0.2">
      <c r="A258" s="283" t="s">
        <v>1067</v>
      </c>
      <c r="B258" s="283"/>
      <c r="C258" s="283"/>
      <c r="E258" s="2">
        <f t="shared" ref="E258:J258" si="9">SUM(E255:E257)</f>
        <v>712853</v>
      </c>
      <c r="F258" s="2">
        <f t="shared" si="9"/>
        <v>562788</v>
      </c>
      <c r="G258" s="2">
        <f t="shared" si="9"/>
        <v>754630</v>
      </c>
      <c r="H258" s="2">
        <f t="shared" ref="H258" si="10">SUM(H255:H257)</f>
        <v>528265</v>
      </c>
      <c r="I258" s="2">
        <f>SUM(I255:I257)</f>
        <v>534484</v>
      </c>
      <c r="J258" s="2">
        <f t="shared" si="9"/>
        <v>534484</v>
      </c>
    </row>
    <row r="259" spans="1:10" x14ac:dyDescent="0.2">
      <c r="A259" s="283"/>
      <c r="B259" s="283"/>
      <c r="C259" s="283"/>
      <c r="E259" s="283"/>
      <c r="F259" s="283"/>
      <c r="G259" s="283"/>
      <c r="H259" s="283"/>
      <c r="I259" s="227"/>
      <c r="J259" s="2"/>
    </row>
    <row r="260" spans="1:10" x14ac:dyDescent="0.2">
      <c r="A260" s="283"/>
      <c r="B260" s="283"/>
      <c r="C260" s="283"/>
      <c r="E260" s="283"/>
      <c r="F260" s="2"/>
      <c r="G260" s="283"/>
      <c r="H260" s="283"/>
      <c r="I260" s="227"/>
      <c r="J260" s="2">
        <v>6219</v>
      </c>
    </row>
    <row r="261" spans="1:10" x14ac:dyDescent="0.2">
      <c r="A261" s="283"/>
      <c r="B261" s="283"/>
      <c r="C261" s="283"/>
      <c r="E261" s="283"/>
      <c r="F261" s="283"/>
      <c r="G261" s="283"/>
      <c r="H261" s="283"/>
      <c r="I261" s="2">
        <f>I258-H258</f>
        <v>6219</v>
      </c>
      <c r="J261" s="2">
        <f>J258-H258</f>
        <v>6219</v>
      </c>
    </row>
    <row r="262" spans="1:10" x14ac:dyDescent="0.2">
      <c r="A262" s="283"/>
      <c r="B262" s="283"/>
      <c r="C262" s="283"/>
      <c r="E262" s="283"/>
      <c r="F262" s="283"/>
      <c r="G262" s="283"/>
      <c r="H262" s="283"/>
      <c r="I262" s="227"/>
      <c r="J262" s="2">
        <f>J260-J261</f>
        <v>0</v>
      </c>
    </row>
    <row r="263" spans="1:10" x14ac:dyDescent="0.2">
      <c r="A263" s="283"/>
      <c r="B263" s="283"/>
      <c r="C263" s="283"/>
      <c r="E263" s="283"/>
      <c r="F263" s="283"/>
      <c r="G263" s="283"/>
      <c r="H263" s="283"/>
      <c r="I263" s="227"/>
    </row>
    <row r="264" spans="1:10" x14ac:dyDescent="0.2">
      <c r="A264" s="283"/>
      <c r="B264" s="283"/>
      <c r="C264" s="283"/>
      <c r="E264" s="283"/>
      <c r="F264" s="283"/>
      <c r="G264" s="283"/>
      <c r="H264" s="283"/>
      <c r="I264" s="227"/>
    </row>
    <row r="265" spans="1:10" x14ac:dyDescent="0.2">
      <c r="A265" s="283"/>
      <c r="B265" s="283"/>
      <c r="C265" s="283"/>
      <c r="E265" s="283"/>
      <c r="F265" s="283"/>
      <c r="G265" s="283"/>
      <c r="H265" s="283"/>
      <c r="I265" s="227"/>
    </row>
    <row r="266" spans="1:10" x14ac:dyDescent="0.2">
      <c r="A266" s="283"/>
      <c r="B266" s="283"/>
      <c r="C266" s="283"/>
      <c r="E266" s="283"/>
      <c r="F266" s="283"/>
      <c r="G266" s="283"/>
      <c r="H266" s="283"/>
      <c r="I266" s="227"/>
    </row>
    <row r="267" spans="1:10" x14ac:dyDescent="0.2">
      <c r="A267" s="283"/>
      <c r="B267" s="283"/>
      <c r="C267" s="283"/>
      <c r="E267" s="283"/>
      <c r="F267" s="283"/>
      <c r="G267" s="283"/>
      <c r="H267" s="283"/>
      <c r="I267" s="227"/>
    </row>
    <row r="268" spans="1:10" x14ac:dyDescent="0.2">
      <c r="A268" s="283"/>
      <c r="B268" s="283"/>
      <c r="C268" s="283"/>
      <c r="E268" s="283"/>
      <c r="F268" s="283"/>
      <c r="G268" s="283"/>
      <c r="H268" s="283"/>
      <c r="I268" s="227"/>
    </row>
    <row r="269" spans="1:10" x14ac:dyDescent="0.2">
      <c r="A269" s="283"/>
      <c r="B269" s="283"/>
      <c r="C269" s="283"/>
      <c r="E269" s="283"/>
      <c r="F269" s="283"/>
      <c r="G269" s="283"/>
      <c r="H269" s="283"/>
      <c r="I269" s="227"/>
    </row>
    <row r="270" spans="1:10" x14ac:dyDescent="0.2">
      <c r="A270" s="283"/>
      <c r="B270" s="283"/>
      <c r="C270" s="283"/>
      <c r="E270" s="283"/>
      <c r="F270" s="283"/>
      <c r="G270" s="283"/>
      <c r="H270" s="283"/>
      <c r="I270" s="227"/>
      <c r="J270" s="183">
        <v>8</v>
      </c>
    </row>
    <row r="271" spans="1:10" x14ac:dyDescent="0.2">
      <c r="A271" s="283"/>
      <c r="B271" s="283"/>
      <c r="C271" s="283"/>
      <c r="E271" s="283"/>
      <c r="F271" s="283"/>
      <c r="G271" s="283"/>
      <c r="H271" s="283"/>
      <c r="I271" s="227"/>
    </row>
    <row r="272" spans="1:10" x14ac:dyDescent="0.2">
      <c r="A272" s="283"/>
      <c r="B272" s="283"/>
      <c r="C272" s="283"/>
      <c r="E272" s="283"/>
      <c r="F272" s="283"/>
      <c r="G272" s="283"/>
      <c r="H272" s="283"/>
      <c r="I272" s="227"/>
    </row>
    <row r="273" spans="1:9" x14ac:dyDescent="0.2">
      <c r="A273" s="283"/>
      <c r="B273" s="283"/>
      <c r="C273" s="283"/>
      <c r="E273" s="283"/>
      <c r="F273" s="283"/>
      <c r="G273" s="283"/>
      <c r="H273" s="283"/>
      <c r="I273" s="227"/>
    </row>
    <row r="274" spans="1:9" x14ac:dyDescent="0.2">
      <c r="A274" s="283"/>
      <c r="B274" s="283"/>
      <c r="C274" s="283"/>
      <c r="E274" s="283"/>
      <c r="F274" s="283"/>
      <c r="G274" s="283"/>
      <c r="H274" s="283"/>
      <c r="I274" s="227"/>
    </row>
    <row r="275" spans="1:9" x14ac:dyDescent="0.2">
      <c r="A275" s="283"/>
      <c r="B275" s="283"/>
      <c r="C275" s="283"/>
      <c r="E275" s="283"/>
      <c r="F275" s="283"/>
      <c r="G275" s="283"/>
      <c r="H275" s="283"/>
      <c r="I275" s="227"/>
    </row>
    <row r="276" spans="1:9" x14ac:dyDescent="0.2">
      <c r="A276" s="283"/>
      <c r="B276" s="283"/>
      <c r="C276" s="283"/>
      <c r="E276" s="283"/>
      <c r="F276" s="283"/>
      <c r="G276" s="283"/>
      <c r="H276" s="283"/>
      <c r="I276" s="227"/>
    </row>
    <row r="277" spans="1:9" x14ac:dyDescent="0.2">
      <c r="A277" s="283"/>
      <c r="B277" s="283"/>
      <c r="C277" s="283"/>
      <c r="E277" s="283"/>
      <c r="F277" s="283"/>
      <c r="G277" s="283"/>
      <c r="H277" s="283"/>
      <c r="I277" s="227"/>
    </row>
    <row r="278" spans="1:9" x14ac:dyDescent="0.2">
      <c r="A278" s="283"/>
      <c r="B278" s="283"/>
      <c r="C278" s="283"/>
      <c r="E278" s="283"/>
      <c r="F278" s="283"/>
      <c r="G278" s="283"/>
      <c r="H278" s="283"/>
      <c r="I278" s="227"/>
    </row>
    <row r="279" spans="1:9" x14ac:dyDescent="0.2">
      <c r="A279" s="283"/>
      <c r="B279" s="283"/>
      <c r="C279" s="283"/>
      <c r="E279" s="283"/>
      <c r="F279" s="283"/>
      <c r="G279" s="283"/>
      <c r="H279" s="283"/>
      <c r="I279" s="227"/>
    </row>
    <row r="280" spans="1:9" x14ac:dyDescent="0.2">
      <c r="A280" s="283"/>
      <c r="B280" s="283"/>
      <c r="C280" s="283"/>
      <c r="E280" s="283"/>
      <c r="F280" s="283"/>
      <c r="G280" s="283"/>
      <c r="H280" s="283"/>
      <c r="I280" s="227"/>
    </row>
    <row r="281" spans="1:9" x14ac:dyDescent="0.2">
      <c r="A281" s="283"/>
      <c r="B281" s="283"/>
      <c r="C281" s="283"/>
      <c r="E281" s="283"/>
      <c r="F281" s="283"/>
      <c r="G281" s="283"/>
      <c r="H281" s="283"/>
      <c r="I281" s="227"/>
    </row>
    <row r="282" spans="1:9" x14ac:dyDescent="0.2">
      <c r="A282" s="283"/>
      <c r="B282" s="283"/>
      <c r="C282" s="283"/>
      <c r="E282" s="283"/>
      <c r="F282" s="283"/>
      <c r="G282" s="283"/>
      <c r="H282" s="283"/>
      <c r="I282" s="227"/>
    </row>
    <row r="283" spans="1:9" x14ac:dyDescent="0.2">
      <c r="A283" s="283"/>
      <c r="B283" s="283"/>
      <c r="C283" s="283"/>
      <c r="E283" s="283"/>
      <c r="F283" s="283"/>
      <c r="G283" s="283"/>
      <c r="H283" s="283"/>
      <c r="I283" s="227"/>
    </row>
    <row r="284" spans="1:9" x14ac:dyDescent="0.2">
      <c r="A284" s="283"/>
      <c r="B284" s="283"/>
      <c r="C284" s="283"/>
      <c r="E284" s="283"/>
      <c r="F284" s="283"/>
      <c r="G284" s="283"/>
      <c r="H284" s="283"/>
      <c r="I284" s="227"/>
    </row>
    <row r="285" spans="1:9" x14ac:dyDescent="0.2">
      <c r="A285" s="283"/>
      <c r="B285" s="283"/>
      <c r="C285" s="283"/>
      <c r="E285" s="283"/>
      <c r="F285" s="283"/>
      <c r="G285" s="283"/>
      <c r="H285" s="283"/>
      <c r="I285" s="227"/>
    </row>
    <row r="286" spans="1:9" x14ac:dyDescent="0.2">
      <c r="A286" s="283"/>
      <c r="B286" s="283"/>
      <c r="C286" s="283"/>
      <c r="E286" s="283"/>
      <c r="F286" s="283"/>
      <c r="G286" s="283"/>
      <c r="H286" s="283"/>
      <c r="I286" s="227"/>
    </row>
    <row r="287" spans="1:9" x14ac:dyDescent="0.2">
      <c r="A287" s="283"/>
      <c r="B287" s="283"/>
      <c r="C287" s="283"/>
      <c r="E287" s="283"/>
      <c r="F287" s="283"/>
      <c r="G287" s="283"/>
      <c r="H287" s="283"/>
      <c r="I287" s="227"/>
    </row>
    <row r="288" spans="1:9" x14ac:dyDescent="0.2">
      <c r="A288" s="283"/>
      <c r="B288" s="283"/>
      <c r="C288" s="283"/>
      <c r="E288" s="283"/>
      <c r="F288" s="283"/>
      <c r="G288" s="283"/>
      <c r="H288" s="283"/>
      <c r="I288" s="227"/>
    </row>
    <row r="289" spans="1:9" x14ac:dyDescent="0.2">
      <c r="A289" s="283"/>
      <c r="B289" s="283"/>
      <c r="C289" s="283"/>
      <c r="E289" s="283"/>
      <c r="F289" s="283"/>
      <c r="G289" s="283"/>
      <c r="H289" s="283"/>
      <c r="I289" s="227"/>
    </row>
    <row r="290" spans="1:9" x14ac:dyDescent="0.2">
      <c r="A290" s="283"/>
      <c r="B290" s="283"/>
      <c r="C290" s="283"/>
      <c r="E290" s="283"/>
      <c r="F290" s="283"/>
      <c r="G290" s="283"/>
      <c r="H290" s="283"/>
      <c r="I290" s="227"/>
    </row>
    <row r="291" spans="1:9" x14ac:dyDescent="0.2">
      <c r="A291" s="283"/>
      <c r="B291" s="283"/>
      <c r="C291" s="283"/>
      <c r="E291" s="283"/>
      <c r="F291" s="283"/>
      <c r="G291" s="283"/>
      <c r="H291" s="283"/>
      <c r="I291" s="227"/>
    </row>
    <row r="292" spans="1:9" x14ac:dyDescent="0.2">
      <c r="A292" s="283"/>
      <c r="B292" s="283"/>
      <c r="C292" s="283"/>
      <c r="E292" s="283"/>
      <c r="F292" s="283"/>
      <c r="G292" s="283"/>
      <c r="H292" s="283"/>
      <c r="I292" s="227"/>
    </row>
    <row r="293" spans="1:9" x14ac:dyDescent="0.2">
      <c r="A293" s="283"/>
      <c r="B293" s="283"/>
      <c r="C293" s="283"/>
      <c r="E293" s="283"/>
      <c r="F293" s="283"/>
      <c r="G293" s="283"/>
      <c r="H293" s="283"/>
      <c r="I293" s="227"/>
    </row>
    <row r="294" spans="1:9" x14ac:dyDescent="0.2">
      <c r="A294" s="283"/>
      <c r="B294" s="283"/>
      <c r="C294" s="283"/>
      <c r="E294" s="283"/>
      <c r="F294" s="283"/>
      <c r="G294" s="283"/>
      <c r="H294" s="283"/>
      <c r="I294" s="227"/>
    </row>
    <row r="295" spans="1:9" x14ac:dyDescent="0.2">
      <c r="A295" s="283"/>
      <c r="B295" s="283"/>
      <c r="C295" s="283"/>
      <c r="E295" s="283"/>
      <c r="F295" s="283"/>
      <c r="G295" s="283"/>
      <c r="H295" s="283"/>
      <c r="I295" s="227"/>
    </row>
    <row r="296" spans="1:9" x14ac:dyDescent="0.2">
      <c r="A296" s="283"/>
      <c r="B296" s="283"/>
      <c r="C296" s="283"/>
      <c r="E296" s="283"/>
      <c r="F296" s="283"/>
      <c r="G296" s="283"/>
      <c r="H296" s="283"/>
    </row>
    <row r="297" spans="1:9" x14ac:dyDescent="0.2">
      <c r="A297" s="283"/>
      <c r="B297" s="283"/>
      <c r="C297" s="283"/>
      <c r="E297" s="283"/>
      <c r="F297" s="283"/>
      <c r="G297" s="283"/>
      <c r="H297" s="283"/>
    </row>
    <row r="298" spans="1:9" x14ac:dyDescent="0.2">
      <c r="A298" s="283"/>
      <c r="B298" s="283"/>
      <c r="C298" s="283"/>
      <c r="E298" s="283"/>
      <c r="F298" s="283"/>
      <c r="G298" s="283"/>
      <c r="H298" s="283"/>
    </row>
    <row r="299" spans="1:9" x14ac:dyDescent="0.2">
      <c r="A299" s="283"/>
      <c r="B299" s="283"/>
      <c r="C299" s="283"/>
      <c r="E299" s="283"/>
      <c r="F299" s="283"/>
      <c r="G299" s="283"/>
      <c r="H299" s="283"/>
    </row>
    <row r="300" spans="1:9" x14ac:dyDescent="0.2">
      <c r="A300" s="283"/>
      <c r="B300" s="283"/>
      <c r="C300" s="283"/>
      <c r="E300" s="283"/>
      <c r="F300" s="283"/>
      <c r="G300" s="283"/>
      <c r="H300" s="283"/>
    </row>
    <row r="301" spans="1:9" x14ac:dyDescent="0.2">
      <c r="A301" s="283"/>
      <c r="B301" s="283"/>
      <c r="C301" s="283"/>
      <c r="E301" s="283"/>
      <c r="F301" s="283"/>
      <c r="G301" s="283"/>
      <c r="H301" s="283"/>
    </row>
    <row r="302" spans="1:9" x14ac:dyDescent="0.2">
      <c r="A302" s="283"/>
      <c r="B302" s="283"/>
      <c r="C302" s="283"/>
      <c r="E302" s="283"/>
      <c r="F302" s="283"/>
      <c r="G302" s="283"/>
      <c r="H302" s="283"/>
    </row>
    <row r="303" spans="1:9" x14ac:dyDescent="0.2">
      <c r="A303" s="283"/>
      <c r="B303" s="283"/>
      <c r="C303" s="283"/>
      <c r="E303" s="283"/>
      <c r="F303" s="283"/>
      <c r="G303" s="283"/>
      <c r="H303" s="283"/>
    </row>
    <row r="304" spans="1:9" x14ac:dyDescent="0.2">
      <c r="A304" s="283"/>
      <c r="B304" s="283"/>
      <c r="C304" s="283"/>
      <c r="E304" s="283"/>
      <c r="F304" s="283"/>
      <c r="G304" s="283"/>
      <c r="H304" s="283"/>
    </row>
    <row r="305" spans="1:8" x14ac:dyDescent="0.2">
      <c r="A305" s="283"/>
      <c r="B305" s="283"/>
      <c r="C305" s="283"/>
      <c r="E305" s="283"/>
      <c r="F305" s="283"/>
      <c r="G305" s="283"/>
      <c r="H305" s="283"/>
    </row>
    <row r="306" spans="1:8" x14ac:dyDescent="0.2">
      <c r="A306" s="283"/>
      <c r="B306" s="283"/>
      <c r="C306" s="283"/>
      <c r="E306" s="283"/>
      <c r="F306" s="283"/>
      <c r="G306" s="283"/>
      <c r="H306" s="283"/>
    </row>
    <row r="307" spans="1:8" x14ac:dyDescent="0.2">
      <c r="A307" s="283"/>
      <c r="B307" s="283"/>
      <c r="C307" s="283"/>
      <c r="E307" s="283"/>
      <c r="F307" s="283"/>
      <c r="G307" s="283"/>
      <c r="H307" s="283"/>
    </row>
    <row r="308" spans="1:8" x14ac:dyDescent="0.2">
      <c r="A308" s="283"/>
      <c r="B308" s="283"/>
      <c r="C308" s="283"/>
      <c r="E308" s="283"/>
      <c r="F308" s="283"/>
      <c r="G308" s="283"/>
      <c r="H308" s="283"/>
    </row>
    <row r="309" spans="1:8" x14ac:dyDescent="0.2">
      <c r="A309" s="283"/>
      <c r="B309" s="283"/>
      <c r="C309" s="283"/>
      <c r="E309" s="283"/>
      <c r="F309" s="283"/>
      <c r="G309" s="283"/>
      <c r="H309" s="283"/>
    </row>
    <row r="310" spans="1:8" x14ac:dyDescent="0.2">
      <c r="A310" s="283"/>
      <c r="B310" s="283"/>
      <c r="C310" s="283"/>
      <c r="E310" s="283"/>
      <c r="F310" s="283"/>
      <c r="G310" s="283"/>
      <c r="H310" s="283"/>
    </row>
    <row r="311" spans="1:8" x14ac:dyDescent="0.2">
      <c r="H311" s="183"/>
    </row>
    <row r="312" spans="1:8" x14ac:dyDescent="0.2">
      <c r="H312" s="183"/>
    </row>
    <row r="313" spans="1:8" x14ac:dyDescent="0.2">
      <c r="H313" s="183"/>
    </row>
    <row r="314" spans="1:8" x14ac:dyDescent="0.2">
      <c r="H314" s="183"/>
    </row>
    <row r="315" spans="1:8" x14ac:dyDescent="0.2">
      <c r="H315" s="183"/>
    </row>
    <row r="316" spans="1:8" x14ac:dyDescent="0.2">
      <c r="H316" s="183"/>
    </row>
    <row r="317" spans="1:8" x14ac:dyDescent="0.2">
      <c r="H317" s="183"/>
    </row>
    <row r="318" spans="1:8" x14ac:dyDescent="0.2">
      <c r="H318" s="183"/>
    </row>
    <row r="319" spans="1:8" x14ac:dyDescent="0.2">
      <c r="H319" s="183"/>
    </row>
    <row r="320" spans="1:8" x14ac:dyDescent="0.2">
      <c r="H320" s="183"/>
    </row>
    <row r="321" spans="8:8" x14ac:dyDescent="0.2">
      <c r="H321" s="183"/>
    </row>
    <row r="322" spans="8:8" x14ac:dyDescent="0.2">
      <c r="H322" s="183"/>
    </row>
    <row r="323" spans="8:8" x14ac:dyDescent="0.2">
      <c r="H323" s="183"/>
    </row>
    <row r="324" spans="8:8" x14ac:dyDescent="0.2">
      <c r="H324" s="183"/>
    </row>
    <row r="325" spans="8:8" x14ac:dyDescent="0.2">
      <c r="H325" s="183"/>
    </row>
    <row r="326" spans="8:8" x14ac:dyDescent="0.2">
      <c r="H326" s="183"/>
    </row>
    <row r="327" spans="8:8" x14ac:dyDescent="0.2">
      <c r="H327" s="183"/>
    </row>
    <row r="328" spans="8:8" x14ac:dyDescent="0.2">
      <c r="H328" s="183"/>
    </row>
    <row r="329" spans="8:8" x14ac:dyDescent="0.2">
      <c r="H329" s="183"/>
    </row>
    <row r="330" spans="8:8" x14ac:dyDescent="0.2">
      <c r="H330" s="183"/>
    </row>
    <row r="331" spans="8:8" x14ac:dyDescent="0.2">
      <c r="H331" s="183"/>
    </row>
    <row r="332" spans="8:8" x14ac:dyDescent="0.2">
      <c r="H332" s="183"/>
    </row>
  </sheetData>
  <mergeCells count="1">
    <mergeCell ref="A1:J1"/>
  </mergeCells>
  <phoneticPr fontId="0" type="noConversion"/>
  <printOptions gridLines="1"/>
  <pageMargins left="0.75" right="0.16" top="0.51" bottom="0.22" header="0.5" footer="0"/>
  <pageSetup scale="83" fitToHeight="16" orientation="landscape" r:id="rId1"/>
  <headerFooter alignWithMargins="0"/>
  <rowBreaks count="3" manualBreakCount="3">
    <brk id="164" max="9" man="1"/>
    <brk id="203" max="9" man="1"/>
    <brk id="245"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70"/>
  <sheetViews>
    <sheetView view="pageBreakPreview" zoomScaleNormal="100" zoomScaleSheetLayoutView="100" workbookViewId="0">
      <pane ySplit="5" topLeftCell="A221" activePane="bottomLeft" state="frozen"/>
      <selection activeCell="D43" sqref="D43"/>
      <selection pane="bottomLeft" sqref="A1:J1"/>
    </sheetView>
  </sheetViews>
  <sheetFormatPr defaultColWidth="8.85546875" defaultRowHeight="12.75" x14ac:dyDescent="0.2"/>
  <cols>
    <col min="1" max="1" width="53" style="183" customWidth="1"/>
    <col min="2" max="2" width="9.140625" style="183" bestFit="1" customWidth="1"/>
    <col min="3" max="3" width="9.28515625" style="183" bestFit="1" customWidth="1"/>
    <col min="4" max="4" width="11" style="183" customWidth="1"/>
    <col min="5" max="6" width="10.85546875" style="183" customWidth="1"/>
    <col min="7" max="7" width="12.5703125" style="183" customWidth="1"/>
    <col min="8" max="8" width="12.140625" style="2" customWidth="1"/>
    <col min="9" max="10" width="10.42578125" style="183" bestFit="1" customWidth="1"/>
    <col min="11" max="16384" width="8.85546875" style="183"/>
  </cols>
  <sheetData>
    <row r="1" spans="1:11" x14ac:dyDescent="0.2">
      <c r="A1" s="319" t="s">
        <v>2038</v>
      </c>
      <c r="B1" s="320"/>
      <c r="C1" s="320"/>
      <c r="D1" s="320"/>
      <c r="E1" s="320"/>
      <c r="F1" s="320"/>
      <c r="G1" s="320"/>
      <c r="H1" s="320"/>
      <c r="I1" s="320"/>
      <c r="J1" s="320"/>
    </row>
    <row r="2" spans="1:11" ht="18.75" x14ac:dyDescent="0.3">
      <c r="A2" s="141" t="s">
        <v>1569</v>
      </c>
      <c r="B2" s="141"/>
      <c r="C2" s="141"/>
      <c r="D2" s="141"/>
      <c r="E2" s="141"/>
      <c r="F2" s="184"/>
      <c r="G2" s="184"/>
      <c r="H2" s="142"/>
      <c r="I2" s="184"/>
      <c r="J2" s="184"/>
    </row>
    <row r="3" spans="1:11" x14ac:dyDescent="0.2">
      <c r="A3" s="184"/>
      <c r="B3" s="142"/>
      <c r="C3" s="142"/>
      <c r="D3" s="142"/>
      <c r="E3" s="142"/>
      <c r="F3" s="184"/>
      <c r="G3" s="184"/>
      <c r="H3" s="142"/>
      <c r="I3" s="143"/>
      <c r="J3" s="184"/>
    </row>
    <row r="4" spans="1:11" x14ac:dyDescent="0.2">
      <c r="A4" s="204"/>
      <c r="B4" s="142"/>
      <c r="C4" s="142"/>
      <c r="D4" s="184"/>
      <c r="E4" s="15" t="s">
        <v>199</v>
      </c>
      <c r="F4" s="15" t="s">
        <v>200</v>
      </c>
      <c r="G4" s="15" t="s">
        <v>60</v>
      </c>
      <c r="H4" s="15" t="s">
        <v>351</v>
      </c>
      <c r="I4" s="15" t="s">
        <v>264</v>
      </c>
      <c r="J4" s="15" t="s">
        <v>295</v>
      </c>
    </row>
    <row r="5" spans="1:11" ht="15" x14ac:dyDescent="0.35">
      <c r="A5" s="184"/>
      <c r="B5" s="142"/>
      <c r="C5" s="142"/>
      <c r="D5" s="184"/>
      <c r="E5" s="232" t="s">
        <v>1825</v>
      </c>
      <c r="F5" s="232" t="s">
        <v>1947</v>
      </c>
      <c r="G5" s="232" t="s">
        <v>2039</v>
      </c>
      <c r="H5" s="232" t="s">
        <v>2039</v>
      </c>
      <c r="I5" s="232" t="s">
        <v>2039</v>
      </c>
      <c r="J5" s="232" t="s">
        <v>2039</v>
      </c>
    </row>
    <row r="6" spans="1:11" ht="15" x14ac:dyDescent="0.25">
      <c r="A6" s="144" t="s">
        <v>353</v>
      </c>
      <c r="B6" s="145"/>
      <c r="C6" s="146"/>
      <c r="D6" s="146"/>
      <c r="E6" s="146">
        <v>293601</v>
      </c>
      <c r="F6" s="142">
        <v>320640</v>
      </c>
      <c r="G6" s="142">
        <f>D13</f>
        <v>284935.56000000006</v>
      </c>
      <c r="H6" s="111">
        <v>284936</v>
      </c>
      <c r="I6" s="111">
        <v>284936</v>
      </c>
      <c r="J6" s="111">
        <v>284936</v>
      </c>
      <c r="K6" s="2"/>
    </row>
    <row r="7" spans="1:11" x14ac:dyDescent="0.2">
      <c r="A7" s="147" t="s">
        <v>1833</v>
      </c>
      <c r="B7" s="142">
        <v>52</v>
      </c>
      <c r="C7" s="146">
        <f>39.9*40*1.05</f>
        <v>1675.8000000000002</v>
      </c>
      <c r="D7" s="146">
        <f t="shared" ref="D7:D11" si="0">B7*C7</f>
        <v>87141.6</v>
      </c>
      <c r="E7" s="200"/>
      <c r="F7" s="146"/>
      <c r="G7" s="146"/>
      <c r="H7" s="258"/>
      <c r="I7" s="316"/>
      <c r="J7" s="316"/>
      <c r="K7" s="2"/>
    </row>
    <row r="8" spans="1:11" x14ac:dyDescent="0.2">
      <c r="A8" s="147" t="s">
        <v>2041</v>
      </c>
      <c r="B8" s="142">
        <v>52</v>
      </c>
      <c r="C8" s="146">
        <f>23.73*40*1.05</f>
        <v>996.66000000000008</v>
      </c>
      <c r="D8" s="146">
        <f t="shared" si="0"/>
        <v>51826.320000000007</v>
      </c>
      <c r="E8" s="200"/>
      <c r="F8" s="146"/>
      <c r="G8" s="146"/>
      <c r="H8" s="258"/>
      <c r="I8" s="316"/>
      <c r="J8" s="316"/>
      <c r="K8" s="2"/>
    </row>
    <row r="9" spans="1:11" x14ac:dyDescent="0.2">
      <c r="A9" s="149" t="s">
        <v>1819</v>
      </c>
      <c r="B9" s="142">
        <v>52</v>
      </c>
      <c r="C9" s="146">
        <f>21.88*40*1.05</f>
        <v>918.95999999999992</v>
      </c>
      <c r="D9" s="146">
        <f>B9*C9</f>
        <v>47785.919999999998</v>
      </c>
      <c r="E9" s="200"/>
      <c r="F9" s="194"/>
      <c r="G9" s="194"/>
      <c r="H9" s="258"/>
      <c r="I9" s="316"/>
      <c r="J9" s="316"/>
      <c r="K9" s="2"/>
    </row>
    <row r="10" spans="1:11" x14ac:dyDescent="0.2">
      <c r="A10" s="147" t="s">
        <v>1834</v>
      </c>
      <c r="B10" s="142">
        <v>52</v>
      </c>
      <c r="C10" s="146">
        <f>23.6*40*1.05</f>
        <v>991.2</v>
      </c>
      <c r="D10" s="146">
        <f t="shared" si="0"/>
        <v>51542.400000000001</v>
      </c>
      <c r="E10" s="200"/>
      <c r="F10" s="194"/>
      <c r="G10" s="194"/>
      <c r="H10" s="258"/>
      <c r="I10" s="316"/>
      <c r="J10" s="316"/>
      <c r="K10" s="2"/>
    </row>
    <row r="11" spans="1:11" x14ac:dyDescent="0.2">
      <c r="A11" s="147" t="s">
        <v>2040</v>
      </c>
      <c r="B11" s="142">
        <v>52</v>
      </c>
      <c r="C11" s="146">
        <f>20.63*40*1.05</f>
        <v>866.45999999999992</v>
      </c>
      <c r="D11" s="146">
        <f t="shared" si="0"/>
        <v>45055.92</v>
      </c>
      <c r="E11" s="200"/>
      <c r="F11" s="194"/>
      <c r="G11" s="194"/>
      <c r="H11" s="258"/>
      <c r="I11" s="316"/>
      <c r="J11" s="316"/>
      <c r="K11" s="2"/>
    </row>
    <row r="12" spans="1:11" ht="15" x14ac:dyDescent="0.35">
      <c r="A12" s="147" t="s">
        <v>818</v>
      </c>
      <c r="B12" s="146"/>
      <c r="C12" s="146"/>
      <c r="D12" s="150">
        <f>1508*1.05</f>
        <v>1583.4</v>
      </c>
      <c r="E12" s="146"/>
      <c r="F12" s="146"/>
      <c r="G12" s="146"/>
      <c r="H12" s="258"/>
      <c r="I12" s="316"/>
      <c r="J12" s="316"/>
      <c r="K12" s="2"/>
    </row>
    <row r="13" spans="1:11" x14ac:dyDescent="0.2">
      <c r="A13" s="147" t="s">
        <v>1067</v>
      </c>
      <c r="B13" s="146"/>
      <c r="C13" s="142"/>
      <c r="D13" s="146">
        <f>SUM(D7:D12)</f>
        <v>284935.56000000006</v>
      </c>
      <c r="E13" s="146"/>
      <c r="F13" s="146"/>
      <c r="G13" s="146"/>
      <c r="H13" s="258"/>
      <c r="I13" s="316"/>
      <c r="J13" s="316"/>
      <c r="K13" s="2"/>
    </row>
    <row r="14" spans="1:11" x14ac:dyDescent="0.2">
      <c r="A14" s="147"/>
      <c r="B14" s="146"/>
      <c r="C14" s="146"/>
      <c r="D14" s="146"/>
      <c r="E14" s="146"/>
      <c r="F14" s="147"/>
      <c r="G14" s="147"/>
      <c r="H14" s="258"/>
      <c r="I14" s="316"/>
      <c r="J14" s="316"/>
      <c r="K14" s="2"/>
    </row>
    <row r="15" spans="1:11" ht="13.5" x14ac:dyDescent="0.25">
      <c r="A15" s="144" t="s">
        <v>874</v>
      </c>
      <c r="B15" s="146"/>
      <c r="C15" s="146"/>
      <c r="D15" s="146"/>
      <c r="E15" s="146">
        <v>226817</v>
      </c>
      <c r="F15" s="146">
        <v>250994</v>
      </c>
      <c r="G15" s="146">
        <f>D35</f>
        <v>298917.73879999999</v>
      </c>
      <c r="H15" s="111">
        <v>298918</v>
      </c>
      <c r="I15" s="111">
        <v>298918</v>
      </c>
      <c r="J15" s="111">
        <v>298918</v>
      </c>
      <c r="K15" s="2"/>
    </row>
    <row r="16" spans="1:11" x14ac:dyDescent="0.2">
      <c r="A16" s="147" t="s">
        <v>875</v>
      </c>
      <c r="B16" s="146" t="s">
        <v>338</v>
      </c>
      <c r="C16" s="146" t="s">
        <v>338</v>
      </c>
      <c r="D16" s="146"/>
      <c r="E16" s="200"/>
      <c r="F16" s="146"/>
      <c r="G16" s="146"/>
      <c r="H16" s="111"/>
      <c r="I16" s="111"/>
      <c r="J16" s="111"/>
      <c r="K16" s="2"/>
    </row>
    <row r="17" spans="1:11" x14ac:dyDescent="0.2">
      <c r="A17" s="194" t="s">
        <v>2068</v>
      </c>
      <c r="B17" s="142">
        <v>52</v>
      </c>
      <c r="C17" s="142">
        <f>17.03*40*1.05</f>
        <v>715.2600000000001</v>
      </c>
      <c r="D17" s="181">
        <f>B17*C17</f>
        <v>37193.520000000004</v>
      </c>
      <c r="E17" s="258"/>
      <c r="F17" s="146"/>
      <c r="G17" s="146"/>
      <c r="H17" s="111"/>
      <c r="I17" s="111"/>
      <c r="J17" s="111"/>
      <c r="K17" s="2"/>
    </row>
    <row r="18" spans="1:11" x14ac:dyDescent="0.2">
      <c r="A18" s="194" t="s">
        <v>2069</v>
      </c>
      <c r="B18" s="142">
        <v>52</v>
      </c>
      <c r="C18" s="142">
        <f t="shared" ref="C18:C19" si="1">16.53*40*1.05</f>
        <v>694.2600000000001</v>
      </c>
      <c r="D18" s="181">
        <f t="shared" ref="D18:D21" si="2">B18*C18</f>
        <v>36101.520000000004</v>
      </c>
      <c r="E18" s="258"/>
      <c r="F18" s="146"/>
      <c r="G18" s="146"/>
      <c r="H18" s="111"/>
      <c r="I18" s="111"/>
      <c r="J18" s="111"/>
      <c r="K18" s="2"/>
    </row>
    <row r="19" spans="1:11" x14ac:dyDescent="0.2">
      <c r="A19" s="194" t="s">
        <v>2179</v>
      </c>
      <c r="B19" s="142">
        <v>52</v>
      </c>
      <c r="C19" s="142">
        <f t="shared" si="1"/>
        <v>694.2600000000001</v>
      </c>
      <c r="D19" s="181">
        <f t="shared" si="2"/>
        <v>36101.520000000004</v>
      </c>
      <c r="E19" s="258"/>
      <c r="F19" s="146"/>
      <c r="G19" s="146"/>
      <c r="H19" s="111"/>
      <c r="I19" s="111"/>
      <c r="J19" s="111"/>
      <c r="K19" s="2"/>
    </row>
    <row r="20" spans="1:11" x14ac:dyDescent="0.2">
      <c r="A20" s="194" t="s">
        <v>1835</v>
      </c>
      <c r="B20" s="142">
        <v>52</v>
      </c>
      <c r="C20" s="142">
        <f>16.53*40*1.05</f>
        <v>694.2600000000001</v>
      </c>
      <c r="D20" s="181">
        <f t="shared" si="2"/>
        <v>36101.520000000004</v>
      </c>
      <c r="E20" s="258"/>
      <c r="F20" s="146"/>
      <c r="G20" s="146"/>
      <c r="H20" s="111"/>
      <c r="I20" s="111"/>
      <c r="J20" s="111"/>
      <c r="K20" s="2"/>
    </row>
    <row r="21" spans="1:11" x14ac:dyDescent="0.2">
      <c r="A21" s="194" t="s">
        <v>1820</v>
      </c>
      <c r="B21" s="142">
        <v>52</v>
      </c>
      <c r="C21" s="142">
        <f>17.03*40*1.05</f>
        <v>715.2600000000001</v>
      </c>
      <c r="D21" s="181">
        <f t="shared" si="2"/>
        <v>37193.520000000004</v>
      </c>
      <c r="E21" s="258"/>
      <c r="F21" s="146"/>
      <c r="G21" s="146"/>
      <c r="H21" s="111"/>
      <c r="I21" s="111"/>
      <c r="J21" s="111"/>
      <c r="K21" s="2"/>
    </row>
    <row r="22" spans="1:11" x14ac:dyDescent="0.2">
      <c r="A22" s="194" t="s">
        <v>818</v>
      </c>
      <c r="B22" s="194"/>
      <c r="C22" s="194"/>
      <c r="D22" s="181">
        <v>500</v>
      </c>
      <c r="E22" s="258"/>
      <c r="F22" s="146"/>
      <c r="G22" s="146"/>
      <c r="H22" s="111"/>
      <c r="I22" s="111"/>
      <c r="J22" s="111"/>
      <c r="K22" s="2"/>
    </row>
    <row r="23" spans="1:11" x14ac:dyDescent="0.2">
      <c r="A23" s="194" t="s">
        <v>1212</v>
      </c>
      <c r="B23" s="194" t="s">
        <v>338</v>
      </c>
      <c r="C23" s="146"/>
      <c r="D23" s="200"/>
      <c r="E23" s="258"/>
      <c r="F23" s="146"/>
      <c r="G23" s="146"/>
      <c r="H23" s="111"/>
      <c r="I23" s="111"/>
      <c r="J23" s="111"/>
      <c r="K23" s="2"/>
    </row>
    <row r="24" spans="1:11" x14ac:dyDescent="0.2">
      <c r="A24" s="194" t="s">
        <v>1836</v>
      </c>
      <c r="B24" s="194">
        <v>1040</v>
      </c>
      <c r="C24" s="202">
        <f>12*1.06+2</f>
        <v>14.72</v>
      </c>
      <c r="D24" s="201">
        <f t="shared" ref="D24:D33" si="3">B24*C24</f>
        <v>15308.800000000001</v>
      </c>
      <c r="E24" s="258"/>
      <c r="F24" s="151"/>
      <c r="G24" s="151"/>
      <c r="H24" s="111"/>
      <c r="I24" s="111"/>
      <c r="J24" s="111"/>
      <c r="K24" s="2"/>
    </row>
    <row r="25" spans="1:11" x14ac:dyDescent="0.2">
      <c r="A25" s="194" t="s">
        <v>1837</v>
      </c>
      <c r="B25" s="194">
        <v>1040</v>
      </c>
      <c r="C25" s="202">
        <f>12*1.06+2</f>
        <v>14.72</v>
      </c>
      <c r="D25" s="201">
        <f t="shared" si="3"/>
        <v>15308.800000000001</v>
      </c>
      <c r="E25" s="258"/>
      <c r="F25" s="151"/>
      <c r="G25" s="151"/>
      <c r="H25" s="111"/>
      <c r="I25" s="111"/>
      <c r="J25" s="111"/>
      <c r="K25" s="2"/>
    </row>
    <row r="26" spans="1:11" x14ac:dyDescent="0.2">
      <c r="A26" s="194" t="s">
        <v>1480</v>
      </c>
      <c r="B26" s="194">
        <v>200</v>
      </c>
      <c r="C26" s="202">
        <f>12*1+2</f>
        <v>14</v>
      </c>
      <c r="D26" s="201">
        <f t="shared" si="3"/>
        <v>2800</v>
      </c>
      <c r="E26" s="258"/>
      <c r="F26" s="151"/>
      <c r="G26" s="151"/>
      <c r="H26" s="111"/>
      <c r="I26" s="111"/>
      <c r="J26" s="111"/>
      <c r="K26" s="2"/>
    </row>
    <row r="27" spans="1:11" x14ac:dyDescent="0.2">
      <c r="A27" s="194" t="s">
        <v>1943</v>
      </c>
      <c r="B27" s="194">
        <v>1092</v>
      </c>
      <c r="C27" s="202">
        <f>12*1.06+2</f>
        <v>14.72</v>
      </c>
      <c r="D27" s="201">
        <f t="shared" si="3"/>
        <v>16074.240000000002</v>
      </c>
      <c r="E27" s="258"/>
      <c r="F27" s="151"/>
      <c r="G27" s="151"/>
      <c r="H27" s="111"/>
      <c r="I27" s="111"/>
      <c r="J27" s="111"/>
      <c r="K27" s="2"/>
    </row>
    <row r="28" spans="1:11" x14ac:dyDescent="0.2">
      <c r="A28" s="194" t="s">
        <v>1942</v>
      </c>
      <c r="B28" s="194">
        <v>468</v>
      </c>
      <c r="C28" s="202">
        <f>12+2</f>
        <v>14</v>
      </c>
      <c r="D28" s="201">
        <f t="shared" si="3"/>
        <v>6552</v>
      </c>
      <c r="E28" s="258"/>
      <c r="F28" s="151"/>
      <c r="G28" s="151"/>
      <c r="H28" s="111"/>
      <c r="I28" s="111"/>
      <c r="J28" s="111"/>
      <c r="K28" s="2"/>
    </row>
    <row r="29" spans="1:11" x14ac:dyDescent="0.2">
      <c r="A29" s="194" t="s">
        <v>1942</v>
      </c>
      <c r="B29" s="194">
        <v>780</v>
      </c>
      <c r="C29" s="202">
        <f>13.37+2</f>
        <v>15.37</v>
      </c>
      <c r="D29" s="201">
        <f t="shared" si="3"/>
        <v>11988.599999999999</v>
      </c>
      <c r="E29" s="258"/>
      <c r="F29" s="151"/>
      <c r="G29" s="151"/>
      <c r="H29" s="111"/>
      <c r="I29" s="111"/>
      <c r="J29" s="111"/>
      <c r="K29" s="2"/>
    </row>
    <row r="30" spans="1:11" x14ac:dyDescent="0.2">
      <c r="A30" s="194" t="s">
        <v>1943</v>
      </c>
      <c r="B30" s="194">
        <v>728</v>
      </c>
      <c r="C30" s="202">
        <f>14.16*1.06+2</f>
        <v>17.009599999999999</v>
      </c>
      <c r="D30" s="201">
        <f t="shared" si="3"/>
        <v>12382.988799999999</v>
      </c>
      <c r="E30" s="258"/>
      <c r="F30" s="151"/>
      <c r="G30" s="151"/>
      <c r="H30" s="111"/>
      <c r="I30" s="111"/>
      <c r="J30" s="111"/>
      <c r="K30" s="2"/>
    </row>
    <row r="31" spans="1:11" x14ac:dyDescent="0.2">
      <c r="A31" s="147" t="s">
        <v>1838</v>
      </c>
      <c r="B31" s="194">
        <v>636</v>
      </c>
      <c r="C31" s="202">
        <f>10.34+2</f>
        <v>12.34</v>
      </c>
      <c r="D31" s="201">
        <f t="shared" si="3"/>
        <v>7848.24</v>
      </c>
      <c r="E31" s="258"/>
      <c r="F31" s="151"/>
      <c r="G31" s="151"/>
      <c r="H31" s="111"/>
      <c r="I31" s="111"/>
      <c r="J31" s="111"/>
      <c r="K31" s="2"/>
    </row>
    <row r="32" spans="1:11" s="195" customFormat="1" x14ac:dyDescent="0.2">
      <c r="A32" s="147" t="s">
        <v>1973</v>
      </c>
      <c r="B32" s="146">
        <v>1300</v>
      </c>
      <c r="C32" s="202">
        <f>15.6+2</f>
        <v>17.600000000000001</v>
      </c>
      <c r="D32" s="201">
        <f t="shared" si="3"/>
        <v>22880.000000000004</v>
      </c>
      <c r="E32" s="258"/>
      <c r="F32" s="151"/>
      <c r="G32" s="151"/>
      <c r="H32" s="111"/>
      <c r="I32" s="111"/>
      <c r="J32" s="111"/>
      <c r="K32" s="2"/>
    </row>
    <row r="33" spans="1:11" x14ac:dyDescent="0.2">
      <c r="A33" s="147" t="s">
        <v>498</v>
      </c>
      <c r="B33" s="146">
        <v>300</v>
      </c>
      <c r="C33" s="202">
        <f>SUM(C27:C30)/4</f>
        <v>15.274899999999999</v>
      </c>
      <c r="D33" s="201">
        <f t="shared" si="3"/>
        <v>4582.4699999999993</v>
      </c>
      <c r="E33" s="258"/>
      <c r="F33" s="151"/>
      <c r="G33" s="151"/>
      <c r="H33" s="111"/>
      <c r="I33" s="111"/>
      <c r="J33" s="111"/>
      <c r="K33" s="2"/>
    </row>
    <row r="34" spans="1:11" ht="15" x14ac:dyDescent="0.35">
      <c r="A34" s="147" t="s">
        <v>1522</v>
      </c>
      <c r="B34" s="194"/>
      <c r="C34" s="202">
        <v>0</v>
      </c>
      <c r="D34" s="203">
        <v>0</v>
      </c>
      <c r="E34" s="258"/>
      <c r="F34" s="151"/>
      <c r="G34" s="151"/>
      <c r="H34" s="111"/>
      <c r="I34" s="111"/>
      <c r="J34" s="111"/>
      <c r="K34" s="2"/>
    </row>
    <row r="35" spans="1:11" x14ac:dyDescent="0.2">
      <c r="A35" s="147" t="s">
        <v>1067</v>
      </c>
      <c r="B35" s="146"/>
      <c r="C35" s="146"/>
      <c r="D35" s="146">
        <f>SUM(D17:D34)</f>
        <v>298917.73879999999</v>
      </c>
      <c r="E35" s="146"/>
      <c r="F35" s="146"/>
      <c r="G35" s="146"/>
      <c r="H35" s="111"/>
      <c r="I35" s="111"/>
      <c r="J35" s="111"/>
      <c r="K35" s="2"/>
    </row>
    <row r="36" spans="1:11" x14ac:dyDescent="0.2">
      <c r="A36" s="147"/>
      <c r="B36" s="146" t="s">
        <v>338</v>
      </c>
      <c r="C36" s="146"/>
      <c r="D36" s="146"/>
      <c r="E36" s="146"/>
      <c r="F36" s="147"/>
      <c r="G36" s="147"/>
      <c r="H36" s="111"/>
      <c r="I36" s="111"/>
      <c r="J36" s="111"/>
      <c r="K36" s="2"/>
    </row>
    <row r="37" spans="1:11" ht="13.5" x14ac:dyDescent="0.25">
      <c r="A37" s="144" t="s">
        <v>499</v>
      </c>
      <c r="B37" s="147"/>
      <c r="C37" s="147"/>
      <c r="D37" s="146"/>
      <c r="E37" s="146">
        <v>41559</v>
      </c>
      <c r="F37" s="146">
        <v>43212</v>
      </c>
      <c r="G37" s="146">
        <f>D39</f>
        <v>45383.520000000004</v>
      </c>
      <c r="H37" s="111">
        <v>45384</v>
      </c>
      <c r="I37" s="111">
        <v>45384</v>
      </c>
      <c r="J37" s="111">
        <v>45384</v>
      </c>
      <c r="K37" s="2"/>
    </row>
    <row r="38" spans="1:11" ht="15" x14ac:dyDescent="0.35">
      <c r="A38" s="147" t="s">
        <v>1738</v>
      </c>
      <c r="B38" s="142">
        <v>52</v>
      </c>
      <c r="C38" s="146">
        <f>20.78*40*1.05</f>
        <v>872.7600000000001</v>
      </c>
      <c r="D38" s="150">
        <f>+C38*B38</f>
        <v>45383.520000000004</v>
      </c>
      <c r="E38" s="146"/>
      <c r="F38" s="146"/>
      <c r="G38" s="146"/>
      <c r="H38" s="111"/>
      <c r="I38" s="111"/>
      <c r="J38" s="111"/>
      <c r="K38" s="2"/>
    </row>
    <row r="39" spans="1:11" x14ac:dyDescent="0.2">
      <c r="A39" s="147" t="s">
        <v>1067</v>
      </c>
      <c r="B39" s="146"/>
      <c r="C39" s="146"/>
      <c r="D39" s="146">
        <f>SUM(D38:D38)</f>
        <v>45383.520000000004</v>
      </c>
      <c r="E39" s="146"/>
      <c r="F39" s="146"/>
      <c r="G39" s="146"/>
      <c r="H39" s="111"/>
      <c r="I39" s="111"/>
      <c r="J39" s="111"/>
      <c r="K39" s="2"/>
    </row>
    <row r="40" spans="1:11" x14ac:dyDescent="0.2">
      <c r="A40" s="147"/>
      <c r="B40" s="146"/>
      <c r="C40" s="152"/>
      <c r="D40" s="146"/>
      <c r="E40" s="146"/>
      <c r="F40" s="146"/>
      <c r="G40" s="146"/>
      <c r="H40" s="111"/>
      <c r="I40" s="111"/>
      <c r="J40" s="111"/>
      <c r="K40" s="2"/>
    </row>
    <row r="41" spans="1:11" ht="13.5" x14ac:dyDescent="0.25">
      <c r="A41" s="153" t="s">
        <v>2033</v>
      </c>
      <c r="B41" s="194"/>
      <c r="C41" s="194"/>
      <c r="D41" s="142"/>
      <c r="E41" s="142">
        <v>0</v>
      </c>
      <c r="F41" s="142">
        <v>100</v>
      </c>
      <c r="G41" s="142">
        <f>+D42</f>
        <v>100</v>
      </c>
      <c r="H41" s="111">
        <v>100</v>
      </c>
      <c r="I41" s="111">
        <v>100</v>
      </c>
      <c r="J41" s="111">
        <v>100</v>
      </c>
      <c r="K41" s="2"/>
    </row>
    <row r="42" spans="1:11" x14ac:dyDescent="0.2">
      <c r="A42" s="147" t="s">
        <v>268</v>
      </c>
      <c r="B42" s="146"/>
      <c r="C42" s="152"/>
      <c r="D42" s="146">
        <v>100</v>
      </c>
      <c r="E42" s="146"/>
      <c r="F42" s="146"/>
      <c r="G42" s="146"/>
      <c r="H42" s="111"/>
      <c r="I42" s="111"/>
      <c r="J42" s="111"/>
      <c r="K42" s="2"/>
    </row>
    <row r="43" spans="1:11" x14ac:dyDescent="0.2">
      <c r="A43" s="147"/>
      <c r="B43" s="146"/>
      <c r="C43" s="152"/>
      <c r="D43" s="146"/>
      <c r="E43" s="146"/>
      <c r="F43" s="146"/>
      <c r="G43" s="146"/>
      <c r="H43" s="111"/>
      <c r="I43" s="111"/>
      <c r="J43" s="111"/>
      <c r="K43" s="2"/>
    </row>
    <row r="44" spans="1:11" ht="13.5" x14ac:dyDescent="0.25">
      <c r="A44" s="144" t="s">
        <v>1113</v>
      </c>
      <c r="B44" s="147"/>
      <c r="C44" s="147"/>
      <c r="D44" s="146"/>
      <c r="E44" s="146">
        <v>44275</v>
      </c>
      <c r="F44" s="146">
        <v>47036</v>
      </c>
      <c r="G44" s="146">
        <f>+D48</f>
        <v>48137</v>
      </c>
      <c r="H44" s="111">
        <v>48137</v>
      </c>
      <c r="I44" s="111">
        <v>48137</v>
      </c>
      <c r="J44" s="111">
        <v>48137</v>
      </c>
      <c r="K44" s="2"/>
    </row>
    <row r="45" spans="1:11" hidden="1" x14ac:dyDescent="0.2">
      <c r="A45" s="154">
        <v>8103</v>
      </c>
      <c r="B45" s="146">
        <f>+G6</f>
        <v>284935.56000000006</v>
      </c>
      <c r="C45" s="147">
        <v>7.6499999999999999E-2</v>
      </c>
      <c r="D45" s="2">
        <f>ROUND(B45*C45,0)</f>
        <v>21798</v>
      </c>
      <c r="E45" s="146"/>
      <c r="F45" s="146"/>
      <c r="G45" s="146"/>
      <c r="H45" s="111"/>
      <c r="I45" s="111"/>
      <c r="J45" s="111"/>
      <c r="K45" s="2"/>
    </row>
    <row r="46" spans="1:11" hidden="1" x14ac:dyDescent="0.2">
      <c r="A46" s="155" t="s">
        <v>683</v>
      </c>
      <c r="B46" s="146">
        <f>+G15</f>
        <v>298917.73879999999</v>
      </c>
      <c r="C46" s="147">
        <v>7.6499999999999999E-2</v>
      </c>
      <c r="D46" s="2">
        <f>ROUND(B46*C46,0)</f>
        <v>22867</v>
      </c>
      <c r="E46" s="146"/>
      <c r="F46" s="146"/>
      <c r="G46" s="146"/>
      <c r="H46" s="111"/>
      <c r="I46" s="111"/>
      <c r="J46" s="111"/>
      <c r="K46" s="2"/>
    </row>
    <row r="47" spans="1:11" ht="15" hidden="1" x14ac:dyDescent="0.35">
      <c r="A47" s="155" t="s">
        <v>153</v>
      </c>
      <c r="B47" s="146">
        <f>+G37</f>
        <v>45383.520000000004</v>
      </c>
      <c r="C47" s="147">
        <v>7.6499999999999999E-2</v>
      </c>
      <c r="D47" s="10">
        <f>ROUND(B47*C47,0)</f>
        <v>3472</v>
      </c>
      <c r="E47" s="146"/>
      <c r="F47" s="146"/>
      <c r="G47" s="146"/>
      <c r="H47" s="111"/>
      <c r="I47" s="111"/>
      <c r="J47" s="111"/>
      <c r="K47" s="2"/>
    </row>
    <row r="48" spans="1:11" hidden="1" x14ac:dyDescent="0.2">
      <c r="A48" s="147" t="s">
        <v>1067</v>
      </c>
      <c r="B48" s="147"/>
      <c r="C48" s="147"/>
      <c r="D48" s="146">
        <f>SUM(D45:D47)</f>
        <v>48137</v>
      </c>
      <c r="E48" s="146"/>
      <c r="F48" s="146"/>
      <c r="G48" s="146"/>
      <c r="H48" s="111"/>
      <c r="I48" s="111"/>
      <c r="J48" s="111"/>
      <c r="K48" s="2"/>
    </row>
    <row r="49" spans="1:11" x14ac:dyDescent="0.2">
      <c r="A49" s="147"/>
      <c r="B49" s="147"/>
      <c r="C49" s="147"/>
      <c r="D49" s="146"/>
      <c r="E49" s="146"/>
      <c r="F49" s="146"/>
      <c r="G49" s="146"/>
      <c r="H49" s="111"/>
      <c r="I49" s="111"/>
      <c r="J49" s="111"/>
      <c r="K49" s="2"/>
    </row>
    <row r="50" spans="1:11" ht="13.5" x14ac:dyDescent="0.25">
      <c r="A50" s="144" t="s">
        <v>1114</v>
      </c>
      <c r="B50" s="147"/>
      <c r="C50" s="147"/>
      <c r="D50" s="146"/>
      <c r="E50" s="146">
        <v>62006</v>
      </c>
      <c r="F50" s="146">
        <v>65948</v>
      </c>
      <c r="G50" s="146">
        <f>D54</f>
        <v>69477.995004000011</v>
      </c>
      <c r="H50" s="111">
        <v>69478</v>
      </c>
      <c r="I50" s="111">
        <v>69478</v>
      </c>
      <c r="J50" s="111">
        <v>69478</v>
      </c>
      <c r="K50" s="2"/>
    </row>
    <row r="51" spans="1:11" hidden="1" x14ac:dyDescent="0.2">
      <c r="A51" s="154">
        <v>8103</v>
      </c>
      <c r="B51" s="146">
        <f>+G6</f>
        <v>284935.56000000006</v>
      </c>
      <c r="C51" s="299">
        <v>0.1353</v>
      </c>
      <c r="D51" s="146">
        <f>+C51*B51</f>
        <v>38551.781268000006</v>
      </c>
      <c r="E51" s="146"/>
      <c r="F51" s="146"/>
      <c r="G51" s="146"/>
      <c r="H51" s="111"/>
      <c r="I51" s="111"/>
      <c r="J51" s="111"/>
      <c r="K51" s="2"/>
    </row>
    <row r="52" spans="1:11" hidden="1" x14ac:dyDescent="0.2">
      <c r="A52" s="147" t="s">
        <v>243</v>
      </c>
      <c r="B52" s="146">
        <f>SUM(D17:D22)</f>
        <v>183191.60000000003</v>
      </c>
      <c r="C52" s="299">
        <v>0.1353</v>
      </c>
      <c r="D52" s="146">
        <f>+C52*B52</f>
        <v>24785.823480000006</v>
      </c>
      <c r="E52" s="146"/>
      <c r="F52" s="146"/>
      <c r="G52" s="146"/>
      <c r="H52" s="111"/>
      <c r="I52" s="111"/>
      <c r="J52" s="111"/>
      <c r="K52" s="2"/>
    </row>
    <row r="53" spans="1:11" ht="15" hidden="1" x14ac:dyDescent="0.35">
      <c r="A53" s="147" t="s">
        <v>244</v>
      </c>
      <c r="B53" s="146">
        <f>+G37</f>
        <v>45383.520000000004</v>
      </c>
      <c r="C53" s="299">
        <v>0.1353</v>
      </c>
      <c r="D53" s="150">
        <f>+C53*B53</f>
        <v>6140.3902560000006</v>
      </c>
      <c r="E53" s="146"/>
      <c r="F53" s="146"/>
      <c r="G53" s="146"/>
      <c r="H53" s="111"/>
      <c r="I53" s="111"/>
      <c r="J53" s="111"/>
      <c r="K53" s="2"/>
    </row>
    <row r="54" spans="1:11" hidden="1" x14ac:dyDescent="0.2">
      <c r="A54" s="147" t="s">
        <v>1067</v>
      </c>
      <c r="B54" s="147"/>
      <c r="C54" s="147"/>
      <c r="D54" s="146">
        <f>SUM(D51:D53)</f>
        <v>69477.995004000011</v>
      </c>
      <c r="E54" s="146"/>
      <c r="F54" s="146"/>
      <c r="G54" s="146"/>
      <c r="H54" s="111"/>
      <c r="I54" s="111"/>
      <c r="J54" s="111"/>
      <c r="K54" s="2"/>
    </row>
    <row r="55" spans="1:11" x14ac:dyDescent="0.2">
      <c r="A55" s="147"/>
      <c r="B55" s="147"/>
      <c r="C55" s="147"/>
      <c r="D55" s="146"/>
      <c r="E55" s="146"/>
      <c r="F55" s="146"/>
      <c r="G55" s="146"/>
      <c r="H55" s="111"/>
      <c r="I55" s="111"/>
      <c r="J55" s="111"/>
      <c r="K55" s="2"/>
    </row>
    <row r="56" spans="1:11" ht="13.5" x14ac:dyDescent="0.25">
      <c r="A56" s="144" t="s">
        <v>932</v>
      </c>
      <c r="B56" s="147"/>
      <c r="C56" s="147"/>
      <c r="D56" s="146"/>
      <c r="E56" s="146">
        <v>110032</v>
      </c>
      <c r="F56" s="146">
        <v>125000</v>
      </c>
      <c r="G56" s="146">
        <f>D57</f>
        <v>154000</v>
      </c>
      <c r="H56" s="111">
        <v>154000</v>
      </c>
      <c r="I56" s="111">
        <v>154000</v>
      </c>
      <c r="J56" s="111">
        <v>154000</v>
      </c>
      <c r="K56" s="2"/>
    </row>
    <row r="57" spans="1:11" hidden="1" x14ac:dyDescent="0.2">
      <c r="A57" s="147" t="s">
        <v>358</v>
      </c>
      <c r="B57" s="146">
        <v>11</v>
      </c>
      <c r="C57" s="146">
        <v>14000</v>
      </c>
      <c r="D57" s="146">
        <f>+C57*B57</f>
        <v>154000</v>
      </c>
      <c r="E57" s="146"/>
      <c r="F57" s="146"/>
      <c r="G57" s="146"/>
      <c r="H57" s="111"/>
      <c r="I57" s="111"/>
      <c r="J57" s="111"/>
      <c r="K57" s="2"/>
    </row>
    <row r="58" spans="1:11" x14ac:dyDescent="0.2">
      <c r="A58" s="147"/>
      <c r="B58" s="147"/>
      <c r="C58" s="147"/>
      <c r="D58" s="146"/>
      <c r="E58" s="146"/>
      <c r="F58" s="146"/>
      <c r="G58" s="146"/>
      <c r="H58" s="111"/>
      <c r="I58" s="111"/>
      <c r="J58" s="111"/>
      <c r="K58" s="2"/>
    </row>
    <row r="59" spans="1:11" ht="13.5" x14ac:dyDescent="0.25">
      <c r="A59" s="144" t="s">
        <v>933</v>
      </c>
      <c r="B59" s="147"/>
      <c r="C59" s="147"/>
      <c r="D59" s="146"/>
      <c r="E59" s="146">
        <v>6100</v>
      </c>
      <c r="F59" s="146">
        <v>8640</v>
      </c>
      <c r="G59" s="146">
        <f>D62</f>
        <v>9504</v>
      </c>
      <c r="H59" s="111">
        <v>9504</v>
      </c>
      <c r="I59" s="111">
        <v>9504</v>
      </c>
      <c r="J59" s="111">
        <v>9504</v>
      </c>
      <c r="K59" s="2"/>
    </row>
    <row r="60" spans="1:11" hidden="1" x14ac:dyDescent="0.2">
      <c r="A60" s="147" t="s">
        <v>358</v>
      </c>
      <c r="B60" s="146">
        <v>11</v>
      </c>
      <c r="C60" s="146">
        <v>960</v>
      </c>
      <c r="D60" s="146">
        <f>+C60*B60</f>
        <v>10560</v>
      </c>
      <c r="E60" s="146"/>
      <c r="F60" s="146"/>
      <c r="G60" s="146"/>
      <c r="H60" s="111"/>
      <c r="I60" s="111"/>
      <c r="J60" s="111"/>
      <c r="K60" s="2"/>
    </row>
    <row r="61" spans="1:11" ht="15" hidden="1" x14ac:dyDescent="0.35">
      <c r="A61" s="147" t="s">
        <v>193</v>
      </c>
      <c r="B61" s="146"/>
      <c r="C61" s="146"/>
      <c r="D61" s="150">
        <f>+C60*-0.1*B60</f>
        <v>-1056</v>
      </c>
      <c r="E61" s="146"/>
      <c r="F61" s="146"/>
      <c r="G61" s="146"/>
      <c r="H61" s="111"/>
      <c r="I61" s="111"/>
      <c r="J61" s="111"/>
      <c r="K61" s="2"/>
    </row>
    <row r="62" spans="1:11" ht="12.75" hidden="1" customHeight="1" x14ac:dyDescent="0.2">
      <c r="A62" s="147" t="s">
        <v>678</v>
      </c>
      <c r="B62" s="146"/>
      <c r="C62" s="146"/>
      <c r="D62" s="146">
        <f>SUM(D60:D61)</f>
        <v>9504</v>
      </c>
      <c r="E62" s="146"/>
      <c r="F62" s="146"/>
      <c r="G62" s="146"/>
      <c r="H62" s="111"/>
      <c r="I62" s="111"/>
      <c r="J62" s="111"/>
      <c r="K62" s="2"/>
    </row>
    <row r="63" spans="1:11" ht="12.75" customHeight="1" x14ac:dyDescent="0.2">
      <c r="A63" s="147"/>
      <c r="B63" s="147"/>
      <c r="C63" s="147"/>
      <c r="D63" s="146"/>
      <c r="E63" s="146"/>
      <c r="F63" s="146"/>
      <c r="G63" s="146"/>
      <c r="H63" s="111"/>
      <c r="I63" s="111"/>
      <c r="J63" s="111"/>
      <c r="K63" s="2"/>
    </row>
    <row r="64" spans="1:11" ht="15" customHeight="1" x14ac:dyDescent="0.25">
      <c r="A64" s="144" t="s">
        <v>1254</v>
      </c>
      <c r="B64" s="147"/>
      <c r="C64" s="147"/>
      <c r="D64" s="146"/>
      <c r="E64" s="146">
        <v>969</v>
      </c>
      <c r="F64" s="146">
        <v>1350</v>
      </c>
      <c r="G64" s="146">
        <f>D68</f>
        <v>1595</v>
      </c>
      <c r="H64" s="111">
        <v>1595</v>
      </c>
      <c r="I64" s="111">
        <v>1595</v>
      </c>
      <c r="J64" s="111">
        <v>1595</v>
      </c>
      <c r="K64" s="2"/>
    </row>
    <row r="65" spans="1:11" ht="12.75" hidden="1" customHeight="1" x14ac:dyDescent="0.2">
      <c r="A65" s="147" t="s">
        <v>354</v>
      </c>
      <c r="B65" s="146">
        <v>1</v>
      </c>
      <c r="C65" s="146">
        <v>145</v>
      </c>
      <c r="D65" s="146">
        <f>+C65*B65</f>
        <v>145</v>
      </c>
      <c r="E65" s="146"/>
      <c r="F65" s="147"/>
      <c r="G65" s="147"/>
      <c r="H65" s="111"/>
      <c r="I65" s="111"/>
      <c r="J65" s="111"/>
      <c r="K65" s="2"/>
    </row>
    <row r="66" spans="1:11" hidden="1" x14ac:dyDescent="0.2">
      <c r="A66" s="147" t="s">
        <v>1255</v>
      </c>
      <c r="B66" s="146">
        <v>5</v>
      </c>
      <c r="C66" s="146">
        <v>145</v>
      </c>
      <c r="D66" s="146">
        <f>+C66*B66</f>
        <v>725</v>
      </c>
      <c r="E66" s="146"/>
      <c r="F66" s="147"/>
      <c r="G66" s="147"/>
      <c r="H66" s="111"/>
      <c r="I66" s="111"/>
      <c r="J66" s="111"/>
      <c r="K66" s="2"/>
    </row>
    <row r="67" spans="1:11" ht="15" hidden="1" x14ac:dyDescent="0.35">
      <c r="A67" s="147" t="s">
        <v>898</v>
      </c>
      <c r="B67" s="146">
        <v>5</v>
      </c>
      <c r="C67" s="146">
        <v>145</v>
      </c>
      <c r="D67" s="150">
        <f>+C67*B67</f>
        <v>725</v>
      </c>
      <c r="E67" s="146"/>
      <c r="F67" s="147"/>
      <c r="G67" s="147"/>
      <c r="H67" s="111"/>
      <c r="I67" s="111"/>
      <c r="J67" s="111"/>
      <c r="K67" s="2"/>
    </row>
    <row r="68" spans="1:11" hidden="1" x14ac:dyDescent="0.2">
      <c r="A68" s="147" t="s">
        <v>1067</v>
      </c>
      <c r="B68" s="147"/>
      <c r="C68" s="147"/>
      <c r="D68" s="146">
        <f>SUM(D65:D67)</f>
        <v>1595</v>
      </c>
      <c r="E68" s="146"/>
      <c r="F68" s="147"/>
      <c r="G68" s="147"/>
      <c r="H68" s="111"/>
      <c r="I68" s="111"/>
      <c r="J68" s="111"/>
      <c r="K68" s="2"/>
    </row>
    <row r="69" spans="1:11" x14ac:dyDescent="0.2">
      <c r="A69" s="147"/>
      <c r="B69" s="147"/>
      <c r="C69" s="147"/>
      <c r="D69" s="146"/>
      <c r="E69" s="146"/>
      <c r="F69" s="147"/>
      <c r="G69" s="147"/>
      <c r="H69" s="111"/>
      <c r="I69" s="111"/>
      <c r="J69" s="111"/>
      <c r="K69" s="2"/>
    </row>
    <row r="70" spans="1:11" ht="13.5" x14ac:dyDescent="0.25">
      <c r="A70" s="144" t="s">
        <v>399</v>
      </c>
      <c r="B70" s="147"/>
      <c r="C70" s="147"/>
      <c r="D70" s="146"/>
      <c r="E70" s="146">
        <v>3777</v>
      </c>
      <c r="F70" s="146">
        <v>5250</v>
      </c>
      <c r="G70" s="146">
        <f>D71</f>
        <v>6215</v>
      </c>
      <c r="H70" s="111">
        <v>6215</v>
      </c>
      <c r="I70" s="111">
        <v>6215</v>
      </c>
      <c r="J70" s="111">
        <v>6215</v>
      </c>
      <c r="K70" s="2"/>
    </row>
    <row r="71" spans="1:11" hidden="1" x14ac:dyDescent="0.2">
      <c r="A71" s="147" t="s">
        <v>699</v>
      </c>
      <c r="B71" s="146">
        <v>11</v>
      </c>
      <c r="C71" s="2">
        <v>565</v>
      </c>
      <c r="D71" s="146">
        <f>+C71*B71</f>
        <v>6215</v>
      </c>
      <c r="E71" s="146"/>
      <c r="F71" s="146"/>
      <c r="G71" s="146"/>
      <c r="H71" s="111"/>
      <c r="I71" s="111"/>
      <c r="J71" s="111"/>
      <c r="K71" s="2"/>
    </row>
    <row r="72" spans="1:11" x14ac:dyDescent="0.2">
      <c r="A72" s="147"/>
      <c r="B72" s="147"/>
      <c r="C72" s="147"/>
      <c r="D72" s="146"/>
      <c r="E72" s="146"/>
      <c r="F72" s="146"/>
      <c r="G72" s="146"/>
      <c r="H72" s="111"/>
      <c r="I72" s="111"/>
      <c r="J72" s="111"/>
      <c r="K72" s="2"/>
    </row>
    <row r="73" spans="1:11" ht="13.5" x14ac:dyDescent="0.25">
      <c r="A73" s="144" t="s">
        <v>158</v>
      </c>
      <c r="B73" s="147"/>
      <c r="C73" s="147"/>
      <c r="D73" s="146"/>
      <c r="E73" s="146">
        <v>758</v>
      </c>
      <c r="F73" s="146">
        <v>1839</v>
      </c>
      <c r="G73" s="146">
        <f>D77</f>
        <v>2045.4674579120001</v>
      </c>
      <c r="H73" s="111">
        <v>2045</v>
      </c>
      <c r="I73" s="111">
        <v>2045</v>
      </c>
      <c r="J73" s="111">
        <v>2045</v>
      </c>
      <c r="K73" s="2"/>
    </row>
    <row r="74" spans="1:11" hidden="1" x14ac:dyDescent="0.2">
      <c r="A74" s="155" t="s">
        <v>1264</v>
      </c>
      <c r="B74" s="146">
        <f>+G6</f>
        <v>284935.56000000006</v>
      </c>
      <c r="C74" s="156">
        <v>1.89E-3</v>
      </c>
      <c r="D74" s="146">
        <f>+C74*B74</f>
        <v>538.52820840000015</v>
      </c>
      <c r="E74" s="146"/>
      <c r="F74" s="146"/>
      <c r="G74" s="146"/>
      <c r="H74" s="111"/>
      <c r="I74" s="111"/>
      <c r="J74" s="111"/>
      <c r="K74" s="2"/>
    </row>
    <row r="75" spans="1:11" hidden="1" x14ac:dyDescent="0.2">
      <c r="A75" s="155" t="s">
        <v>683</v>
      </c>
      <c r="B75" s="146">
        <f>+G15</f>
        <v>298917.73879999999</v>
      </c>
      <c r="C75" s="156">
        <v>1.74E-3</v>
      </c>
      <c r="D75" s="146">
        <f>+C75*B75</f>
        <v>520.116865512</v>
      </c>
      <c r="E75" s="146"/>
      <c r="F75" s="146"/>
      <c r="G75" s="146"/>
      <c r="H75" s="111"/>
      <c r="I75" s="111"/>
      <c r="J75" s="111"/>
      <c r="K75" s="2"/>
    </row>
    <row r="76" spans="1:11" ht="15" hidden="1" x14ac:dyDescent="0.35">
      <c r="A76" s="155" t="s">
        <v>153</v>
      </c>
      <c r="B76" s="146">
        <f>+G37</f>
        <v>45383.520000000004</v>
      </c>
      <c r="C76" s="156">
        <v>2.1700000000000001E-2</v>
      </c>
      <c r="D76" s="150">
        <f>+C76*B76</f>
        <v>984.82238400000006</v>
      </c>
      <c r="E76" s="146"/>
      <c r="F76" s="146"/>
      <c r="G76" s="146"/>
      <c r="H76" s="111"/>
      <c r="I76" s="111"/>
      <c r="J76" s="111"/>
      <c r="K76" s="2"/>
    </row>
    <row r="77" spans="1:11" hidden="1" x14ac:dyDescent="0.2">
      <c r="A77" s="147" t="s">
        <v>1067</v>
      </c>
      <c r="B77" s="147"/>
      <c r="C77" s="147"/>
      <c r="D77" s="146">
        <f>SUM(D74:D76)+2</f>
        <v>2045.4674579120001</v>
      </c>
      <c r="E77" s="146"/>
      <c r="F77" s="146"/>
      <c r="G77" s="146"/>
      <c r="H77" s="111"/>
      <c r="I77" s="111"/>
      <c r="J77" s="111"/>
      <c r="K77" s="2"/>
    </row>
    <row r="78" spans="1:11" x14ac:dyDescent="0.2">
      <c r="A78" s="147"/>
      <c r="B78" s="147"/>
      <c r="C78" s="147"/>
      <c r="D78" s="146"/>
      <c r="E78" s="146"/>
      <c r="F78" s="146"/>
      <c r="G78" s="146"/>
      <c r="H78" s="111"/>
      <c r="I78" s="111"/>
      <c r="J78" s="111"/>
      <c r="K78" s="2"/>
    </row>
    <row r="79" spans="1:11" ht="13.5" x14ac:dyDescent="0.25">
      <c r="A79" s="144" t="s">
        <v>159</v>
      </c>
      <c r="B79" s="147"/>
      <c r="C79" s="147"/>
      <c r="D79" s="146"/>
      <c r="E79" s="146">
        <v>254</v>
      </c>
      <c r="F79" s="146">
        <v>395</v>
      </c>
      <c r="G79" s="146">
        <f>D85</f>
        <v>364.61601831999997</v>
      </c>
      <c r="H79" s="111">
        <v>365</v>
      </c>
      <c r="I79" s="111">
        <v>365</v>
      </c>
      <c r="J79" s="111">
        <v>365</v>
      </c>
      <c r="K79" s="2"/>
    </row>
    <row r="80" spans="1:11" hidden="1" x14ac:dyDescent="0.2">
      <c r="A80" s="155" t="s">
        <v>1264</v>
      </c>
      <c r="B80" s="146">
        <v>5</v>
      </c>
      <c r="C80" s="146">
        <v>20</v>
      </c>
      <c r="D80" s="146">
        <f>+C80*B80</f>
        <v>100</v>
      </c>
      <c r="E80" s="146"/>
      <c r="F80" s="146"/>
      <c r="G80" s="146"/>
      <c r="H80" s="111"/>
      <c r="I80" s="111"/>
      <c r="J80" s="111"/>
      <c r="K80" s="2"/>
    </row>
    <row r="81" spans="1:11" hidden="1" x14ac:dyDescent="0.2">
      <c r="A81" s="155" t="s">
        <v>243</v>
      </c>
      <c r="B81" s="146">
        <v>5</v>
      </c>
      <c r="C81" s="146">
        <v>20</v>
      </c>
      <c r="D81" s="146">
        <f>+C81*B81</f>
        <v>100</v>
      </c>
      <c r="E81" s="146"/>
      <c r="F81" s="146"/>
      <c r="G81" s="146"/>
      <c r="H81" s="111"/>
      <c r="I81" s="111"/>
      <c r="J81" s="111"/>
      <c r="K81" s="2"/>
    </row>
    <row r="82" spans="1:11" hidden="1" x14ac:dyDescent="0.2">
      <c r="A82" s="147" t="s">
        <v>250</v>
      </c>
      <c r="B82" s="146">
        <v>4</v>
      </c>
      <c r="C82" s="146">
        <v>20</v>
      </c>
      <c r="D82" s="146">
        <f>+C82*B82</f>
        <v>80</v>
      </c>
      <c r="E82" s="146"/>
      <c r="F82" s="146"/>
      <c r="G82" s="146"/>
      <c r="H82" s="111"/>
      <c r="I82" s="111"/>
      <c r="J82" s="111"/>
      <c r="K82" s="2"/>
    </row>
    <row r="83" spans="1:11" hidden="1" x14ac:dyDescent="0.2">
      <c r="A83" s="147" t="s">
        <v>510</v>
      </c>
      <c r="B83" s="146">
        <f>SUM(D26,D28,D29,D30,D31,D33)</f>
        <v>46154.298799999997</v>
      </c>
      <c r="C83" s="156">
        <v>1.4E-3</v>
      </c>
      <c r="D83" s="146">
        <f>+C83*B83</f>
        <v>64.616018319999995</v>
      </c>
      <c r="E83" s="146"/>
      <c r="F83" s="146"/>
      <c r="G83" s="146"/>
      <c r="H83" s="111"/>
      <c r="I83" s="111"/>
      <c r="J83" s="111"/>
      <c r="K83" s="2"/>
    </row>
    <row r="84" spans="1:11" ht="15" hidden="1" x14ac:dyDescent="0.35">
      <c r="A84" s="147" t="s">
        <v>244</v>
      </c>
      <c r="B84" s="146">
        <v>1</v>
      </c>
      <c r="C84" s="146">
        <v>20</v>
      </c>
      <c r="D84" s="150">
        <f>+C84*B84</f>
        <v>20</v>
      </c>
      <c r="E84" s="146"/>
      <c r="F84" s="146"/>
      <c r="G84" s="146"/>
      <c r="H84" s="111"/>
      <c r="I84" s="111"/>
      <c r="J84" s="111"/>
      <c r="K84" s="2"/>
    </row>
    <row r="85" spans="1:11" hidden="1" x14ac:dyDescent="0.2">
      <c r="A85" s="147" t="s">
        <v>1067</v>
      </c>
      <c r="B85" s="147"/>
      <c r="C85" s="147"/>
      <c r="D85" s="146">
        <f>SUM(D80:D84)</f>
        <v>364.61601831999997</v>
      </c>
      <c r="E85" s="146"/>
      <c r="F85" s="147"/>
      <c r="G85" s="147"/>
      <c r="H85" s="111"/>
      <c r="I85" s="111"/>
      <c r="J85" s="111"/>
      <c r="K85" s="2"/>
    </row>
    <row r="86" spans="1:11" x14ac:dyDescent="0.2">
      <c r="A86" s="147"/>
      <c r="B86" s="147"/>
      <c r="C86" s="147"/>
      <c r="D86" s="146"/>
      <c r="E86" s="146"/>
      <c r="F86" s="147"/>
      <c r="G86" s="147"/>
      <c r="H86" s="111"/>
      <c r="I86" s="111"/>
      <c r="J86" s="111"/>
      <c r="K86" s="2"/>
    </row>
    <row r="87" spans="1:11" ht="13.5" x14ac:dyDescent="0.25">
      <c r="A87" s="144" t="s">
        <v>1481</v>
      </c>
      <c r="B87" s="147"/>
      <c r="C87" s="147"/>
      <c r="D87" s="146"/>
      <c r="E87" s="146">
        <v>0</v>
      </c>
      <c r="F87" s="146">
        <v>1500</v>
      </c>
      <c r="G87" s="146">
        <f>D88</f>
        <v>1500</v>
      </c>
      <c r="H87" s="111">
        <v>1500</v>
      </c>
      <c r="I87" s="111">
        <v>1500</v>
      </c>
      <c r="J87" s="111">
        <v>1500</v>
      </c>
      <c r="K87" s="2"/>
    </row>
    <row r="88" spans="1:11" x14ac:dyDescent="0.2">
      <c r="A88" s="147" t="s">
        <v>148</v>
      </c>
      <c r="B88" s="147"/>
      <c r="C88" s="147"/>
      <c r="D88" s="146">
        <v>1500</v>
      </c>
      <c r="E88" s="146"/>
      <c r="F88" s="142"/>
      <c r="G88" s="142"/>
      <c r="H88" s="111"/>
      <c r="I88" s="111"/>
      <c r="J88" s="111"/>
      <c r="K88" s="2"/>
    </row>
    <row r="89" spans="1:11" x14ac:dyDescent="0.2">
      <c r="A89" s="147"/>
      <c r="B89" s="147"/>
      <c r="C89" s="147"/>
      <c r="D89" s="146"/>
      <c r="E89" s="146"/>
      <c r="F89" s="147"/>
      <c r="G89" s="147"/>
      <c r="H89" s="111"/>
      <c r="I89" s="111"/>
      <c r="J89" s="111"/>
      <c r="K89" s="2"/>
    </row>
    <row r="90" spans="1:11" ht="13.5" x14ac:dyDescent="0.25">
      <c r="A90" s="144" t="s">
        <v>223</v>
      </c>
      <c r="B90" s="147"/>
      <c r="C90" s="147"/>
      <c r="D90" s="146"/>
      <c r="E90" s="146">
        <v>9321</v>
      </c>
      <c r="F90" s="146">
        <v>9520</v>
      </c>
      <c r="G90" s="146">
        <f>D94</f>
        <v>9520</v>
      </c>
      <c r="H90" s="111">
        <v>9520</v>
      </c>
      <c r="I90" s="111">
        <v>9520</v>
      </c>
      <c r="J90" s="111">
        <v>9520</v>
      </c>
      <c r="K90" s="2"/>
    </row>
    <row r="91" spans="1:11" x14ac:dyDescent="0.2">
      <c r="A91" s="157" t="s">
        <v>455</v>
      </c>
      <c r="B91" s="157"/>
      <c r="C91" s="146"/>
      <c r="D91" s="146">
        <f>3600+820+300</f>
        <v>4720</v>
      </c>
      <c r="E91" s="146"/>
      <c r="F91" s="146"/>
      <c r="G91" s="146"/>
      <c r="H91" s="111"/>
      <c r="I91" s="111"/>
      <c r="J91" s="111"/>
      <c r="K91" s="2"/>
    </row>
    <row r="92" spans="1:11" x14ac:dyDescent="0.2">
      <c r="A92" s="157" t="s">
        <v>456</v>
      </c>
      <c r="B92" s="157"/>
      <c r="C92" s="146"/>
      <c r="D92" s="146">
        <v>2800</v>
      </c>
      <c r="E92" s="146"/>
      <c r="F92" s="146"/>
      <c r="G92" s="146"/>
      <c r="H92" s="111"/>
      <c r="I92" s="111"/>
      <c r="J92" s="111"/>
      <c r="K92" s="2"/>
    </row>
    <row r="93" spans="1:11" ht="15" x14ac:dyDescent="0.35">
      <c r="A93" s="157" t="s">
        <v>197</v>
      </c>
      <c r="B93" s="157"/>
      <c r="C93" s="150"/>
      <c r="D93" s="150">
        <v>2000</v>
      </c>
      <c r="E93" s="146"/>
      <c r="F93" s="146"/>
      <c r="G93" s="146"/>
      <c r="H93" s="111"/>
      <c r="I93" s="111"/>
      <c r="J93" s="111"/>
      <c r="K93" s="2"/>
    </row>
    <row r="94" spans="1:11" x14ac:dyDescent="0.2">
      <c r="A94" s="157" t="s">
        <v>1067</v>
      </c>
      <c r="B94" s="157"/>
      <c r="C94" s="146"/>
      <c r="D94" s="146">
        <f>SUM(D91:D93)</f>
        <v>9520</v>
      </c>
      <c r="E94" s="146"/>
      <c r="F94" s="146"/>
      <c r="G94" s="146"/>
      <c r="H94" s="111"/>
      <c r="I94" s="111"/>
      <c r="J94" s="111"/>
      <c r="K94" s="2"/>
    </row>
    <row r="95" spans="1:11" x14ac:dyDescent="0.2">
      <c r="A95" s="157"/>
      <c r="B95" s="157"/>
      <c r="C95" s="146"/>
      <c r="D95" s="146"/>
      <c r="E95" s="146"/>
      <c r="F95" s="146"/>
      <c r="G95" s="146"/>
      <c r="H95" s="111"/>
      <c r="I95" s="111"/>
      <c r="J95" s="111"/>
      <c r="K95" s="2"/>
    </row>
    <row r="96" spans="1:11" ht="13.5" x14ac:dyDescent="0.25">
      <c r="A96" s="144" t="s">
        <v>22</v>
      </c>
      <c r="B96" s="147"/>
      <c r="C96" s="146"/>
      <c r="D96" s="146" t="s">
        <v>338</v>
      </c>
      <c r="E96" s="146">
        <v>4076</v>
      </c>
      <c r="F96" s="146">
        <v>4000</v>
      </c>
      <c r="G96" s="146">
        <f>D97</f>
        <v>4000</v>
      </c>
      <c r="H96" s="111">
        <v>4000</v>
      </c>
      <c r="I96" s="111">
        <v>4000</v>
      </c>
      <c r="J96" s="111">
        <v>4000</v>
      </c>
      <c r="K96" s="2"/>
    </row>
    <row r="97" spans="1:11" x14ac:dyDescent="0.2">
      <c r="A97" s="147" t="s">
        <v>865</v>
      </c>
      <c r="B97" s="147"/>
      <c r="C97" s="146"/>
      <c r="D97" s="146">
        <v>4000</v>
      </c>
      <c r="E97" s="146"/>
      <c r="F97" s="146"/>
      <c r="G97" s="146"/>
      <c r="H97" s="111"/>
      <c r="I97" s="111"/>
      <c r="J97" s="111"/>
      <c r="K97" s="2"/>
    </row>
    <row r="98" spans="1:11" x14ac:dyDescent="0.2">
      <c r="A98" s="147" t="s">
        <v>338</v>
      </c>
      <c r="B98" s="147"/>
      <c r="C98" s="146"/>
      <c r="D98" s="146" t="s">
        <v>338</v>
      </c>
      <c r="E98" s="146"/>
      <c r="F98" s="146"/>
      <c r="G98" s="146"/>
      <c r="H98" s="111"/>
      <c r="I98" s="111"/>
      <c r="J98" s="111"/>
      <c r="K98" s="2"/>
    </row>
    <row r="99" spans="1:11" ht="13.5" x14ac:dyDescent="0.25">
      <c r="A99" s="144" t="s">
        <v>198</v>
      </c>
      <c r="B99" s="147"/>
      <c r="C99" s="146"/>
      <c r="D99" s="146"/>
      <c r="E99" s="146">
        <v>470</v>
      </c>
      <c r="F99" s="146">
        <v>500</v>
      </c>
      <c r="G99" s="146">
        <f>D100</f>
        <v>500</v>
      </c>
      <c r="H99" s="111">
        <v>500</v>
      </c>
      <c r="I99" s="111">
        <v>500</v>
      </c>
      <c r="J99" s="111">
        <v>500</v>
      </c>
      <c r="K99" s="2"/>
    </row>
    <row r="100" spans="1:11" x14ac:dyDescent="0.2">
      <c r="A100" s="147" t="s">
        <v>1626</v>
      </c>
      <c r="B100" s="147"/>
      <c r="C100" s="146"/>
      <c r="D100" s="146">
        <v>500</v>
      </c>
      <c r="E100" s="146"/>
      <c r="F100" s="146"/>
      <c r="G100" s="146"/>
      <c r="H100" s="111"/>
      <c r="I100" s="111"/>
      <c r="J100" s="111"/>
      <c r="K100" s="2"/>
    </row>
    <row r="101" spans="1:11" x14ac:dyDescent="0.2">
      <c r="A101" s="147"/>
      <c r="B101" s="147"/>
      <c r="C101" s="146"/>
      <c r="D101" s="194"/>
      <c r="E101" s="146"/>
      <c r="F101" s="146"/>
      <c r="G101" s="146"/>
      <c r="H101" s="111"/>
      <c r="I101" s="111"/>
      <c r="J101" s="111"/>
      <c r="K101" s="2"/>
    </row>
    <row r="102" spans="1:11" ht="13.5" x14ac:dyDescent="0.25">
      <c r="A102" s="144" t="s">
        <v>1183</v>
      </c>
      <c r="B102" s="147"/>
      <c r="C102" s="146"/>
      <c r="D102" s="146" t="s">
        <v>338</v>
      </c>
      <c r="E102" s="146">
        <v>14810</v>
      </c>
      <c r="F102" s="146">
        <v>15150</v>
      </c>
      <c r="G102" s="146">
        <f>D103</f>
        <v>15150</v>
      </c>
      <c r="H102" s="111">
        <v>15150</v>
      </c>
      <c r="I102" s="111">
        <v>15150</v>
      </c>
      <c r="J102" s="111">
        <v>15150</v>
      </c>
      <c r="K102" s="2"/>
    </row>
    <row r="103" spans="1:11" x14ac:dyDescent="0.2">
      <c r="A103" s="147" t="s">
        <v>1184</v>
      </c>
      <c r="B103" s="147"/>
      <c r="C103" s="146"/>
      <c r="D103" s="146">
        <v>15150</v>
      </c>
      <c r="E103" s="146"/>
      <c r="F103" s="146"/>
      <c r="G103" s="146"/>
      <c r="H103" s="111"/>
      <c r="I103" s="111"/>
      <c r="J103" s="111"/>
      <c r="K103" s="2"/>
    </row>
    <row r="104" spans="1:11" x14ac:dyDescent="0.2">
      <c r="A104" s="147" t="s">
        <v>338</v>
      </c>
      <c r="B104" s="147"/>
      <c r="C104" s="147"/>
      <c r="D104" s="146" t="s">
        <v>338</v>
      </c>
      <c r="E104" s="146"/>
      <c r="F104" s="146"/>
      <c r="G104" s="146"/>
      <c r="H104" s="111"/>
      <c r="I104" s="111"/>
      <c r="J104" s="111"/>
      <c r="K104" s="2"/>
    </row>
    <row r="105" spans="1:11" ht="13.5" x14ac:dyDescent="0.25">
      <c r="A105" s="144" t="s">
        <v>335</v>
      </c>
      <c r="B105" s="147"/>
      <c r="C105" s="147"/>
      <c r="D105" s="146"/>
      <c r="E105" s="146">
        <v>3938</v>
      </c>
      <c r="F105" s="146">
        <v>4500</v>
      </c>
      <c r="G105" s="146">
        <f>D106</f>
        <v>4200</v>
      </c>
      <c r="H105" s="111">
        <v>4200</v>
      </c>
      <c r="I105" s="111">
        <v>4200</v>
      </c>
      <c r="J105" s="111">
        <v>4200</v>
      </c>
      <c r="K105" s="2"/>
    </row>
    <row r="106" spans="1:11" x14ac:dyDescent="0.2">
      <c r="A106" s="147" t="s">
        <v>1184</v>
      </c>
      <c r="B106" s="147"/>
      <c r="C106" s="147"/>
      <c r="D106" s="146">
        <v>4200</v>
      </c>
      <c r="E106" s="146"/>
      <c r="F106" s="146"/>
      <c r="G106" s="146"/>
      <c r="H106" s="111"/>
      <c r="I106" s="111"/>
      <c r="J106" s="111"/>
      <c r="K106" s="2"/>
    </row>
    <row r="107" spans="1:11" x14ac:dyDescent="0.2">
      <c r="A107" s="147"/>
      <c r="B107" s="147"/>
      <c r="C107" s="147"/>
      <c r="D107" s="146"/>
      <c r="E107" s="146"/>
      <c r="F107" s="146"/>
      <c r="G107" s="146"/>
      <c r="H107" s="111"/>
      <c r="I107" s="111"/>
      <c r="J107" s="111"/>
      <c r="K107" s="2"/>
    </row>
    <row r="108" spans="1:11" ht="13.5" x14ac:dyDescent="0.25">
      <c r="A108" s="144" t="s">
        <v>1013</v>
      </c>
      <c r="B108" s="147"/>
      <c r="C108" s="147"/>
      <c r="D108" s="146"/>
      <c r="E108" s="146">
        <v>1717</v>
      </c>
      <c r="F108" s="146">
        <v>1400</v>
      </c>
      <c r="G108" s="146">
        <f>D109</f>
        <v>1800</v>
      </c>
      <c r="H108" s="111">
        <v>1800</v>
      </c>
      <c r="I108" s="111">
        <v>1800</v>
      </c>
      <c r="J108" s="111">
        <v>1800</v>
      </c>
      <c r="K108" s="2"/>
    </row>
    <row r="109" spans="1:11" x14ac:dyDescent="0.2">
      <c r="A109" s="147" t="s">
        <v>1184</v>
      </c>
      <c r="B109" s="147"/>
      <c r="C109" s="146"/>
      <c r="D109" s="146">
        <v>1800</v>
      </c>
      <c r="E109" s="146"/>
      <c r="F109" s="146"/>
      <c r="G109" s="146"/>
      <c r="H109" s="111"/>
      <c r="I109" s="111"/>
      <c r="J109" s="111"/>
      <c r="K109" s="2"/>
    </row>
    <row r="110" spans="1:11" x14ac:dyDescent="0.2">
      <c r="A110" s="147"/>
      <c r="B110" s="147"/>
      <c r="C110" s="146"/>
      <c r="D110" s="146"/>
      <c r="E110" s="146"/>
      <c r="F110" s="146"/>
      <c r="G110" s="146"/>
      <c r="H110" s="111"/>
      <c r="I110" s="111"/>
      <c r="J110" s="111"/>
      <c r="K110" s="2"/>
    </row>
    <row r="111" spans="1:11" ht="13.5" x14ac:dyDescent="0.25">
      <c r="A111" s="144" t="s">
        <v>1014</v>
      </c>
      <c r="B111" s="147"/>
      <c r="C111" s="146"/>
      <c r="D111" s="146"/>
      <c r="E111" s="146">
        <v>296</v>
      </c>
      <c r="F111" s="146">
        <v>304</v>
      </c>
      <c r="G111" s="146">
        <f>D112</f>
        <v>340</v>
      </c>
      <c r="H111" s="111">
        <v>340</v>
      </c>
      <c r="I111" s="111">
        <v>340</v>
      </c>
      <c r="J111" s="111">
        <v>340</v>
      </c>
      <c r="K111" s="2"/>
    </row>
    <row r="112" spans="1:11" x14ac:dyDescent="0.2">
      <c r="A112" s="147" t="s">
        <v>1184</v>
      </c>
      <c r="B112" s="147"/>
      <c r="C112" s="146"/>
      <c r="D112" s="146">
        <v>340</v>
      </c>
      <c r="E112" s="146"/>
      <c r="F112" s="146"/>
      <c r="G112" s="146"/>
      <c r="H112" s="111"/>
      <c r="I112" s="111"/>
      <c r="J112" s="111"/>
      <c r="K112" s="2"/>
    </row>
    <row r="113" spans="1:11" x14ac:dyDescent="0.2">
      <c r="A113" s="147"/>
      <c r="B113" s="147"/>
      <c r="C113" s="146"/>
      <c r="D113" s="146"/>
      <c r="E113" s="146"/>
      <c r="F113" s="146"/>
      <c r="G113" s="146"/>
      <c r="H113" s="111"/>
      <c r="I113" s="111"/>
      <c r="J113" s="111"/>
      <c r="K113" s="2"/>
    </row>
    <row r="114" spans="1:11" ht="13.5" x14ac:dyDescent="0.25">
      <c r="A114" s="144" t="s">
        <v>1486</v>
      </c>
      <c r="B114" s="147"/>
      <c r="C114" s="146"/>
      <c r="D114" s="146"/>
      <c r="E114" s="146">
        <v>5987</v>
      </c>
      <c r="F114" s="146">
        <v>5825</v>
      </c>
      <c r="G114" s="146">
        <f>D121</f>
        <v>6000</v>
      </c>
      <c r="H114" s="111">
        <v>6000</v>
      </c>
      <c r="I114" s="111">
        <v>6000</v>
      </c>
      <c r="J114" s="111">
        <v>6000</v>
      </c>
      <c r="K114" s="2"/>
    </row>
    <row r="115" spans="1:11" x14ac:dyDescent="0.2">
      <c r="A115" s="155" t="s">
        <v>1487</v>
      </c>
      <c r="B115" s="147"/>
      <c r="C115" s="146"/>
      <c r="D115" s="283"/>
      <c r="E115" s="146"/>
      <c r="F115" s="146"/>
      <c r="G115" s="146"/>
      <c r="H115" s="111"/>
      <c r="I115" s="111"/>
      <c r="J115" s="111"/>
      <c r="K115" s="2"/>
    </row>
    <row r="116" spans="1:11" x14ac:dyDescent="0.2">
      <c r="A116" s="147" t="s">
        <v>1557</v>
      </c>
      <c r="B116" s="147"/>
      <c r="C116" s="146"/>
      <c r="D116" s="146">
        <v>3375</v>
      </c>
      <c r="E116" s="146"/>
      <c r="F116" s="146"/>
      <c r="G116" s="146"/>
      <c r="H116" s="111"/>
      <c r="I116" s="111"/>
      <c r="J116" s="111"/>
      <c r="K116" s="2"/>
    </row>
    <row r="117" spans="1:11" x14ac:dyDescent="0.2">
      <c r="A117" s="155" t="s">
        <v>1488</v>
      </c>
      <c r="B117" s="147"/>
      <c r="C117" s="146"/>
      <c r="D117" s="146">
        <v>749</v>
      </c>
      <c r="E117" s="146"/>
      <c r="F117" s="146"/>
      <c r="G117" s="146"/>
      <c r="H117" s="111"/>
      <c r="I117" s="111"/>
      <c r="J117" s="111"/>
      <c r="K117" s="2"/>
    </row>
    <row r="118" spans="1:11" x14ac:dyDescent="0.2">
      <c r="A118" s="147" t="s">
        <v>920</v>
      </c>
      <c r="B118" s="147"/>
      <c r="C118" s="146"/>
      <c r="D118" s="146">
        <v>736</v>
      </c>
      <c r="E118" s="146"/>
      <c r="F118" s="146"/>
      <c r="G118" s="146"/>
      <c r="H118" s="111"/>
      <c r="I118" s="111"/>
      <c r="J118" s="111"/>
      <c r="K118" s="2"/>
    </row>
    <row r="119" spans="1:11" x14ac:dyDescent="0.2">
      <c r="A119" s="147" t="s">
        <v>1147</v>
      </c>
      <c r="B119" s="147"/>
      <c r="C119" s="146"/>
      <c r="D119" s="146">
        <v>417</v>
      </c>
      <c r="E119" s="146"/>
      <c r="F119" s="146"/>
      <c r="G119" s="146"/>
      <c r="H119" s="111"/>
      <c r="I119" s="111"/>
      <c r="J119" s="111"/>
      <c r="K119" s="2"/>
    </row>
    <row r="120" spans="1:11" ht="15" x14ac:dyDescent="0.35">
      <c r="A120" s="147" t="s">
        <v>1489</v>
      </c>
      <c r="B120" s="147"/>
      <c r="C120" s="150"/>
      <c r="D120" s="150">
        <v>723</v>
      </c>
      <c r="E120" s="146"/>
      <c r="F120" s="146"/>
      <c r="G120" s="146"/>
      <c r="H120" s="111"/>
      <c r="I120" s="111"/>
      <c r="J120" s="111"/>
      <c r="K120" s="2"/>
    </row>
    <row r="121" spans="1:11" x14ac:dyDescent="0.2">
      <c r="A121" s="147" t="s">
        <v>1067</v>
      </c>
      <c r="B121" s="147"/>
      <c r="C121" s="146"/>
      <c r="D121" s="146">
        <f>SUM(D116:D120)</f>
        <v>6000</v>
      </c>
      <c r="E121" s="146"/>
      <c r="F121" s="146"/>
      <c r="G121" s="146"/>
      <c r="H121" s="111"/>
      <c r="I121" s="111"/>
      <c r="J121" s="111"/>
      <c r="K121" s="2"/>
    </row>
    <row r="122" spans="1:11" x14ac:dyDescent="0.2">
      <c r="A122" s="147"/>
      <c r="B122" s="147"/>
      <c r="C122" s="146"/>
      <c r="D122" s="146"/>
      <c r="E122" s="146"/>
      <c r="F122" s="146"/>
      <c r="G122" s="146"/>
      <c r="H122" s="111"/>
      <c r="I122" s="111"/>
      <c r="J122" s="111"/>
      <c r="K122" s="2"/>
    </row>
    <row r="123" spans="1:11" ht="13.5" x14ac:dyDescent="0.25">
      <c r="A123" s="144" t="s">
        <v>1086</v>
      </c>
      <c r="B123" s="147"/>
      <c r="C123" s="146"/>
      <c r="D123" s="146"/>
      <c r="E123" s="146">
        <v>1208</v>
      </c>
      <c r="F123" s="146">
        <v>1800</v>
      </c>
      <c r="G123" s="146">
        <f>D129</f>
        <v>1800</v>
      </c>
      <c r="H123" s="111">
        <v>1800</v>
      </c>
      <c r="I123" s="111">
        <v>1800</v>
      </c>
      <c r="J123" s="111">
        <v>1800</v>
      </c>
      <c r="K123" s="2"/>
    </row>
    <row r="124" spans="1:11" x14ac:dyDescent="0.2">
      <c r="A124" s="147" t="s">
        <v>1087</v>
      </c>
      <c r="B124" s="147"/>
      <c r="C124" s="146"/>
      <c r="D124" s="146">
        <v>400</v>
      </c>
      <c r="E124" s="146"/>
      <c r="F124" s="146"/>
      <c r="G124" s="146"/>
      <c r="H124" s="111"/>
      <c r="I124" s="111"/>
      <c r="J124" s="111"/>
      <c r="K124" s="2"/>
    </row>
    <row r="125" spans="1:11" x14ac:dyDescent="0.2">
      <c r="A125" s="147" t="s">
        <v>1088</v>
      </c>
      <c r="B125" s="147"/>
      <c r="C125" s="146"/>
      <c r="D125" s="146">
        <v>360</v>
      </c>
      <c r="E125" s="146"/>
      <c r="F125" s="146"/>
      <c r="G125" s="146"/>
      <c r="H125" s="111"/>
      <c r="I125" s="111"/>
      <c r="J125" s="111"/>
      <c r="K125" s="2"/>
    </row>
    <row r="126" spans="1:11" x14ac:dyDescent="0.2">
      <c r="A126" s="147" t="s">
        <v>1089</v>
      </c>
      <c r="B126" s="147"/>
      <c r="C126" s="146"/>
      <c r="D126" s="146">
        <f>710+50</f>
        <v>760</v>
      </c>
      <c r="E126" s="146"/>
      <c r="F126" s="146"/>
      <c r="G126" s="146"/>
      <c r="H126" s="111"/>
      <c r="I126" s="111"/>
      <c r="J126" s="111"/>
      <c r="K126" s="2"/>
    </row>
    <row r="127" spans="1:11" x14ac:dyDescent="0.2">
      <c r="A127" s="147" t="s">
        <v>852</v>
      </c>
      <c r="B127" s="147"/>
      <c r="C127" s="146"/>
      <c r="D127" s="146">
        <v>100</v>
      </c>
      <c r="E127" s="146"/>
      <c r="F127" s="146"/>
      <c r="G127" s="146"/>
      <c r="H127" s="111"/>
      <c r="I127" s="111"/>
      <c r="J127" s="111"/>
      <c r="K127" s="2"/>
    </row>
    <row r="128" spans="1:11" ht="15" x14ac:dyDescent="0.35">
      <c r="A128" s="147" t="s">
        <v>1779</v>
      </c>
      <c r="B128" s="147"/>
      <c r="C128" s="146"/>
      <c r="D128" s="150">
        <v>180</v>
      </c>
      <c r="E128" s="146"/>
      <c r="F128" s="146"/>
      <c r="G128" s="146"/>
      <c r="H128" s="111"/>
      <c r="I128" s="111"/>
      <c r="J128" s="111"/>
      <c r="K128" s="2"/>
    </row>
    <row r="129" spans="1:11" x14ac:dyDescent="0.2">
      <c r="A129" s="147" t="s">
        <v>1067</v>
      </c>
      <c r="B129" s="147"/>
      <c r="C129" s="146"/>
      <c r="D129" s="146">
        <f>SUM(D124:D128)</f>
        <v>1800</v>
      </c>
      <c r="E129" s="146"/>
      <c r="F129" s="146"/>
      <c r="G129" s="146"/>
      <c r="H129" s="111"/>
      <c r="I129" s="111"/>
      <c r="J129" s="111"/>
      <c r="K129" s="2"/>
    </row>
    <row r="130" spans="1:11" x14ac:dyDescent="0.2">
      <c r="A130" s="147" t="s">
        <v>338</v>
      </c>
      <c r="B130" s="146" t="s">
        <v>338</v>
      </c>
      <c r="C130" s="146"/>
      <c r="D130" s="146" t="s">
        <v>338</v>
      </c>
      <c r="E130" s="146"/>
      <c r="F130" s="146"/>
      <c r="G130" s="146"/>
      <c r="H130" s="111"/>
      <c r="I130" s="111"/>
      <c r="J130" s="111"/>
      <c r="K130" s="2"/>
    </row>
    <row r="131" spans="1:11" ht="13.5" x14ac:dyDescent="0.25">
      <c r="A131" s="158" t="s">
        <v>431</v>
      </c>
      <c r="B131" s="147"/>
      <c r="C131" s="146"/>
      <c r="D131" s="146"/>
      <c r="E131" s="146">
        <v>8158</v>
      </c>
      <c r="F131" s="146">
        <v>9500</v>
      </c>
      <c r="G131" s="146">
        <f>D132</f>
        <v>9975</v>
      </c>
      <c r="H131" s="111">
        <v>9975</v>
      </c>
      <c r="I131" s="111">
        <v>9975</v>
      </c>
      <c r="J131" s="111">
        <v>9975</v>
      </c>
      <c r="K131" s="2"/>
    </row>
    <row r="132" spans="1:11" x14ac:dyDescent="0.2">
      <c r="A132" s="147" t="s">
        <v>1268</v>
      </c>
      <c r="B132" s="147"/>
      <c r="C132" s="146"/>
      <c r="D132" s="146">
        <v>9975</v>
      </c>
      <c r="E132" s="146"/>
      <c r="F132" s="146"/>
      <c r="G132" s="146"/>
      <c r="H132" s="111"/>
      <c r="I132" s="111"/>
      <c r="J132" s="111"/>
      <c r="K132" s="2"/>
    </row>
    <row r="133" spans="1:11" x14ac:dyDescent="0.2">
      <c r="A133" s="147"/>
      <c r="B133" s="147"/>
      <c r="C133" s="146"/>
      <c r="D133" s="146"/>
      <c r="E133" s="146"/>
      <c r="F133" s="146"/>
      <c r="G133" s="146"/>
      <c r="H133" s="111"/>
      <c r="I133" s="111"/>
      <c r="J133" s="111"/>
      <c r="K133" s="2"/>
    </row>
    <row r="134" spans="1:11" ht="13.5" x14ac:dyDescent="0.25">
      <c r="A134" s="144" t="s">
        <v>1026</v>
      </c>
      <c r="B134" s="147"/>
      <c r="C134" s="146"/>
      <c r="D134" s="146"/>
      <c r="E134" s="146">
        <v>1748</v>
      </c>
      <c r="F134" s="146">
        <v>2400</v>
      </c>
      <c r="G134" s="146">
        <f>D137</f>
        <v>2400</v>
      </c>
      <c r="H134" s="111">
        <v>2400</v>
      </c>
      <c r="I134" s="111">
        <v>2400</v>
      </c>
      <c r="J134" s="111">
        <v>2400</v>
      </c>
      <c r="K134" s="2"/>
    </row>
    <row r="135" spans="1:11" x14ac:dyDescent="0.2">
      <c r="A135" s="147" t="s">
        <v>1372</v>
      </c>
      <c r="B135" s="147"/>
      <c r="C135" s="146"/>
      <c r="D135" s="146">
        <v>1200</v>
      </c>
      <c r="E135" s="146"/>
      <c r="F135" s="146"/>
      <c r="G135" s="146"/>
      <c r="H135" s="111"/>
      <c r="I135" s="111"/>
      <c r="J135" s="111"/>
      <c r="K135" s="2"/>
    </row>
    <row r="136" spans="1:11" ht="15" x14ac:dyDescent="0.35">
      <c r="A136" s="147" t="s">
        <v>1373</v>
      </c>
      <c r="B136" s="147"/>
      <c r="C136" s="150"/>
      <c r="D136" s="150">
        <v>1200</v>
      </c>
      <c r="E136" s="146"/>
      <c r="F136" s="146"/>
      <c r="G136" s="146"/>
      <c r="H136" s="111"/>
      <c r="I136" s="111"/>
      <c r="J136" s="111"/>
      <c r="K136" s="2"/>
    </row>
    <row r="137" spans="1:11" x14ac:dyDescent="0.2">
      <c r="A137" s="147" t="s">
        <v>216</v>
      </c>
      <c r="B137" s="147"/>
      <c r="C137" s="146"/>
      <c r="D137" s="146">
        <f>SUM(D135:D136)</f>
        <v>2400</v>
      </c>
      <c r="E137" s="146"/>
      <c r="F137" s="146"/>
      <c r="G137" s="146"/>
      <c r="H137" s="111"/>
      <c r="I137" s="111"/>
      <c r="J137" s="111"/>
      <c r="K137" s="2"/>
    </row>
    <row r="138" spans="1:11" x14ac:dyDescent="0.2">
      <c r="A138" s="147"/>
      <c r="B138" s="147"/>
      <c r="C138" s="146"/>
      <c r="D138" s="146"/>
      <c r="E138" s="146"/>
      <c r="F138" s="146"/>
      <c r="G138" s="146"/>
      <c r="H138" s="111"/>
      <c r="I138" s="111"/>
      <c r="J138" s="111"/>
      <c r="K138" s="2"/>
    </row>
    <row r="139" spans="1:11" ht="13.5" x14ac:dyDescent="0.25">
      <c r="A139" s="144" t="s">
        <v>365</v>
      </c>
      <c r="B139" s="147"/>
      <c r="C139" s="146"/>
      <c r="D139" s="146"/>
      <c r="E139" s="146">
        <v>40014</v>
      </c>
      <c r="F139" s="146">
        <v>22251</v>
      </c>
      <c r="G139" s="146">
        <f>D153</f>
        <v>23526</v>
      </c>
      <c r="H139" s="111">
        <v>23526</v>
      </c>
      <c r="I139" s="111">
        <v>23526</v>
      </c>
      <c r="J139" s="111">
        <v>23526</v>
      </c>
      <c r="K139" s="2"/>
    </row>
    <row r="140" spans="1:11" x14ac:dyDescent="0.2">
      <c r="A140" s="147" t="s">
        <v>236</v>
      </c>
      <c r="B140" s="147"/>
      <c r="C140" s="146"/>
      <c r="D140" s="146">
        <v>2500</v>
      </c>
      <c r="E140" s="146"/>
      <c r="F140" s="146"/>
      <c r="G140" s="146"/>
      <c r="H140" s="111"/>
      <c r="I140" s="111"/>
      <c r="J140" s="111"/>
      <c r="K140" s="2"/>
    </row>
    <row r="141" spans="1:11" x14ac:dyDescent="0.2">
      <c r="A141" s="147" t="s">
        <v>366</v>
      </c>
      <c r="B141" s="147"/>
      <c r="C141" s="146"/>
      <c r="D141" s="146">
        <v>1724</v>
      </c>
      <c r="E141" s="146"/>
      <c r="F141" s="146"/>
      <c r="G141" s="146"/>
      <c r="H141" s="111"/>
      <c r="I141" s="111"/>
      <c r="J141" s="111"/>
      <c r="K141" s="2"/>
    </row>
    <row r="142" spans="1:11" x14ac:dyDescent="0.2">
      <c r="A142" s="147" t="s">
        <v>367</v>
      </c>
      <c r="B142" s="147"/>
      <c r="C142" s="146"/>
      <c r="D142" s="146">
        <v>2600</v>
      </c>
      <c r="E142" s="146"/>
      <c r="F142" s="146"/>
      <c r="G142" s="146"/>
      <c r="H142" s="111"/>
      <c r="I142" s="111"/>
      <c r="J142" s="111"/>
      <c r="K142" s="2"/>
    </row>
    <row r="143" spans="1:11" x14ac:dyDescent="0.2">
      <c r="A143" s="147" t="s">
        <v>545</v>
      </c>
      <c r="B143" s="147"/>
      <c r="C143" s="146"/>
      <c r="D143" s="146">
        <v>3400</v>
      </c>
      <c r="E143" s="146"/>
      <c r="F143" s="146"/>
      <c r="G143" s="146"/>
      <c r="H143" s="111"/>
      <c r="I143" s="111"/>
      <c r="J143" s="111"/>
      <c r="K143" s="2"/>
    </row>
    <row r="144" spans="1:11" x14ac:dyDescent="0.2">
      <c r="A144" s="147" t="s">
        <v>661</v>
      </c>
      <c r="B144" s="147"/>
      <c r="C144" s="146"/>
      <c r="D144" s="146">
        <v>2000</v>
      </c>
      <c r="E144" s="146"/>
      <c r="F144" s="146"/>
      <c r="G144" s="146"/>
      <c r="H144" s="111"/>
      <c r="I144" s="111"/>
      <c r="J144" s="111"/>
      <c r="K144" s="2"/>
    </row>
    <row r="145" spans="1:11" x14ac:dyDescent="0.2">
      <c r="A145" s="147" t="s">
        <v>2165</v>
      </c>
      <c r="B145" s="147"/>
      <c r="C145" s="146"/>
      <c r="D145" s="146">
        <v>750</v>
      </c>
      <c r="E145" s="146"/>
      <c r="F145" s="146"/>
      <c r="G145" s="146"/>
      <c r="H145" s="111"/>
      <c r="I145" s="111"/>
      <c r="J145" s="111"/>
      <c r="K145" s="2"/>
    </row>
    <row r="146" spans="1:11" x14ac:dyDescent="0.2">
      <c r="A146" s="147" t="s">
        <v>1081</v>
      </c>
      <c r="B146" s="147"/>
      <c r="C146" s="146"/>
      <c r="D146" s="146">
        <v>2000</v>
      </c>
      <c r="E146" s="146"/>
      <c r="F146" s="146"/>
      <c r="G146" s="146"/>
      <c r="H146" s="111"/>
      <c r="I146" s="111"/>
      <c r="J146" s="111"/>
      <c r="K146" s="2"/>
    </row>
    <row r="147" spans="1:11" x14ac:dyDescent="0.2">
      <c r="A147" s="147" t="s">
        <v>240</v>
      </c>
      <c r="B147" s="147"/>
      <c r="C147" s="146"/>
      <c r="D147" s="146">
        <v>360</v>
      </c>
      <c r="E147" s="146"/>
      <c r="F147" s="146"/>
      <c r="G147" s="146"/>
      <c r="H147" s="111"/>
      <c r="I147" s="111"/>
      <c r="J147" s="111"/>
      <c r="K147" s="2"/>
    </row>
    <row r="148" spans="1:11" x14ac:dyDescent="0.2">
      <c r="A148" s="147" t="s">
        <v>345</v>
      </c>
      <c r="B148" s="147"/>
      <c r="C148" s="146"/>
      <c r="D148" s="146">
        <v>1600</v>
      </c>
      <c r="E148" s="146"/>
      <c r="F148" s="146"/>
      <c r="G148" s="146"/>
      <c r="H148" s="111"/>
      <c r="I148" s="111"/>
      <c r="J148" s="111"/>
      <c r="K148" s="2"/>
    </row>
    <row r="149" spans="1:11" x14ac:dyDescent="0.2">
      <c r="A149" s="147" t="s">
        <v>241</v>
      </c>
      <c r="B149" s="147"/>
      <c r="C149" s="146"/>
      <c r="D149" s="146">
        <v>1200</v>
      </c>
      <c r="E149" s="146"/>
      <c r="F149" s="146"/>
      <c r="G149" s="146"/>
      <c r="H149" s="111"/>
      <c r="I149" s="111"/>
      <c r="J149" s="111"/>
      <c r="K149" s="2"/>
    </row>
    <row r="150" spans="1:11" x14ac:dyDescent="0.2">
      <c r="A150" s="147" t="s">
        <v>289</v>
      </c>
      <c r="B150" s="147"/>
      <c r="C150" s="146"/>
      <c r="D150" s="146">
        <v>500</v>
      </c>
      <c r="E150" s="146"/>
      <c r="F150" s="146"/>
      <c r="G150" s="146"/>
      <c r="H150" s="111"/>
      <c r="I150" s="111"/>
      <c r="J150" s="111"/>
      <c r="K150" s="2"/>
    </row>
    <row r="151" spans="1:11" ht="15" x14ac:dyDescent="0.35">
      <c r="A151" s="147" t="s">
        <v>242</v>
      </c>
      <c r="B151" s="147"/>
      <c r="C151" s="150"/>
      <c r="D151" s="146">
        <f>237+1255</f>
        <v>1492</v>
      </c>
      <c r="E151" s="146"/>
      <c r="F151" s="146"/>
      <c r="G151" s="146"/>
      <c r="H151" s="111"/>
      <c r="I151" s="111"/>
      <c r="J151" s="111"/>
      <c r="K151" s="2"/>
    </row>
    <row r="152" spans="1:11" ht="15" x14ac:dyDescent="0.35">
      <c r="A152" s="147" t="s">
        <v>2070</v>
      </c>
      <c r="B152" s="147"/>
      <c r="C152" s="150"/>
      <c r="D152" s="150">
        <v>3400</v>
      </c>
      <c r="E152" s="146"/>
      <c r="F152" s="146"/>
      <c r="G152" s="146"/>
      <c r="H152" s="111"/>
      <c r="I152" s="111"/>
      <c r="J152" s="111"/>
      <c r="K152" s="2"/>
    </row>
    <row r="153" spans="1:11" x14ac:dyDescent="0.2">
      <c r="A153" s="147" t="s">
        <v>1067</v>
      </c>
      <c r="B153" s="147"/>
      <c r="C153" s="146"/>
      <c r="D153" s="146">
        <f>SUM(D140:E152)</f>
        <v>23526</v>
      </c>
      <c r="E153" s="146"/>
      <c r="F153" s="146"/>
      <c r="G153" s="146"/>
      <c r="H153" s="111"/>
      <c r="I153" s="111"/>
      <c r="J153" s="111"/>
      <c r="K153" s="2"/>
    </row>
    <row r="154" spans="1:11" x14ac:dyDescent="0.2">
      <c r="A154" s="147"/>
      <c r="B154" s="147"/>
      <c r="C154" s="146"/>
      <c r="D154" s="146"/>
      <c r="E154" s="146"/>
      <c r="F154" s="146"/>
      <c r="G154" s="146"/>
      <c r="H154" s="111"/>
      <c r="I154" s="111"/>
      <c r="J154" s="111"/>
      <c r="K154" s="2"/>
    </row>
    <row r="155" spans="1:11" ht="13.5" x14ac:dyDescent="0.25">
      <c r="A155" s="144" t="s">
        <v>102</v>
      </c>
      <c r="B155" s="147"/>
      <c r="C155" s="146"/>
      <c r="D155" s="146"/>
      <c r="E155" s="146">
        <v>910</v>
      </c>
      <c r="F155" s="146">
        <v>450</v>
      </c>
      <c r="G155" s="146">
        <v>450</v>
      </c>
      <c r="H155" s="111">
        <v>450</v>
      </c>
      <c r="I155" s="111">
        <v>450</v>
      </c>
      <c r="J155" s="111">
        <v>450</v>
      </c>
      <c r="K155" s="2"/>
    </row>
    <row r="156" spans="1:11" x14ac:dyDescent="0.2">
      <c r="A156" s="147" t="s">
        <v>871</v>
      </c>
      <c r="B156" s="147"/>
      <c r="C156" s="146"/>
      <c r="D156" s="146">
        <v>400</v>
      </c>
      <c r="E156" s="146"/>
      <c r="F156" s="146"/>
      <c r="G156" s="146"/>
      <c r="H156" s="111"/>
      <c r="I156" s="111"/>
      <c r="J156" s="111"/>
      <c r="K156" s="2"/>
    </row>
    <row r="157" spans="1:11" ht="15" x14ac:dyDescent="0.35">
      <c r="A157" s="147" t="s">
        <v>896</v>
      </c>
      <c r="B157" s="147"/>
      <c r="C157" s="150"/>
      <c r="D157" s="150">
        <v>50</v>
      </c>
      <c r="E157" s="146"/>
      <c r="F157" s="146"/>
      <c r="G157" s="146"/>
      <c r="H157" s="111"/>
      <c r="I157" s="111"/>
      <c r="J157" s="111"/>
      <c r="K157" s="2"/>
    </row>
    <row r="158" spans="1:11" x14ac:dyDescent="0.2">
      <c r="A158" s="147" t="s">
        <v>1067</v>
      </c>
      <c r="B158" s="147"/>
      <c r="C158" s="146"/>
      <c r="D158" s="146">
        <f>SUM(D156:D157)</f>
        <v>450</v>
      </c>
      <c r="E158" s="146"/>
      <c r="F158" s="146"/>
      <c r="G158" s="146"/>
      <c r="H158" s="111"/>
      <c r="I158" s="111"/>
      <c r="J158" s="111"/>
      <c r="K158" s="2"/>
    </row>
    <row r="159" spans="1:11" x14ac:dyDescent="0.2">
      <c r="A159" s="147"/>
      <c r="B159" s="147"/>
      <c r="C159" s="146"/>
      <c r="D159" s="146"/>
      <c r="E159" s="146"/>
      <c r="F159" s="146"/>
      <c r="G159" s="146"/>
      <c r="H159" s="111"/>
      <c r="I159" s="111"/>
      <c r="J159" s="111"/>
      <c r="K159" s="2"/>
    </row>
    <row r="160" spans="1:11" ht="13.5" x14ac:dyDescent="0.25">
      <c r="A160" s="144" t="s">
        <v>355</v>
      </c>
      <c r="B160" s="147"/>
      <c r="C160" s="146"/>
      <c r="D160" s="146"/>
      <c r="E160" s="146">
        <v>1590</v>
      </c>
      <c r="F160" s="146">
        <v>2000</v>
      </c>
      <c r="G160" s="146">
        <f>D161</f>
        <v>2000</v>
      </c>
      <c r="H160" s="111">
        <v>2000</v>
      </c>
      <c r="I160" s="111">
        <v>2000</v>
      </c>
      <c r="J160" s="111">
        <v>2000</v>
      </c>
      <c r="K160" s="2"/>
    </row>
    <row r="161" spans="1:11" x14ac:dyDescent="0.2">
      <c r="A161" s="147" t="s">
        <v>1315</v>
      </c>
      <c r="B161" s="147"/>
      <c r="C161" s="146"/>
      <c r="D161" s="146">
        <v>2000</v>
      </c>
      <c r="E161" s="146"/>
      <c r="F161" s="146"/>
      <c r="G161" s="146"/>
      <c r="H161" s="111"/>
      <c r="I161" s="111"/>
      <c r="J161" s="111"/>
      <c r="K161" s="2"/>
    </row>
    <row r="162" spans="1:11" x14ac:dyDescent="0.2">
      <c r="A162" s="147"/>
      <c r="B162" s="147"/>
      <c r="C162" s="146"/>
      <c r="D162" s="146"/>
      <c r="E162" s="146"/>
      <c r="F162" s="146"/>
      <c r="G162" s="146"/>
      <c r="H162" s="111"/>
      <c r="I162" s="111"/>
      <c r="J162" s="111"/>
      <c r="K162" s="2"/>
    </row>
    <row r="163" spans="1:11" ht="13.5" x14ac:dyDescent="0.25">
      <c r="A163" s="144" t="s">
        <v>646</v>
      </c>
      <c r="B163" s="147"/>
      <c r="C163" s="146"/>
      <c r="D163" s="146"/>
      <c r="E163" s="146">
        <v>53840</v>
      </c>
      <c r="F163" s="146">
        <v>47290</v>
      </c>
      <c r="G163" s="146">
        <f>D170</f>
        <v>51370</v>
      </c>
      <c r="H163" s="111">
        <v>51370</v>
      </c>
      <c r="I163" s="111">
        <v>51370</v>
      </c>
      <c r="J163" s="111">
        <v>51370</v>
      </c>
      <c r="K163" s="2"/>
    </row>
    <row r="164" spans="1:11" x14ac:dyDescent="0.2">
      <c r="A164" s="147" t="s">
        <v>1329</v>
      </c>
      <c r="B164" s="147"/>
      <c r="C164" s="146"/>
      <c r="D164" s="146">
        <v>3000</v>
      </c>
      <c r="E164" s="146"/>
      <c r="F164" s="146"/>
      <c r="G164" s="146"/>
      <c r="H164" s="111"/>
      <c r="I164" s="111"/>
      <c r="J164" s="111"/>
      <c r="K164" s="2"/>
    </row>
    <row r="165" spans="1:11" x14ac:dyDescent="0.2">
      <c r="A165" s="147" t="s">
        <v>1627</v>
      </c>
      <c r="B165" s="147"/>
      <c r="C165" s="146"/>
      <c r="D165" s="146">
        <v>720</v>
      </c>
      <c r="E165" s="146"/>
      <c r="F165" s="146"/>
      <c r="G165" s="146"/>
      <c r="H165" s="111"/>
      <c r="I165" s="111"/>
      <c r="J165" s="111"/>
      <c r="K165" s="2"/>
    </row>
    <row r="166" spans="1:11" x14ac:dyDescent="0.2">
      <c r="A166" s="147" t="s">
        <v>1628</v>
      </c>
      <c r="B166" s="147"/>
      <c r="C166" s="146"/>
      <c r="D166" s="146">
        <v>2370</v>
      </c>
      <c r="E166" s="146"/>
      <c r="F166" s="146"/>
      <c r="G166" s="146"/>
      <c r="H166" s="111"/>
      <c r="I166" s="111"/>
      <c r="J166" s="111"/>
      <c r="K166" s="2"/>
    </row>
    <row r="167" spans="1:11" x14ac:dyDescent="0.2">
      <c r="A167" s="147" t="s">
        <v>553</v>
      </c>
      <c r="B167" s="147"/>
      <c r="C167" s="146"/>
      <c r="D167" s="146">
        <v>3000</v>
      </c>
      <c r="E167" s="146"/>
      <c r="F167" s="146"/>
      <c r="G167" s="146"/>
      <c r="H167" s="111"/>
      <c r="I167" s="111"/>
      <c r="J167" s="111"/>
      <c r="K167" s="2"/>
    </row>
    <row r="168" spans="1:11" x14ac:dyDescent="0.2">
      <c r="A168" s="147" t="s">
        <v>1629</v>
      </c>
      <c r="B168" s="147"/>
      <c r="C168" s="146"/>
      <c r="D168" s="146">
        <v>3000</v>
      </c>
      <c r="E168" s="146"/>
      <c r="F168" s="146"/>
      <c r="G168" s="146"/>
      <c r="H168" s="111"/>
      <c r="I168" s="111"/>
      <c r="J168" s="111"/>
      <c r="K168" s="2"/>
    </row>
    <row r="169" spans="1:11" ht="15" x14ac:dyDescent="0.35">
      <c r="A169" s="159" t="s">
        <v>1330</v>
      </c>
      <c r="B169" s="147"/>
      <c r="C169" s="150"/>
      <c r="D169" s="302">
        <v>39280</v>
      </c>
      <c r="E169" s="146"/>
      <c r="F169" s="160"/>
      <c r="G169" s="160"/>
      <c r="H169" s="111"/>
      <c r="I169" s="111"/>
      <c r="J169" s="111"/>
      <c r="K169" s="2"/>
    </row>
    <row r="170" spans="1:11" x14ac:dyDescent="0.2">
      <c r="A170" s="147" t="s">
        <v>1067</v>
      </c>
      <c r="B170" s="147"/>
      <c r="C170" s="146"/>
      <c r="D170" s="146">
        <f>SUM(D164:D169)</f>
        <v>51370</v>
      </c>
      <c r="E170" s="146"/>
      <c r="F170" s="146"/>
      <c r="G170" s="146"/>
      <c r="H170" s="111"/>
      <c r="I170" s="111"/>
      <c r="J170" s="111"/>
      <c r="K170" s="2"/>
    </row>
    <row r="171" spans="1:11" x14ac:dyDescent="0.2">
      <c r="A171" s="147"/>
      <c r="B171" s="147"/>
      <c r="C171" s="146"/>
      <c r="D171" s="146"/>
      <c r="E171" s="146"/>
      <c r="F171" s="146"/>
      <c r="G171" s="146"/>
      <c r="H171" s="111"/>
      <c r="I171" s="111"/>
      <c r="J171" s="111"/>
      <c r="K171" s="2"/>
    </row>
    <row r="172" spans="1:11" ht="13.5" x14ac:dyDescent="0.25">
      <c r="A172" s="144" t="s">
        <v>134</v>
      </c>
      <c r="B172" s="147"/>
      <c r="C172" s="146"/>
      <c r="D172" s="146"/>
      <c r="E172" s="146">
        <v>15710</v>
      </c>
      <c r="F172" s="146">
        <v>14176</v>
      </c>
      <c r="G172" s="146">
        <f>+D189</f>
        <v>14846</v>
      </c>
      <c r="H172" s="111">
        <v>14846</v>
      </c>
      <c r="I172" s="111">
        <v>14846</v>
      </c>
      <c r="J172" s="111">
        <v>14846</v>
      </c>
      <c r="K172" s="2"/>
    </row>
    <row r="173" spans="1:11" x14ac:dyDescent="0.2">
      <c r="A173" s="154" t="s">
        <v>1695</v>
      </c>
      <c r="B173" s="147"/>
      <c r="C173" s="146"/>
      <c r="D173" s="146">
        <v>120</v>
      </c>
      <c r="E173" s="146"/>
      <c r="F173" s="146"/>
      <c r="G173" s="146"/>
      <c r="H173" s="111"/>
      <c r="I173" s="111"/>
      <c r="J173" s="111"/>
      <c r="K173" s="2"/>
    </row>
    <row r="174" spans="1:11" x14ac:dyDescent="0.2">
      <c r="A174" s="147" t="s">
        <v>135</v>
      </c>
      <c r="B174" s="147"/>
      <c r="C174" s="146"/>
      <c r="D174" s="146">
        <v>150</v>
      </c>
      <c r="E174" s="146"/>
      <c r="F174" s="146"/>
      <c r="G174" s="146"/>
      <c r="H174" s="111"/>
      <c r="I174" s="111"/>
      <c r="J174" s="111"/>
      <c r="K174" s="2"/>
    </row>
    <row r="175" spans="1:11" x14ac:dyDescent="0.2">
      <c r="A175" s="147" t="s">
        <v>1630</v>
      </c>
      <c r="B175" s="147"/>
      <c r="C175" s="146"/>
      <c r="D175" s="146">
        <v>100</v>
      </c>
      <c r="E175" s="146"/>
      <c r="F175" s="146"/>
      <c r="G175" s="146"/>
      <c r="H175" s="111"/>
      <c r="I175" s="111"/>
      <c r="J175" s="111"/>
      <c r="K175" s="2"/>
    </row>
    <row r="176" spans="1:11" x14ac:dyDescent="0.2">
      <c r="A176" s="147" t="s">
        <v>1696</v>
      </c>
      <c r="B176" s="147"/>
      <c r="C176" s="146"/>
      <c r="D176" s="146">
        <v>400</v>
      </c>
      <c r="E176" s="146"/>
      <c r="F176" s="146"/>
      <c r="G176" s="146"/>
      <c r="H176" s="111"/>
      <c r="I176" s="111"/>
      <c r="J176" s="111"/>
      <c r="K176" s="2"/>
    </row>
    <row r="177" spans="1:11" x14ac:dyDescent="0.2">
      <c r="A177" s="147" t="s">
        <v>1331</v>
      </c>
      <c r="B177" s="147"/>
      <c r="C177" s="146"/>
      <c r="D177" s="146">
        <v>490</v>
      </c>
      <c r="E177" s="146"/>
      <c r="F177" s="146"/>
      <c r="G177" s="146"/>
      <c r="H177" s="111"/>
      <c r="I177" s="111"/>
      <c r="J177" s="111"/>
      <c r="K177" s="2"/>
    </row>
    <row r="178" spans="1:11" x14ac:dyDescent="0.2">
      <c r="A178" s="146" t="s">
        <v>1697</v>
      </c>
      <c r="B178" s="147"/>
      <c r="C178" s="146"/>
      <c r="D178" s="194">
        <v>150</v>
      </c>
      <c r="E178" s="146"/>
      <c r="F178" s="194"/>
      <c r="G178" s="194"/>
      <c r="H178" s="111"/>
      <c r="I178" s="111"/>
      <c r="J178" s="111"/>
      <c r="K178" s="2"/>
    </row>
    <row r="179" spans="1:11" x14ac:dyDescent="0.2">
      <c r="A179" s="147" t="s">
        <v>1944</v>
      </c>
      <c r="B179" s="147"/>
      <c r="C179" s="146"/>
      <c r="D179" s="146">
        <v>1020</v>
      </c>
      <c r="E179" s="146"/>
      <c r="F179" s="146"/>
      <c r="G179" s="146"/>
      <c r="H179" s="111"/>
      <c r="I179" s="111"/>
      <c r="J179" s="111"/>
      <c r="K179" s="2"/>
    </row>
    <row r="180" spans="1:11" x14ac:dyDescent="0.2">
      <c r="A180" s="147" t="s">
        <v>1839</v>
      </c>
      <c r="B180" s="147"/>
      <c r="C180" s="146"/>
      <c r="D180" s="146">
        <v>265</v>
      </c>
      <c r="E180" s="146"/>
      <c r="F180" s="146"/>
      <c r="G180" s="146"/>
      <c r="H180" s="111"/>
      <c r="I180" s="111"/>
      <c r="J180" s="111"/>
      <c r="K180" s="2"/>
    </row>
    <row r="181" spans="1:11" x14ac:dyDescent="0.2">
      <c r="A181" s="147" t="s">
        <v>1840</v>
      </c>
      <c r="B181" s="147"/>
      <c r="C181" s="146"/>
      <c r="D181" s="146">
        <v>4600</v>
      </c>
      <c r="E181" s="146"/>
      <c r="F181" s="146"/>
      <c r="G181" s="146"/>
      <c r="H181" s="111"/>
      <c r="I181" s="111"/>
      <c r="J181" s="111"/>
      <c r="K181" s="2"/>
    </row>
    <row r="182" spans="1:11" x14ac:dyDescent="0.2">
      <c r="A182" s="147" t="s">
        <v>601</v>
      </c>
      <c r="B182" s="147"/>
      <c r="C182" s="146"/>
      <c r="D182" s="146">
        <v>750</v>
      </c>
      <c r="E182" s="146"/>
      <c r="F182" s="146"/>
      <c r="G182" s="146"/>
      <c r="H182" s="111"/>
      <c r="I182" s="111"/>
      <c r="J182" s="111"/>
      <c r="K182" s="2"/>
    </row>
    <row r="183" spans="1:11" x14ac:dyDescent="0.2">
      <c r="A183" s="146" t="s">
        <v>1523</v>
      </c>
      <c r="B183" s="147"/>
      <c r="C183" s="146"/>
      <c r="D183" s="194">
        <v>950</v>
      </c>
      <c r="E183" s="146"/>
      <c r="F183" s="194"/>
      <c r="G183" s="194"/>
      <c r="H183" s="111"/>
      <c r="I183" s="111"/>
      <c r="J183" s="111"/>
      <c r="K183" s="2"/>
    </row>
    <row r="184" spans="1:11" x14ac:dyDescent="0.2">
      <c r="A184" s="146" t="s">
        <v>1698</v>
      </c>
      <c r="B184" s="147"/>
      <c r="C184" s="146"/>
      <c r="D184" s="194">
        <v>1400</v>
      </c>
      <c r="E184" s="146"/>
      <c r="F184" s="194"/>
      <c r="G184" s="194"/>
      <c r="H184" s="111"/>
      <c r="I184" s="111"/>
      <c r="J184" s="111"/>
      <c r="K184" s="2"/>
    </row>
    <row r="185" spans="1:11" x14ac:dyDescent="0.2">
      <c r="A185" s="146" t="s">
        <v>1780</v>
      </c>
      <c r="B185" s="147"/>
      <c r="C185" s="146"/>
      <c r="D185" s="194">
        <v>280</v>
      </c>
      <c r="E185" s="146"/>
      <c r="F185" s="194"/>
      <c r="G185" s="194"/>
      <c r="H185" s="111"/>
      <c r="I185" s="111"/>
      <c r="J185" s="111"/>
      <c r="K185" s="2"/>
    </row>
    <row r="186" spans="1:11" x14ac:dyDescent="0.2">
      <c r="A186" s="146" t="s">
        <v>1841</v>
      </c>
      <c r="B186" s="147"/>
      <c r="C186" s="146"/>
      <c r="D186" s="194">
        <v>2520</v>
      </c>
      <c r="E186" s="146"/>
      <c r="F186" s="194"/>
      <c r="G186" s="194"/>
      <c r="H186" s="111"/>
      <c r="I186" s="111"/>
      <c r="J186" s="111"/>
      <c r="K186" s="2"/>
    </row>
    <row r="187" spans="1:11" x14ac:dyDescent="0.2">
      <c r="A187" s="147" t="s">
        <v>379</v>
      </c>
      <c r="B187" s="147"/>
      <c r="C187" s="146"/>
      <c r="D187" s="146">
        <v>1</v>
      </c>
      <c r="E187" s="146"/>
      <c r="F187" s="146"/>
      <c r="G187" s="146"/>
      <c r="H187" s="111"/>
      <c r="I187" s="111"/>
      <c r="J187" s="111"/>
      <c r="K187" s="2"/>
    </row>
    <row r="188" spans="1:11" ht="15" x14ac:dyDescent="0.35">
      <c r="A188" s="147" t="s">
        <v>509</v>
      </c>
      <c r="B188" s="147"/>
      <c r="C188" s="150"/>
      <c r="D188" s="150">
        <v>1650</v>
      </c>
      <c r="E188" s="146"/>
      <c r="F188" s="146"/>
      <c r="G188" s="146"/>
      <c r="H188" s="111"/>
      <c r="I188" s="111"/>
      <c r="J188" s="111"/>
      <c r="K188" s="2"/>
    </row>
    <row r="189" spans="1:11" x14ac:dyDescent="0.2">
      <c r="A189" s="147" t="s">
        <v>1067</v>
      </c>
      <c r="B189" s="147"/>
      <c r="C189" s="146"/>
      <c r="D189" s="146">
        <f>SUM(D173:D188)</f>
        <v>14846</v>
      </c>
      <c r="E189" s="146"/>
      <c r="F189" s="146"/>
      <c r="G189" s="146"/>
      <c r="H189" s="111"/>
      <c r="I189" s="111"/>
      <c r="J189" s="111"/>
      <c r="K189" s="2"/>
    </row>
    <row r="190" spans="1:11" x14ac:dyDescent="0.2">
      <c r="A190" s="147"/>
      <c r="B190" s="147"/>
      <c r="C190" s="146"/>
      <c r="D190" s="146"/>
      <c r="E190" s="146"/>
      <c r="F190" s="146"/>
      <c r="G190" s="146"/>
      <c r="H190" s="111"/>
      <c r="I190" s="111"/>
      <c r="J190" s="111"/>
      <c r="K190" s="2"/>
    </row>
    <row r="191" spans="1:11" ht="13.5" x14ac:dyDescent="0.25">
      <c r="A191" s="144" t="s">
        <v>615</v>
      </c>
      <c r="B191" s="147"/>
      <c r="C191" s="146"/>
      <c r="D191" s="146"/>
      <c r="E191" s="146">
        <v>4660</v>
      </c>
      <c r="F191" s="161">
        <v>6200</v>
      </c>
      <c r="G191" s="161">
        <f>D197</f>
        <v>6200</v>
      </c>
      <c r="H191" s="111">
        <v>6200</v>
      </c>
      <c r="I191" s="111">
        <v>6200</v>
      </c>
      <c r="J191" s="111">
        <v>6200</v>
      </c>
      <c r="K191" s="2"/>
    </row>
    <row r="192" spans="1:11" x14ac:dyDescent="0.2">
      <c r="A192" s="147" t="s">
        <v>641</v>
      </c>
      <c r="B192" s="147"/>
      <c r="C192" s="146"/>
      <c r="D192" s="146">
        <v>400</v>
      </c>
      <c r="E192" s="146"/>
      <c r="F192" s="146"/>
      <c r="G192" s="146"/>
      <c r="H192" s="111"/>
      <c r="I192" s="111"/>
      <c r="J192" s="111"/>
      <c r="K192" s="2"/>
    </row>
    <row r="193" spans="1:11" x14ac:dyDescent="0.2">
      <c r="A193" s="147" t="s">
        <v>341</v>
      </c>
      <c r="B193" s="147"/>
      <c r="C193" s="146"/>
      <c r="D193" s="146">
        <v>400</v>
      </c>
      <c r="E193" s="146"/>
      <c r="F193" s="146"/>
      <c r="G193" s="146"/>
      <c r="H193" s="111"/>
      <c r="I193" s="111"/>
      <c r="J193" s="111"/>
      <c r="K193" s="2"/>
    </row>
    <row r="194" spans="1:11" ht="15" x14ac:dyDescent="0.35">
      <c r="A194" s="147" t="s">
        <v>1155</v>
      </c>
      <c r="B194" s="147"/>
      <c r="C194" s="150"/>
      <c r="D194" s="146">
        <v>1400</v>
      </c>
      <c r="E194" s="146"/>
      <c r="F194" s="146"/>
      <c r="G194" s="146"/>
      <c r="H194" s="111"/>
      <c r="I194" s="111"/>
      <c r="J194" s="111"/>
      <c r="K194" s="2"/>
    </row>
    <row r="195" spans="1:11" ht="15" x14ac:dyDescent="0.35">
      <c r="A195" s="147" t="s">
        <v>1781</v>
      </c>
      <c r="B195" s="147"/>
      <c r="C195" s="150"/>
      <c r="D195" s="146">
        <v>1000</v>
      </c>
      <c r="E195" s="146" t="s">
        <v>338</v>
      </c>
      <c r="F195" s="146"/>
      <c r="G195" s="146"/>
      <c r="H195" s="111"/>
      <c r="I195" s="111"/>
      <c r="J195" s="111"/>
      <c r="K195" s="2"/>
    </row>
    <row r="196" spans="1:11" ht="15" x14ac:dyDescent="0.35">
      <c r="A196" s="147" t="s">
        <v>2071</v>
      </c>
      <c r="B196" s="147"/>
      <c r="C196" s="150"/>
      <c r="D196" s="150">
        <v>3000</v>
      </c>
      <c r="E196" s="146"/>
      <c r="F196" s="146"/>
      <c r="G196" s="146"/>
      <c r="H196" s="111"/>
      <c r="I196" s="111"/>
      <c r="J196" s="111"/>
      <c r="K196" s="2"/>
    </row>
    <row r="197" spans="1:11" x14ac:dyDescent="0.2">
      <c r="A197" s="147" t="s">
        <v>1067</v>
      </c>
      <c r="B197" s="147"/>
      <c r="C197" s="146"/>
      <c r="D197" s="146">
        <f>SUM(D192:D196)</f>
        <v>6200</v>
      </c>
      <c r="E197" s="146"/>
      <c r="F197" s="146"/>
      <c r="G197" s="146"/>
      <c r="H197" s="111"/>
      <c r="I197" s="111"/>
      <c r="J197" s="111"/>
      <c r="K197" s="2"/>
    </row>
    <row r="198" spans="1:11" x14ac:dyDescent="0.2">
      <c r="A198" s="147"/>
      <c r="B198" s="147"/>
      <c r="C198" s="146"/>
      <c r="D198" s="146"/>
      <c r="E198" s="146"/>
      <c r="F198" s="146"/>
      <c r="G198" s="146"/>
      <c r="H198" s="111"/>
      <c r="I198" s="111"/>
      <c r="J198" s="111"/>
      <c r="K198" s="2"/>
    </row>
    <row r="199" spans="1:11" ht="13.5" x14ac:dyDescent="0.25">
      <c r="A199" s="144" t="s">
        <v>1156</v>
      </c>
      <c r="B199" s="147"/>
      <c r="C199" s="146"/>
      <c r="D199" s="146"/>
      <c r="E199" s="146">
        <v>1582</v>
      </c>
      <c r="F199" s="146">
        <v>1500</v>
      </c>
      <c r="G199" s="146">
        <f>D200</f>
        <v>1500</v>
      </c>
      <c r="H199" s="111">
        <v>1500</v>
      </c>
      <c r="I199" s="111">
        <v>1500</v>
      </c>
      <c r="J199" s="111">
        <v>1500</v>
      </c>
      <c r="K199" s="2"/>
    </row>
    <row r="200" spans="1:11" x14ac:dyDescent="0.2">
      <c r="A200" s="147" t="s">
        <v>1490</v>
      </c>
      <c r="B200" s="147"/>
      <c r="C200" s="146"/>
      <c r="D200" s="146">
        <v>1500</v>
      </c>
      <c r="E200" s="146"/>
      <c r="F200" s="146"/>
      <c r="G200" s="146"/>
      <c r="H200" s="111"/>
      <c r="I200" s="111"/>
      <c r="J200" s="111"/>
      <c r="K200" s="2"/>
    </row>
    <row r="201" spans="1:11" x14ac:dyDescent="0.2">
      <c r="A201" s="147"/>
      <c r="B201" s="147"/>
      <c r="C201" s="146"/>
      <c r="D201" s="146"/>
      <c r="E201" s="146"/>
      <c r="F201" s="146"/>
      <c r="G201" s="146"/>
      <c r="H201" s="111"/>
      <c r="I201" s="111"/>
      <c r="J201" s="111"/>
      <c r="K201" s="2"/>
    </row>
    <row r="202" spans="1:11" ht="13.5" x14ac:dyDescent="0.25">
      <c r="A202" s="144" t="s">
        <v>495</v>
      </c>
      <c r="B202" s="147"/>
      <c r="C202" s="146"/>
      <c r="D202" s="146"/>
      <c r="E202" s="146">
        <v>117827</v>
      </c>
      <c r="F202" s="146">
        <v>125058</v>
      </c>
      <c r="G202" s="146">
        <f>D226</f>
        <v>102958</v>
      </c>
      <c r="H202" s="111">
        <v>102958</v>
      </c>
      <c r="I202" s="111">
        <v>102958</v>
      </c>
      <c r="J202" s="111">
        <v>102958</v>
      </c>
      <c r="K202" s="2"/>
    </row>
    <row r="203" spans="1:11" x14ac:dyDescent="0.2">
      <c r="A203" s="147" t="s">
        <v>1399</v>
      </c>
      <c r="B203" s="147"/>
      <c r="C203" s="146"/>
      <c r="D203" s="146">
        <v>11000</v>
      </c>
      <c r="E203" s="146" t="s">
        <v>338</v>
      </c>
      <c r="F203" s="146"/>
      <c r="G203" s="146"/>
      <c r="H203" s="111"/>
      <c r="I203" s="111"/>
      <c r="J203" s="111"/>
      <c r="K203" s="2"/>
    </row>
    <row r="204" spans="1:11" x14ac:dyDescent="0.2">
      <c r="A204" s="147" t="s">
        <v>1400</v>
      </c>
      <c r="B204" s="147"/>
      <c r="C204" s="146"/>
      <c r="D204" s="146">
        <v>8000</v>
      </c>
      <c r="E204" s="146"/>
      <c r="F204" s="146"/>
      <c r="G204" s="146"/>
      <c r="H204" s="111"/>
      <c r="I204" s="111"/>
      <c r="J204" s="111"/>
      <c r="K204" s="2"/>
    </row>
    <row r="205" spans="1:11" x14ac:dyDescent="0.2">
      <c r="A205" s="147" t="s">
        <v>2072</v>
      </c>
      <c r="B205" s="147"/>
      <c r="C205" s="146"/>
      <c r="D205" s="146">
        <v>1000</v>
      </c>
      <c r="E205" s="146"/>
      <c r="F205" s="146"/>
      <c r="G205" s="146"/>
      <c r="H205" s="111"/>
      <c r="I205" s="111"/>
      <c r="J205" s="111"/>
      <c r="K205" s="2"/>
    </row>
    <row r="206" spans="1:11" x14ac:dyDescent="0.2">
      <c r="A206" s="147" t="s">
        <v>1842</v>
      </c>
      <c r="B206" s="147"/>
      <c r="C206" s="146"/>
      <c r="D206" s="146">
        <v>3478</v>
      </c>
      <c r="E206" s="146"/>
      <c r="F206" s="146"/>
      <c r="G206" s="146"/>
      <c r="H206" s="111"/>
      <c r="I206" s="111"/>
      <c r="J206" s="111"/>
      <c r="K206" s="2"/>
    </row>
    <row r="207" spans="1:11" x14ac:dyDescent="0.2">
      <c r="A207" s="147" t="s">
        <v>1843</v>
      </c>
      <c r="B207" s="147"/>
      <c r="C207" s="146"/>
      <c r="D207" s="146">
        <v>1000</v>
      </c>
      <c r="E207" s="146"/>
      <c r="F207" s="146"/>
      <c r="G207" s="146"/>
      <c r="H207" s="111"/>
      <c r="I207" s="111"/>
      <c r="J207" s="111"/>
      <c r="K207" s="2"/>
    </row>
    <row r="208" spans="1:11" x14ac:dyDescent="0.2">
      <c r="A208" s="147" t="s">
        <v>218</v>
      </c>
      <c r="B208" s="147"/>
      <c r="C208" s="146"/>
      <c r="D208" s="146">
        <v>2500</v>
      </c>
      <c r="E208" s="146"/>
      <c r="F208" s="146"/>
      <c r="G208" s="146"/>
      <c r="H208" s="111"/>
      <c r="I208" s="111"/>
      <c r="J208" s="111"/>
      <c r="K208" s="2"/>
    </row>
    <row r="209" spans="1:11" x14ac:dyDescent="0.2">
      <c r="A209" s="147" t="s">
        <v>2073</v>
      </c>
      <c r="B209" s="147"/>
      <c r="C209" s="146"/>
      <c r="D209" s="146">
        <v>400</v>
      </c>
      <c r="E209" s="146"/>
      <c r="F209" s="146"/>
      <c r="G209" s="146"/>
      <c r="H209" s="111"/>
      <c r="I209" s="111"/>
      <c r="J209" s="111"/>
      <c r="K209" s="2"/>
    </row>
    <row r="210" spans="1:11" x14ac:dyDescent="0.2">
      <c r="A210" s="147" t="s">
        <v>1401</v>
      </c>
      <c r="B210" s="147"/>
      <c r="C210" s="146"/>
      <c r="D210" s="146">
        <v>3000</v>
      </c>
      <c r="E210" s="146"/>
      <c r="F210" s="146"/>
      <c r="G210" s="146"/>
      <c r="H210" s="111"/>
      <c r="I210" s="111"/>
      <c r="J210" s="111"/>
      <c r="K210" s="2"/>
    </row>
    <row r="211" spans="1:11" x14ac:dyDescent="0.2">
      <c r="A211" s="147" t="s">
        <v>1782</v>
      </c>
      <c r="B211" s="147"/>
      <c r="C211" s="146"/>
      <c r="D211" s="146">
        <v>4100</v>
      </c>
      <c r="E211" s="146"/>
      <c r="F211" s="146"/>
      <c r="G211" s="146"/>
      <c r="H211" s="111"/>
      <c r="I211" s="111"/>
      <c r="J211" s="111"/>
      <c r="K211" s="2"/>
    </row>
    <row r="212" spans="1:11" x14ac:dyDescent="0.2">
      <c r="A212" s="147" t="s">
        <v>1402</v>
      </c>
      <c r="B212" s="147"/>
      <c r="C212" s="146"/>
      <c r="D212" s="146">
        <v>2000</v>
      </c>
      <c r="E212" s="146"/>
      <c r="F212" s="146"/>
      <c r="G212" s="146"/>
      <c r="H212" s="111"/>
      <c r="I212" s="111"/>
      <c r="J212" s="111"/>
      <c r="K212" s="2"/>
    </row>
    <row r="213" spans="1:11" x14ac:dyDescent="0.2">
      <c r="A213" s="147" t="s">
        <v>1403</v>
      </c>
      <c r="B213" s="147"/>
      <c r="C213" s="146"/>
      <c r="D213" s="146">
        <v>500</v>
      </c>
      <c r="E213" s="146"/>
      <c r="F213" s="146"/>
      <c r="G213" s="146"/>
      <c r="H213" s="111"/>
      <c r="I213" s="111"/>
      <c r="J213" s="111"/>
      <c r="K213" s="2"/>
    </row>
    <row r="214" spans="1:11" x14ac:dyDescent="0.2">
      <c r="A214" s="147" t="s">
        <v>1844</v>
      </c>
      <c r="B214" s="147"/>
      <c r="C214" s="146"/>
      <c r="D214" s="146">
        <v>29000</v>
      </c>
      <c r="E214" s="146"/>
      <c r="F214" s="146"/>
      <c r="G214" s="146"/>
      <c r="H214" s="111"/>
      <c r="I214" s="111"/>
      <c r="J214" s="111"/>
      <c r="K214" s="2"/>
    </row>
    <row r="215" spans="1:11" x14ac:dyDescent="0.2">
      <c r="A215" s="147" t="s">
        <v>1845</v>
      </c>
      <c r="B215" s="147"/>
      <c r="C215" s="146"/>
      <c r="D215" s="146">
        <v>1500</v>
      </c>
      <c r="E215" s="146"/>
      <c r="F215" s="146"/>
      <c r="G215" s="146"/>
      <c r="H215" s="111"/>
      <c r="I215" s="111"/>
      <c r="J215" s="111"/>
      <c r="K215" s="2"/>
    </row>
    <row r="216" spans="1:11" x14ac:dyDescent="0.2">
      <c r="A216" s="147" t="s">
        <v>1699</v>
      </c>
      <c r="B216" s="146"/>
      <c r="C216" s="146"/>
      <c r="D216" s="146">
        <v>5000</v>
      </c>
      <c r="E216" s="146"/>
      <c r="F216" s="146"/>
      <c r="G216" s="146"/>
      <c r="H216" s="111"/>
      <c r="I216" s="111"/>
      <c r="J216" s="111"/>
      <c r="K216" s="2"/>
    </row>
    <row r="217" spans="1:11" x14ac:dyDescent="0.2">
      <c r="A217" s="147" t="s">
        <v>1482</v>
      </c>
      <c r="B217" s="146"/>
      <c r="C217" s="146"/>
      <c r="D217" s="146">
        <v>7200</v>
      </c>
      <c r="E217" s="146"/>
      <c r="F217" s="146"/>
      <c r="G217" s="146"/>
      <c r="H217" s="111"/>
      <c r="I217" s="111"/>
      <c r="J217" s="111"/>
      <c r="K217" s="2"/>
    </row>
    <row r="218" spans="1:11" x14ac:dyDescent="0.2">
      <c r="A218" s="147" t="s">
        <v>642</v>
      </c>
      <c r="B218" s="146"/>
      <c r="C218" s="146"/>
      <c r="D218" s="146">
        <f>7080-2200</f>
        <v>4880</v>
      </c>
      <c r="E218" s="146"/>
      <c r="F218" s="146"/>
      <c r="G218" s="146"/>
      <c r="H218" s="111"/>
      <c r="I218" s="111"/>
      <c r="J218" s="111"/>
      <c r="K218" s="2"/>
    </row>
    <row r="219" spans="1:11" x14ac:dyDescent="0.2">
      <c r="A219" s="147" t="s">
        <v>2074</v>
      </c>
      <c r="B219" s="146"/>
      <c r="C219" s="146"/>
      <c r="D219" s="146">
        <v>2200</v>
      </c>
      <c r="E219" s="146"/>
      <c r="F219" s="146"/>
      <c r="G219" s="146"/>
      <c r="H219" s="111"/>
      <c r="I219" s="111"/>
      <c r="J219" s="111"/>
      <c r="K219" s="2"/>
    </row>
    <row r="220" spans="1:11" x14ac:dyDescent="0.2">
      <c r="A220" s="147" t="s">
        <v>1404</v>
      </c>
      <c r="B220" s="146"/>
      <c r="C220" s="146"/>
      <c r="D220" s="146">
        <v>300</v>
      </c>
      <c r="E220" s="146" t="s">
        <v>338</v>
      </c>
      <c r="F220" s="146"/>
      <c r="G220" s="146"/>
      <c r="H220" s="111"/>
      <c r="I220" s="111"/>
      <c r="J220" s="111"/>
      <c r="K220" s="2"/>
    </row>
    <row r="221" spans="1:11" x14ac:dyDescent="0.2">
      <c r="A221" s="147" t="s">
        <v>1405</v>
      </c>
      <c r="B221" s="146"/>
      <c r="C221" s="146"/>
      <c r="D221" s="146">
        <v>2000</v>
      </c>
      <c r="E221" s="146"/>
      <c r="F221" s="146"/>
      <c r="G221" s="146"/>
      <c r="H221" s="111"/>
      <c r="I221" s="111"/>
      <c r="J221" s="111"/>
      <c r="K221" s="2"/>
    </row>
    <row r="222" spans="1:11" x14ac:dyDescent="0.2">
      <c r="A222" s="147" t="s">
        <v>1631</v>
      </c>
      <c r="B222" s="146"/>
      <c r="C222" s="146"/>
      <c r="D222" s="146">
        <v>3000</v>
      </c>
      <c r="E222" s="146"/>
      <c r="F222" s="146"/>
      <c r="G222" s="146"/>
      <c r="H222" s="111"/>
      <c r="I222" s="111"/>
      <c r="J222" s="111"/>
      <c r="K222" s="2"/>
    </row>
    <row r="223" spans="1:11" ht="15" x14ac:dyDescent="0.35">
      <c r="A223" s="147" t="s">
        <v>1632</v>
      </c>
      <c r="B223" s="150"/>
      <c r="C223" s="150"/>
      <c r="D223" s="146">
        <v>4400</v>
      </c>
      <c r="E223" s="146" t="s">
        <v>338</v>
      </c>
      <c r="F223" s="146"/>
      <c r="G223" s="146"/>
      <c r="H223" s="111"/>
      <c r="I223" s="111"/>
      <c r="J223" s="111"/>
      <c r="K223" s="2"/>
    </row>
    <row r="224" spans="1:11" s="192" customFormat="1" ht="15" x14ac:dyDescent="0.35">
      <c r="A224" s="147" t="s">
        <v>2075</v>
      </c>
      <c r="B224" s="150"/>
      <c r="C224" s="150"/>
      <c r="D224" s="146">
        <v>5000</v>
      </c>
      <c r="E224" s="146"/>
      <c r="F224" s="146"/>
      <c r="G224" s="146"/>
      <c r="H224" s="111"/>
      <c r="I224" s="111"/>
      <c r="J224" s="111"/>
      <c r="K224" s="2"/>
    </row>
    <row r="225" spans="1:11" s="192" customFormat="1" ht="15" x14ac:dyDescent="0.35">
      <c r="A225" s="147" t="s">
        <v>2076</v>
      </c>
      <c r="B225" s="147" t="s">
        <v>338</v>
      </c>
      <c r="C225" s="150"/>
      <c r="D225" s="150">
        <v>1500</v>
      </c>
      <c r="E225" s="146"/>
      <c r="F225" s="146"/>
      <c r="G225" s="146"/>
      <c r="H225" s="111"/>
      <c r="I225" s="111"/>
      <c r="J225" s="111"/>
      <c r="K225" s="2"/>
    </row>
    <row r="226" spans="1:11" s="192" customFormat="1" x14ac:dyDescent="0.2">
      <c r="A226" s="147" t="s">
        <v>1332</v>
      </c>
      <c r="B226" s="147"/>
      <c r="C226" s="146"/>
      <c r="D226" s="146">
        <f>SUM(D203:D225)</f>
        <v>102958</v>
      </c>
      <c r="E226" s="146"/>
      <c r="F226" s="146"/>
      <c r="G226" s="146"/>
      <c r="H226" s="111"/>
      <c r="I226" s="111"/>
      <c r="J226" s="111"/>
      <c r="K226" s="2"/>
    </row>
    <row r="227" spans="1:11" x14ac:dyDescent="0.2">
      <c r="A227" s="147"/>
      <c r="B227" s="147"/>
      <c r="C227" s="146"/>
      <c r="D227" s="146"/>
      <c r="E227" s="146"/>
      <c r="F227" s="146"/>
      <c r="G227" s="146"/>
      <c r="H227" s="111"/>
      <c r="I227" s="111"/>
      <c r="J227" s="111"/>
      <c r="K227" s="2"/>
    </row>
    <row r="228" spans="1:11" ht="13.5" x14ac:dyDescent="0.25">
      <c r="A228" s="144" t="s">
        <v>1953</v>
      </c>
      <c r="B228" s="147"/>
      <c r="C228" s="146"/>
      <c r="D228" s="146"/>
      <c r="E228" s="146"/>
      <c r="F228" s="146"/>
      <c r="G228" s="146"/>
      <c r="H228" s="111"/>
      <c r="I228" s="111"/>
      <c r="J228" s="111"/>
      <c r="K228" s="2"/>
    </row>
    <row r="229" spans="1:11" x14ac:dyDescent="0.2">
      <c r="A229" s="147"/>
      <c r="B229" s="147"/>
      <c r="C229" s="146"/>
      <c r="D229" s="146">
        <v>0</v>
      </c>
      <c r="E229" s="146">
        <v>0</v>
      </c>
      <c r="F229" s="146">
        <v>0</v>
      </c>
      <c r="G229" s="146">
        <v>0</v>
      </c>
      <c r="H229" s="111">
        <v>0</v>
      </c>
      <c r="I229" s="111">
        <v>0</v>
      </c>
      <c r="J229" s="111">
        <v>0</v>
      </c>
      <c r="K229" s="2"/>
    </row>
    <row r="230" spans="1:11" ht="13.5" x14ac:dyDescent="0.25">
      <c r="A230" s="144" t="s">
        <v>220</v>
      </c>
      <c r="B230" s="147"/>
      <c r="C230" s="146"/>
      <c r="D230" s="146"/>
      <c r="E230" s="146"/>
      <c r="F230" s="146"/>
      <c r="G230" s="146"/>
      <c r="H230" s="111"/>
      <c r="I230" s="111"/>
      <c r="J230" s="111"/>
      <c r="K230" s="2"/>
    </row>
    <row r="231" spans="1:11" s="228" customFormat="1" x14ac:dyDescent="0.2">
      <c r="A231" s="147" t="s">
        <v>104</v>
      </c>
      <c r="B231" s="147"/>
      <c r="C231" s="146"/>
      <c r="D231" s="146">
        <v>0</v>
      </c>
      <c r="E231" s="146">
        <v>0</v>
      </c>
      <c r="F231" s="146">
        <v>0</v>
      </c>
      <c r="G231" s="146">
        <v>0</v>
      </c>
      <c r="H231" s="111">
        <v>0</v>
      </c>
      <c r="I231" s="111">
        <v>0</v>
      </c>
      <c r="J231" s="111">
        <v>0</v>
      </c>
      <c r="K231" s="2"/>
    </row>
    <row r="232" spans="1:11" s="228" customFormat="1" x14ac:dyDescent="0.2">
      <c r="A232" s="147"/>
      <c r="B232" s="147"/>
      <c r="C232" s="146"/>
      <c r="D232" s="146"/>
      <c r="E232" s="146"/>
      <c r="F232" s="146"/>
      <c r="G232" s="146"/>
      <c r="H232" s="111"/>
      <c r="I232" s="111"/>
      <c r="J232" s="111"/>
      <c r="K232" s="2"/>
    </row>
    <row r="233" spans="1:11" s="228" customFormat="1" ht="13.5" x14ac:dyDescent="0.25">
      <c r="A233" s="144" t="s">
        <v>383</v>
      </c>
      <c r="B233" s="147"/>
      <c r="C233" s="146"/>
      <c r="D233" s="146"/>
      <c r="E233" s="146">
        <v>7020</v>
      </c>
      <c r="F233" s="146">
        <v>2000</v>
      </c>
      <c r="G233" s="146">
        <f>D234</f>
        <v>3500</v>
      </c>
      <c r="H233" s="111">
        <v>3500</v>
      </c>
      <c r="I233" s="111">
        <v>3500</v>
      </c>
      <c r="J233" s="111">
        <v>3500</v>
      </c>
      <c r="K233" s="2"/>
    </row>
    <row r="234" spans="1:11" s="228" customFormat="1" x14ac:dyDescent="0.2">
      <c r="A234" s="147" t="s">
        <v>212</v>
      </c>
      <c r="B234" s="147"/>
      <c r="C234" s="146"/>
      <c r="D234" s="146">
        <v>3500</v>
      </c>
      <c r="E234" s="146"/>
      <c r="F234" s="146"/>
      <c r="G234" s="148"/>
      <c r="H234" s="258"/>
      <c r="I234" s="316"/>
      <c r="J234" s="316"/>
      <c r="K234" s="2"/>
    </row>
    <row r="235" spans="1:11" s="228" customFormat="1" x14ac:dyDescent="0.2">
      <c r="A235" s="147"/>
      <c r="B235" s="147"/>
      <c r="C235" s="146"/>
      <c r="D235" s="146"/>
      <c r="E235" s="146"/>
      <c r="F235" s="146"/>
      <c r="G235" s="148"/>
      <c r="H235" s="258"/>
      <c r="I235" s="316"/>
      <c r="J235" s="316"/>
      <c r="K235" s="2"/>
    </row>
    <row r="236" spans="1:11" ht="13.5" x14ac:dyDescent="0.25">
      <c r="A236" s="144" t="s">
        <v>1168</v>
      </c>
      <c r="B236" s="146"/>
      <c r="C236" s="146"/>
      <c r="D236" s="146"/>
      <c r="E236" s="146"/>
      <c r="F236" s="146"/>
      <c r="G236" s="148"/>
      <c r="H236" s="258"/>
      <c r="I236" s="316"/>
      <c r="J236" s="316"/>
      <c r="K236" s="2"/>
    </row>
    <row r="237" spans="1:11" ht="15" x14ac:dyDescent="0.35">
      <c r="A237" s="147" t="s">
        <v>43</v>
      </c>
      <c r="B237" s="146"/>
      <c r="C237" s="146" t="s">
        <v>338</v>
      </c>
      <c r="D237" s="146">
        <v>75000</v>
      </c>
      <c r="E237" s="150">
        <v>75000</v>
      </c>
      <c r="F237" s="150">
        <v>75000</v>
      </c>
      <c r="G237" s="150">
        <v>75000</v>
      </c>
      <c r="H237" s="150">
        <v>75000</v>
      </c>
      <c r="I237" s="150">
        <v>75000</v>
      </c>
      <c r="J237" s="150">
        <v>75000</v>
      </c>
      <c r="K237" s="2"/>
    </row>
    <row r="238" spans="1:11" x14ac:dyDescent="0.2">
      <c r="A238" s="147" t="s">
        <v>1783</v>
      </c>
      <c r="B238" s="147"/>
      <c r="C238" s="146"/>
      <c r="D238" s="146"/>
      <c r="E238" s="146">
        <f t="shared" ref="E238:J238" si="4">SUM(E6:E237)</f>
        <v>1160030</v>
      </c>
      <c r="F238" s="146">
        <f t="shared" si="4"/>
        <v>1222728</v>
      </c>
      <c r="G238" s="146">
        <f t="shared" si="4"/>
        <v>1259210.897280232</v>
      </c>
      <c r="H238" s="146">
        <f t="shared" si="4"/>
        <v>1259212</v>
      </c>
      <c r="I238" s="146">
        <f t="shared" si="4"/>
        <v>1259212</v>
      </c>
      <c r="J238" s="146">
        <f t="shared" si="4"/>
        <v>1259212</v>
      </c>
      <c r="K238" s="2"/>
    </row>
    <row r="239" spans="1:11" x14ac:dyDescent="0.2">
      <c r="A239" s="163" t="s">
        <v>1165</v>
      </c>
      <c r="B239" s="147"/>
      <c r="C239" s="146"/>
      <c r="D239" s="146"/>
      <c r="E239" s="146">
        <v>12000</v>
      </c>
      <c r="F239" s="146">
        <v>12000</v>
      </c>
      <c r="G239" s="146">
        <v>12000</v>
      </c>
      <c r="H239" s="146">
        <v>12000</v>
      </c>
      <c r="I239" s="146">
        <v>12000</v>
      </c>
      <c r="J239" s="146">
        <v>12000</v>
      </c>
      <c r="K239" s="2"/>
    </row>
    <row r="240" spans="1:11" ht="15" hidden="1" x14ac:dyDescent="0.35">
      <c r="A240" s="147" t="s">
        <v>1454</v>
      </c>
      <c r="B240" s="147"/>
      <c r="C240" s="146"/>
      <c r="D240" s="146"/>
      <c r="E240" s="150"/>
      <c r="F240" s="150"/>
      <c r="G240" s="150"/>
      <c r="H240" s="150"/>
      <c r="I240" s="150"/>
      <c r="J240" s="150"/>
      <c r="K240" s="2"/>
    </row>
    <row r="241" spans="1:11" x14ac:dyDescent="0.2">
      <c r="A241" s="147"/>
      <c r="B241" s="147"/>
      <c r="C241" s="146"/>
      <c r="D241" s="146"/>
      <c r="E241" s="146"/>
      <c r="F241" s="146"/>
      <c r="G241" s="146"/>
      <c r="H241" s="146"/>
      <c r="I241" s="146"/>
      <c r="J241" s="146"/>
      <c r="K241" s="2"/>
    </row>
    <row r="242" spans="1:11" x14ac:dyDescent="0.2">
      <c r="A242" s="147" t="s">
        <v>1164</v>
      </c>
      <c r="B242" s="147"/>
      <c r="C242" s="146"/>
      <c r="D242" s="146"/>
      <c r="E242" s="146">
        <f>+E238-E243+E240</f>
        <v>1148030</v>
      </c>
      <c r="F242" s="146">
        <f>+F238-F243+F240</f>
        <v>1210728</v>
      </c>
      <c r="G242" s="146">
        <f>+G238-G243+G240</f>
        <v>1247210.897280232</v>
      </c>
      <c r="H242" s="146">
        <v>1172210.897280232</v>
      </c>
      <c r="I242" s="146">
        <f>+I238-I243+I240</f>
        <v>1247212</v>
      </c>
      <c r="J242" s="146">
        <f>+J238-J243+J240</f>
        <v>1247212</v>
      </c>
      <c r="K242" s="2"/>
    </row>
    <row r="243" spans="1:11" x14ac:dyDescent="0.2">
      <c r="A243" s="147" t="s">
        <v>1165</v>
      </c>
      <c r="B243" s="147"/>
      <c r="C243" s="146"/>
      <c r="D243" s="146"/>
      <c r="E243" s="146">
        <f>SUM(E239:E239)</f>
        <v>12000</v>
      </c>
      <c r="F243" s="146">
        <v>12000</v>
      </c>
      <c r="G243" s="146">
        <v>12000</v>
      </c>
      <c r="H243" s="146">
        <v>12000</v>
      </c>
      <c r="I243" s="146">
        <v>12000</v>
      </c>
      <c r="J243" s="146">
        <v>12000</v>
      </c>
      <c r="K243" s="2"/>
    </row>
    <row r="244" spans="1:11" x14ac:dyDescent="0.2">
      <c r="A244" s="147"/>
      <c r="B244" s="147"/>
      <c r="C244" s="147"/>
      <c r="D244" s="147"/>
      <c r="E244" s="147"/>
      <c r="F244" s="147"/>
      <c r="G244" s="146"/>
      <c r="H244" s="146"/>
      <c r="I244" s="146"/>
      <c r="J244" s="146"/>
      <c r="K244" s="2"/>
    </row>
    <row r="245" spans="1:11" x14ac:dyDescent="0.2">
      <c r="A245" s="147" t="s">
        <v>511</v>
      </c>
      <c r="B245" s="147"/>
      <c r="C245" s="147"/>
      <c r="D245" s="147"/>
      <c r="E245" s="146">
        <f>SUM(E6:E85)</f>
        <v>790148</v>
      </c>
      <c r="F245" s="146">
        <f>SUM(F6:F87)</f>
        <v>871904</v>
      </c>
      <c r="G245" s="146">
        <f>SUM(G6:G87)</f>
        <v>922175.89728023205</v>
      </c>
      <c r="H245" s="146">
        <f>SUM(H6:H87)</f>
        <v>922177</v>
      </c>
      <c r="I245" s="146">
        <f>SUM(I6:I88)</f>
        <v>922177</v>
      </c>
      <c r="J245" s="146">
        <f>SUM(J6:J88)</f>
        <v>922177</v>
      </c>
      <c r="K245" s="2"/>
    </row>
    <row r="246" spans="1:11" x14ac:dyDescent="0.2">
      <c r="A246" s="147" t="s">
        <v>803</v>
      </c>
      <c r="B246" s="147"/>
      <c r="C246" s="147"/>
      <c r="D246" s="147"/>
      <c r="E246" s="146">
        <f>SUM(E88:E225)</f>
        <v>287862</v>
      </c>
      <c r="F246" s="146">
        <f>SUM(F88:F225)</f>
        <v>273824</v>
      </c>
      <c r="G246" s="146">
        <f>SUM(G88:G225)</f>
        <v>258535</v>
      </c>
      <c r="H246" s="146">
        <f>SUM(H88:H225)</f>
        <v>258535</v>
      </c>
      <c r="I246" s="146">
        <f>SUM(I88:I225)</f>
        <v>258535</v>
      </c>
      <c r="J246" s="146">
        <f>SUM(J89:J222)</f>
        <v>258535</v>
      </c>
      <c r="K246" s="2"/>
    </row>
    <row r="247" spans="1:11" ht="15" x14ac:dyDescent="0.35">
      <c r="A247" s="147" t="s">
        <v>804</v>
      </c>
      <c r="B247" s="147"/>
      <c r="C247" s="147"/>
      <c r="D247" s="147"/>
      <c r="E247" s="150">
        <f>SUM(E228:E237)</f>
        <v>82020</v>
      </c>
      <c r="F247" s="150">
        <f>SUM(F227:F237)</f>
        <v>77000</v>
      </c>
      <c r="G247" s="150">
        <f>SUM(G227:G237)</f>
        <v>78500</v>
      </c>
      <c r="H247" s="150">
        <f>SUM(H227:H237)</f>
        <v>78500</v>
      </c>
      <c r="I247" s="150">
        <f>SUM(I227:I237)</f>
        <v>78500</v>
      </c>
      <c r="J247" s="150">
        <f>SUM(J227:J237)</f>
        <v>78500</v>
      </c>
      <c r="K247" s="2"/>
    </row>
    <row r="248" spans="1:11" x14ac:dyDescent="0.2">
      <c r="A248" s="163" t="s">
        <v>1332</v>
      </c>
      <c r="B248" s="163"/>
      <c r="C248" s="163"/>
      <c r="D248" s="163"/>
      <c r="E248" s="162">
        <f t="shared" ref="E248:J248" si="5">SUM(E245:E247)</f>
        <v>1160030</v>
      </c>
      <c r="F248" s="162">
        <f t="shared" si="5"/>
        <v>1222728</v>
      </c>
      <c r="G248" s="162">
        <f t="shared" si="5"/>
        <v>1259210.897280232</v>
      </c>
      <c r="H248" s="162">
        <f>SUM(H245:H247)</f>
        <v>1259212</v>
      </c>
      <c r="I248" s="162">
        <f>SUM(I245:I247)</f>
        <v>1259212</v>
      </c>
      <c r="J248" s="162">
        <f t="shared" si="5"/>
        <v>1259212</v>
      </c>
      <c r="K248" s="2"/>
    </row>
    <row r="249" spans="1:11" x14ac:dyDescent="0.2">
      <c r="A249" s="73"/>
      <c r="B249" s="73"/>
      <c r="C249" s="73"/>
      <c r="D249" s="73"/>
      <c r="E249" s="73"/>
      <c r="F249" s="73"/>
      <c r="G249" s="72"/>
      <c r="H249" s="72"/>
      <c r="I249" s="72"/>
      <c r="J249" s="72"/>
      <c r="K249" s="2"/>
    </row>
    <row r="250" spans="1:11" x14ac:dyDescent="0.2">
      <c r="A250" s="49"/>
      <c r="B250" s="49"/>
      <c r="C250" s="49"/>
      <c r="H250" s="219"/>
      <c r="I250" s="227"/>
      <c r="K250" s="2"/>
    </row>
    <row r="251" spans="1:11" x14ac:dyDescent="0.2">
      <c r="A251" s="49"/>
      <c r="B251" s="49"/>
      <c r="C251" s="49"/>
      <c r="H251" s="219"/>
      <c r="I251" s="227"/>
      <c r="K251" s="2"/>
    </row>
    <row r="252" spans="1:11" x14ac:dyDescent="0.2">
      <c r="A252" s="49"/>
      <c r="B252" s="49"/>
      <c r="C252" s="49"/>
      <c r="H252" s="219"/>
      <c r="I252" s="227"/>
    </row>
    <row r="253" spans="1:11" x14ac:dyDescent="0.2">
      <c r="A253" s="49"/>
      <c r="B253" s="49"/>
      <c r="C253" s="49"/>
      <c r="H253" s="219"/>
      <c r="I253" s="227"/>
    </row>
    <row r="254" spans="1:11" x14ac:dyDescent="0.2">
      <c r="A254" s="49"/>
      <c r="B254" s="49"/>
      <c r="C254" s="49"/>
      <c r="H254" s="219"/>
      <c r="I254" s="227"/>
    </row>
    <row r="255" spans="1:11" x14ac:dyDescent="0.2">
      <c r="A255" s="49"/>
      <c r="B255" s="49"/>
      <c r="C255" s="49"/>
      <c r="H255" s="219"/>
      <c r="I255" s="227"/>
    </row>
    <row r="256" spans="1:11" x14ac:dyDescent="0.2">
      <c r="A256" s="49"/>
      <c r="B256" s="49"/>
      <c r="C256" s="49"/>
      <c r="H256" s="219"/>
      <c r="I256" s="227"/>
    </row>
    <row r="257" spans="1:9" x14ac:dyDescent="0.2">
      <c r="A257" s="49"/>
      <c r="B257" s="49"/>
      <c r="C257" s="49"/>
      <c r="H257" s="219"/>
      <c r="I257" s="227"/>
    </row>
    <row r="258" spans="1:9" x14ac:dyDescent="0.2">
      <c r="A258" s="49"/>
      <c r="B258" s="49"/>
      <c r="C258" s="49"/>
      <c r="H258" s="219"/>
      <c r="I258" s="227"/>
    </row>
    <row r="259" spans="1:9" x14ac:dyDescent="0.2">
      <c r="A259" s="49"/>
      <c r="B259" s="49"/>
      <c r="C259" s="49"/>
      <c r="H259" s="219"/>
      <c r="I259" s="227"/>
    </row>
    <row r="260" spans="1:9" x14ac:dyDescent="0.2">
      <c r="A260" s="49"/>
      <c r="B260" s="49"/>
      <c r="C260" s="49"/>
      <c r="H260" s="219"/>
      <c r="I260" s="227"/>
    </row>
    <row r="261" spans="1:9" x14ac:dyDescent="0.2">
      <c r="A261" s="49"/>
      <c r="B261" s="49"/>
      <c r="C261" s="49"/>
      <c r="H261" s="219"/>
      <c r="I261" s="227"/>
    </row>
    <row r="262" spans="1:9" x14ac:dyDescent="0.2">
      <c r="A262" s="49"/>
      <c r="B262" s="49"/>
      <c r="C262" s="49"/>
      <c r="D262" s="49"/>
      <c r="E262" s="49"/>
      <c r="H262" s="219"/>
      <c r="I262" s="227"/>
    </row>
    <row r="263" spans="1:9" x14ac:dyDescent="0.2">
      <c r="A263" s="49"/>
      <c r="B263" s="49"/>
      <c r="C263" s="49"/>
      <c r="D263" s="49"/>
      <c r="E263" s="49"/>
      <c r="H263" s="219"/>
      <c r="I263" s="227"/>
    </row>
    <row r="264" spans="1:9" x14ac:dyDescent="0.2">
      <c r="A264" s="49"/>
      <c r="B264" s="49"/>
      <c r="C264" s="49"/>
      <c r="D264" s="49"/>
      <c r="E264" s="49"/>
      <c r="H264" s="219"/>
      <c r="I264" s="227"/>
    </row>
    <row r="265" spans="1:9" x14ac:dyDescent="0.2">
      <c r="A265" s="49"/>
      <c r="B265" s="49"/>
      <c r="C265" s="49"/>
      <c r="D265" s="49"/>
      <c r="E265" s="49"/>
      <c r="H265" s="219"/>
      <c r="I265" s="227"/>
    </row>
    <row r="266" spans="1:9" ht="12.6" customHeight="1" x14ac:dyDescent="0.2">
      <c r="A266" s="49"/>
      <c r="B266" s="49"/>
      <c r="C266" s="49"/>
      <c r="D266" s="49"/>
      <c r="E266" s="49"/>
      <c r="H266" s="219"/>
      <c r="I266" s="227"/>
    </row>
    <row r="267" spans="1:9" x14ac:dyDescent="0.2">
      <c r="H267" s="219"/>
      <c r="I267" s="227"/>
    </row>
    <row r="268" spans="1:9" x14ac:dyDescent="0.2">
      <c r="H268" s="219"/>
      <c r="I268" s="227"/>
    </row>
    <row r="269" spans="1:9" x14ac:dyDescent="0.2">
      <c r="H269" s="219"/>
      <c r="I269" s="227"/>
    </row>
    <row r="270" spans="1:9" x14ac:dyDescent="0.2">
      <c r="H270" s="219"/>
      <c r="I270" s="227"/>
    </row>
    <row r="271" spans="1:9" x14ac:dyDescent="0.2">
      <c r="H271" s="219"/>
      <c r="I271" s="227"/>
    </row>
    <row r="272" spans="1:9" x14ac:dyDescent="0.2">
      <c r="H272" s="219"/>
      <c r="I272" s="227"/>
    </row>
    <row r="273" spans="8:9" x14ac:dyDescent="0.2">
      <c r="H273" s="219"/>
      <c r="I273" s="227"/>
    </row>
    <row r="274" spans="8:9" x14ac:dyDescent="0.2">
      <c r="H274" s="219"/>
      <c r="I274" s="227"/>
    </row>
    <row r="275" spans="8:9" x14ac:dyDescent="0.2">
      <c r="H275" s="219"/>
      <c r="I275" s="227"/>
    </row>
    <row r="276" spans="8:9" x14ac:dyDescent="0.2">
      <c r="H276" s="219"/>
      <c r="I276" s="227"/>
    </row>
    <row r="277" spans="8:9" x14ac:dyDescent="0.2">
      <c r="H277" s="219"/>
      <c r="I277" s="227"/>
    </row>
    <row r="278" spans="8:9" x14ac:dyDescent="0.2">
      <c r="H278" s="219"/>
      <c r="I278" s="227"/>
    </row>
    <row r="279" spans="8:9" x14ac:dyDescent="0.2">
      <c r="H279" s="219"/>
      <c r="I279" s="227"/>
    </row>
    <row r="280" spans="8:9" x14ac:dyDescent="0.2">
      <c r="H280" s="219"/>
      <c r="I280" s="227"/>
    </row>
    <row r="281" spans="8:9" x14ac:dyDescent="0.2">
      <c r="H281" s="219"/>
      <c r="I281" s="227"/>
    </row>
    <row r="282" spans="8:9" x14ac:dyDescent="0.2">
      <c r="H282" s="219"/>
      <c r="I282" s="227"/>
    </row>
    <row r="283" spans="8:9" x14ac:dyDescent="0.2">
      <c r="H283" s="219"/>
      <c r="I283" s="227"/>
    </row>
    <row r="284" spans="8:9" x14ac:dyDescent="0.2">
      <c r="H284" s="219"/>
      <c r="I284" s="227"/>
    </row>
    <row r="285" spans="8:9" x14ac:dyDescent="0.2">
      <c r="H285" s="219"/>
      <c r="I285" s="227"/>
    </row>
    <row r="286" spans="8:9" x14ac:dyDescent="0.2">
      <c r="H286" s="219"/>
      <c r="I286" s="227"/>
    </row>
    <row r="287" spans="8:9" x14ac:dyDescent="0.2">
      <c r="H287" s="219"/>
      <c r="I287" s="227"/>
    </row>
    <row r="288" spans="8:9" x14ac:dyDescent="0.2">
      <c r="H288" s="219"/>
      <c r="I288" s="227"/>
    </row>
    <row r="289" spans="9:9" x14ac:dyDescent="0.2">
      <c r="I289" s="2"/>
    </row>
    <row r="290" spans="9:9" x14ac:dyDescent="0.2">
      <c r="I290" s="2"/>
    </row>
    <row r="291" spans="9:9" x14ac:dyDescent="0.2">
      <c r="I291" s="2"/>
    </row>
    <row r="292" spans="9:9" x14ac:dyDescent="0.2">
      <c r="I292" s="2"/>
    </row>
    <row r="293" spans="9:9" x14ac:dyDescent="0.2">
      <c r="I293" s="2"/>
    </row>
    <row r="294" spans="9:9" x14ac:dyDescent="0.2">
      <c r="I294" s="2"/>
    </row>
    <row r="295" spans="9:9" x14ac:dyDescent="0.2">
      <c r="I295" s="2"/>
    </row>
    <row r="296" spans="9:9" x14ac:dyDescent="0.2">
      <c r="I296" s="2"/>
    </row>
    <row r="297" spans="9:9" x14ac:dyDescent="0.2">
      <c r="I297" s="2"/>
    </row>
    <row r="298" spans="9:9" x14ac:dyDescent="0.2">
      <c r="I298" s="2"/>
    </row>
    <row r="299" spans="9:9" x14ac:dyDescent="0.2">
      <c r="I299" s="2"/>
    </row>
    <row r="300" spans="9:9" x14ac:dyDescent="0.2">
      <c r="I300" s="2"/>
    </row>
    <row r="301" spans="9:9" x14ac:dyDescent="0.2">
      <c r="I301" s="2"/>
    </row>
    <row r="302" spans="9:9" x14ac:dyDescent="0.2">
      <c r="I302" s="2"/>
    </row>
    <row r="303" spans="9:9" x14ac:dyDescent="0.2">
      <c r="I303" s="2"/>
    </row>
    <row r="304" spans="9:9" x14ac:dyDescent="0.2">
      <c r="I304" s="2"/>
    </row>
    <row r="305" spans="9:9" x14ac:dyDescent="0.2">
      <c r="I305" s="2"/>
    </row>
    <row r="306" spans="9:9" x14ac:dyDescent="0.2">
      <c r="I306" s="2"/>
    </row>
    <row r="307" spans="9:9" x14ac:dyDescent="0.2">
      <c r="I307" s="2"/>
    </row>
    <row r="308" spans="9:9" x14ac:dyDescent="0.2">
      <c r="I308" s="2"/>
    </row>
    <row r="309" spans="9:9" x14ac:dyDescent="0.2">
      <c r="I309" s="2"/>
    </row>
    <row r="310" spans="9:9" x14ac:dyDescent="0.2">
      <c r="I310" s="2"/>
    </row>
    <row r="311" spans="9:9" x14ac:dyDescent="0.2">
      <c r="I311" s="2"/>
    </row>
    <row r="312" spans="9:9" x14ac:dyDescent="0.2">
      <c r="I312" s="2"/>
    </row>
    <row r="313" spans="9:9" x14ac:dyDescent="0.2">
      <c r="I313" s="2"/>
    </row>
    <row r="314" spans="9:9" x14ac:dyDescent="0.2">
      <c r="I314" s="2"/>
    </row>
    <row r="315" spans="9:9" x14ac:dyDescent="0.2">
      <c r="I315" s="2"/>
    </row>
    <row r="316" spans="9:9" x14ac:dyDescent="0.2">
      <c r="I316" s="2"/>
    </row>
    <row r="317" spans="9:9" x14ac:dyDescent="0.2">
      <c r="I317" s="2"/>
    </row>
    <row r="318" spans="9:9" x14ac:dyDescent="0.2">
      <c r="I318" s="2"/>
    </row>
    <row r="319" spans="9:9" x14ac:dyDescent="0.2">
      <c r="I319" s="2"/>
    </row>
    <row r="320" spans="9:9" x14ac:dyDescent="0.2">
      <c r="I320" s="2"/>
    </row>
    <row r="321" spans="9:9" x14ac:dyDescent="0.2">
      <c r="I321" s="2"/>
    </row>
    <row r="322" spans="9:9" x14ac:dyDescent="0.2">
      <c r="I322" s="2"/>
    </row>
    <row r="323" spans="9:9" x14ac:dyDescent="0.2">
      <c r="I323" s="2"/>
    </row>
    <row r="324" spans="9:9" x14ac:dyDescent="0.2">
      <c r="I324" s="2"/>
    </row>
    <row r="325" spans="9:9" x14ac:dyDescent="0.2">
      <c r="I325" s="2"/>
    </row>
    <row r="326" spans="9:9" x14ac:dyDescent="0.2">
      <c r="I326" s="2"/>
    </row>
    <row r="327" spans="9:9" x14ac:dyDescent="0.2">
      <c r="I327" s="2"/>
    </row>
    <row r="328" spans="9:9" x14ac:dyDescent="0.2">
      <c r="I328" s="2"/>
    </row>
    <row r="329" spans="9:9" x14ac:dyDescent="0.2">
      <c r="I329" s="2"/>
    </row>
    <row r="330" spans="9:9" x14ac:dyDescent="0.2">
      <c r="I330" s="2"/>
    </row>
    <row r="331" spans="9:9" x14ac:dyDescent="0.2">
      <c r="I331" s="2"/>
    </row>
    <row r="332" spans="9:9" x14ac:dyDescent="0.2">
      <c r="I332" s="2"/>
    </row>
    <row r="333" spans="9:9" x14ac:dyDescent="0.2">
      <c r="I333" s="2"/>
    </row>
    <row r="334" spans="9:9" x14ac:dyDescent="0.2">
      <c r="I334" s="2"/>
    </row>
    <row r="335" spans="9:9" x14ac:dyDescent="0.2">
      <c r="I335" s="2"/>
    </row>
    <row r="336" spans="9:9" x14ac:dyDescent="0.2">
      <c r="I336" s="2"/>
    </row>
    <row r="337" spans="9:9" x14ac:dyDescent="0.2">
      <c r="I337" s="2"/>
    </row>
    <row r="338" spans="9:9" x14ac:dyDescent="0.2">
      <c r="I338" s="2"/>
    </row>
    <row r="339" spans="9:9" x14ac:dyDescent="0.2">
      <c r="I339" s="2"/>
    </row>
    <row r="340" spans="9:9" x14ac:dyDescent="0.2">
      <c r="I340" s="2"/>
    </row>
    <row r="341" spans="9:9" x14ac:dyDescent="0.2">
      <c r="I341" s="2"/>
    </row>
    <row r="342" spans="9:9" x14ac:dyDescent="0.2">
      <c r="I342" s="2"/>
    </row>
    <row r="343" spans="9:9" x14ac:dyDescent="0.2">
      <c r="I343" s="2"/>
    </row>
    <row r="344" spans="9:9" x14ac:dyDescent="0.2">
      <c r="I344" s="2"/>
    </row>
    <row r="345" spans="9:9" x14ac:dyDescent="0.2">
      <c r="I345" s="2"/>
    </row>
    <row r="346" spans="9:9" x14ac:dyDescent="0.2">
      <c r="I346" s="2"/>
    </row>
    <row r="347" spans="9:9" x14ac:dyDescent="0.2">
      <c r="I347" s="2"/>
    </row>
    <row r="348" spans="9:9" x14ac:dyDescent="0.2">
      <c r="I348" s="2"/>
    </row>
    <row r="349" spans="9:9" x14ac:dyDescent="0.2">
      <c r="I349" s="2"/>
    </row>
    <row r="350" spans="9:9" x14ac:dyDescent="0.2">
      <c r="I350" s="2"/>
    </row>
    <row r="351" spans="9:9" x14ac:dyDescent="0.2">
      <c r="I351" s="2"/>
    </row>
    <row r="352" spans="9:9" x14ac:dyDescent="0.2">
      <c r="I352" s="2"/>
    </row>
    <row r="353" spans="9:9" x14ac:dyDescent="0.2">
      <c r="I353" s="2"/>
    </row>
    <row r="354" spans="9:9" x14ac:dyDescent="0.2">
      <c r="I354" s="2"/>
    </row>
    <row r="355" spans="9:9" x14ac:dyDescent="0.2">
      <c r="I355" s="2"/>
    </row>
    <row r="356" spans="9:9" x14ac:dyDescent="0.2">
      <c r="I356" s="2"/>
    </row>
    <row r="357" spans="9:9" x14ac:dyDescent="0.2">
      <c r="I357" s="2"/>
    </row>
    <row r="358" spans="9:9" x14ac:dyDescent="0.2">
      <c r="I358" s="2"/>
    </row>
    <row r="359" spans="9:9" x14ac:dyDescent="0.2">
      <c r="I359" s="2"/>
    </row>
    <row r="360" spans="9:9" x14ac:dyDescent="0.2">
      <c r="I360" s="2"/>
    </row>
    <row r="361" spans="9:9" x14ac:dyDescent="0.2">
      <c r="I361" s="2"/>
    </row>
    <row r="362" spans="9:9" x14ac:dyDescent="0.2">
      <c r="I362" s="2"/>
    </row>
    <row r="363" spans="9:9" x14ac:dyDescent="0.2">
      <c r="I363" s="2"/>
    </row>
    <row r="364" spans="9:9" x14ac:dyDescent="0.2">
      <c r="I364" s="2"/>
    </row>
    <row r="365" spans="9:9" x14ac:dyDescent="0.2">
      <c r="I365" s="2"/>
    </row>
    <row r="366" spans="9:9" x14ac:dyDescent="0.2">
      <c r="I366" s="2"/>
    </row>
    <row r="367" spans="9:9" x14ac:dyDescent="0.2">
      <c r="I367" s="2"/>
    </row>
    <row r="368" spans="9:9" x14ac:dyDescent="0.2">
      <c r="I368" s="2"/>
    </row>
    <row r="369" spans="9:9" x14ac:dyDescent="0.2">
      <c r="I369" s="2"/>
    </row>
    <row r="370" spans="9:9" x14ac:dyDescent="0.2">
      <c r="I370" s="2"/>
    </row>
  </sheetData>
  <mergeCells count="1">
    <mergeCell ref="A1:J1"/>
  </mergeCells>
  <phoneticPr fontId="0" type="noConversion"/>
  <printOptions gridLines="1"/>
  <pageMargins left="0.75" right="0.16" top="0.51" bottom="0.22" header="0.39" footer="0"/>
  <pageSetup scale="85" fitToHeight="11" orientation="landscape" r:id="rId1"/>
  <headerFooter alignWithMargins="0"/>
  <rowBreaks count="3" manualBreakCount="3">
    <brk id="122" max="9" man="1"/>
    <brk id="162" max="9" man="1"/>
    <brk id="201" max="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334"/>
  <sheetViews>
    <sheetView view="pageBreakPreview" zoomScaleNormal="100" zoomScaleSheetLayoutView="100" workbookViewId="0">
      <pane ySplit="5" topLeftCell="A6" activePane="bottomLeft" state="frozen"/>
      <selection activeCell="D43" sqref="D43"/>
      <selection pane="bottomLeft" sqref="A1:J1"/>
    </sheetView>
  </sheetViews>
  <sheetFormatPr defaultColWidth="8.85546875" defaultRowHeight="12.75" x14ac:dyDescent="0.2"/>
  <cols>
    <col min="1" max="1" width="48.28515625" style="183" bestFit="1" customWidth="1"/>
    <col min="2" max="2" width="9" style="183" bestFit="1" customWidth="1"/>
    <col min="3" max="3" width="10.140625" style="183" customWidth="1"/>
    <col min="4" max="4" width="10.28515625" style="183" customWidth="1"/>
    <col min="5" max="7" width="10.85546875" style="183" customWidth="1"/>
    <col min="8" max="8" width="14" style="183" bestFit="1" customWidth="1"/>
    <col min="9" max="10" width="10.85546875" style="183" customWidth="1"/>
    <col min="11" max="16384" width="8.85546875" style="183"/>
  </cols>
  <sheetData>
    <row r="1" spans="1:10" x14ac:dyDescent="0.2">
      <c r="A1" s="319" t="s">
        <v>2038</v>
      </c>
      <c r="B1" s="320"/>
      <c r="C1" s="320"/>
      <c r="D1" s="320"/>
      <c r="E1" s="320"/>
      <c r="F1" s="320"/>
      <c r="G1" s="320"/>
      <c r="H1" s="320"/>
      <c r="I1" s="320"/>
      <c r="J1" s="320"/>
    </row>
    <row r="2" spans="1:10" ht="18.75" x14ac:dyDescent="0.3">
      <c r="A2" s="95" t="s">
        <v>1570</v>
      </c>
      <c r="B2" s="95"/>
      <c r="C2" s="95"/>
      <c r="D2" s="95"/>
      <c r="E2" s="95"/>
      <c r="F2" s="95"/>
    </row>
    <row r="3" spans="1:10" x14ac:dyDescent="0.2">
      <c r="B3" s="2"/>
      <c r="C3" s="2"/>
      <c r="D3" s="2"/>
      <c r="E3" s="2"/>
      <c r="F3" s="2"/>
    </row>
    <row r="4" spans="1:10" x14ac:dyDescent="0.2">
      <c r="B4" s="2"/>
      <c r="C4" s="2"/>
      <c r="D4" s="2"/>
      <c r="E4" s="15" t="s">
        <v>199</v>
      </c>
      <c r="F4" s="15" t="s">
        <v>200</v>
      </c>
      <c r="G4" s="15" t="s">
        <v>60</v>
      </c>
      <c r="H4" s="15" t="s">
        <v>351</v>
      </c>
      <c r="I4" s="15" t="s">
        <v>264</v>
      </c>
      <c r="J4" s="15" t="s">
        <v>295</v>
      </c>
    </row>
    <row r="5" spans="1:10" ht="15" x14ac:dyDescent="0.35">
      <c r="B5" s="2"/>
      <c r="C5" s="2"/>
      <c r="D5" s="2"/>
      <c r="E5" s="232" t="s">
        <v>1825</v>
      </c>
      <c r="F5" s="232" t="s">
        <v>1947</v>
      </c>
      <c r="G5" s="232" t="s">
        <v>2039</v>
      </c>
      <c r="H5" s="232" t="s">
        <v>2039</v>
      </c>
      <c r="I5" s="232" t="s">
        <v>2039</v>
      </c>
      <c r="J5" s="232" t="s">
        <v>2039</v>
      </c>
    </row>
    <row r="6" spans="1:10" ht="13.5" x14ac:dyDescent="0.25">
      <c r="A6" s="211" t="s">
        <v>691</v>
      </c>
      <c r="B6" s="212"/>
      <c r="C6" s="212"/>
      <c r="D6" s="212"/>
      <c r="E6" s="212">
        <v>69285</v>
      </c>
      <c r="F6" s="212">
        <v>70610</v>
      </c>
      <c r="G6" s="212">
        <v>71649</v>
      </c>
      <c r="H6" s="212">
        <v>71649</v>
      </c>
      <c r="I6" s="212">
        <v>71649</v>
      </c>
      <c r="J6" s="212">
        <v>71649</v>
      </c>
    </row>
    <row r="7" spans="1:10" x14ac:dyDescent="0.2">
      <c r="A7" s="199" t="s">
        <v>692</v>
      </c>
      <c r="B7" s="212">
        <v>52</v>
      </c>
      <c r="C7" s="212">
        <f>33.83*40</f>
        <v>1353.1999999999998</v>
      </c>
      <c r="D7" s="212">
        <f>ROUND(B7*C7,0)</f>
        <v>70366</v>
      </c>
      <c r="E7" s="212"/>
      <c r="F7" s="212"/>
      <c r="G7" s="212"/>
      <c r="H7" s="212"/>
      <c r="I7" s="212"/>
      <c r="J7" s="212"/>
    </row>
    <row r="8" spans="1:10" ht="15" x14ac:dyDescent="0.35">
      <c r="A8" s="199" t="s">
        <v>818</v>
      </c>
      <c r="B8" s="212"/>
      <c r="C8" s="212"/>
      <c r="D8" s="150">
        <v>1283</v>
      </c>
      <c r="E8" s="212"/>
      <c r="F8" s="212"/>
      <c r="G8" s="212"/>
      <c r="H8" s="212"/>
      <c r="I8" s="212"/>
      <c r="J8" s="212"/>
    </row>
    <row r="9" spans="1:10" x14ac:dyDescent="0.2">
      <c r="A9" s="199" t="s">
        <v>1067</v>
      </c>
      <c r="B9" s="212"/>
      <c r="C9" s="212"/>
      <c r="D9" s="212">
        <f>SUM(D7:D8)</f>
        <v>71649</v>
      </c>
      <c r="E9" s="212"/>
      <c r="F9" s="212"/>
      <c r="G9" s="212"/>
      <c r="H9" s="212"/>
      <c r="I9" s="212"/>
      <c r="J9" s="212"/>
    </row>
    <row r="10" spans="1:10" x14ac:dyDescent="0.2">
      <c r="A10" s="199"/>
      <c r="B10" s="212"/>
      <c r="C10" s="212"/>
      <c r="D10" s="212"/>
      <c r="E10" s="212"/>
      <c r="F10" s="212"/>
      <c r="G10" s="212"/>
      <c r="H10" s="212"/>
      <c r="I10" s="212"/>
      <c r="J10" s="212"/>
    </row>
    <row r="11" spans="1:10" ht="13.5" x14ac:dyDescent="0.25">
      <c r="A11" s="211" t="s">
        <v>693</v>
      </c>
      <c r="B11" s="212"/>
      <c r="C11" s="212"/>
      <c r="D11" s="212"/>
      <c r="E11" s="212">
        <v>208870</v>
      </c>
      <c r="F11" s="212">
        <v>216625</v>
      </c>
      <c r="G11" s="212">
        <v>215471</v>
      </c>
      <c r="H11" s="212">
        <v>215471</v>
      </c>
      <c r="I11" s="212">
        <v>215471</v>
      </c>
      <c r="J11" s="212">
        <v>228160</v>
      </c>
    </row>
    <row r="12" spans="1:10" x14ac:dyDescent="0.2">
      <c r="A12" s="199" t="s">
        <v>1540</v>
      </c>
      <c r="B12" s="212">
        <v>52</v>
      </c>
      <c r="C12" s="212">
        <f>27.9*40</f>
        <v>1116</v>
      </c>
      <c r="D12" s="212">
        <f>ROUND(B12*C12,0)</f>
        <v>58032</v>
      </c>
      <c r="E12" s="212"/>
      <c r="F12" s="212"/>
      <c r="G12" s="212"/>
      <c r="H12" s="212"/>
      <c r="I12" s="212"/>
      <c r="J12" s="212"/>
    </row>
    <row r="13" spans="1:10" x14ac:dyDescent="0.2">
      <c r="A13" s="199" t="s">
        <v>1540</v>
      </c>
      <c r="B13" s="212">
        <v>52</v>
      </c>
      <c r="C13" s="212">
        <f>28.87*40</f>
        <v>1154.8</v>
      </c>
      <c r="D13" s="212">
        <f>ROUND(B13*C13,0)</f>
        <v>60050</v>
      </c>
      <c r="E13" s="212"/>
      <c r="F13" s="212"/>
      <c r="G13" s="212"/>
      <c r="H13" s="212"/>
      <c r="I13" s="212"/>
      <c r="J13" s="212"/>
    </row>
    <row r="14" spans="1:10" x14ac:dyDescent="0.2">
      <c r="A14" s="199" t="s">
        <v>1540</v>
      </c>
      <c r="B14" s="212">
        <v>52</v>
      </c>
      <c r="C14" s="212">
        <f>27.9*40</f>
        <v>1116</v>
      </c>
      <c r="D14" s="212">
        <f>ROUND(B14*C14,0)</f>
        <v>58032</v>
      </c>
      <c r="E14" s="212"/>
      <c r="F14" s="212"/>
      <c r="G14" s="212"/>
      <c r="H14" s="212"/>
      <c r="I14" s="212"/>
      <c r="J14" s="212"/>
    </row>
    <row r="15" spans="1:10" x14ac:dyDescent="0.2">
      <c r="A15" s="199" t="s">
        <v>973</v>
      </c>
      <c r="B15" s="212">
        <v>52</v>
      </c>
      <c r="C15" s="212">
        <f>24.08*40</f>
        <v>963.19999999999993</v>
      </c>
      <c r="D15" s="212">
        <f>ROUND(B15*C15,0)</f>
        <v>50086</v>
      </c>
      <c r="E15" s="212"/>
      <c r="F15" s="212"/>
      <c r="G15" s="212"/>
      <c r="H15" s="212"/>
      <c r="I15" s="212"/>
      <c r="J15" s="212"/>
    </row>
    <row r="16" spans="1:10" ht="15" x14ac:dyDescent="0.35">
      <c r="A16" s="199" t="s">
        <v>818</v>
      </c>
      <c r="B16" s="212"/>
      <c r="C16" s="212"/>
      <c r="D16" s="150">
        <f>1189+771</f>
        <v>1960</v>
      </c>
      <c r="E16" s="212"/>
      <c r="F16" s="212"/>
      <c r="G16" s="212"/>
      <c r="H16" s="212"/>
      <c r="I16" s="212"/>
      <c r="J16" s="212"/>
    </row>
    <row r="17" spans="1:10" x14ac:dyDescent="0.2">
      <c r="A17" s="199" t="s">
        <v>1067</v>
      </c>
      <c r="B17" s="212"/>
      <c r="C17" s="212"/>
      <c r="D17" s="212">
        <f>SUM(D12:D16)</f>
        <v>228160</v>
      </c>
      <c r="E17" s="212"/>
      <c r="F17" s="212"/>
      <c r="G17" s="212"/>
      <c r="H17" s="212"/>
      <c r="I17" s="212"/>
      <c r="J17" s="212"/>
    </row>
    <row r="18" spans="1:10" x14ac:dyDescent="0.2">
      <c r="A18" s="199"/>
      <c r="B18" s="212"/>
      <c r="C18" s="212"/>
      <c r="D18" s="212"/>
      <c r="E18" s="212"/>
      <c r="F18" s="212"/>
      <c r="G18" s="212"/>
      <c r="H18" s="212"/>
      <c r="I18" s="212"/>
      <c r="J18" s="212"/>
    </row>
    <row r="19" spans="1:10" ht="13.5" x14ac:dyDescent="0.25">
      <c r="A19" s="211" t="s">
        <v>1139</v>
      </c>
      <c r="B19" s="212"/>
      <c r="C19" s="212"/>
      <c r="D19" s="212"/>
      <c r="E19" s="212">
        <v>1154</v>
      </c>
      <c r="F19" s="212">
        <v>3750</v>
      </c>
      <c r="G19" s="212">
        <v>3806</v>
      </c>
      <c r="H19" s="212">
        <v>3806</v>
      </c>
      <c r="I19" s="212">
        <v>3806</v>
      </c>
      <c r="J19" s="212">
        <v>3806</v>
      </c>
    </row>
    <row r="20" spans="1:10" x14ac:dyDescent="0.2">
      <c r="A20" s="199" t="s">
        <v>692</v>
      </c>
      <c r="B20" s="212">
        <v>75</v>
      </c>
      <c r="C20" s="212">
        <f>+C7/40*1.5</f>
        <v>50.744999999999997</v>
      </c>
      <c r="D20" s="212">
        <f>ROUND(B20*C20,0)</f>
        <v>3806</v>
      </c>
      <c r="E20" s="212"/>
      <c r="F20" s="212"/>
      <c r="G20" s="212"/>
      <c r="H20" s="212"/>
      <c r="I20" s="212"/>
      <c r="J20" s="212"/>
    </row>
    <row r="21" spans="1:10" x14ac:dyDescent="0.2">
      <c r="A21" s="199"/>
      <c r="B21" s="212"/>
      <c r="C21" s="212"/>
      <c r="D21" s="212"/>
      <c r="E21" s="212"/>
      <c r="F21" s="212"/>
      <c r="G21" s="212"/>
      <c r="H21" s="212"/>
      <c r="I21" s="212"/>
      <c r="J21" s="212"/>
    </row>
    <row r="22" spans="1:10" x14ac:dyDescent="0.2">
      <c r="A22" s="199"/>
      <c r="B22" s="212"/>
      <c r="C22" s="212"/>
      <c r="D22" s="212"/>
      <c r="E22" s="212"/>
      <c r="F22" s="212"/>
      <c r="G22" s="212"/>
      <c r="H22" s="212"/>
      <c r="I22" s="212"/>
      <c r="J22" s="212"/>
    </row>
    <row r="23" spans="1:10" ht="13.5" x14ac:dyDescent="0.25">
      <c r="A23" s="211" t="s">
        <v>1140</v>
      </c>
      <c r="B23" s="212"/>
      <c r="C23" s="212"/>
      <c r="D23" s="212"/>
      <c r="E23" s="212">
        <v>8406</v>
      </c>
      <c r="F23" s="212">
        <v>4855</v>
      </c>
      <c r="G23" s="212">
        <v>4829</v>
      </c>
      <c r="H23" s="212">
        <v>4829</v>
      </c>
      <c r="I23" s="212">
        <v>4829</v>
      </c>
      <c r="J23" s="212">
        <v>5098</v>
      </c>
    </row>
    <row r="24" spans="1:10" x14ac:dyDescent="0.2">
      <c r="A24" s="199" t="s">
        <v>1141</v>
      </c>
      <c r="B24" s="212">
        <v>125</v>
      </c>
      <c r="C24" s="212">
        <f>SUM(C12:C15)/40*1.5/4</f>
        <v>40.78125</v>
      </c>
      <c r="D24" s="212">
        <f>ROUND(B24*C24,0)</f>
        <v>5098</v>
      </c>
      <c r="E24" s="212"/>
      <c r="F24" s="212"/>
      <c r="G24" s="212"/>
      <c r="H24" s="212"/>
      <c r="I24" s="212"/>
      <c r="J24" s="212"/>
    </row>
    <row r="25" spans="1:10" x14ac:dyDescent="0.2">
      <c r="A25" s="199"/>
      <c r="B25" s="212"/>
      <c r="C25" s="212"/>
      <c r="D25" s="212"/>
      <c r="E25" s="212"/>
      <c r="F25" s="212"/>
      <c r="G25" s="212"/>
      <c r="H25" s="212"/>
      <c r="I25" s="212"/>
      <c r="J25" s="212"/>
    </row>
    <row r="26" spans="1:10" ht="13.5" x14ac:dyDescent="0.25">
      <c r="A26" s="211" t="s">
        <v>1142</v>
      </c>
      <c r="B26" s="212"/>
      <c r="C26" s="212"/>
      <c r="D26" s="212"/>
      <c r="E26" s="212">
        <v>23365</v>
      </c>
      <c r="F26" s="212">
        <v>22632</v>
      </c>
      <c r="G26" s="212">
        <v>22625</v>
      </c>
      <c r="H26" s="212">
        <v>22625</v>
      </c>
      <c r="I26" s="212">
        <v>22625</v>
      </c>
      <c r="J26" s="212">
        <v>23616</v>
      </c>
    </row>
    <row r="27" spans="1:10" hidden="1" x14ac:dyDescent="0.2">
      <c r="A27" s="199" t="s">
        <v>1264</v>
      </c>
      <c r="B27" s="212">
        <f>+D9</f>
        <v>71649</v>
      </c>
      <c r="C27" s="242">
        <v>7.6499999999999999E-2</v>
      </c>
      <c r="D27" s="212">
        <f>ROUND(B27*C27,0)</f>
        <v>5481</v>
      </c>
      <c r="E27" s="212"/>
      <c r="F27" s="212"/>
      <c r="G27" s="212"/>
      <c r="H27" s="212"/>
      <c r="I27" s="212"/>
      <c r="J27" s="212"/>
    </row>
    <row r="28" spans="1:10" hidden="1" x14ac:dyDescent="0.2">
      <c r="A28" s="199" t="s">
        <v>683</v>
      </c>
      <c r="B28" s="212">
        <f>+D17</f>
        <v>228160</v>
      </c>
      <c r="C28" s="242">
        <v>7.6499999999999999E-2</v>
      </c>
      <c r="D28" s="212">
        <f>ROUND(B28*C28,0)</f>
        <v>17454</v>
      </c>
      <c r="E28" s="212"/>
      <c r="F28" s="212"/>
      <c r="G28" s="212"/>
      <c r="H28" s="212"/>
      <c r="I28" s="212"/>
      <c r="J28" s="212"/>
    </row>
    <row r="29" spans="1:10" hidden="1" x14ac:dyDescent="0.2">
      <c r="A29" s="199" t="s">
        <v>758</v>
      </c>
      <c r="B29" s="212">
        <f>+D20</f>
        <v>3806</v>
      </c>
      <c r="C29" s="242">
        <v>7.6499999999999999E-2</v>
      </c>
      <c r="D29" s="212">
        <f>ROUND(B29*C29,0)</f>
        <v>291</v>
      </c>
      <c r="E29" s="212"/>
      <c r="F29" s="212"/>
      <c r="G29" s="212"/>
      <c r="H29" s="212"/>
      <c r="I29" s="212"/>
      <c r="J29" s="212"/>
    </row>
    <row r="30" spans="1:10" ht="15" hidden="1" x14ac:dyDescent="0.35">
      <c r="A30" s="199" t="s">
        <v>154</v>
      </c>
      <c r="B30" s="212">
        <f>+D24</f>
        <v>5098</v>
      </c>
      <c r="C30" s="242">
        <v>7.6499999999999999E-2</v>
      </c>
      <c r="D30" s="150">
        <f>ROUND(B30*C30,0)</f>
        <v>390</v>
      </c>
      <c r="E30" s="212"/>
      <c r="F30" s="212"/>
      <c r="G30" s="212"/>
      <c r="H30" s="212"/>
      <c r="I30" s="212"/>
      <c r="J30" s="212"/>
    </row>
    <row r="31" spans="1:10" hidden="1" x14ac:dyDescent="0.2">
      <c r="A31" s="199" t="s">
        <v>1067</v>
      </c>
      <c r="B31" s="212"/>
      <c r="C31" s="242"/>
      <c r="D31" s="212">
        <f>SUM(D27:D30)</f>
        <v>23616</v>
      </c>
      <c r="E31" s="212"/>
      <c r="F31" s="212"/>
      <c r="G31" s="212"/>
      <c r="H31" s="212"/>
      <c r="I31" s="212"/>
      <c r="J31" s="212"/>
    </row>
    <row r="32" spans="1:10" x14ac:dyDescent="0.2">
      <c r="A32" s="199"/>
      <c r="B32" s="212"/>
      <c r="C32" s="242"/>
      <c r="D32" s="212"/>
      <c r="E32" s="212"/>
      <c r="F32" s="212"/>
      <c r="G32" s="212"/>
      <c r="H32" s="212"/>
      <c r="I32" s="212"/>
      <c r="J32" s="212"/>
    </row>
    <row r="33" spans="1:10" ht="13.5" x14ac:dyDescent="0.25">
      <c r="A33" s="211" t="s">
        <v>1143</v>
      </c>
      <c r="B33" s="212"/>
      <c r="C33" s="242"/>
      <c r="D33" s="212"/>
      <c r="E33" s="212">
        <v>41930</v>
      </c>
      <c r="F33" s="212">
        <v>41595</v>
      </c>
      <c r="G33" s="212">
        <v>40015</v>
      </c>
      <c r="H33" s="212">
        <v>40015</v>
      </c>
      <c r="I33" s="212">
        <v>40015</v>
      </c>
      <c r="J33" s="212">
        <v>41769</v>
      </c>
    </row>
    <row r="34" spans="1:10" hidden="1" x14ac:dyDescent="0.2">
      <c r="A34" s="303" t="s">
        <v>1264</v>
      </c>
      <c r="B34" s="213">
        <f>+D9</f>
        <v>71649</v>
      </c>
      <c r="C34" s="304">
        <v>0.1353</v>
      </c>
      <c r="D34" s="213">
        <f>ROUND(B34*C34,0)</f>
        <v>9694</v>
      </c>
      <c r="E34" s="213"/>
      <c r="F34" s="212"/>
      <c r="G34" s="212"/>
      <c r="H34" s="212"/>
      <c r="I34" s="212"/>
      <c r="J34" s="212"/>
    </row>
    <row r="35" spans="1:10" ht="16.899999999999999" hidden="1" customHeight="1" x14ac:dyDescent="0.2">
      <c r="A35" s="303" t="s">
        <v>683</v>
      </c>
      <c r="B35" s="213">
        <f>+D17</f>
        <v>228160</v>
      </c>
      <c r="C35" s="304">
        <v>0.1353</v>
      </c>
      <c r="D35" s="213">
        <f>ROUND(B35*C35,0)</f>
        <v>30870</v>
      </c>
      <c r="E35" s="213"/>
      <c r="F35" s="212"/>
      <c r="G35" s="212"/>
      <c r="H35" s="212"/>
      <c r="I35" s="212"/>
      <c r="J35" s="212"/>
    </row>
    <row r="36" spans="1:10" hidden="1" x14ac:dyDescent="0.2">
      <c r="A36" s="303" t="s">
        <v>758</v>
      </c>
      <c r="B36" s="213">
        <f>+D20</f>
        <v>3806</v>
      </c>
      <c r="C36" s="304">
        <v>0.1353</v>
      </c>
      <c r="D36" s="213">
        <f>ROUND(B36*C36,0)</f>
        <v>515</v>
      </c>
      <c r="E36" s="213"/>
      <c r="F36" s="212"/>
      <c r="G36" s="212"/>
      <c r="H36" s="212"/>
      <c r="I36" s="212"/>
      <c r="J36" s="212"/>
    </row>
    <row r="37" spans="1:10" ht="15" hidden="1" x14ac:dyDescent="0.35">
      <c r="A37" s="303" t="s">
        <v>154</v>
      </c>
      <c r="B37" s="213">
        <f>+B30</f>
        <v>5098</v>
      </c>
      <c r="C37" s="304">
        <v>0.1353</v>
      </c>
      <c r="D37" s="150">
        <f>ROUND(B37*C37,0)</f>
        <v>690</v>
      </c>
      <c r="E37" s="213"/>
      <c r="F37" s="212"/>
      <c r="G37" s="212"/>
      <c r="H37" s="212"/>
      <c r="I37" s="212"/>
      <c r="J37" s="212"/>
    </row>
    <row r="38" spans="1:10" hidden="1" x14ac:dyDescent="0.2">
      <c r="A38" s="303" t="s">
        <v>1067</v>
      </c>
      <c r="B38" s="213"/>
      <c r="C38" s="213"/>
      <c r="D38" s="213">
        <f>SUM(D34:D37)</f>
        <v>41769</v>
      </c>
      <c r="E38" s="213"/>
      <c r="F38" s="212"/>
      <c r="G38" s="212"/>
      <c r="H38" s="212"/>
      <c r="I38" s="212"/>
      <c r="J38" s="212"/>
    </row>
    <row r="39" spans="1:10" x14ac:dyDescent="0.2">
      <c r="A39" s="303"/>
      <c r="B39" s="213"/>
      <c r="C39" s="213"/>
      <c r="D39" s="213"/>
      <c r="E39" s="213"/>
      <c r="F39" s="212"/>
      <c r="G39" s="212"/>
      <c r="H39" s="212"/>
      <c r="I39" s="212"/>
      <c r="J39" s="212"/>
    </row>
    <row r="40" spans="1:10" ht="13.5" x14ac:dyDescent="0.25">
      <c r="A40" s="305" t="s">
        <v>763</v>
      </c>
      <c r="B40" s="213"/>
      <c r="C40" s="213"/>
      <c r="D40" s="213"/>
      <c r="E40" s="213">
        <v>94546</v>
      </c>
      <c r="F40" s="212">
        <v>95000</v>
      </c>
      <c r="G40" s="212">
        <v>101250</v>
      </c>
      <c r="H40" s="212">
        <v>101250</v>
      </c>
      <c r="I40" s="212">
        <v>101250</v>
      </c>
      <c r="J40" s="212">
        <v>101250</v>
      </c>
    </row>
    <row r="41" spans="1:10" hidden="1" x14ac:dyDescent="0.2">
      <c r="A41" s="303" t="s">
        <v>358</v>
      </c>
      <c r="B41" s="213">
        <v>4</v>
      </c>
      <c r="C41" s="2">
        <v>20250</v>
      </c>
      <c r="D41" s="213">
        <f>ROUND(B41*C41,0)</f>
        <v>81000</v>
      </c>
      <c r="E41" s="213"/>
      <c r="F41" s="212"/>
      <c r="G41" s="212"/>
      <c r="H41" s="212"/>
      <c r="I41" s="212"/>
      <c r="J41" s="212"/>
    </row>
    <row r="42" spans="1:10" ht="15" hidden="1" x14ac:dyDescent="0.35">
      <c r="A42" s="303" t="s">
        <v>297</v>
      </c>
      <c r="B42" s="213">
        <v>1</v>
      </c>
      <c r="C42" s="2">
        <v>20250</v>
      </c>
      <c r="D42" s="150">
        <f>ROUND(B42*C42,0)</f>
        <v>20250</v>
      </c>
      <c r="E42" s="213"/>
      <c r="F42" s="212"/>
      <c r="G42" s="212"/>
      <c r="H42" s="212"/>
      <c r="I42" s="212"/>
      <c r="J42" s="212"/>
    </row>
    <row r="43" spans="1:10" hidden="1" x14ac:dyDescent="0.2">
      <c r="A43" s="303" t="s">
        <v>678</v>
      </c>
      <c r="B43" s="213"/>
      <c r="C43" s="213"/>
      <c r="D43" s="213">
        <f>SUM(D41:D42)</f>
        <v>101250</v>
      </c>
      <c r="E43" s="213"/>
      <c r="F43" s="212"/>
      <c r="G43" s="212"/>
      <c r="H43" s="212"/>
      <c r="I43" s="212"/>
      <c r="J43" s="212"/>
    </row>
    <row r="44" spans="1:10" x14ac:dyDescent="0.2">
      <c r="A44" s="303"/>
      <c r="B44" s="213"/>
      <c r="C44" s="213"/>
      <c r="D44" s="213"/>
      <c r="E44" s="213"/>
      <c r="F44" s="212"/>
      <c r="G44" s="212"/>
      <c r="H44" s="212"/>
      <c r="I44" s="212"/>
      <c r="J44" s="212"/>
    </row>
    <row r="45" spans="1:10" ht="13.5" x14ac:dyDescent="0.25">
      <c r="A45" s="305" t="s">
        <v>764</v>
      </c>
      <c r="B45" s="213"/>
      <c r="C45" s="213"/>
      <c r="D45" s="213"/>
      <c r="E45" s="213">
        <v>6226</v>
      </c>
      <c r="F45" s="212">
        <v>6188</v>
      </c>
      <c r="G45" s="212">
        <v>6188</v>
      </c>
      <c r="H45" s="212">
        <v>6188</v>
      </c>
      <c r="I45" s="212">
        <v>6188</v>
      </c>
      <c r="J45" s="212">
        <v>6188</v>
      </c>
    </row>
    <row r="46" spans="1:10" hidden="1" x14ac:dyDescent="0.2">
      <c r="A46" s="303" t="s">
        <v>358</v>
      </c>
      <c r="B46" s="213">
        <v>5</v>
      </c>
      <c r="C46" s="213">
        <v>1375</v>
      </c>
      <c r="D46" s="213">
        <f>ROUND(B46*C46,0)</f>
        <v>6875</v>
      </c>
      <c r="E46" s="213"/>
      <c r="F46" s="212"/>
      <c r="G46" s="212"/>
      <c r="H46" s="212"/>
      <c r="I46" s="212"/>
      <c r="J46" s="212"/>
    </row>
    <row r="47" spans="1:10" ht="15" hidden="1" x14ac:dyDescent="0.35">
      <c r="A47" s="303" t="s">
        <v>1458</v>
      </c>
      <c r="B47" s="213"/>
      <c r="C47" s="213"/>
      <c r="D47" s="150">
        <f>+D46*-0.1</f>
        <v>-687.5</v>
      </c>
      <c r="E47" s="213"/>
      <c r="F47" s="212"/>
      <c r="G47" s="212"/>
      <c r="H47" s="212"/>
      <c r="I47" s="212"/>
      <c r="J47" s="212"/>
    </row>
    <row r="48" spans="1:10" hidden="1" x14ac:dyDescent="0.2">
      <c r="A48" s="303"/>
      <c r="B48" s="213"/>
      <c r="C48" s="213"/>
      <c r="D48" s="213">
        <f>SUM(D46:D47)</f>
        <v>6187.5</v>
      </c>
      <c r="E48" s="213"/>
      <c r="F48" s="212"/>
      <c r="G48" s="212"/>
      <c r="H48" s="212"/>
      <c r="I48" s="212"/>
      <c r="J48" s="212"/>
    </row>
    <row r="49" spans="1:10" x14ac:dyDescent="0.2">
      <c r="A49" s="303"/>
      <c r="B49" s="213"/>
      <c r="C49" s="213"/>
      <c r="D49" s="213"/>
      <c r="E49" s="213"/>
      <c r="F49" s="212"/>
      <c r="G49" s="212"/>
      <c r="H49" s="212"/>
      <c r="I49" s="212"/>
      <c r="J49" s="212"/>
    </row>
    <row r="50" spans="1:10" ht="13.5" x14ac:dyDescent="0.25">
      <c r="A50" s="305" t="s">
        <v>765</v>
      </c>
      <c r="B50" s="213"/>
      <c r="C50" s="213"/>
      <c r="D50" s="213"/>
      <c r="E50" s="213">
        <v>244</v>
      </c>
      <c r="F50" s="212">
        <v>380</v>
      </c>
      <c r="G50" s="212">
        <v>380</v>
      </c>
      <c r="H50" s="212">
        <v>380</v>
      </c>
      <c r="I50" s="212">
        <v>380</v>
      </c>
      <c r="J50" s="212">
        <v>380</v>
      </c>
    </row>
    <row r="51" spans="1:10" hidden="1" x14ac:dyDescent="0.2">
      <c r="A51" s="303" t="s">
        <v>298</v>
      </c>
      <c r="B51" s="213">
        <v>1</v>
      </c>
      <c r="C51" s="213">
        <v>240</v>
      </c>
      <c r="D51" s="213">
        <f>ROUND(B51*C51,0)</f>
        <v>240</v>
      </c>
      <c r="E51" s="213"/>
      <c r="F51" s="212"/>
      <c r="G51" s="212"/>
      <c r="H51" s="212"/>
      <c r="I51" s="212"/>
      <c r="J51" s="212"/>
    </row>
    <row r="52" spans="1:10" ht="15" hidden="1" x14ac:dyDescent="0.35">
      <c r="A52" s="303" t="s">
        <v>898</v>
      </c>
      <c r="B52" s="213">
        <v>4</v>
      </c>
      <c r="C52" s="213">
        <v>35</v>
      </c>
      <c r="D52" s="150">
        <f>ROUND(B52*C52,0)</f>
        <v>140</v>
      </c>
      <c r="E52" s="213"/>
      <c r="F52" s="212"/>
      <c r="G52" s="212"/>
      <c r="H52" s="212"/>
      <c r="I52" s="212"/>
      <c r="J52" s="212"/>
    </row>
    <row r="53" spans="1:10" hidden="1" x14ac:dyDescent="0.2">
      <c r="A53" s="303" t="s">
        <v>1067</v>
      </c>
      <c r="B53" s="213"/>
      <c r="C53" s="213"/>
      <c r="D53" s="213">
        <f>SUM(D51:D52)</f>
        <v>380</v>
      </c>
      <c r="E53" s="213"/>
      <c r="F53" s="212"/>
      <c r="G53" s="212"/>
      <c r="H53" s="212"/>
      <c r="I53" s="212"/>
      <c r="J53" s="212"/>
    </row>
    <row r="54" spans="1:10" x14ac:dyDescent="0.2">
      <c r="A54" s="303"/>
      <c r="B54" s="213"/>
      <c r="C54" s="213"/>
      <c r="D54" s="213"/>
      <c r="E54" s="213"/>
      <c r="F54" s="212"/>
      <c r="G54" s="212"/>
      <c r="H54" s="212"/>
      <c r="I54" s="212"/>
      <c r="J54" s="212"/>
    </row>
    <row r="55" spans="1:10" ht="13.5" x14ac:dyDescent="0.25">
      <c r="A55" s="305" t="s">
        <v>1261</v>
      </c>
      <c r="B55" s="213"/>
      <c r="C55" s="213"/>
      <c r="D55" s="213"/>
      <c r="E55" s="213">
        <v>2396</v>
      </c>
      <c r="F55" s="212">
        <v>2625</v>
      </c>
      <c r="G55" s="212">
        <v>2825</v>
      </c>
      <c r="H55" s="212">
        <v>2825</v>
      </c>
      <c r="I55" s="212">
        <v>2825</v>
      </c>
      <c r="J55" s="212">
        <v>2825</v>
      </c>
    </row>
    <row r="56" spans="1:10" hidden="1" x14ac:dyDescent="0.2">
      <c r="A56" s="303" t="s">
        <v>699</v>
      </c>
      <c r="B56" s="213">
        <v>5</v>
      </c>
      <c r="C56" s="213">
        <v>565</v>
      </c>
      <c r="D56" s="213">
        <f>ROUND(B56*C56,0)</f>
        <v>2825</v>
      </c>
      <c r="E56" s="213"/>
      <c r="F56" s="212"/>
      <c r="G56" s="212"/>
      <c r="H56" s="212"/>
      <c r="I56" s="212"/>
      <c r="J56" s="212"/>
    </row>
    <row r="57" spans="1:10" x14ac:dyDescent="0.2">
      <c r="A57" s="303"/>
      <c r="B57" s="213"/>
      <c r="C57" s="213"/>
      <c r="D57" s="213"/>
      <c r="E57" s="213"/>
      <c r="F57" s="212"/>
      <c r="G57" s="212"/>
      <c r="H57" s="212"/>
      <c r="I57" s="212"/>
      <c r="J57" s="212"/>
    </row>
    <row r="58" spans="1:10" ht="13.5" x14ac:dyDescent="0.25">
      <c r="A58" s="305" t="s">
        <v>1262</v>
      </c>
      <c r="B58" s="213"/>
      <c r="C58" s="213"/>
      <c r="D58" s="213"/>
      <c r="E58" s="213">
        <v>8309</v>
      </c>
      <c r="F58" s="212">
        <v>8402</v>
      </c>
      <c r="G58" s="212">
        <v>7285</v>
      </c>
      <c r="H58" s="212">
        <v>7285</v>
      </c>
      <c r="I58" s="212">
        <v>7285</v>
      </c>
      <c r="J58" s="212">
        <v>7605</v>
      </c>
    </row>
    <row r="59" spans="1:10" hidden="1" x14ac:dyDescent="0.2">
      <c r="A59" s="303" t="s">
        <v>1264</v>
      </c>
      <c r="B59" s="213">
        <f>+D9</f>
        <v>71649</v>
      </c>
      <c r="C59" s="306">
        <v>2.4629999999999999E-2</v>
      </c>
      <c r="D59" s="213">
        <f>ROUND(B59*C59,0)</f>
        <v>1765</v>
      </c>
      <c r="E59" s="213"/>
      <c r="F59" s="212"/>
      <c r="G59" s="212"/>
      <c r="H59" s="212"/>
      <c r="I59" s="212"/>
      <c r="J59" s="212"/>
    </row>
    <row r="60" spans="1:10" hidden="1" x14ac:dyDescent="0.2">
      <c r="A60" s="303" t="s">
        <v>683</v>
      </c>
      <c r="B60" s="213">
        <f>+D17</f>
        <v>228160</v>
      </c>
      <c r="C60" s="306">
        <v>2.4629999999999999E-2</v>
      </c>
      <c r="D60" s="213">
        <f>ROUND(B60*C60,0)</f>
        <v>5620</v>
      </c>
      <c r="E60" s="213"/>
      <c r="F60" s="212"/>
      <c r="G60" s="212"/>
      <c r="H60" s="212"/>
      <c r="I60" s="212"/>
      <c r="J60" s="212"/>
    </row>
    <row r="61" spans="1:10" hidden="1" x14ac:dyDescent="0.2">
      <c r="A61" s="303" t="s">
        <v>1596</v>
      </c>
      <c r="B61" s="213">
        <f>ROUND(D20,0)</f>
        <v>3806</v>
      </c>
      <c r="C61" s="306">
        <v>2.4629999999999999E-2</v>
      </c>
      <c r="D61" s="213">
        <f>ROUND(B61*C61,0)</f>
        <v>94</v>
      </c>
      <c r="E61" s="213"/>
      <c r="F61" s="212"/>
      <c r="G61" s="212"/>
      <c r="H61" s="212"/>
      <c r="I61" s="212"/>
      <c r="J61" s="212"/>
    </row>
    <row r="62" spans="1:10" ht="15" hidden="1" x14ac:dyDescent="0.35">
      <c r="A62" s="303" t="s">
        <v>1597</v>
      </c>
      <c r="B62" s="213">
        <f>ROUND(D24,0)</f>
        <v>5098</v>
      </c>
      <c r="C62" s="306">
        <v>2.4629999999999999E-2</v>
      </c>
      <c r="D62" s="150">
        <f>ROUND(B62*C62,0)</f>
        <v>126</v>
      </c>
      <c r="E62" s="213"/>
      <c r="F62" s="212"/>
      <c r="G62" s="212"/>
      <c r="H62" s="212"/>
      <c r="I62" s="212"/>
      <c r="J62" s="212"/>
    </row>
    <row r="63" spans="1:10" hidden="1" x14ac:dyDescent="0.2">
      <c r="A63" s="303" t="s">
        <v>1067</v>
      </c>
      <c r="B63" s="213"/>
      <c r="C63" s="213"/>
      <c r="D63" s="213">
        <f>SUM(D59:D62)</f>
        <v>7605</v>
      </c>
      <c r="E63" s="213"/>
      <c r="F63" s="212"/>
      <c r="G63" s="212"/>
      <c r="H63" s="212"/>
      <c r="I63" s="212"/>
      <c r="J63" s="212"/>
    </row>
    <row r="64" spans="1:10" x14ac:dyDescent="0.2">
      <c r="A64" s="303"/>
      <c r="B64" s="213"/>
      <c r="C64" s="213"/>
      <c r="D64" s="213"/>
      <c r="E64" s="213"/>
      <c r="F64" s="212"/>
      <c r="G64" s="212"/>
      <c r="H64" s="212"/>
      <c r="I64" s="212"/>
      <c r="J64" s="212"/>
    </row>
    <row r="65" spans="1:10" ht="13.5" x14ac:dyDescent="0.25">
      <c r="A65" s="305" t="s">
        <v>413</v>
      </c>
      <c r="B65" s="213"/>
      <c r="C65" s="213"/>
      <c r="D65" s="213"/>
      <c r="E65" s="213">
        <v>51</v>
      </c>
      <c r="F65" s="212">
        <v>100</v>
      </c>
      <c r="G65" s="212">
        <v>100</v>
      </c>
      <c r="H65" s="212">
        <v>100</v>
      </c>
      <c r="I65" s="212">
        <v>100</v>
      </c>
      <c r="J65" s="212">
        <v>100</v>
      </c>
    </row>
    <row r="66" spans="1:10" hidden="1" x14ac:dyDescent="0.2">
      <c r="A66" s="303" t="s">
        <v>1264</v>
      </c>
      <c r="B66" s="213">
        <v>1</v>
      </c>
      <c r="C66" s="213">
        <v>20</v>
      </c>
      <c r="D66" s="213">
        <f>ROUND(B66*C66,0)</f>
        <v>20</v>
      </c>
      <c r="E66" s="213"/>
      <c r="F66" s="212"/>
      <c r="G66" s="212"/>
      <c r="H66" s="212"/>
      <c r="I66" s="212"/>
      <c r="J66" s="212"/>
    </row>
    <row r="67" spans="1:10" ht="15" hidden="1" x14ac:dyDescent="0.35">
      <c r="A67" s="303" t="s">
        <v>683</v>
      </c>
      <c r="B67" s="213">
        <v>4</v>
      </c>
      <c r="C67" s="213">
        <v>20</v>
      </c>
      <c r="D67" s="150">
        <f>ROUND(B67*C67,0)</f>
        <v>80</v>
      </c>
      <c r="E67" s="213"/>
      <c r="F67" s="212"/>
      <c r="G67" s="212"/>
      <c r="H67" s="212"/>
      <c r="I67" s="212"/>
      <c r="J67" s="212"/>
    </row>
    <row r="68" spans="1:10" hidden="1" x14ac:dyDescent="0.2">
      <c r="A68" s="303" t="s">
        <v>1067</v>
      </c>
      <c r="B68" s="213"/>
      <c r="C68" s="213"/>
      <c r="D68" s="213">
        <f>SUM(D66:D67)</f>
        <v>100</v>
      </c>
      <c r="E68" s="213"/>
      <c r="F68" s="212"/>
      <c r="G68" s="212"/>
      <c r="H68" s="212"/>
      <c r="I68" s="212"/>
      <c r="J68" s="212"/>
    </row>
    <row r="69" spans="1:10" x14ac:dyDescent="0.2">
      <c r="A69" s="303"/>
      <c r="B69" s="213"/>
      <c r="C69" s="213"/>
      <c r="D69" s="213"/>
      <c r="E69" s="213"/>
      <c r="F69" s="212"/>
      <c r="G69" s="212"/>
      <c r="H69" s="212"/>
      <c r="I69" s="212"/>
      <c r="J69" s="212"/>
    </row>
    <row r="70" spans="1:10" ht="13.5" x14ac:dyDescent="0.25">
      <c r="A70" s="305" t="s">
        <v>203</v>
      </c>
      <c r="B70" s="213"/>
      <c r="C70" s="213"/>
      <c r="D70" s="213"/>
      <c r="E70" s="213">
        <v>0</v>
      </c>
      <c r="F70" s="212">
        <v>0</v>
      </c>
      <c r="G70" s="212">
        <v>0</v>
      </c>
      <c r="H70" s="212">
        <v>0</v>
      </c>
      <c r="I70" s="212">
        <v>0</v>
      </c>
      <c r="J70" s="212">
        <v>0</v>
      </c>
    </row>
    <row r="71" spans="1:10" x14ac:dyDescent="0.2">
      <c r="A71" s="303" t="s">
        <v>1999</v>
      </c>
      <c r="B71" s="213"/>
      <c r="C71" s="213"/>
      <c r="D71" s="213">
        <v>0</v>
      </c>
      <c r="E71" s="213"/>
      <c r="F71" s="212"/>
      <c r="G71" s="212"/>
      <c r="H71" s="212"/>
      <c r="I71" s="212"/>
      <c r="J71" s="212"/>
    </row>
    <row r="72" spans="1:10" x14ac:dyDescent="0.2">
      <c r="A72" s="303"/>
      <c r="B72" s="213"/>
      <c r="C72" s="213"/>
      <c r="D72" s="213"/>
      <c r="E72" s="213"/>
      <c r="F72" s="212"/>
      <c r="G72" s="212"/>
      <c r="H72" s="212"/>
      <c r="I72" s="212"/>
      <c r="J72" s="212"/>
    </row>
    <row r="73" spans="1:10" ht="13.5" x14ac:dyDescent="0.25">
      <c r="A73" s="305" t="s">
        <v>204</v>
      </c>
      <c r="B73" s="213"/>
      <c r="C73" s="213"/>
      <c r="D73" s="213"/>
      <c r="E73" s="213">
        <v>1386</v>
      </c>
      <c r="F73" s="212">
        <v>2900</v>
      </c>
      <c r="G73" s="212">
        <v>2900</v>
      </c>
      <c r="H73" s="212">
        <v>2900</v>
      </c>
      <c r="I73" s="212">
        <v>2900</v>
      </c>
      <c r="J73" s="212">
        <v>2900</v>
      </c>
    </row>
    <row r="74" spans="1:10" x14ac:dyDescent="0.2">
      <c r="A74" s="303" t="s">
        <v>1233</v>
      </c>
      <c r="B74" s="213"/>
      <c r="C74" s="213"/>
      <c r="D74" s="213">
        <v>2900</v>
      </c>
      <c r="E74" s="213"/>
      <c r="F74" s="212"/>
      <c r="G74" s="212"/>
      <c r="H74" s="212"/>
      <c r="I74" s="212"/>
      <c r="J74" s="212"/>
    </row>
    <row r="75" spans="1:10" x14ac:dyDescent="0.2">
      <c r="A75" s="303"/>
      <c r="B75" s="213"/>
      <c r="C75" s="213"/>
      <c r="D75" s="213"/>
      <c r="E75" s="213"/>
      <c r="F75" s="212"/>
      <c r="G75" s="212"/>
      <c r="H75" s="212"/>
      <c r="I75" s="212"/>
      <c r="J75" s="212"/>
    </row>
    <row r="76" spans="1:10" ht="13.5" x14ac:dyDescent="0.25">
      <c r="A76" s="305" t="s">
        <v>185</v>
      </c>
      <c r="B76" s="213"/>
      <c r="C76" s="213"/>
      <c r="D76" s="213" t="s">
        <v>338</v>
      </c>
      <c r="E76" s="213">
        <v>3047</v>
      </c>
      <c r="F76" s="212">
        <v>3215</v>
      </c>
      <c r="G76" s="212">
        <v>3215</v>
      </c>
      <c r="H76" s="212">
        <v>3215</v>
      </c>
      <c r="I76" s="212">
        <v>3215</v>
      </c>
      <c r="J76" s="212">
        <v>3215</v>
      </c>
    </row>
    <row r="77" spans="1:10" x14ac:dyDescent="0.2">
      <c r="A77" s="303" t="s">
        <v>908</v>
      </c>
      <c r="B77" s="213">
        <v>1</v>
      </c>
      <c r="C77" s="213">
        <v>300</v>
      </c>
      <c r="D77" s="213">
        <f t="shared" ref="D77:D82" si="0">ROUND(B77*C77,0)</f>
        <v>300</v>
      </c>
      <c r="E77" s="213"/>
      <c r="F77" s="212"/>
      <c r="G77" s="212"/>
      <c r="H77" s="212"/>
      <c r="I77" s="212"/>
      <c r="J77" s="212"/>
    </row>
    <row r="78" spans="1:10" x14ac:dyDescent="0.2">
      <c r="A78" s="303" t="s">
        <v>786</v>
      </c>
      <c r="B78" s="213">
        <v>4</v>
      </c>
      <c r="C78" s="213">
        <v>300</v>
      </c>
      <c r="D78" s="213">
        <f t="shared" si="0"/>
        <v>1200</v>
      </c>
      <c r="E78" s="213"/>
      <c r="F78" s="212"/>
      <c r="G78" s="212"/>
      <c r="H78" s="212"/>
      <c r="I78" s="212"/>
      <c r="J78" s="212"/>
    </row>
    <row r="79" spans="1:10" x14ac:dyDescent="0.2">
      <c r="A79" s="303" t="s">
        <v>1007</v>
      </c>
      <c r="B79" s="213">
        <v>1</v>
      </c>
      <c r="C79" s="213">
        <v>200</v>
      </c>
      <c r="D79" s="213">
        <f t="shared" si="0"/>
        <v>200</v>
      </c>
      <c r="E79" s="213"/>
      <c r="F79" s="212"/>
      <c r="G79" s="212"/>
      <c r="H79" s="212"/>
      <c r="I79" s="212"/>
      <c r="J79" s="212"/>
    </row>
    <row r="80" spans="1:10" x14ac:dyDescent="0.2">
      <c r="A80" s="303" t="s">
        <v>1008</v>
      </c>
      <c r="B80" s="213">
        <v>4</v>
      </c>
      <c r="C80" s="213">
        <v>275</v>
      </c>
      <c r="D80" s="213">
        <f t="shared" si="0"/>
        <v>1100</v>
      </c>
      <c r="E80" s="213"/>
      <c r="F80" s="212"/>
      <c r="G80" s="212"/>
      <c r="H80" s="212"/>
      <c r="I80" s="212"/>
      <c r="J80" s="212"/>
    </row>
    <row r="81" spans="1:10" x14ac:dyDescent="0.2">
      <c r="A81" s="303" t="s">
        <v>753</v>
      </c>
      <c r="B81" s="213">
        <v>5</v>
      </c>
      <c r="C81" s="213">
        <v>60</v>
      </c>
      <c r="D81" s="213">
        <f t="shared" si="0"/>
        <v>300</v>
      </c>
      <c r="E81" s="213"/>
      <c r="F81" s="212"/>
      <c r="G81" s="212"/>
      <c r="H81" s="212"/>
      <c r="I81" s="212"/>
      <c r="J81" s="212"/>
    </row>
    <row r="82" spans="1:10" s="229" customFormat="1" x14ac:dyDescent="0.2">
      <c r="A82" s="303" t="s">
        <v>2034</v>
      </c>
      <c r="B82" s="213">
        <v>1</v>
      </c>
      <c r="C82" s="213">
        <v>115</v>
      </c>
      <c r="D82" s="307">
        <f t="shared" si="0"/>
        <v>115</v>
      </c>
      <c r="E82" s="213"/>
      <c r="F82" s="212"/>
      <c r="G82" s="212"/>
      <c r="H82" s="212"/>
      <c r="I82" s="212"/>
      <c r="J82" s="212"/>
    </row>
    <row r="83" spans="1:10" x14ac:dyDescent="0.2">
      <c r="A83" s="303" t="s">
        <v>1067</v>
      </c>
      <c r="B83" s="213"/>
      <c r="C83" s="213"/>
      <c r="D83" s="213">
        <f>SUM(D77:D82)</f>
        <v>3215</v>
      </c>
      <c r="E83" s="213"/>
      <c r="F83" s="212"/>
      <c r="G83" s="212"/>
      <c r="H83" s="212"/>
      <c r="I83" s="212"/>
      <c r="J83" s="212"/>
    </row>
    <row r="84" spans="1:10" x14ac:dyDescent="0.2">
      <c r="A84" s="303"/>
      <c r="B84" s="213"/>
      <c r="C84" s="213"/>
      <c r="D84" s="213"/>
      <c r="E84" s="213"/>
      <c r="F84" s="212"/>
      <c r="G84" s="212"/>
      <c r="H84" s="212"/>
      <c r="I84" s="212"/>
      <c r="J84" s="212"/>
    </row>
    <row r="85" spans="1:10" ht="13.5" x14ac:dyDescent="0.25">
      <c r="A85" s="305" t="s">
        <v>117</v>
      </c>
      <c r="B85" s="213"/>
      <c r="C85" s="213"/>
      <c r="D85" s="213">
        <v>50</v>
      </c>
      <c r="E85" s="213">
        <v>11</v>
      </c>
      <c r="F85" s="212">
        <v>50</v>
      </c>
      <c r="G85" s="212">
        <v>50</v>
      </c>
      <c r="H85" s="212">
        <v>50</v>
      </c>
      <c r="I85" s="212">
        <v>50</v>
      </c>
      <c r="J85" s="212">
        <v>50</v>
      </c>
    </row>
    <row r="86" spans="1:10" x14ac:dyDescent="0.2">
      <c r="A86" s="303"/>
      <c r="B86" s="213"/>
      <c r="C86" s="213"/>
      <c r="D86" s="213"/>
      <c r="E86" s="213"/>
      <c r="F86" s="212"/>
      <c r="G86" s="212"/>
      <c r="H86" s="212"/>
      <c r="I86" s="212"/>
      <c r="J86" s="212"/>
    </row>
    <row r="87" spans="1:10" ht="13.5" x14ac:dyDescent="0.25">
      <c r="A87" s="305" t="s">
        <v>754</v>
      </c>
      <c r="B87" s="213"/>
      <c r="C87" s="213"/>
      <c r="D87" s="213"/>
      <c r="E87" s="213">
        <v>2001</v>
      </c>
      <c r="F87" s="212">
        <v>2492</v>
      </c>
      <c r="G87" s="212">
        <v>3079</v>
      </c>
      <c r="H87" s="212">
        <v>3079</v>
      </c>
      <c r="I87" s="212">
        <v>3079</v>
      </c>
      <c r="J87" s="212">
        <v>3079</v>
      </c>
    </row>
    <row r="88" spans="1:10" x14ac:dyDescent="0.2">
      <c r="A88" s="303" t="s">
        <v>1063</v>
      </c>
      <c r="B88" s="213">
        <v>850</v>
      </c>
      <c r="C88" s="308">
        <v>3.5</v>
      </c>
      <c r="D88" s="213">
        <f>ROUND(B88*C88,0)</f>
        <v>2975</v>
      </c>
      <c r="E88" s="213"/>
      <c r="F88" s="212"/>
      <c r="G88" s="212"/>
      <c r="H88" s="212"/>
      <c r="I88" s="212"/>
      <c r="J88" s="212"/>
    </row>
    <row r="89" spans="1:10" ht="15" x14ac:dyDescent="0.35">
      <c r="A89" s="303" t="s">
        <v>389</v>
      </c>
      <c r="B89" s="213">
        <v>25</v>
      </c>
      <c r="C89" s="309">
        <v>4.1500000000000004</v>
      </c>
      <c r="D89" s="150">
        <f>ROUND(B89*C89,0)</f>
        <v>104</v>
      </c>
      <c r="E89" s="213"/>
      <c r="F89" s="212"/>
      <c r="G89" s="212"/>
      <c r="H89" s="212"/>
      <c r="I89" s="212"/>
      <c r="J89" s="212"/>
    </row>
    <row r="90" spans="1:10" x14ac:dyDescent="0.2">
      <c r="A90" s="303" t="s">
        <v>1067</v>
      </c>
      <c r="B90" s="213"/>
      <c r="C90" s="213"/>
      <c r="D90" s="213">
        <f>SUM(D88:D89)</f>
        <v>3079</v>
      </c>
      <c r="E90" s="213"/>
      <c r="F90" s="212"/>
      <c r="G90" s="212"/>
      <c r="H90" s="212"/>
      <c r="I90" s="212"/>
      <c r="J90" s="212"/>
    </row>
    <row r="91" spans="1:10" x14ac:dyDescent="0.2">
      <c r="A91" s="303"/>
      <c r="B91" s="213"/>
      <c r="C91" s="213"/>
      <c r="D91" s="213"/>
      <c r="E91" s="213"/>
      <c r="F91" s="212"/>
      <c r="G91" s="212"/>
      <c r="H91" s="212"/>
      <c r="I91" s="212"/>
      <c r="J91" s="212"/>
    </row>
    <row r="92" spans="1:10" ht="13.5" x14ac:dyDescent="0.25">
      <c r="A92" s="305" t="s">
        <v>1064</v>
      </c>
      <c r="B92" s="213"/>
      <c r="C92" s="213"/>
      <c r="D92" s="213"/>
      <c r="E92" s="213">
        <v>480</v>
      </c>
      <c r="F92" s="212">
        <v>480</v>
      </c>
      <c r="G92" s="212">
        <v>480</v>
      </c>
      <c r="H92" s="212">
        <v>480</v>
      </c>
      <c r="I92" s="212">
        <v>480</v>
      </c>
      <c r="J92" s="212">
        <v>480</v>
      </c>
    </row>
    <row r="93" spans="1:10" x14ac:dyDescent="0.2">
      <c r="A93" s="303" t="s">
        <v>256</v>
      </c>
      <c r="B93" s="213"/>
      <c r="C93" s="213"/>
      <c r="D93" s="213">
        <v>480</v>
      </c>
      <c r="E93" s="213"/>
      <c r="F93" s="212"/>
      <c r="G93" s="212"/>
      <c r="H93" s="212"/>
      <c r="I93" s="212"/>
      <c r="J93" s="212"/>
    </row>
    <row r="94" spans="1:10" x14ac:dyDescent="0.2">
      <c r="A94" s="303"/>
      <c r="B94" s="213"/>
      <c r="C94" s="213"/>
      <c r="D94" s="213"/>
      <c r="E94" s="213"/>
      <c r="F94" s="212"/>
      <c r="G94" s="212"/>
      <c r="H94" s="212"/>
      <c r="I94" s="212"/>
      <c r="J94" s="212"/>
    </row>
    <row r="95" spans="1:10" x14ac:dyDescent="0.2">
      <c r="A95" s="303"/>
      <c r="B95" s="213"/>
      <c r="C95" s="213"/>
      <c r="D95" s="213"/>
      <c r="E95" s="213"/>
      <c r="F95" s="212"/>
      <c r="G95" s="212"/>
      <c r="H95" s="212"/>
      <c r="I95" s="212"/>
      <c r="J95" s="212"/>
    </row>
    <row r="96" spans="1:10" ht="13.5" x14ac:dyDescent="0.25">
      <c r="A96" s="305" t="s">
        <v>722</v>
      </c>
      <c r="B96" s="213"/>
      <c r="C96" s="213"/>
      <c r="D96" s="213"/>
      <c r="E96" s="213">
        <v>2423</v>
      </c>
      <c r="F96" s="212">
        <v>3081</v>
      </c>
      <c r="G96" s="212">
        <v>3235</v>
      </c>
      <c r="H96" s="212">
        <v>3235</v>
      </c>
      <c r="I96" s="212">
        <v>3235</v>
      </c>
      <c r="J96" s="212">
        <v>3235</v>
      </c>
    </row>
    <row r="97" spans="1:10" x14ac:dyDescent="0.2">
      <c r="A97" s="303" t="s">
        <v>1406</v>
      </c>
      <c r="B97" s="213"/>
      <c r="C97" s="213"/>
      <c r="D97" s="213">
        <v>3235</v>
      </c>
      <c r="E97" s="213"/>
      <c r="F97" s="212"/>
      <c r="G97" s="212"/>
      <c r="H97" s="212"/>
      <c r="I97" s="212"/>
      <c r="J97" s="212"/>
    </row>
    <row r="98" spans="1:10" x14ac:dyDescent="0.2">
      <c r="A98" s="303"/>
      <c r="B98" s="213"/>
      <c r="C98" s="213"/>
      <c r="D98" s="213"/>
      <c r="E98" s="213"/>
      <c r="F98" s="212"/>
      <c r="G98" s="212"/>
      <c r="H98" s="212"/>
      <c r="I98" s="212"/>
      <c r="J98" s="212"/>
    </row>
    <row r="99" spans="1:10" ht="13.5" x14ac:dyDescent="0.25">
      <c r="A99" s="305" t="s">
        <v>723</v>
      </c>
      <c r="B99" s="213"/>
      <c r="C99" s="213"/>
      <c r="D99" s="213"/>
      <c r="E99" s="213">
        <v>281</v>
      </c>
      <c r="F99" s="212">
        <v>500</v>
      </c>
      <c r="G99" s="212">
        <v>500</v>
      </c>
      <c r="H99" s="212">
        <v>500</v>
      </c>
      <c r="I99" s="212">
        <v>500</v>
      </c>
      <c r="J99" s="212">
        <v>500</v>
      </c>
    </row>
    <row r="100" spans="1:10" x14ac:dyDescent="0.2">
      <c r="A100" s="303" t="s">
        <v>525</v>
      </c>
      <c r="B100" s="213"/>
      <c r="C100" s="213"/>
      <c r="D100" s="213">
        <v>500</v>
      </c>
      <c r="E100" s="213"/>
      <c r="F100" s="212"/>
      <c r="G100" s="212"/>
      <c r="H100" s="212"/>
      <c r="I100" s="212"/>
      <c r="J100" s="212"/>
    </row>
    <row r="101" spans="1:10" x14ac:dyDescent="0.2">
      <c r="A101" s="303"/>
      <c r="B101" s="213"/>
      <c r="C101" s="213"/>
      <c r="D101" s="213"/>
      <c r="E101" s="213"/>
      <c r="F101" s="212"/>
      <c r="G101" s="212"/>
      <c r="H101" s="212"/>
      <c r="I101" s="212"/>
      <c r="J101" s="212"/>
    </row>
    <row r="102" spans="1:10" ht="13.5" x14ac:dyDescent="0.25">
      <c r="A102" s="305" t="s">
        <v>934</v>
      </c>
      <c r="B102" s="213"/>
      <c r="C102" s="213"/>
      <c r="D102" s="213"/>
      <c r="E102" s="213">
        <v>4018</v>
      </c>
      <c r="F102" s="212">
        <v>5400</v>
      </c>
      <c r="G102" s="212">
        <v>4500</v>
      </c>
      <c r="H102" s="212">
        <v>4500</v>
      </c>
      <c r="I102" s="212">
        <v>4500</v>
      </c>
      <c r="J102" s="212">
        <v>4500</v>
      </c>
    </row>
    <row r="103" spans="1:10" x14ac:dyDescent="0.2">
      <c r="A103" s="303" t="s">
        <v>2000</v>
      </c>
      <c r="B103" s="213"/>
      <c r="C103" s="213"/>
      <c r="D103" s="213">
        <v>4500</v>
      </c>
      <c r="E103" s="213"/>
      <c r="F103" s="212"/>
      <c r="G103" s="212"/>
      <c r="H103" s="212"/>
      <c r="I103" s="212"/>
      <c r="J103" s="212"/>
    </row>
    <row r="104" spans="1:10" x14ac:dyDescent="0.2">
      <c r="A104" s="303"/>
      <c r="B104" s="213"/>
      <c r="C104" s="213"/>
      <c r="D104" s="213"/>
      <c r="E104" s="213"/>
      <c r="F104" s="212"/>
      <c r="G104" s="212"/>
      <c r="H104" s="212"/>
      <c r="I104" s="212"/>
      <c r="J104" s="212"/>
    </row>
    <row r="105" spans="1:10" ht="13.5" x14ac:dyDescent="0.25">
      <c r="A105" s="305" t="s">
        <v>935</v>
      </c>
      <c r="B105" s="213"/>
      <c r="C105" s="213"/>
      <c r="D105" s="213"/>
      <c r="E105" s="213">
        <v>92</v>
      </c>
      <c r="F105" s="212">
        <v>1000</v>
      </c>
      <c r="G105" s="212">
        <v>500</v>
      </c>
      <c r="H105" s="212">
        <v>500</v>
      </c>
      <c r="I105" s="212">
        <v>500</v>
      </c>
      <c r="J105" s="212">
        <v>500</v>
      </c>
    </row>
    <row r="106" spans="1:10" x14ac:dyDescent="0.2">
      <c r="A106" s="303" t="s">
        <v>1474</v>
      </c>
      <c r="B106" s="213"/>
      <c r="C106" s="213"/>
      <c r="D106" s="213">
        <v>500</v>
      </c>
      <c r="E106" s="213"/>
      <c r="F106" s="212"/>
      <c r="G106" s="212"/>
      <c r="H106" s="212"/>
      <c r="I106" s="212"/>
      <c r="J106" s="212"/>
    </row>
    <row r="107" spans="1:10" x14ac:dyDescent="0.2">
      <c r="A107" s="303"/>
      <c r="B107" s="213"/>
      <c r="C107" s="213"/>
      <c r="D107" s="213"/>
      <c r="E107" s="213"/>
      <c r="F107" s="212"/>
      <c r="G107" s="212"/>
      <c r="H107" s="212"/>
      <c r="I107" s="212"/>
      <c r="J107" s="212"/>
    </row>
    <row r="108" spans="1:10" ht="13.5" x14ac:dyDescent="0.25">
      <c r="A108" s="305" t="s">
        <v>1346</v>
      </c>
      <c r="B108" s="213"/>
      <c r="C108" s="213"/>
      <c r="D108" s="213"/>
      <c r="E108" s="213">
        <v>2448</v>
      </c>
      <c r="F108" s="212">
        <v>5552</v>
      </c>
      <c r="G108" s="212">
        <v>5552</v>
      </c>
      <c r="H108" s="212">
        <v>5552</v>
      </c>
      <c r="I108" s="212">
        <v>5552</v>
      </c>
      <c r="J108" s="212">
        <v>5552</v>
      </c>
    </row>
    <row r="109" spans="1:10" x14ac:dyDescent="0.2">
      <c r="A109" s="303" t="s">
        <v>1530</v>
      </c>
      <c r="B109" s="213"/>
      <c r="C109" s="213"/>
      <c r="D109" s="213">
        <v>2448</v>
      </c>
      <c r="E109" s="213"/>
      <c r="F109" s="212"/>
      <c r="G109" s="212"/>
      <c r="H109" s="212"/>
      <c r="I109" s="212"/>
      <c r="J109" s="212"/>
    </row>
    <row r="110" spans="1:10" x14ac:dyDescent="0.2">
      <c r="A110" s="303" t="s">
        <v>1636</v>
      </c>
      <c r="B110" s="213"/>
      <c r="C110" s="213"/>
      <c r="D110" s="213">
        <v>2104</v>
      </c>
      <c r="E110" s="213"/>
      <c r="F110" s="212"/>
      <c r="G110" s="212"/>
      <c r="H110" s="212"/>
      <c r="I110" s="212"/>
      <c r="J110" s="212"/>
    </row>
    <row r="111" spans="1:10" ht="15" x14ac:dyDescent="0.35">
      <c r="A111" s="303" t="s">
        <v>2001</v>
      </c>
      <c r="B111" s="213"/>
      <c r="C111" s="213"/>
      <c r="D111" s="150">
        <v>1000</v>
      </c>
      <c r="E111" s="213"/>
      <c r="F111" s="212"/>
      <c r="G111" s="212"/>
      <c r="H111" s="212"/>
      <c r="I111" s="212"/>
      <c r="J111" s="212"/>
    </row>
    <row r="112" spans="1:10" x14ac:dyDescent="0.2">
      <c r="A112" s="303"/>
      <c r="B112" s="213"/>
      <c r="C112" s="213"/>
      <c r="D112" s="213">
        <f>SUM(D109:D111)</f>
        <v>5552</v>
      </c>
      <c r="E112" s="213"/>
      <c r="F112" s="212"/>
      <c r="G112" s="212"/>
      <c r="H112" s="212"/>
      <c r="I112" s="212"/>
      <c r="J112" s="212"/>
    </row>
    <row r="113" spans="1:10" x14ac:dyDescent="0.2">
      <c r="A113" s="303"/>
      <c r="B113" s="213"/>
      <c r="C113" s="213"/>
      <c r="D113" s="213"/>
      <c r="E113" s="213"/>
      <c r="F113" s="212"/>
      <c r="G113" s="212"/>
      <c r="H113" s="212"/>
      <c r="I113" s="212"/>
      <c r="J113" s="212"/>
    </row>
    <row r="114" spans="1:10" ht="13.5" x14ac:dyDescent="0.25">
      <c r="A114" s="305" t="s">
        <v>1360</v>
      </c>
      <c r="B114" s="213"/>
      <c r="C114" s="213"/>
      <c r="D114" s="213"/>
      <c r="E114" s="213">
        <v>300</v>
      </c>
      <c r="F114" s="212">
        <v>1500</v>
      </c>
      <c r="G114" s="212">
        <v>1500</v>
      </c>
      <c r="H114" s="212">
        <v>1500</v>
      </c>
      <c r="I114" s="212">
        <v>1500</v>
      </c>
      <c r="J114" s="212">
        <v>1500</v>
      </c>
    </row>
    <row r="115" spans="1:10" x14ac:dyDescent="0.2">
      <c r="A115" s="303" t="s">
        <v>1475</v>
      </c>
      <c r="B115" s="213"/>
      <c r="C115" s="213"/>
      <c r="D115" s="213">
        <v>500</v>
      </c>
      <c r="E115" s="213"/>
      <c r="F115" s="212"/>
      <c r="G115" s="212"/>
      <c r="H115" s="212"/>
      <c r="I115" s="212"/>
      <c r="J115" s="212"/>
    </row>
    <row r="116" spans="1:10" ht="15" x14ac:dyDescent="0.35">
      <c r="A116" s="303" t="s">
        <v>1935</v>
      </c>
      <c r="B116" s="213"/>
      <c r="C116" s="213"/>
      <c r="D116" s="150">
        <v>1000</v>
      </c>
      <c r="E116" s="213"/>
      <c r="F116" s="212"/>
      <c r="G116" s="212"/>
      <c r="H116" s="212"/>
      <c r="I116" s="212"/>
      <c r="J116" s="212"/>
    </row>
    <row r="117" spans="1:10" x14ac:dyDescent="0.2">
      <c r="A117" s="303"/>
      <c r="B117" s="213"/>
      <c r="C117" s="213"/>
      <c r="D117" s="213">
        <f>SUM(D115:D116)</f>
        <v>1500</v>
      </c>
      <c r="E117" s="213"/>
      <c r="F117" s="212"/>
      <c r="G117" s="212"/>
      <c r="H117" s="212"/>
      <c r="I117" s="212"/>
      <c r="J117" s="212"/>
    </row>
    <row r="118" spans="1:10" x14ac:dyDescent="0.2">
      <c r="A118" s="303"/>
      <c r="B118" s="213"/>
      <c r="C118" s="213"/>
      <c r="D118" s="213"/>
      <c r="E118" s="213"/>
      <c r="F118" s="212"/>
      <c r="G118" s="212"/>
      <c r="H118" s="212"/>
      <c r="I118" s="212"/>
      <c r="J118" s="212"/>
    </row>
    <row r="119" spans="1:10" ht="13.5" x14ac:dyDescent="0.25">
      <c r="A119" s="305" t="s">
        <v>578</v>
      </c>
      <c r="B119" s="213"/>
      <c r="C119" s="213"/>
      <c r="D119" s="213"/>
      <c r="E119" s="213">
        <v>224</v>
      </c>
      <c r="F119" s="212">
        <v>200</v>
      </c>
      <c r="G119" s="212">
        <v>200</v>
      </c>
      <c r="H119" s="212">
        <v>200</v>
      </c>
      <c r="I119" s="212">
        <v>200</v>
      </c>
      <c r="J119" s="212">
        <v>200</v>
      </c>
    </row>
    <row r="120" spans="1:10" x14ac:dyDescent="0.2">
      <c r="A120" s="303" t="s">
        <v>1266</v>
      </c>
      <c r="B120" s="213"/>
      <c r="C120" s="213"/>
      <c r="D120" s="213">
        <v>200</v>
      </c>
      <c r="E120" s="213"/>
      <c r="F120" s="212"/>
      <c r="G120" s="212"/>
      <c r="H120" s="212"/>
      <c r="I120" s="212"/>
      <c r="J120" s="212"/>
    </row>
    <row r="121" spans="1:10" x14ac:dyDescent="0.2">
      <c r="A121" s="303"/>
      <c r="B121" s="213"/>
      <c r="C121" s="213"/>
      <c r="D121" s="213"/>
      <c r="E121" s="213"/>
      <c r="F121" s="212"/>
      <c r="G121" s="212"/>
      <c r="H121" s="212"/>
      <c r="I121" s="212"/>
      <c r="J121" s="212"/>
    </row>
    <row r="122" spans="1:10" ht="13.5" x14ac:dyDescent="0.25">
      <c r="A122" s="286" t="s">
        <v>372</v>
      </c>
      <c r="B122" s="213"/>
      <c r="C122" s="213"/>
      <c r="D122" s="213"/>
      <c r="E122" s="213">
        <v>0</v>
      </c>
      <c r="F122" s="212">
        <v>0</v>
      </c>
      <c r="G122" s="212">
        <f>D125</f>
        <v>14000</v>
      </c>
      <c r="H122" s="212">
        <v>0</v>
      </c>
      <c r="I122" s="212">
        <v>0</v>
      </c>
      <c r="J122" s="212">
        <v>0</v>
      </c>
    </row>
    <row r="123" spans="1:10" x14ac:dyDescent="0.2">
      <c r="A123" s="303" t="s">
        <v>2081</v>
      </c>
      <c r="B123" s="213"/>
      <c r="C123" s="213"/>
      <c r="D123" s="213">
        <v>4000</v>
      </c>
      <c r="E123" s="213"/>
      <c r="F123" s="212"/>
      <c r="G123" s="212"/>
      <c r="H123" s="212"/>
      <c r="I123" s="212"/>
      <c r="J123" s="212"/>
    </row>
    <row r="124" spans="1:10" ht="15" x14ac:dyDescent="0.35">
      <c r="A124" s="303" t="s">
        <v>2082</v>
      </c>
      <c r="B124" s="213"/>
      <c r="C124" s="213"/>
      <c r="D124" s="150">
        <v>10000</v>
      </c>
      <c r="E124" s="10">
        <v>0</v>
      </c>
      <c r="F124" s="10">
        <v>0</v>
      </c>
      <c r="G124" s="10">
        <v>0</v>
      </c>
      <c r="H124" s="10">
        <v>0</v>
      </c>
      <c r="I124" s="10">
        <v>0</v>
      </c>
      <c r="J124" s="10">
        <v>0</v>
      </c>
    </row>
    <row r="125" spans="1:10" x14ac:dyDescent="0.2">
      <c r="A125" s="303"/>
      <c r="B125" s="213"/>
      <c r="C125" s="213"/>
      <c r="D125" s="213">
        <f>SUM(D123:D124)</f>
        <v>14000</v>
      </c>
      <c r="E125" s="213"/>
      <c r="F125" s="212"/>
      <c r="G125" s="212"/>
      <c r="H125" s="212"/>
      <c r="I125" s="2"/>
      <c r="J125" s="2"/>
    </row>
    <row r="126" spans="1:10" x14ac:dyDescent="0.2">
      <c r="A126" s="283"/>
      <c r="B126" s="283"/>
      <c r="C126" s="2"/>
      <c r="D126" s="2"/>
      <c r="E126" s="2"/>
      <c r="F126" s="2"/>
      <c r="G126" s="2"/>
      <c r="H126" s="2"/>
      <c r="I126" s="2"/>
      <c r="J126" s="2"/>
    </row>
    <row r="127" spans="1:10" x14ac:dyDescent="0.2">
      <c r="A127" s="283" t="s">
        <v>1144</v>
      </c>
      <c r="B127" s="283"/>
      <c r="C127" s="2"/>
      <c r="D127" s="57"/>
      <c r="E127" s="2">
        <f t="shared" ref="E127:J127" si="1">SUM(E6:E126)</f>
        <v>481493</v>
      </c>
      <c r="F127" s="2">
        <f t="shared" si="1"/>
        <v>499132</v>
      </c>
      <c r="G127" s="2">
        <f t="shared" si="1"/>
        <v>516134</v>
      </c>
      <c r="H127" s="2">
        <f t="shared" si="1"/>
        <v>502134</v>
      </c>
      <c r="I127" s="2">
        <f t="shared" si="1"/>
        <v>502134</v>
      </c>
      <c r="J127" s="2">
        <f t="shared" si="1"/>
        <v>518157</v>
      </c>
    </row>
    <row r="128" spans="1:10" x14ac:dyDescent="0.2">
      <c r="A128" s="283"/>
      <c r="B128" s="283"/>
      <c r="C128" s="283"/>
      <c r="D128" s="283"/>
      <c r="E128" s="283"/>
      <c r="H128" s="267"/>
      <c r="I128" s="227"/>
    </row>
    <row r="129" spans="1:10" x14ac:dyDescent="0.2">
      <c r="A129" s="283"/>
      <c r="B129" s="283"/>
      <c r="C129" s="283"/>
      <c r="D129" s="283"/>
      <c r="E129" s="283"/>
      <c r="H129" s="267"/>
      <c r="I129" s="227"/>
    </row>
    <row r="130" spans="1:10" x14ac:dyDescent="0.2">
      <c r="A130" s="283" t="s">
        <v>511</v>
      </c>
      <c r="B130" s="283"/>
      <c r="C130" s="57"/>
      <c r="D130" s="57"/>
      <c r="E130" s="2">
        <f t="shared" ref="E130:J130" si="2">SUM(E6:E71)</f>
        <v>464782</v>
      </c>
      <c r="F130" s="2">
        <f t="shared" si="2"/>
        <v>472762</v>
      </c>
      <c r="G130" s="2">
        <f t="shared" si="2"/>
        <v>476423</v>
      </c>
      <c r="H130" s="2">
        <f t="shared" si="2"/>
        <v>476423</v>
      </c>
      <c r="I130" s="2">
        <f t="shared" si="2"/>
        <v>476423</v>
      </c>
      <c r="J130" s="2">
        <f t="shared" si="2"/>
        <v>492446</v>
      </c>
    </row>
    <row r="131" spans="1:10" x14ac:dyDescent="0.2">
      <c r="A131" s="283" t="s">
        <v>803</v>
      </c>
      <c r="B131" s="283"/>
      <c r="C131" s="46"/>
      <c r="D131" s="57"/>
      <c r="E131" s="2">
        <f>SUM(E72:E123)</f>
        <v>16711</v>
      </c>
      <c r="F131" s="2">
        <f>SUM(F72:F123)</f>
        <v>26370</v>
      </c>
      <c r="G131" s="2">
        <f>SUM(G72:G122)</f>
        <v>39711</v>
      </c>
      <c r="H131" s="2">
        <f>SUM(H72:H122)</f>
        <v>25711</v>
      </c>
      <c r="I131" s="2">
        <f>SUM(I72:I122)</f>
        <v>25711</v>
      </c>
      <c r="J131" s="2">
        <f>SUM(J72:J123)</f>
        <v>25711</v>
      </c>
    </row>
    <row r="132" spans="1:10" ht="15" x14ac:dyDescent="0.35">
      <c r="A132" s="283" t="s">
        <v>804</v>
      </c>
      <c r="B132" s="283"/>
      <c r="C132" s="283"/>
      <c r="D132" s="283"/>
      <c r="E132" s="10">
        <f t="shared" ref="E132:J132" si="3">SUM(E124)</f>
        <v>0</v>
      </c>
      <c r="F132" s="10">
        <f t="shared" si="3"/>
        <v>0</v>
      </c>
      <c r="G132" s="10">
        <f>SUM(G124)</f>
        <v>0</v>
      </c>
      <c r="H132" s="10">
        <f>SUM(H124)</f>
        <v>0</v>
      </c>
      <c r="I132" s="10">
        <f>SUM(I124)</f>
        <v>0</v>
      </c>
      <c r="J132" s="10">
        <f t="shared" si="3"/>
        <v>0</v>
      </c>
    </row>
    <row r="133" spans="1:10" x14ac:dyDescent="0.2">
      <c r="A133" s="283" t="s">
        <v>1067</v>
      </c>
      <c r="B133" s="283"/>
      <c r="C133" s="283"/>
      <c r="D133" s="283"/>
      <c r="E133" s="2">
        <f t="shared" ref="E133:J133" si="4">SUM(E130:E132)</f>
        <v>481493</v>
      </c>
      <c r="F133" s="2">
        <f t="shared" si="4"/>
        <v>499132</v>
      </c>
      <c r="G133" s="2">
        <f t="shared" si="4"/>
        <v>516134</v>
      </c>
      <c r="H133" s="2">
        <f t="shared" ref="H133" si="5">SUM(H130:H132)</f>
        <v>502134</v>
      </c>
      <c r="I133" s="2">
        <f>SUM(I130:I132)</f>
        <v>502134</v>
      </c>
      <c r="J133" s="2">
        <f t="shared" si="4"/>
        <v>518157</v>
      </c>
    </row>
    <row r="134" spans="1:10" x14ac:dyDescent="0.2">
      <c r="A134" s="283"/>
      <c r="B134" s="283"/>
      <c r="C134" s="283"/>
      <c r="D134" s="283"/>
      <c r="E134" s="283"/>
      <c r="H134" s="267"/>
      <c r="I134" s="227"/>
    </row>
    <row r="135" spans="1:10" x14ac:dyDescent="0.2">
      <c r="A135" s="283"/>
      <c r="B135" s="283"/>
      <c r="C135" s="283"/>
      <c r="D135" s="283"/>
      <c r="E135" s="283"/>
      <c r="H135" s="267"/>
      <c r="I135" s="227"/>
      <c r="J135" s="183">
        <v>16023</v>
      </c>
    </row>
    <row r="136" spans="1:10" x14ac:dyDescent="0.2">
      <c r="A136" s="283"/>
      <c r="B136" s="283"/>
      <c r="C136" s="283"/>
      <c r="D136" s="283"/>
      <c r="E136" s="283"/>
      <c r="H136" s="267"/>
      <c r="I136" s="227"/>
      <c r="J136" s="2">
        <f>J133-I133</f>
        <v>16023</v>
      </c>
    </row>
    <row r="137" spans="1:10" x14ac:dyDescent="0.2">
      <c r="A137" s="283"/>
      <c r="B137" s="283"/>
      <c r="C137" s="283"/>
      <c r="D137" s="283"/>
      <c r="E137" s="283"/>
      <c r="H137" s="267"/>
      <c r="I137" s="227"/>
      <c r="J137" s="2">
        <f>J135-J136</f>
        <v>0</v>
      </c>
    </row>
    <row r="138" spans="1:10" x14ac:dyDescent="0.2">
      <c r="A138" s="283"/>
      <c r="B138" s="283"/>
      <c r="C138" s="283"/>
      <c r="D138" s="283"/>
      <c r="E138" s="283"/>
      <c r="H138" s="267"/>
      <c r="I138" s="227"/>
    </row>
    <row r="139" spans="1:10" x14ac:dyDescent="0.2">
      <c r="A139" s="283"/>
      <c r="B139" s="283"/>
      <c r="C139" s="283"/>
      <c r="D139" s="283"/>
      <c r="E139" s="283"/>
      <c r="H139" s="267"/>
      <c r="I139" s="227"/>
    </row>
    <row r="140" spans="1:10" x14ac:dyDescent="0.2">
      <c r="A140" s="283"/>
      <c r="B140" s="283"/>
      <c r="C140" s="283"/>
      <c r="D140" s="283"/>
      <c r="E140" s="283"/>
      <c r="H140" s="267"/>
      <c r="I140" s="227"/>
    </row>
    <row r="141" spans="1:10" x14ac:dyDescent="0.2">
      <c r="A141" s="283"/>
      <c r="B141" s="283"/>
      <c r="C141" s="283"/>
      <c r="D141" s="283"/>
      <c r="E141" s="283"/>
      <c r="H141" s="267"/>
      <c r="I141" s="227"/>
    </row>
    <row r="142" spans="1:10" x14ac:dyDescent="0.2">
      <c r="A142" s="283"/>
      <c r="B142" s="283"/>
      <c r="C142" s="283"/>
      <c r="D142" s="283"/>
      <c r="E142" s="283"/>
      <c r="H142" s="267"/>
      <c r="I142" s="227"/>
    </row>
    <row r="143" spans="1:10" x14ac:dyDescent="0.2">
      <c r="A143" s="283"/>
      <c r="B143" s="283"/>
      <c r="C143" s="283"/>
      <c r="D143" s="283"/>
      <c r="E143" s="283"/>
      <c r="H143" s="267"/>
      <c r="I143" s="227"/>
    </row>
    <row r="144" spans="1:10" x14ac:dyDescent="0.2">
      <c r="A144" s="283"/>
      <c r="B144" s="283"/>
      <c r="C144" s="283"/>
      <c r="D144" s="283"/>
      <c r="E144" s="283"/>
      <c r="H144" s="267"/>
      <c r="I144" s="227"/>
    </row>
    <row r="145" spans="1:9" x14ac:dyDescent="0.2">
      <c r="A145" s="283"/>
      <c r="B145" s="283"/>
      <c r="C145" s="283"/>
      <c r="D145" s="283"/>
      <c r="E145" s="283"/>
      <c r="H145" s="267"/>
      <c r="I145" s="227"/>
    </row>
    <row r="146" spans="1:9" x14ac:dyDescent="0.2">
      <c r="A146" s="283"/>
      <c r="B146" s="283"/>
      <c r="C146" s="283"/>
      <c r="D146" s="283"/>
      <c r="E146" s="283"/>
      <c r="H146" s="267"/>
      <c r="I146" s="227"/>
    </row>
    <row r="147" spans="1:9" x14ac:dyDescent="0.2">
      <c r="A147" s="283"/>
      <c r="B147" s="283"/>
      <c r="C147" s="283"/>
      <c r="D147" s="283"/>
      <c r="E147" s="283"/>
      <c r="H147" s="267"/>
      <c r="I147" s="227"/>
    </row>
    <row r="148" spans="1:9" x14ac:dyDescent="0.2">
      <c r="A148" s="283"/>
      <c r="B148" s="283"/>
      <c r="C148" s="283"/>
      <c r="D148" s="283"/>
      <c r="E148" s="283"/>
      <c r="H148" s="267"/>
      <c r="I148" s="227"/>
    </row>
    <row r="149" spans="1:9" x14ac:dyDescent="0.2">
      <c r="A149" s="283"/>
      <c r="B149" s="283"/>
      <c r="C149" s="283"/>
      <c r="D149" s="283"/>
      <c r="E149" s="283"/>
      <c r="H149" s="267"/>
      <c r="I149" s="227"/>
    </row>
    <row r="150" spans="1:9" x14ac:dyDescent="0.2">
      <c r="A150" s="283"/>
      <c r="B150" s="283"/>
      <c r="C150" s="283"/>
      <c r="D150" s="283"/>
      <c r="E150" s="283"/>
      <c r="H150" s="267"/>
      <c r="I150" s="227"/>
    </row>
    <row r="151" spans="1:9" x14ac:dyDescent="0.2">
      <c r="H151" s="267"/>
      <c r="I151" s="227"/>
    </row>
    <row r="152" spans="1:9" x14ac:dyDescent="0.2">
      <c r="H152" s="267"/>
      <c r="I152" s="227"/>
    </row>
    <row r="153" spans="1:9" x14ac:dyDescent="0.2">
      <c r="H153" s="267"/>
      <c r="I153" s="227"/>
    </row>
    <row r="154" spans="1:9" x14ac:dyDescent="0.2">
      <c r="H154" s="267"/>
      <c r="I154" s="227"/>
    </row>
    <row r="155" spans="1:9" x14ac:dyDescent="0.2">
      <c r="H155" s="267"/>
      <c r="I155" s="227"/>
    </row>
    <row r="156" spans="1:9" x14ac:dyDescent="0.2">
      <c r="H156" s="267"/>
      <c r="I156" s="227"/>
    </row>
    <row r="157" spans="1:9" x14ac:dyDescent="0.2">
      <c r="H157" s="267"/>
      <c r="I157" s="227"/>
    </row>
    <row r="158" spans="1:9" x14ac:dyDescent="0.2">
      <c r="H158" s="267"/>
      <c r="I158" s="227"/>
    </row>
    <row r="159" spans="1:9" x14ac:dyDescent="0.2">
      <c r="H159" s="267"/>
      <c r="I159" s="227"/>
    </row>
    <row r="160" spans="1:9" x14ac:dyDescent="0.2">
      <c r="H160" s="267"/>
      <c r="I160" s="227"/>
    </row>
    <row r="161" spans="8:9" x14ac:dyDescent="0.2">
      <c r="H161" s="267"/>
      <c r="I161" s="227"/>
    </row>
    <row r="162" spans="8:9" x14ac:dyDescent="0.2">
      <c r="H162" s="267"/>
      <c r="I162" s="227"/>
    </row>
    <row r="163" spans="8:9" x14ac:dyDescent="0.2">
      <c r="H163" s="267"/>
      <c r="I163" s="227"/>
    </row>
    <row r="164" spans="8:9" x14ac:dyDescent="0.2">
      <c r="H164" s="267"/>
      <c r="I164" s="227"/>
    </row>
    <row r="165" spans="8:9" x14ac:dyDescent="0.2">
      <c r="H165" s="267"/>
      <c r="I165" s="227"/>
    </row>
    <row r="166" spans="8:9" x14ac:dyDescent="0.2">
      <c r="H166" s="267"/>
      <c r="I166" s="227"/>
    </row>
    <row r="167" spans="8:9" x14ac:dyDescent="0.2">
      <c r="H167" s="267"/>
      <c r="I167" s="227"/>
    </row>
    <row r="168" spans="8:9" x14ac:dyDescent="0.2">
      <c r="H168" s="267"/>
      <c r="I168" s="227"/>
    </row>
    <row r="169" spans="8:9" x14ac:dyDescent="0.2">
      <c r="H169" s="267"/>
      <c r="I169" s="227"/>
    </row>
    <row r="170" spans="8:9" x14ac:dyDescent="0.2">
      <c r="H170" s="267"/>
      <c r="I170" s="227"/>
    </row>
    <row r="171" spans="8:9" x14ac:dyDescent="0.2">
      <c r="H171" s="267"/>
      <c r="I171" s="227"/>
    </row>
    <row r="172" spans="8:9" x14ac:dyDescent="0.2">
      <c r="H172" s="267"/>
      <c r="I172" s="227"/>
    </row>
    <row r="173" spans="8:9" x14ac:dyDescent="0.2">
      <c r="H173" s="267"/>
      <c r="I173" s="227"/>
    </row>
    <row r="174" spans="8:9" x14ac:dyDescent="0.2">
      <c r="H174" s="267"/>
      <c r="I174" s="227"/>
    </row>
    <row r="175" spans="8:9" x14ac:dyDescent="0.2">
      <c r="H175" s="267"/>
      <c r="I175" s="227"/>
    </row>
    <row r="176" spans="8:9" x14ac:dyDescent="0.2">
      <c r="H176" s="267"/>
      <c r="I176" s="227"/>
    </row>
    <row r="177" spans="8:9" x14ac:dyDescent="0.2">
      <c r="H177" s="267"/>
      <c r="I177" s="227"/>
    </row>
    <row r="178" spans="8:9" x14ac:dyDescent="0.2">
      <c r="H178" s="267"/>
      <c r="I178" s="227"/>
    </row>
    <row r="179" spans="8:9" x14ac:dyDescent="0.2">
      <c r="H179" s="267"/>
      <c r="I179" s="227"/>
    </row>
    <row r="180" spans="8:9" x14ac:dyDescent="0.2">
      <c r="H180" s="267"/>
      <c r="I180" s="227"/>
    </row>
    <row r="181" spans="8:9" x14ac:dyDescent="0.2">
      <c r="H181" s="267"/>
      <c r="I181" s="227"/>
    </row>
    <row r="182" spans="8:9" x14ac:dyDescent="0.2">
      <c r="H182" s="267"/>
      <c r="I182" s="227"/>
    </row>
    <row r="183" spans="8:9" x14ac:dyDescent="0.2">
      <c r="H183" s="267"/>
      <c r="I183" s="227"/>
    </row>
    <row r="184" spans="8:9" x14ac:dyDescent="0.2">
      <c r="H184" s="267"/>
      <c r="I184" s="227"/>
    </row>
    <row r="185" spans="8:9" x14ac:dyDescent="0.2">
      <c r="H185" s="267"/>
      <c r="I185" s="227"/>
    </row>
    <row r="186" spans="8:9" x14ac:dyDescent="0.2">
      <c r="H186" s="267"/>
      <c r="I186" s="227"/>
    </row>
    <row r="187" spans="8:9" x14ac:dyDescent="0.2">
      <c r="H187" s="267"/>
      <c r="I187" s="227"/>
    </row>
    <row r="188" spans="8:9" x14ac:dyDescent="0.2">
      <c r="H188" s="267"/>
      <c r="I188" s="227"/>
    </row>
    <row r="189" spans="8:9" x14ac:dyDescent="0.2">
      <c r="H189" s="267"/>
      <c r="I189" s="227"/>
    </row>
    <row r="190" spans="8:9" x14ac:dyDescent="0.2">
      <c r="H190" s="267"/>
      <c r="I190" s="227"/>
    </row>
    <row r="191" spans="8:9" x14ac:dyDescent="0.2">
      <c r="H191" s="267"/>
      <c r="I191" s="227"/>
    </row>
    <row r="192" spans="8:9" x14ac:dyDescent="0.2">
      <c r="H192" s="267"/>
      <c r="I192" s="227"/>
    </row>
    <row r="193" spans="8:9" x14ac:dyDescent="0.2">
      <c r="H193" s="267"/>
      <c r="I193" s="227"/>
    </row>
    <row r="194" spans="8:9" x14ac:dyDescent="0.2">
      <c r="H194" s="267"/>
      <c r="I194" s="227"/>
    </row>
    <row r="195" spans="8:9" x14ac:dyDescent="0.2">
      <c r="H195" s="267"/>
      <c r="I195" s="227"/>
    </row>
    <row r="196" spans="8:9" x14ac:dyDescent="0.2">
      <c r="H196" s="267"/>
      <c r="I196" s="227"/>
    </row>
    <row r="197" spans="8:9" x14ac:dyDescent="0.2">
      <c r="H197" s="267"/>
      <c r="I197" s="227"/>
    </row>
    <row r="198" spans="8:9" x14ac:dyDescent="0.2">
      <c r="H198" s="267"/>
      <c r="I198" s="227"/>
    </row>
    <row r="199" spans="8:9" x14ac:dyDescent="0.2">
      <c r="H199" s="267"/>
      <c r="I199" s="227"/>
    </row>
    <row r="200" spans="8:9" x14ac:dyDescent="0.2">
      <c r="H200" s="267"/>
      <c r="I200" s="227"/>
    </row>
    <row r="201" spans="8:9" x14ac:dyDescent="0.2">
      <c r="H201" s="267"/>
      <c r="I201" s="227"/>
    </row>
    <row r="202" spans="8:9" x14ac:dyDescent="0.2">
      <c r="H202" s="267"/>
      <c r="I202" s="227"/>
    </row>
    <row r="203" spans="8:9" x14ac:dyDescent="0.2">
      <c r="H203" s="267"/>
      <c r="I203" s="227"/>
    </row>
    <row r="204" spans="8:9" x14ac:dyDescent="0.2">
      <c r="H204" s="267"/>
      <c r="I204" s="227"/>
    </row>
    <row r="205" spans="8:9" x14ac:dyDescent="0.2">
      <c r="I205" s="227"/>
    </row>
    <row r="206" spans="8:9" x14ac:dyDescent="0.2">
      <c r="I206" s="227"/>
    </row>
    <row r="207" spans="8:9" x14ac:dyDescent="0.2">
      <c r="I207" s="227"/>
    </row>
    <row r="208" spans="8:9" x14ac:dyDescent="0.2">
      <c r="I208" s="227"/>
    </row>
    <row r="209" spans="9:9" x14ac:dyDescent="0.2">
      <c r="I209" s="227"/>
    </row>
    <row r="210" spans="9:9" x14ac:dyDescent="0.2">
      <c r="I210" s="227"/>
    </row>
    <row r="211" spans="9:9" x14ac:dyDescent="0.2">
      <c r="I211" s="227"/>
    </row>
    <row r="212" spans="9:9" x14ac:dyDescent="0.2">
      <c r="I212" s="227"/>
    </row>
    <row r="213" spans="9:9" x14ac:dyDescent="0.2">
      <c r="I213" s="227"/>
    </row>
    <row r="214" spans="9:9" x14ac:dyDescent="0.2">
      <c r="I214" s="227"/>
    </row>
    <row r="215" spans="9:9" x14ac:dyDescent="0.2">
      <c r="I215" s="227"/>
    </row>
    <row r="216" spans="9:9" x14ac:dyDescent="0.2">
      <c r="I216" s="227"/>
    </row>
    <row r="217" spans="9:9" x14ac:dyDescent="0.2">
      <c r="I217" s="227"/>
    </row>
    <row r="218" spans="9:9" x14ac:dyDescent="0.2">
      <c r="I218" s="227"/>
    </row>
    <row r="219" spans="9:9" x14ac:dyDescent="0.2">
      <c r="I219" s="227"/>
    </row>
    <row r="220" spans="9:9" x14ac:dyDescent="0.2">
      <c r="I220" s="227"/>
    </row>
    <row r="221" spans="9:9" x14ac:dyDescent="0.2">
      <c r="I221" s="227"/>
    </row>
    <row r="222" spans="9:9" x14ac:dyDescent="0.2">
      <c r="I222" s="227"/>
    </row>
    <row r="223" spans="9:9" x14ac:dyDescent="0.2">
      <c r="I223" s="227"/>
    </row>
    <row r="224" spans="9:9" x14ac:dyDescent="0.2">
      <c r="I224" s="227"/>
    </row>
    <row r="225" spans="9:9" x14ac:dyDescent="0.2">
      <c r="I225" s="227"/>
    </row>
    <row r="226" spans="9:9" x14ac:dyDescent="0.2">
      <c r="I226" s="227"/>
    </row>
    <row r="227" spans="9:9" x14ac:dyDescent="0.2">
      <c r="I227" s="227"/>
    </row>
    <row r="228" spans="9:9" x14ac:dyDescent="0.2">
      <c r="I228" s="227"/>
    </row>
    <row r="229" spans="9:9" x14ac:dyDescent="0.2">
      <c r="I229" s="227"/>
    </row>
    <row r="230" spans="9:9" x14ac:dyDescent="0.2">
      <c r="I230" s="227"/>
    </row>
    <row r="231" spans="9:9" x14ac:dyDescent="0.2">
      <c r="I231" s="227"/>
    </row>
    <row r="232" spans="9:9" x14ac:dyDescent="0.2">
      <c r="I232" s="227"/>
    </row>
    <row r="233" spans="9:9" x14ac:dyDescent="0.2">
      <c r="I233" s="227"/>
    </row>
    <row r="234" spans="9:9" x14ac:dyDescent="0.2">
      <c r="I234" s="227"/>
    </row>
    <row r="235" spans="9:9" x14ac:dyDescent="0.2">
      <c r="I235" s="227"/>
    </row>
    <row r="236" spans="9:9" x14ac:dyDescent="0.2">
      <c r="I236" s="227"/>
    </row>
    <row r="237" spans="9:9" x14ac:dyDescent="0.2">
      <c r="I237" s="227"/>
    </row>
    <row r="238" spans="9:9" x14ac:dyDescent="0.2">
      <c r="I238" s="227"/>
    </row>
    <row r="239" spans="9:9" x14ac:dyDescent="0.2">
      <c r="I239" s="227"/>
    </row>
    <row r="240" spans="9:9" x14ac:dyDescent="0.2">
      <c r="I240" s="227"/>
    </row>
    <row r="241" spans="9:9" x14ac:dyDescent="0.2">
      <c r="I241" s="227"/>
    </row>
    <row r="242" spans="9:9" x14ac:dyDescent="0.2">
      <c r="I242" s="227"/>
    </row>
    <row r="243" spans="9:9" x14ac:dyDescent="0.2">
      <c r="I243" s="227"/>
    </row>
    <row r="244" spans="9:9" x14ac:dyDescent="0.2">
      <c r="I244" s="227"/>
    </row>
    <row r="245" spans="9:9" x14ac:dyDescent="0.2">
      <c r="I245" s="227"/>
    </row>
    <row r="246" spans="9:9" x14ac:dyDescent="0.2">
      <c r="I246" s="227"/>
    </row>
    <row r="247" spans="9:9" x14ac:dyDescent="0.2">
      <c r="I247" s="227"/>
    </row>
    <row r="248" spans="9:9" x14ac:dyDescent="0.2">
      <c r="I248" s="227"/>
    </row>
    <row r="249" spans="9:9" x14ac:dyDescent="0.2">
      <c r="I249" s="227"/>
    </row>
    <row r="250" spans="9:9" x14ac:dyDescent="0.2">
      <c r="I250" s="227"/>
    </row>
    <row r="251" spans="9:9" x14ac:dyDescent="0.2">
      <c r="I251" s="227"/>
    </row>
    <row r="252" spans="9:9" x14ac:dyDescent="0.2">
      <c r="I252" s="227"/>
    </row>
    <row r="253" spans="9:9" x14ac:dyDescent="0.2">
      <c r="I253" s="227"/>
    </row>
    <row r="254" spans="9:9" x14ac:dyDescent="0.2">
      <c r="I254" s="227"/>
    </row>
    <row r="255" spans="9:9" x14ac:dyDescent="0.2">
      <c r="I255" s="227"/>
    </row>
    <row r="256" spans="9:9" x14ac:dyDescent="0.2">
      <c r="I256" s="227"/>
    </row>
    <row r="257" spans="9:9" x14ac:dyDescent="0.2">
      <c r="I257" s="227"/>
    </row>
    <row r="258" spans="9:9" x14ac:dyDescent="0.2">
      <c r="I258" s="227"/>
    </row>
    <row r="259" spans="9:9" x14ac:dyDescent="0.2">
      <c r="I259" s="227"/>
    </row>
    <row r="260" spans="9:9" x14ac:dyDescent="0.2">
      <c r="I260" s="227"/>
    </row>
    <row r="261" spans="9:9" x14ac:dyDescent="0.2">
      <c r="I261" s="227"/>
    </row>
    <row r="262" spans="9:9" x14ac:dyDescent="0.2">
      <c r="I262" s="227"/>
    </row>
    <row r="263" spans="9:9" x14ac:dyDescent="0.2">
      <c r="I263" s="227"/>
    </row>
    <row r="264" spans="9:9" x14ac:dyDescent="0.2">
      <c r="I264" s="227"/>
    </row>
    <row r="265" spans="9:9" x14ac:dyDescent="0.2">
      <c r="I265" s="227"/>
    </row>
    <row r="266" spans="9:9" x14ac:dyDescent="0.2">
      <c r="I266" s="227"/>
    </row>
    <row r="267" spans="9:9" x14ac:dyDescent="0.2">
      <c r="I267" s="227"/>
    </row>
    <row r="268" spans="9:9" x14ac:dyDescent="0.2">
      <c r="I268" s="227"/>
    </row>
    <row r="269" spans="9:9" x14ac:dyDescent="0.2">
      <c r="I269" s="227"/>
    </row>
    <row r="270" spans="9:9" x14ac:dyDescent="0.2">
      <c r="I270" s="227"/>
    </row>
    <row r="271" spans="9:9" x14ac:dyDescent="0.2">
      <c r="I271" s="227"/>
    </row>
    <row r="272" spans="9:9" x14ac:dyDescent="0.2">
      <c r="I272" s="227"/>
    </row>
    <row r="273" spans="9:9" x14ac:dyDescent="0.2">
      <c r="I273" s="227"/>
    </row>
    <row r="274" spans="9:9" x14ac:dyDescent="0.2">
      <c r="I274" s="227"/>
    </row>
    <row r="275" spans="9:9" x14ac:dyDescent="0.2">
      <c r="I275" s="227"/>
    </row>
    <row r="276" spans="9:9" x14ac:dyDescent="0.2">
      <c r="I276" s="227"/>
    </row>
    <row r="277" spans="9:9" x14ac:dyDescent="0.2">
      <c r="I277" s="227"/>
    </row>
    <row r="278" spans="9:9" x14ac:dyDescent="0.2">
      <c r="I278" s="227"/>
    </row>
    <row r="279" spans="9:9" x14ac:dyDescent="0.2">
      <c r="I279" s="227"/>
    </row>
    <row r="280" spans="9:9" x14ac:dyDescent="0.2">
      <c r="I280" s="227"/>
    </row>
    <row r="281" spans="9:9" x14ac:dyDescent="0.2">
      <c r="I281" s="227"/>
    </row>
    <row r="282" spans="9:9" x14ac:dyDescent="0.2">
      <c r="I282" s="227"/>
    </row>
    <row r="283" spans="9:9" x14ac:dyDescent="0.2">
      <c r="I283" s="227"/>
    </row>
    <row r="284" spans="9:9" x14ac:dyDescent="0.2">
      <c r="I284" s="227"/>
    </row>
    <row r="285" spans="9:9" x14ac:dyDescent="0.2">
      <c r="I285" s="227"/>
    </row>
    <row r="286" spans="9:9" x14ac:dyDescent="0.2">
      <c r="I286" s="227"/>
    </row>
    <row r="287" spans="9:9" x14ac:dyDescent="0.2">
      <c r="I287" s="227"/>
    </row>
    <row r="288" spans="9:9" x14ac:dyDescent="0.2">
      <c r="I288" s="227"/>
    </row>
    <row r="289" spans="9:9" x14ac:dyDescent="0.2">
      <c r="I289" s="227"/>
    </row>
    <row r="290" spans="9:9" x14ac:dyDescent="0.2">
      <c r="I290" s="227"/>
    </row>
    <row r="291" spans="9:9" x14ac:dyDescent="0.2">
      <c r="I291" s="227"/>
    </row>
    <row r="292" spans="9:9" x14ac:dyDescent="0.2">
      <c r="I292" s="227"/>
    </row>
    <row r="293" spans="9:9" x14ac:dyDescent="0.2">
      <c r="I293" s="227"/>
    </row>
    <row r="294" spans="9:9" x14ac:dyDescent="0.2">
      <c r="I294" s="227"/>
    </row>
    <row r="295" spans="9:9" x14ac:dyDescent="0.2">
      <c r="I295" s="227"/>
    </row>
    <row r="296" spans="9:9" x14ac:dyDescent="0.2">
      <c r="I296" s="227"/>
    </row>
    <row r="297" spans="9:9" x14ac:dyDescent="0.2">
      <c r="I297" s="227"/>
    </row>
    <row r="298" spans="9:9" x14ac:dyDescent="0.2">
      <c r="I298" s="227"/>
    </row>
    <row r="299" spans="9:9" x14ac:dyDescent="0.2">
      <c r="I299" s="227"/>
    </row>
    <row r="300" spans="9:9" x14ac:dyDescent="0.2">
      <c r="I300" s="227"/>
    </row>
    <row r="301" spans="9:9" x14ac:dyDescent="0.2">
      <c r="I301" s="227"/>
    </row>
    <row r="302" spans="9:9" x14ac:dyDescent="0.2">
      <c r="I302" s="227"/>
    </row>
    <row r="303" spans="9:9" x14ac:dyDescent="0.2">
      <c r="I303" s="227"/>
    </row>
    <row r="304" spans="9:9" x14ac:dyDescent="0.2">
      <c r="I304" s="227"/>
    </row>
    <row r="305" spans="9:9" x14ac:dyDescent="0.2">
      <c r="I305" s="227"/>
    </row>
    <row r="306" spans="9:9" x14ac:dyDescent="0.2">
      <c r="I306" s="227"/>
    </row>
    <row r="307" spans="9:9" x14ac:dyDescent="0.2">
      <c r="I307" s="227"/>
    </row>
    <row r="308" spans="9:9" x14ac:dyDescent="0.2">
      <c r="I308" s="227"/>
    </row>
    <row r="309" spans="9:9" x14ac:dyDescent="0.2">
      <c r="I309" s="227"/>
    </row>
    <row r="310" spans="9:9" x14ac:dyDescent="0.2">
      <c r="I310" s="227"/>
    </row>
    <row r="311" spans="9:9" x14ac:dyDescent="0.2">
      <c r="I311" s="227"/>
    </row>
    <row r="312" spans="9:9" x14ac:dyDescent="0.2">
      <c r="I312" s="227"/>
    </row>
    <row r="313" spans="9:9" x14ac:dyDescent="0.2">
      <c r="I313" s="227"/>
    </row>
    <row r="314" spans="9:9" x14ac:dyDescent="0.2">
      <c r="I314" s="227"/>
    </row>
    <row r="315" spans="9:9" x14ac:dyDescent="0.2">
      <c r="I315" s="227"/>
    </row>
    <row r="316" spans="9:9" x14ac:dyDescent="0.2">
      <c r="I316" s="227"/>
    </row>
    <row r="317" spans="9:9" x14ac:dyDescent="0.2">
      <c r="I317" s="227"/>
    </row>
    <row r="318" spans="9:9" x14ac:dyDescent="0.2">
      <c r="I318" s="227"/>
    </row>
    <row r="319" spans="9:9" x14ac:dyDescent="0.2">
      <c r="I319" s="227"/>
    </row>
    <row r="320" spans="9:9" x14ac:dyDescent="0.2">
      <c r="I320" s="227"/>
    </row>
    <row r="321" spans="9:9" x14ac:dyDescent="0.2">
      <c r="I321" s="227"/>
    </row>
    <row r="322" spans="9:9" x14ac:dyDescent="0.2">
      <c r="I322" s="227"/>
    </row>
    <row r="323" spans="9:9" x14ac:dyDescent="0.2">
      <c r="I323" s="227"/>
    </row>
    <row r="324" spans="9:9" x14ac:dyDescent="0.2">
      <c r="I324" s="227"/>
    </row>
    <row r="325" spans="9:9" x14ac:dyDescent="0.2">
      <c r="I325" s="227"/>
    </row>
    <row r="326" spans="9:9" x14ac:dyDescent="0.2">
      <c r="I326" s="227"/>
    </row>
    <row r="327" spans="9:9" x14ac:dyDescent="0.2">
      <c r="I327" s="227"/>
    </row>
    <row r="328" spans="9:9" x14ac:dyDescent="0.2">
      <c r="I328" s="227"/>
    </row>
    <row r="329" spans="9:9" x14ac:dyDescent="0.2">
      <c r="I329" s="227"/>
    </row>
    <row r="330" spans="9:9" x14ac:dyDescent="0.2">
      <c r="I330" s="227"/>
    </row>
    <row r="331" spans="9:9" x14ac:dyDescent="0.2">
      <c r="I331" s="227"/>
    </row>
    <row r="332" spans="9:9" x14ac:dyDescent="0.2">
      <c r="I332" s="227"/>
    </row>
    <row r="333" spans="9:9" x14ac:dyDescent="0.2">
      <c r="I333" s="227"/>
    </row>
    <row r="334" spans="9:9" x14ac:dyDescent="0.2">
      <c r="I334" s="227"/>
    </row>
  </sheetData>
  <mergeCells count="1">
    <mergeCell ref="A1:J1"/>
  </mergeCells>
  <phoneticPr fontId="0" type="noConversion"/>
  <printOptions gridLines="1"/>
  <pageMargins left="0.75" right="0.16" top="0.51" bottom="0.22" header="0.5" footer="0.5"/>
  <pageSetup scale="85" fitToHeight="5" orientation="landscape" r:id="rId1"/>
  <headerFooter alignWithMargins="0"/>
  <rowBreaks count="2" manualBreakCount="2">
    <brk id="75" max="9" man="1"/>
    <brk id="117" max="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253"/>
  <sheetViews>
    <sheetView view="pageBreakPreview" zoomScaleNormal="100" zoomScaleSheetLayoutView="100" workbookViewId="0">
      <pane ySplit="5" topLeftCell="A130" activePane="bottomLeft" state="frozen"/>
      <selection activeCell="D43" sqref="D43"/>
      <selection pane="bottomLeft" sqref="A1:J1"/>
    </sheetView>
  </sheetViews>
  <sheetFormatPr defaultColWidth="8.85546875" defaultRowHeight="12.75" x14ac:dyDescent="0.2"/>
  <cols>
    <col min="1" max="1" width="52.85546875" style="183" customWidth="1"/>
    <col min="2" max="2" width="9.5703125" style="183" customWidth="1"/>
    <col min="3" max="3" width="8.5703125" style="183" bestFit="1" customWidth="1"/>
    <col min="4" max="4" width="9.42578125" style="183" bestFit="1" customWidth="1"/>
    <col min="5" max="7" width="10.85546875" style="183" customWidth="1"/>
    <col min="8" max="8" width="14" style="183" bestFit="1" customWidth="1"/>
    <col min="9" max="10" width="10.85546875" style="183" customWidth="1"/>
    <col min="11" max="16384" width="8.85546875" style="183"/>
  </cols>
  <sheetData>
    <row r="1" spans="1:10" x14ac:dyDescent="0.2">
      <c r="A1" s="319" t="s">
        <v>2038</v>
      </c>
      <c r="B1" s="320"/>
      <c r="C1" s="320"/>
      <c r="D1" s="320"/>
      <c r="E1" s="320"/>
      <c r="F1" s="320"/>
      <c r="G1" s="320"/>
      <c r="H1" s="320"/>
      <c r="I1" s="320"/>
      <c r="J1" s="320"/>
    </row>
    <row r="2" spans="1:10" ht="18.75" x14ac:dyDescent="0.3">
      <c r="A2" s="95" t="s">
        <v>1571</v>
      </c>
      <c r="B2" s="95"/>
      <c r="C2" s="95"/>
      <c r="D2" s="95"/>
      <c r="E2" s="95"/>
      <c r="F2" s="95"/>
    </row>
    <row r="3" spans="1:10" x14ac:dyDescent="0.2">
      <c r="B3" s="2"/>
      <c r="C3" s="2"/>
      <c r="D3" s="2"/>
      <c r="E3" s="2"/>
      <c r="F3" s="2"/>
    </row>
    <row r="4" spans="1:10" x14ac:dyDescent="0.2">
      <c r="B4" s="2"/>
      <c r="C4" s="2"/>
      <c r="D4" s="2"/>
      <c r="E4" s="15" t="s">
        <v>199</v>
      </c>
      <c r="F4" s="15" t="s">
        <v>200</v>
      </c>
      <c r="G4" s="15" t="s">
        <v>60</v>
      </c>
      <c r="H4" s="15" t="s">
        <v>351</v>
      </c>
      <c r="I4" s="15" t="s">
        <v>264</v>
      </c>
      <c r="J4" s="15" t="s">
        <v>295</v>
      </c>
    </row>
    <row r="5" spans="1:10" ht="15" x14ac:dyDescent="0.35">
      <c r="B5" s="2"/>
      <c r="C5" s="2"/>
      <c r="D5" s="2"/>
      <c r="E5" s="232" t="s">
        <v>1825</v>
      </c>
      <c r="F5" s="232" t="s">
        <v>1947</v>
      </c>
      <c r="G5" s="232" t="s">
        <v>2039</v>
      </c>
      <c r="H5" s="232" t="s">
        <v>2039</v>
      </c>
      <c r="I5" s="232" t="s">
        <v>2039</v>
      </c>
      <c r="J5" s="232" t="s">
        <v>2039</v>
      </c>
    </row>
    <row r="6" spans="1:10" ht="13.5" x14ac:dyDescent="0.25">
      <c r="A6" s="207" t="s">
        <v>944</v>
      </c>
      <c r="B6" s="2"/>
      <c r="C6" s="2"/>
      <c r="D6" s="2"/>
      <c r="E6" s="2">
        <f>85367+488</f>
        <v>85855</v>
      </c>
      <c r="F6" s="2">
        <v>88254</v>
      </c>
      <c r="G6" s="2">
        <v>85633</v>
      </c>
      <c r="H6" s="2">
        <v>85633</v>
      </c>
      <c r="I6" s="2">
        <v>88610</v>
      </c>
      <c r="J6" s="2">
        <v>88610</v>
      </c>
    </row>
    <row r="7" spans="1:10" x14ac:dyDescent="0.2">
      <c r="A7" s="22" t="s">
        <v>1170</v>
      </c>
      <c r="B7" s="2">
        <v>52</v>
      </c>
      <c r="C7" s="2">
        <v>970.87</v>
      </c>
      <c r="D7" s="2">
        <f>ROUND(B7*C7,0)</f>
        <v>50485</v>
      </c>
      <c r="E7" s="2"/>
      <c r="F7" s="2"/>
      <c r="G7" s="2"/>
      <c r="H7" s="2"/>
      <c r="I7" s="2"/>
      <c r="J7" s="2"/>
    </row>
    <row r="8" spans="1:10" x14ac:dyDescent="0.2">
      <c r="A8" s="22" t="s">
        <v>1170</v>
      </c>
      <c r="B8" s="2">
        <v>52</v>
      </c>
      <c r="C8" s="2">
        <v>721.99</v>
      </c>
      <c r="D8" s="2">
        <f>ROUND(B8*C8,0)</f>
        <v>37543</v>
      </c>
      <c r="E8" s="2"/>
      <c r="F8" s="2"/>
      <c r="G8" s="2"/>
      <c r="H8" s="2"/>
      <c r="I8" s="2"/>
      <c r="J8" s="2"/>
    </row>
    <row r="9" spans="1:10" ht="15" x14ac:dyDescent="0.35">
      <c r="A9" s="206" t="s">
        <v>818</v>
      </c>
      <c r="B9" s="2" t="s">
        <v>338</v>
      </c>
      <c r="C9" s="2" t="s">
        <v>338</v>
      </c>
      <c r="D9" s="10">
        <v>582</v>
      </c>
      <c r="E9" s="2"/>
      <c r="F9" s="2"/>
      <c r="G9" s="2"/>
      <c r="H9" s="2"/>
      <c r="I9" s="2"/>
      <c r="J9" s="2"/>
    </row>
    <row r="10" spans="1:10" x14ac:dyDescent="0.2">
      <c r="A10" s="206" t="s">
        <v>1067</v>
      </c>
      <c r="B10" s="2"/>
      <c r="C10" s="2"/>
      <c r="D10" s="2">
        <f>SUM(D7:D9)</f>
        <v>88610</v>
      </c>
      <c r="E10" s="2"/>
      <c r="F10" s="2"/>
      <c r="G10" s="2"/>
      <c r="H10" s="2"/>
      <c r="I10" s="2"/>
      <c r="J10" s="2"/>
    </row>
    <row r="11" spans="1:10" x14ac:dyDescent="0.2">
      <c r="A11" s="206"/>
      <c r="B11" s="11"/>
      <c r="C11" s="283"/>
      <c r="D11" s="2"/>
      <c r="E11" s="2"/>
      <c r="F11" s="2"/>
      <c r="G11" s="2"/>
      <c r="H11" s="2"/>
      <c r="I11" s="2"/>
      <c r="J11" s="2"/>
    </row>
    <row r="12" spans="1:10" ht="13.5" x14ac:dyDescent="0.25">
      <c r="A12" s="207" t="s">
        <v>779</v>
      </c>
      <c r="B12" s="206"/>
      <c r="C12" s="283"/>
      <c r="D12" s="206"/>
      <c r="E12" s="2">
        <v>30549</v>
      </c>
      <c r="F12" s="2">
        <v>43082</v>
      </c>
      <c r="G12" s="2">
        <v>43108</v>
      </c>
      <c r="H12" s="2">
        <v>43108</v>
      </c>
      <c r="I12" s="2">
        <v>44616</v>
      </c>
      <c r="J12" s="2">
        <v>44616</v>
      </c>
    </row>
    <row r="13" spans="1:10" x14ac:dyDescent="0.2">
      <c r="A13" s="22" t="s">
        <v>1527</v>
      </c>
      <c r="B13" s="79">
        <v>1300</v>
      </c>
      <c r="C13" s="11">
        <v>17.16</v>
      </c>
      <c r="D13" s="2">
        <f>ROUND(B13*C13,0)</f>
        <v>22308</v>
      </c>
      <c r="E13" s="2"/>
      <c r="F13" s="2"/>
      <c r="G13" s="2"/>
      <c r="H13" s="2"/>
      <c r="I13" s="2"/>
      <c r="J13" s="2"/>
    </row>
    <row r="14" spans="1:10" ht="15" x14ac:dyDescent="0.35">
      <c r="A14" s="22" t="s">
        <v>1347</v>
      </c>
      <c r="B14" s="79">
        <v>1300</v>
      </c>
      <c r="C14" s="11">
        <v>17.16</v>
      </c>
      <c r="D14" s="10">
        <f>ROUND(B14*C14,0)</f>
        <v>22308</v>
      </c>
      <c r="E14" s="2"/>
      <c r="F14" s="2"/>
      <c r="G14" s="2"/>
      <c r="H14" s="2"/>
      <c r="I14" s="2"/>
      <c r="J14" s="2"/>
    </row>
    <row r="15" spans="1:10" ht="13.5" x14ac:dyDescent="0.25">
      <c r="A15" s="207"/>
      <c r="B15" s="206"/>
      <c r="C15" s="283"/>
      <c r="D15" s="2">
        <f>SUM(D13:D14)</f>
        <v>44616</v>
      </c>
      <c r="E15" s="2"/>
      <c r="F15" s="2"/>
      <c r="G15" s="2"/>
      <c r="H15" s="2"/>
      <c r="I15" s="2"/>
      <c r="J15" s="2"/>
    </row>
    <row r="16" spans="1:10" s="208" customFormat="1" ht="13.5" x14ac:dyDescent="0.25">
      <c r="A16" s="209"/>
      <c r="D16" s="2"/>
      <c r="E16" s="2"/>
      <c r="F16" s="2"/>
      <c r="G16" s="2"/>
      <c r="H16" s="2"/>
      <c r="I16" s="2"/>
      <c r="J16" s="2"/>
    </row>
    <row r="17" spans="1:10" ht="13.9" customHeight="1" x14ac:dyDescent="0.25">
      <c r="A17" s="207" t="s">
        <v>780</v>
      </c>
      <c r="B17" s="206"/>
      <c r="C17" s="206"/>
      <c r="D17" s="2"/>
      <c r="E17" s="2">
        <v>6070</v>
      </c>
      <c r="F17" s="2">
        <v>4963</v>
      </c>
      <c r="G17" s="2">
        <v>4815</v>
      </c>
      <c r="H17" s="2">
        <v>4815</v>
      </c>
      <c r="I17" s="2">
        <v>4815</v>
      </c>
      <c r="J17" s="2">
        <v>4815</v>
      </c>
    </row>
    <row r="18" spans="1:10" x14ac:dyDescent="0.2">
      <c r="A18" s="206" t="s">
        <v>1170</v>
      </c>
      <c r="B18" s="2">
        <v>157</v>
      </c>
      <c r="C18" s="11">
        <v>30.67</v>
      </c>
      <c r="D18" s="2">
        <f>ROUND(B18*C18,0)</f>
        <v>4815</v>
      </c>
      <c r="E18" s="2"/>
      <c r="F18" s="2"/>
      <c r="G18" s="2"/>
      <c r="H18" s="2"/>
      <c r="I18" s="2"/>
      <c r="J18" s="2"/>
    </row>
    <row r="19" spans="1:10" x14ac:dyDescent="0.2">
      <c r="A19" s="206"/>
      <c r="B19" s="2"/>
      <c r="C19" s="11"/>
      <c r="D19" s="2"/>
      <c r="E19" s="2"/>
      <c r="F19" s="2"/>
      <c r="G19" s="2"/>
      <c r="H19" s="2"/>
      <c r="I19" s="2"/>
      <c r="J19" s="2"/>
    </row>
    <row r="20" spans="1:10" ht="13.5" x14ac:dyDescent="0.25">
      <c r="A20" s="207" t="s">
        <v>782</v>
      </c>
      <c r="B20" s="206"/>
      <c r="C20" s="206"/>
      <c r="D20" s="2"/>
      <c r="E20" s="2">
        <v>9721</v>
      </c>
      <c r="F20" s="2">
        <v>10427</v>
      </c>
      <c r="G20" s="2">
        <v>10217</v>
      </c>
      <c r="H20" s="2">
        <v>10217</v>
      </c>
      <c r="I20" s="2">
        <v>10560</v>
      </c>
      <c r="J20" s="2">
        <v>10560</v>
      </c>
    </row>
    <row r="21" spans="1:10" hidden="1" x14ac:dyDescent="0.2">
      <c r="A21" s="12" t="s">
        <v>683</v>
      </c>
      <c r="B21" s="2">
        <f>+D10</f>
        <v>88610</v>
      </c>
      <c r="C21" s="13">
        <v>7.6499999999999999E-2</v>
      </c>
      <c r="D21" s="2">
        <f>ROUND(B21*C21,0)</f>
        <v>6779</v>
      </c>
      <c r="E21" s="2"/>
      <c r="F21" s="2"/>
      <c r="G21" s="2"/>
      <c r="H21" s="2"/>
      <c r="I21" s="2"/>
      <c r="J21" s="2"/>
    </row>
    <row r="22" spans="1:10" hidden="1" x14ac:dyDescent="0.2">
      <c r="A22" s="12" t="s">
        <v>153</v>
      </c>
      <c r="B22" s="2">
        <f>+D15</f>
        <v>44616</v>
      </c>
      <c r="C22" s="13">
        <v>7.6499999999999999E-2</v>
      </c>
      <c r="D22" s="2">
        <f>ROUND(B22*C22,0)</f>
        <v>3413</v>
      </c>
      <c r="E22" s="2"/>
      <c r="F22" s="2"/>
      <c r="G22" s="2"/>
      <c r="H22" s="2"/>
      <c r="I22" s="2"/>
      <c r="J22" s="2"/>
    </row>
    <row r="23" spans="1:10" ht="15" hidden="1" x14ac:dyDescent="0.35">
      <c r="A23" s="12" t="s">
        <v>154</v>
      </c>
      <c r="B23" s="2">
        <f>+D18</f>
        <v>4815</v>
      </c>
      <c r="C23" s="13">
        <v>7.6499999999999999E-2</v>
      </c>
      <c r="D23" s="10">
        <f>ROUND(B23*C23,0)</f>
        <v>368</v>
      </c>
      <c r="E23" s="2"/>
      <c r="F23" s="2"/>
      <c r="G23" s="2"/>
      <c r="H23" s="2"/>
      <c r="I23" s="2"/>
      <c r="J23" s="2"/>
    </row>
    <row r="24" spans="1:10" hidden="1" x14ac:dyDescent="0.2">
      <c r="A24" s="206" t="s">
        <v>1067</v>
      </c>
      <c r="B24" s="206"/>
      <c r="C24" s="206"/>
      <c r="D24" s="2">
        <f>SUM(D21:D23)</f>
        <v>10560</v>
      </c>
      <c r="E24" s="2"/>
      <c r="F24" s="2"/>
      <c r="G24" s="2"/>
      <c r="H24" s="2"/>
      <c r="I24" s="2"/>
      <c r="J24" s="2"/>
    </row>
    <row r="25" spans="1:10" x14ac:dyDescent="0.2">
      <c r="A25" s="206"/>
      <c r="B25" s="206"/>
      <c r="C25" s="206"/>
      <c r="D25" s="2"/>
      <c r="E25" s="2"/>
      <c r="F25" s="2"/>
      <c r="G25" s="2"/>
      <c r="H25" s="2"/>
      <c r="I25" s="2"/>
      <c r="J25" s="2"/>
    </row>
    <row r="26" spans="1:10" ht="13.5" x14ac:dyDescent="0.25">
      <c r="A26" s="207" t="s">
        <v>783</v>
      </c>
      <c r="B26" s="206"/>
      <c r="C26" s="206"/>
      <c r="D26" s="2"/>
      <c r="E26" s="2">
        <v>5184</v>
      </c>
      <c r="F26" s="2">
        <v>13107</v>
      </c>
      <c r="G26" s="2">
        <v>12237</v>
      </c>
      <c r="H26" s="2">
        <v>12237</v>
      </c>
      <c r="I26" s="2">
        <v>12640</v>
      </c>
      <c r="J26" s="2">
        <v>12640</v>
      </c>
    </row>
    <row r="27" spans="1:10" hidden="1" x14ac:dyDescent="0.2">
      <c r="A27" s="12" t="s">
        <v>683</v>
      </c>
      <c r="B27" s="2">
        <f>+D10</f>
        <v>88610</v>
      </c>
      <c r="C27" s="299">
        <v>0.1353</v>
      </c>
      <c r="D27" s="2">
        <f>ROUND(B27*C27,0)</f>
        <v>11989</v>
      </c>
      <c r="E27" s="2"/>
      <c r="F27" s="2"/>
      <c r="G27" s="2"/>
      <c r="H27" s="2"/>
      <c r="I27" s="2"/>
      <c r="J27" s="2"/>
    </row>
    <row r="28" spans="1:10" ht="15" hidden="1" x14ac:dyDescent="0.35">
      <c r="A28" s="12" t="s">
        <v>154</v>
      </c>
      <c r="B28" s="2">
        <f>+D18</f>
        <v>4815</v>
      </c>
      <c r="C28" s="299">
        <v>0.1353</v>
      </c>
      <c r="D28" s="10">
        <f>ROUND(B28*C28,0)</f>
        <v>651</v>
      </c>
      <c r="E28" s="2"/>
      <c r="F28" s="2"/>
      <c r="G28" s="2"/>
      <c r="H28" s="2"/>
      <c r="I28" s="2"/>
      <c r="J28" s="2"/>
    </row>
    <row r="29" spans="1:10" hidden="1" x14ac:dyDescent="0.2">
      <c r="A29" s="283" t="s">
        <v>1067</v>
      </c>
      <c r="B29" s="283"/>
      <c r="C29" s="283"/>
      <c r="D29" s="2">
        <f>SUM(D27:D28)</f>
        <v>12640</v>
      </c>
      <c r="E29" s="2"/>
      <c r="F29" s="2"/>
      <c r="G29" s="2"/>
      <c r="H29" s="2"/>
      <c r="I29" s="2"/>
      <c r="J29" s="2"/>
    </row>
    <row r="30" spans="1:10" x14ac:dyDescent="0.2">
      <c r="A30" s="283"/>
      <c r="B30" s="283"/>
      <c r="C30" s="283"/>
      <c r="D30" s="2"/>
      <c r="E30" s="2"/>
      <c r="F30" s="2"/>
      <c r="G30" s="2"/>
      <c r="H30" s="2"/>
      <c r="I30" s="2"/>
      <c r="J30" s="2"/>
    </row>
    <row r="31" spans="1:10" ht="13.5" x14ac:dyDescent="0.25">
      <c r="A31" s="286" t="s">
        <v>784</v>
      </c>
      <c r="B31" s="283"/>
      <c r="C31" s="283"/>
      <c r="D31" s="2"/>
      <c r="E31" s="2">
        <v>34683</v>
      </c>
      <c r="F31" s="2">
        <v>38000</v>
      </c>
      <c r="G31" s="2">
        <v>40500</v>
      </c>
      <c r="H31" s="2">
        <v>40500</v>
      </c>
      <c r="I31" s="2">
        <v>40500</v>
      </c>
      <c r="J31" s="2">
        <v>40500</v>
      </c>
    </row>
    <row r="32" spans="1:10" hidden="1" x14ac:dyDescent="0.2">
      <c r="A32" s="283" t="s">
        <v>358</v>
      </c>
      <c r="B32" s="2">
        <v>2</v>
      </c>
      <c r="C32" s="2">
        <v>20250</v>
      </c>
      <c r="D32" s="2">
        <f>ROUND(B32*C32,0)</f>
        <v>40500</v>
      </c>
      <c r="E32" s="2"/>
      <c r="F32" s="2"/>
      <c r="G32" s="2"/>
      <c r="H32" s="2"/>
      <c r="I32" s="2"/>
      <c r="J32" s="2"/>
    </row>
    <row r="33" spans="1:10" x14ac:dyDescent="0.2">
      <c r="A33" s="283"/>
      <c r="B33" s="283"/>
      <c r="C33" s="283"/>
      <c r="D33" s="2"/>
      <c r="E33" s="2"/>
      <c r="F33" s="2"/>
      <c r="G33" s="2"/>
      <c r="H33" s="2"/>
      <c r="I33" s="2"/>
      <c r="J33" s="2"/>
    </row>
    <row r="34" spans="1:10" ht="13.5" x14ac:dyDescent="0.25">
      <c r="A34" s="286" t="s">
        <v>1079</v>
      </c>
      <c r="B34" s="283"/>
      <c r="C34" s="283"/>
      <c r="D34" s="2"/>
      <c r="E34" s="2">
        <v>2284</v>
      </c>
      <c r="F34" s="2">
        <v>2475</v>
      </c>
      <c r="G34" s="2">
        <v>2475</v>
      </c>
      <c r="H34" s="2">
        <v>2475</v>
      </c>
      <c r="I34" s="2">
        <v>2475</v>
      </c>
      <c r="J34" s="2">
        <v>2475</v>
      </c>
    </row>
    <row r="35" spans="1:10" hidden="1" x14ac:dyDescent="0.2">
      <c r="A35" s="283" t="s">
        <v>358</v>
      </c>
      <c r="B35" s="2">
        <v>2</v>
      </c>
      <c r="C35" s="2">
        <v>1375</v>
      </c>
      <c r="D35" s="2">
        <f>ROUND(B35*C35,0)</f>
        <v>2750</v>
      </c>
      <c r="E35" s="2"/>
      <c r="F35" s="2"/>
      <c r="G35" s="2"/>
      <c r="H35" s="2"/>
      <c r="I35" s="2"/>
      <c r="J35" s="2"/>
    </row>
    <row r="36" spans="1:10" ht="15" hidden="1" x14ac:dyDescent="0.35">
      <c r="A36" s="283" t="s">
        <v>193</v>
      </c>
      <c r="B36" s="283"/>
      <c r="C36" s="283"/>
      <c r="D36" s="10">
        <f>+C35*-0.1*B35</f>
        <v>-275</v>
      </c>
      <c r="E36" s="2"/>
      <c r="F36" s="2"/>
      <c r="G36" s="2"/>
      <c r="H36" s="2"/>
      <c r="I36" s="2"/>
      <c r="J36" s="2"/>
    </row>
    <row r="37" spans="1:10" hidden="1" x14ac:dyDescent="0.2">
      <c r="A37" s="283" t="s">
        <v>1067</v>
      </c>
      <c r="B37" s="283"/>
      <c r="C37" s="283"/>
      <c r="D37" s="2">
        <f>SUM(D35:D36)</f>
        <v>2475</v>
      </c>
      <c r="E37" s="2"/>
      <c r="F37" s="2"/>
      <c r="G37" s="2"/>
      <c r="H37" s="2"/>
      <c r="I37" s="2"/>
      <c r="J37" s="2"/>
    </row>
    <row r="38" spans="1:10" ht="15" x14ac:dyDescent="0.35">
      <c r="A38" s="283"/>
      <c r="B38" s="283"/>
      <c r="C38" s="283"/>
      <c r="D38" s="10"/>
      <c r="E38" s="2"/>
      <c r="F38" s="2"/>
      <c r="G38" s="2"/>
      <c r="H38" s="2"/>
      <c r="I38" s="2"/>
      <c r="J38" s="2"/>
    </row>
    <row r="39" spans="1:10" ht="13.5" x14ac:dyDescent="0.25">
      <c r="A39" s="286" t="s">
        <v>892</v>
      </c>
      <c r="B39" s="283"/>
      <c r="C39" s="283"/>
      <c r="D39" s="2"/>
      <c r="E39" s="2">
        <v>135</v>
      </c>
      <c r="F39" s="2">
        <v>270</v>
      </c>
      <c r="G39" s="2">
        <v>290</v>
      </c>
      <c r="H39" s="2">
        <v>290</v>
      </c>
      <c r="I39" s="2">
        <v>290</v>
      </c>
      <c r="J39" s="2">
        <v>290</v>
      </c>
    </row>
    <row r="40" spans="1:10" hidden="1" x14ac:dyDescent="0.2">
      <c r="A40" s="283" t="s">
        <v>358</v>
      </c>
      <c r="B40" s="2">
        <v>2</v>
      </c>
      <c r="C40" s="2">
        <v>145</v>
      </c>
      <c r="D40" s="2">
        <f>ROUND(B40*C40,0)</f>
        <v>290</v>
      </c>
      <c r="E40" s="2"/>
      <c r="F40" s="2"/>
      <c r="G40" s="2"/>
      <c r="H40" s="2"/>
      <c r="I40" s="2"/>
      <c r="J40" s="2"/>
    </row>
    <row r="41" spans="1:10" x14ac:dyDescent="0.2">
      <c r="A41" s="283"/>
      <c r="B41" s="283"/>
      <c r="C41" s="283"/>
      <c r="D41" s="2"/>
      <c r="E41" s="2"/>
      <c r="F41" s="2"/>
      <c r="G41" s="2"/>
      <c r="H41" s="2"/>
      <c r="I41" s="2"/>
      <c r="J41" s="2"/>
    </row>
    <row r="42" spans="1:10" ht="13.5" x14ac:dyDescent="0.25">
      <c r="A42" s="286" t="s">
        <v>1094</v>
      </c>
      <c r="B42" s="283"/>
      <c r="C42" s="283"/>
      <c r="D42" s="2"/>
      <c r="E42" s="2">
        <v>837</v>
      </c>
      <c r="F42" s="2">
        <v>1050</v>
      </c>
      <c r="G42" s="2">
        <v>1130</v>
      </c>
      <c r="H42" s="2">
        <v>1130</v>
      </c>
      <c r="I42" s="2">
        <v>1130</v>
      </c>
      <c r="J42" s="2">
        <v>1130</v>
      </c>
    </row>
    <row r="43" spans="1:10" hidden="1" x14ac:dyDescent="0.2">
      <c r="A43" s="283" t="s">
        <v>358</v>
      </c>
      <c r="B43" s="2">
        <v>2</v>
      </c>
      <c r="C43" s="2">
        <v>565</v>
      </c>
      <c r="D43" s="2">
        <f>ROUND(B43*C43,0)</f>
        <v>1130</v>
      </c>
      <c r="E43" s="2"/>
      <c r="F43" s="2"/>
      <c r="G43" s="2"/>
      <c r="H43" s="2"/>
      <c r="I43" s="2"/>
      <c r="J43" s="2"/>
    </row>
    <row r="44" spans="1:10" x14ac:dyDescent="0.2">
      <c r="A44" s="283"/>
      <c r="B44" s="283"/>
      <c r="C44" s="283"/>
      <c r="D44" s="2"/>
      <c r="E44" s="2"/>
      <c r="F44" s="2"/>
      <c r="G44" s="2"/>
      <c r="H44" s="2"/>
      <c r="I44" s="2"/>
      <c r="J44" s="2"/>
    </row>
    <row r="45" spans="1:10" ht="13.5" x14ac:dyDescent="0.25">
      <c r="A45" s="286" t="s">
        <v>1095</v>
      </c>
      <c r="B45" s="283"/>
      <c r="C45" s="283"/>
      <c r="D45" s="2"/>
      <c r="E45" s="2">
        <v>3382</v>
      </c>
      <c r="F45" s="2">
        <v>4020</v>
      </c>
      <c r="G45" s="2">
        <v>3653</v>
      </c>
      <c r="H45" s="2">
        <v>3653</v>
      </c>
      <c r="I45" s="2">
        <v>3776</v>
      </c>
      <c r="J45" s="2">
        <v>3776</v>
      </c>
    </row>
    <row r="46" spans="1:10" hidden="1" x14ac:dyDescent="0.2">
      <c r="A46" s="12" t="s">
        <v>683</v>
      </c>
      <c r="B46" s="2">
        <f>+D10</f>
        <v>88610</v>
      </c>
      <c r="C46" s="13">
        <v>2.7349999999999999E-2</v>
      </c>
      <c r="D46" s="2">
        <f>ROUND(B46*C46,0)</f>
        <v>2423</v>
      </c>
      <c r="E46" s="2"/>
      <c r="F46" s="2"/>
      <c r="G46" s="2"/>
      <c r="H46" s="2"/>
      <c r="I46" s="2"/>
      <c r="J46" s="2"/>
    </row>
    <row r="47" spans="1:10" hidden="1" x14ac:dyDescent="0.2">
      <c r="A47" s="12" t="s">
        <v>153</v>
      </c>
      <c r="B47" s="2">
        <f>+B22</f>
        <v>44616</v>
      </c>
      <c r="C47" s="13">
        <v>2.7349999999999999E-2</v>
      </c>
      <c r="D47" s="2">
        <f>ROUND(B47*C47,0)</f>
        <v>1220</v>
      </c>
      <c r="E47" s="2"/>
      <c r="F47" s="2"/>
      <c r="G47" s="2"/>
      <c r="H47" s="2"/>
      <c r="I47" s="2"/>
      <c r="J47" s="2"/>
    </row>
    <row r="48" spans="1:10" ht="15" hidden="1" x14ac:dyDescent="0.35">
      <c r="A48" s="12" t="s">
        <v>1597</v>
      </c>
      <c r="B48" s="2">
        <f>ROUND(D18,0)</f>
        <v>4815</v>
      </c>
      <c r="C48" s="13">
        <v>2.7349999999999999E-2</v>
      </c>
      <c r="D48" s="10">
        <f>ROUND(B48*C48,0)</f>
        <v>132</v>
      </c>
      <c r="E48" s="2"/>
      <c r="F48" s="2"/>
      <c r="G48" s="2"/>
      <c r="H48" s="2"/>
      <c r="I48" s="2"/>
      <c r="J48" s="2"/>
    </row>
    <row r="49" spans="1:10" hidden="1" x14ac:dyDescent="0.2">
      <c r="A49" s="283" t="s">
        <v>1067</v>
      </c>
      <c r="B49" s="283"/>
      <c r="C49" s="283"/>
      <c r="D49" s="2">
        <f>SUM(D46:D48)</f>
        <v>3775</v>
      </c>
      <c r="E49" s="2"/>
      <c r="F49" s="2"/>
      <c r="G49" s="2"/>
      <c r="H49" s="2"/>
      <c r="I49" s="2"/>
      <c r="J49" s="2"/>
    </row>
    <row r="50" spans="1:10" x14ac:dyDescent="0.2">
      <c r="A50" s="283"/>
      <c r="B50" s="283"/>
      <c r="C50" s="283"/>
      <c r="D50" s="2"/>
      <c r="E50" s="2"/>
      <c r="F50" s="2"/>
      <c r="G50" s="2"/>
      <c r="H50" s="2"/>
      <c r="I50" s="2"/>
      <c r="J50" s="2"/>
    </row>
    <row r="51" spans="1:10" ht="13.5" x14ac:dyDescent="0.25">
      <c r="A51" s="286" t="s">
        <v>1313</v>
      </c>
      <c r="B51" s="283"/>
      <c r="C51" s="283"/>
      <c r="D51" s="2"/>
      <c r="E51" s="2">
        <v>51</v>
      </c>
      <c r="F51" s="2">
        <v>80</v>
      </c>
      <c r="G51" s="2">
        <v>80</v>
      </c>
      <c r="H51" s="2">
        <v>80</v>
      </c>
      <c r="I51" s="2">
        <v>80</v>
      </c>
      <c r="J51" s="2">
        <v>80</v>
      </c>
    </row>
    <row r="52" spans="1:10" hidden="1" x14ac:dyDescent="0.2">
      <c r="A52" s="12" t="s">
        <v>683</v>
      </c>
      <c r="B52" s="2">
        <v>2</v>
      </c>
      <c r="C52" s="2">
        <v>20</v>
      </c>
      <c r="D52" s="2">
        <f>ROUND(B52*C52,0)</f>
        <v>40</v>
      </c>
      <c r="E52" s="2"/>
      <c r="F52" s="2"/>
      <c r="G52" s="2"/>
      <c r="H52" s="2"/>
      <c r="I52" s="2"/>
      <c r="J52" s="2"/>
    </row>
    <row r="53" spans="1:10" ht="15" hidden="1" x14ac:dyDescent="0.35">
      <c r="A53" s="30" t="s">
        <v>1658</v>
      </c>
      <c r="B53" s="2">
        <v>2</v>
      </c>
      <c r="C53" s="2">
        <v>20</v>
      </c>
      <c r="D53" s="10">
        <f>ROUND(B53*C53,0)</f>
        <v>40</v>
      </c>
      <c r="E53" s="2"/>
      <c r="F53" s="2"/>
      <c r="G53" s="2"/>
      <c r="H53" s="2"/>
      <c r="I53" s="2"/>
      <c r="J53" s="2"/>
    </row>
    <row r="54" spans="1:10" hidden="1" x14ac:dyDescent="0.2">
      <c r="A54" s="12"/>
      <c r="B54" s="2"/>
      <c r="C54" s="2"/>
      <c r="D54" s="2">
        <f>SUM(D52:D53)</f>
        <v>80</v>
      </c>
      <c r="E54" s="2"/>
      <c r="F54" s="2"/>
      <c r="G54" s="2"/>
      <c r="H54" s="2"/>
      <c r="I54" s="2"/>
      <c r="J54" s="2"/>
    </row>
    <row r="55" spans="1:10" x14ac:dyDescent="0.2">
      <c r="A55" s="283"/>
      <c r="B55" s="283"/>
      <c r="C55" s="283"/>
      <c r="D55" s="2"/>
      <c r="E55" s="2"/>
      <c r="F55" s="231"/>
      <c r="G55" s="206"/>
      <c r="H55" s="267"/>
      <c r="I55" s="316"/>
      <c r="J55" s="316"/>
    </row>
    <row r="56" spans="1:10" ht="13.5" x14ac:dyDescent="0.25">
      <c r="A56" s="286" t="s">
        <v>1674</v>
      </c>
      <c r="B56" s="283"/>
      <c r="C56" s="283"/>
      <c r="D56" s="2"/>
      <c r="E56" s="2">
        <v>0</v>
      </c>
      <c r="F56" s="2">
        <v>0</v>
      </c>
      <c r="G56" s="2">
        <v>0</v>
      </c>
      <c r="H56" s="2">
        <v>0</v>
      </c>
      <c r="I56" s="2">
        <v>0</v>
      </c>
      <c r="J56" s="2">
        <v>0</v>
      </c>
    </row>
    <row r="57" spans="1:10" x14ac:dyDescent="0.2">
      <c r="A57" s="283"/>
      <c r="B57" s="283"/>
      <c r="C57" s="283"/>
      <c r="D57" s="2"/>
      <c r="E57" s="2"/>
      <c r="F57" s="258"/>
      <c r="G57" s="258"/>
      <c r="H57" s="267"/>
      <c r="I57" s="316"/>
      <c r="J57" s="316"/>
    </row>
    <row r="58" spans="1:10" ht="13.5" x14ac:dyDescent="0.25">
      <c r="A58" s="286" t="s">
        <v>23</v>
      </c>
      <c r="B58" s="283"/>
      <c r="C58" s="283"/>
      <c r="D58" s="2" t="s">
        <v>338</v>
      </c>
      <c r="E58" s="2">
        <v>900</v>
      </c>
      <c r="F58" s="2">
        <v>1000</v>
      </c>
      <c r="G58" s="2">
        <v>1000</v>
      </c>
      <c r="H58" s="2">
        <v>1000</v>
      </c>
      <c r="I58" s="2">
        <v>1000</v>
      </c>
      <c r="J58" s="2">
        <v>1000</v>
      </c>
    </row>
    <row r="59" spans="1:10" x14ac:dyDescent="0.2">
      <c r="A59" s="283" t="s">
        <v>570</v>
      </c>
      <c r="B59" s="2">
        <v>2</v>
      </c>
      <c r="C59" s="2">
        <v>300</v>
      </c>
      <c r="D59" s="2">
        <f>ROUND(B59*C59,0)</f>
        <v>600</v>
      </c>
      <c r="E59" s="2"/>
      <c r="F59" s="2"/>
      <c r="G59" s="2"/>
      <c r="H59" s="2"/>
      <c r="I59" s="2"/>
      <c r="J59" s="2"/>
    </row>
    <row r="60" spans="1:10" ht="15" x14ac:dyDescent="0.35">
      <c r="A60" s="283" t="s">
        <v>910</v>
      </c>
      <c r="B60" s="2">
        <v>4</v>
      </c>
      <c r="C60" s="2">
        <v>100</v>
      </c>
      <c r="D60" s="10">
        <v>400</v>
      </c>
      <c r="E60" s="2"/>
      <c r="F60" s="2"/>
      <c r="G60" s="2"/>
      <c r="H60" s="2"/>
      <c r="I60" s="2"/>
      <c r="J60" s="2"/>
    </row>
    <row r="61" spans="1:10" x14ac:dyDescent="0.2">
      <c r="A61" s="283"/>
      <c r="B61" s="2"/>
      <c r="C61" s="2"/>
      <c r="D61" s="2">
        <f>SUM(D59:D60)</f>
        <v>1000</v>
      </c>
      <c r="E61" s="2"/>
      <c r="F61" s="2"/>
      <c r="G61" s="2"/>
      <c r="H61" s="2"/>
      <c r="I61" s="2"/>
      <c r="J61" s="2"/>
    </row>
    <row r="62" spans="1:10" x14ac:dyDescent="0.2">
      <c r="A62" s="283"/>
      <c r="B62" s="283"/>
      <c r="C62" s="2"/>
      <c r="D62" s="2"/>
      <c r="E62" s="2"/>
      <c r="F62" s="2"/>
      <c r="G62" s="2"/>
      <c r="H62" s="2"/>
      <c r="I62" s="2"/>
      <c r="J62" s="2"/>
    </row>
    <row r="63" spans="1:10" ht="13.5" x14ac:dyDescent="0.25">
      <c r="A63" s="286" t="s">
        <v>1675</v>
      </c>
      <c r="B63" s="283"/>
      <c r="C63" s="283"/>
      <c r="D63" s="2"/>
      <c r="E63" s="2">
        <v>0</v>
      </c>
      <c r="F63" s="2">
        <v>0</v>
      </c>
      <c r="G63" s="2">
        <v>0</v>
      </c>
      <c r="H63" s="2">
        <v>0</v>
      </c>
      <c r="I63" s="2">
        <v>0</v>
      </c>
      <c r="J63" s="2">
        <v>0</v>
      </c>
    </row>
    <row r="64" spans="1:10" x14ac:dyDescent="0.2">
      <c r="A64" s="283"/>
      <c r="B64" s="283"/>
      <c r="C64" s="2"/>
      <c r="D64" s="2"/>
      <c r="E64" s="2"/>
      <c r="F64" s="2"/>
      <c r="G64" s="2"/>
      <c r="H64" s="2"/>
      <c r="I64" s="2"/>
      <c r="J64" s="2"/>
    </row>
    <row r="65" spans="1:10" ht="13.5" x14ac:dyDescent="0.25">
      <c r="A65" s="286" t="s">
        <v>870</v>
      </c>
      <c r="B65" s="283"/>
      <c r="C65" s="2"/>
      <c r="D65" s="2"/>
      <c r="E65" s="2">
        <v>31006</v>
      </c>
      <c r="F65" s="2">
        <v>32000</v>
      </c>
      <c r="G65" s="2">
        <v>33050</v>
      </c>
      <c r="H65" s="2">
        <v>33050</v>
      </c>
      <c r="I65" s="2">
        <v>33050</v>
      </c>
      <c r="J65" s="2">
        <v>33050</v>
      </c>
    </row>
    <row r="66" spans="1:10" x14ac:dyDescent="0.2">
      <c r="A66" s="283" t="s">
        <v>1759</v>
      </c>
      <c r="B66" s="283"/>
      <c r="C66" s="2"/>
      <c r="D66" s="2">
        <v>32150</v>
      </c>
      <c r="E66" s="2"/>
      <c r="F66" s="2"/>
      <c r="G66" s="2"/>
      <c r="H66" s="2"/>
      <c r="I66" s="2"/>
      <c r="J66" s="2"/>
    </row>
    <row r="67" spans="1:10" ht="15" x14ac:dyDescent="0.35">
      <c r="A67" s="283" t="s">
        <v>1760</v>
      </c>
      <c r="B67" s="283"/>
      <c r="C67" s="10"/>
      <c r="D67" s="10">
        <v>900</v>
      </c>
      <c r="E67" s="2"/>
      <c r="F67" s="2"/>
      <c r="G67" s="2"/>
      <c r="H67" s="2"/>
      <c r="I67" s="2"/>
      <c r="J67" s="2"/>
    </row>
    <row r="68" spans="1:10" x14ac:dyDescent="0.2">
      <c r="A68" s="283" t="s">
        <v>1067</v>
      </c>
      <c r="B68" s="283"/>
      <c r="C68" s="2"/>
      <c r="D68" s="2">
        <f>SUM(D66:D67)</f>
        <v>33050</v>
      </c>
      <c r="E68" s="2"/>
      <c r="F68" s="2"/>
      <c r="G68" s="2"/>
      <c r="H68" s="2"/>
      <c r="I68" s="2"/>
      <c r="J68" s="2"/>
    </row>
    <row r="69" spans="1:10" x14ac:dyDescent="0.2">
      <c r="A69" s="283"/>
      <c r="B69" s="283"/>
      <c r="C69" s="2"/>
      <c r="D69" s="2"/>
      <c r="E69" s="2"/>
      <c r="F69" s="2"/>
      <c r="G69" s="2"/>
      <c r="H69" s="2"/>
      <c r="I69" s="2"/>
      <c r="J69" s="2"/>
    </row>
    <row r="70" spans="1:10" ht="13.5" x14ac:dyDescent="0.25">
      <c r="A70" s="286" t="s">
        <v>328</v>
      </c>
      <c r="B70" s="283"/>
      <c r="C70" s="2"/>
      <c r="D70" s="2"/>
      <c r="E70" s="2">
        <v>11032</v>
      </c>
      <c r="F70" s="2">
        <v>10600</v>
      </c>
      <c r="G70" s="2">
        <v>11400</v>
      </c>
      <c r="H70" s="2">
        <v>11400</v>
      </c>
      <c r="I70" s="2">
        <v>11400</v>
      </c>
      <c r="J70" s="2">
        <v>11400</v>
      </c>
    </row>
    <row r="71" spans="1:10" x14ac:dyDescent="0.2">
      <c r="A71" s="283" t="s">
        <v>1109</v>
      </c>
      <c r="B71" s="283"/>
      <c r="C71" s="2"/>
      <c r="D71" s="2">
        <v>9800</v>
      </c>
      <c r="E71" s="2"/>
      <c r="F71" s="2"/>
      <c r="G71" s="2"/>
      <c r="H71" s="2"/>
      <c r="I71" s="2"/>
      <c r="J71" s="2"/>
    </row>
    <row r="72" spans="1:10" ht="15" x14ac:dyDescent="0.35">
      <c r="A72" s="74" t="s">
        <v>788</v>
      </c>
      <c r="B72" s="283"/>
      <c r="C72" s="2"/>
      <c r="D72" s="10">
        <v>1600</v>
      </c>
      <c r="E72" s="2"/>
      <c r="F72" s="2"/>
      <c r="G72" s="2"/>
      <c r="H72" s="2"/>
      <c r="I72" s="2"/>
      <c r="J72" s="2"/>
    </row>
    <row r="73" spans="1:10" x14ac:dyDescent="0.2">
      <c r="A73" s="283" t="s">
        <v>1067</v>
      </c>
      <c r="B73" s="283"/>
      <c r="C73" s="2"/>
      <c r="D73" s="2">
        <f>SUM(D71:D72)</f>
        <v>11400</v>
      </c>
      <c r="E73" s="2"/>
      <c r="F73" s="2"/>
      <c r="G73" s="2"/>
      <c r="H73" s="2"/>
      <c r="I73" s="2"/>
      <c r="J73" s="2"/>
    </row>
    <row r="74" spans="1:10" x14ac:dyDescent="0.2">
      <c r="A74" s="283"/>
      <c r="B74" s="283"/>
      <c r="C74" s="283"/>
      <c r="D74" s="2"/>
      <c r="E74" s="2"/>
      <c r="F74" s="2"/>
      <c r="G74" s="2"/>
      <c r="H74" s="2"/>
      <c r="I74" s="2"/>
      <c r="J74" s="2"/>
    </row>
    <row r="75" spans="1:10" ht="13.5" x14ac:dyDescent="0.25">
      <c r="A75" s="286" t="s">
        <v>739</v>
      </c>
      <c r="B75" s="283"/>
      <c r="C75" s="283"/>
      <c r="D75" s="2"/>
      <c r="E75" s="2">
        <v>4190</v>
      </c>
      <c r="F75" s="2">
        <v>3900</v>
      </c>
      <c r="G75" s="2">
        <v>4500</v>
      </c>
      <c r="H75" s="2">
        <v>4500</v>
      </c>
      <c r="I75" s="2">
        <v>4500</v>
      </c>
      <c r="J75" s="2">
        <v>4500</v>
      </c>
    </row>
    <row r="76" spans="1:10" x14ac:dyDescent="0.2">
      <c r="A76" s="283" t="s">
        <v>1740</v>
      </c>
      <c r="B76" s="283"/>
      <c r="C76" s="2"/>
      <c r="D76" s="2">
        <v>4500</v>
      </c>
      <c r="E76" s="2"/>
      <c r="F76" s="2"/>
      <c r="G76" s="2"/>
      <c r="H76" s="2"/>
      <c r="I76" s="2"/>
      <c r="J76" s="2"/>
    </row>
    <row r="77" spans="1:10" x14ac:dyDescent="0.2">
      <c r="A77" s="283"/>
      <c r="B77" s="283"/>
      <c r="C77" s="2"/>
      <c r="D77" s="2"/>
      <c r="E77" s="2"/>
      <c r="F77" s="2"/>
      <c r="G77" s="2"/>
      <c r="H77" s="2"/>
      <c r="I77" s="2"/>
      <c r="J77" s="2"/>
    </row>
    <row r="78" spans="1:10" ht="13.5" x14ac:dyDescent="0.25">
      <c r="A78" s="286" t="s">
        <v>740</v>
      </c>
      <c r="B78" s="283"/>
      <c r="C78" s="2"/>
      <c r="D78" s="2"/>
      <c r="E78" s="2">
        <v>592</v>
      </c>
      <c r="F78" s="2">
        <v>608</v>
      </c>
      <c r="G78" s="2">
        <v>680</v>
      </c>
      <c r="H78" s="2">
        <v>680</v>
      </c>
      <c r="I78" s="2">
        <v>680</v>
      </c>
      <c r="J78" s="2">
        <v>680</v>
      </c>
    </row>
    <row r="79" spans="1:10" x14ac:dyDescent="0.2">
      <c r="A79" s="283" t="s">
        <v>1740</v>
      </c>
      <c r="B79" s="283"/>
      <c r="C79" s="2"/>
      <c r="D79" s="2">
        <v>680</v>
      </c>
      <c r="E79" s="2"/>
      <c r="F79" s="2"/>
      <c r="G79" s="2"/>
      <c r="H79" s="2"/>
      <c r="I79" s="2"/>
      <c r="J79" s="2"/>
    </row>
    <row r="80" spans="1:10" x14ac:dyDescent="0.2">
      <c r="A80" s="283"/>
      <c r="B80" s="283"/>
      <c r="C80" s="283"/>
      <c r="D80" s="2"/>
      <c r="E80" s="2"/>
      <c r="F80" s="2"/>
      <c r="G80" s="2"/>
      <c r="H80" s="2"/>
      <c r="I80" s="2"/>
      <c r="J80" s="2"/>
    </row>
    <row r="81" spans="1:10" ht="13.5" x14ac:dyDescent="0.25">
      <c r="A81" s="286" t="s">
        <v>741</v>
      </c>
      <c r="B81" s="283"/>
      <c r="C81" s="283"/>
      <c r="D81" s="2"/>
      <c r="E81" s="2">
        <v>2445</v>
      </c>
      <c r="F81" s="2">
        <v>2423</v>
      </c>
      <c r="G81" s="2">
        <v>3150</v>
      </c>
      <c r="H81" s="2">
        <v>3150</v>
      </c>
      <c r="I81" s="2">
        <v>3150</v>
      </c>
      <c r="J81" s="2">
        <v>3150</v>
      </c>
    </row>
    <row r="82" spans="1:10" x14ac:dyDescent="0.2">
      <c r="A82" s="283" t="s">
        <v>1101</v>
      </c>
      <c r="B82" s="2">
        <v>900</v>
      </c>
      <c r="C82" s="11">
        <v>3.5</v>
      </c>
      <c r="D82" s="2">
        <f>ROUND(B82*C82,0)</f>
        <v>3150</v>
      </c>
      <c r="E82" s="2"/>
      <c r="F82" s="2"/>
      <c r="G82" s="2"/>
      <c r="H82" s="2"/>
      <c r="I82" s="2"/>
      <c r="J82" s="2"/>
    </row>
    <row r="83" spans="1:10" x14ac:dyDescent="0.2">
      <c r="A83" s="283"/>
      <c r="B83" s="283"/>
      <c r="C83" s="283"/>
      <c r="D83" s="2"/>
      <c r="E83" s="2"/>
      <c r="F83" s="2"/>
      <c r="G83" s="2"/>
      <c r="H83" s="2"/>
      <c r="I83" s="2"/>
      <c r="J83" s="2"/>
    </row>
    <row r="84" spans="1:10" ht="13.5" x14ac:dyDescent="0.25">
      <c r="A84" s="286" t="s">
        <v>742</v>
      </c>
      <c r="B84" s="283"/>
      <c r="C84" s="283"/>
      <c r="D84" s="2"/>
      <c r="E84" s="2">
        <v>1361</v>
      </c>
      <c r="F84" s="2">
        <v>1080</v>
      </c>
      <c r="G84" s="2">
        <v>1380</v>
      </c>
      <c r="H84" s="2">
        <v>1380</v>
      </c>
      <c r="I84" s="2">
        <v>1380</v>
      </c>
      <c r="J84" s="2">
        <v>1380</v>
      </c>
    </row>
    <row r="85" spans="1:10" x14ac:dyDescent="0.2">
      <c r="A85" s="283" t="s">
        <v>73</v>
      </c>
      <c r="B85" s="2" t="s">
        <v>338</v>
      </c>
      <c r="C85" s="2"/>
      <c r="D85" s="2">
        <v>750</v>
      </c>
      <c r="E85" s="2"/>
      <c r="F85" s="2"/>
      <c r="G85" s="2"/>
      <c r="H85" s="2"/>
      <c r="I85" s="2"/>
      <c r="J85" s="2"/>
    </row>
    <row r="86" spans="1:10" ht="15" x14ac:dyDescent="0.35">
      <c r="A86" s="283" t="s">
        <v>84</v>
      </c>
      <c r="B86" s="2"/>
      <c r="C86" s="2"/>
      <c r="D86" s="10">
        <v>630</v>
      </c>
      <c r="E86" s="2"/>
      <c r="F86" s="2"/>
      <c r="G86" s="2"/>
      <c r="H86" s="2"/>
      <c r="I86" s="2"/>
      <c r="J86" s="2"/>
    </row>
    <row r="87" spans="1:10" x14ac:dyDescent="0.2">
      <c r="A87" s="283" t="s">
        <v>1067</v>
      </c>
      <c r="B87" s="2"/>
      <c r="C87" s="2"/>
      <c r="D87" s="2">
        <f>SUM(D85:D86)</f>
        <v>1380</v>
      </c>
      <c r="E87" s="2"/>
      <c r="F87" s="2"/>
      <c r="G87" s="2"/>
      <c r="H87" s="2"/>
      <c r="I87" s="2"/>
      <c r="J87" s="2"/>
    </row>
    <row r="88" spans="1:10" ht="13.5" customHeight="1" x14ac:dyDescent="0.2">
      <c r="A88" s="283"/>
      <c r="B88" s="283"/>
      <c r="C88" s="2"/>
      <c r="D88" s="2"/>
      <c r="E88" s="2"/>
      <c r="F88" s="2"/>
      <c r="G88" s="2"/>
      <c r="H88" s="2"/>
      <c r="I88" s="2"/>
      <c r="J88" s="2"/>
    </row>
    <row r="89" spans="1:10" ht="13.5" x14ac:dyDescent="0.25">
      <c r="A89" s="16" t="s">
        <v>743</v>
      </c>
      <c r="B89" s="283"/>
      <c r="C89" s="2"/>
      <c r="D89" s="2"/>
      <c r="E89" s="2">
        <v>5831</v>
      </c>
      <c r="F89" s="2">
        <v>5977</v>
      </c>
      <c r="G89" s="2">
        <v>6276</v>
      </c>
      <c r="H89" s="2">
        <v>6276</v>
      </c>
      <c r="I89" s="2">
        <v>6276</v>
      </c>
      <c r="J89" s="2">
        <v>6276</v>
      </c>
    </row>
    <row r="90" spans="1:10" x14ac:dyDescent="0.2">
      <c r="A90" s="283" t="s">
        <v>1406</v>
      </c>
      <c r="B90" s="283"/>
      <c r="C90" s="2"/>
      <c r="D90" s="2">
        <v>6276</v>
      </c>
      <c r="E90" s="2"/>
      <c r="F90" s="2"/>
      <c r="G90" s="2"/>
      <c r="H90" s="2"/>
      <c r="I90" s="2"/>
      <c r="J90" s="2"/>
    </row>
    <row r="91" spans="1:10" x14ac:dyDescent="0.2">
      <c r="A91" s="283"/>
      <c r="B91" s="283"/>
      <c r="C91" s="2"/>
      <c r="D91" s="2"/>
      <c r="E91" s="2"/>
      <c r="F91" s="2"/>
      <c r="G91" s="2"/>
      <c r="H91" s="2"/>
      <c r="I91" s="2"/>
      <c r="J91" s="2"/>
    </row>
    <row r="92" spans="1:10" x14ac:dyDescent="0.2">
      <c r="A92" s="283"/>
      <c r="B92" s="283"/>
      <c r="C92" s="2"/>
      <c r="D92" s="2"/>
      <c r="E92" s="2"/>
      <c r="F92" s="2"/>
      <c r="G92" s="2"/>
      <c r="H92" s="2"/>
      <c r="I92" s="2"/>
      <c r="J92" s="2"/>
    </row>
    <row r="93" spans="1:10" ht="13.5" x14ac:dyDescent="0.25">
      <c r="A93" s="286" t="s">
        <v>744</v>
      </c>
      <c r="B93" s="283"/>
      <c r="C93" s="2"/>
      <c r="D93" s="2"/>
      <c r="E93" s="2">
        <v>50378</v>
      </c>
      <c r="F93" s="2">
        <v>49325</v>
      </c>
      <c r="G93" s="2">
        <v>49325</v>
      </c>
      <c r="H93" s="2">
        <v>49325</v>
      </c>
      <c r="I93" s="2">
        <v>49325</v>
      </c>
      <c r="J93" s="2">
        <v>49325</v>
      </c>
    </row>
    <row r="94" spans="1:10" x14ac:dyDescent="0.2">
      <c r="A94" s="283" t="s">
        <v>1407</v>
      </c>
      <c r="B94" s="283"/>
      <c r="C94" s="2"/>
      <c r="D94" s="2">
        <v>5000</v>
      </c>
      <c r="E94" s="2"/>
      <c r="F94" s="2"/>
      <c r="G94" s="2"/>
      <c r="H94" s="2"/>
      <c r="I94" s="2"/>
      <c r="J94" s="2"/>
    </row>
    <row r="95" spans="1:10" x14ac:dyDescent="0.2">
      <c r="A95" s="283" t="s">
        <v>90</v>
      </c>
      <c r="B95" s="283"/>
      <c r="C95" s="2"/>
      <c r="D95" s="2">
        <v>2500</v>
      </c>
      <c r="E95" s="2"/>
      <c r="F95" s="2"/>
      <c r="G95" s="2"/>
      <c r="H95" s="2"/>
      <c r="I95" s="2"/>
      <c r="J95" s="2"/>
    </row>
    <row r="96" spans="1:10" x14ac:dyDescent="0.2">
      <c r="A96" s="283" t="s">
        <v>1130</v>
      </c>
      <c r="B96" s="283"/>
      <c r="C96" s="2"/>
      <c r="D96" s="2">
        <v>3000</v>
      </c>
      <c r="E96" s="2"/>
      <c r="F96" s="2"/>
      <c r="G96" s="2"/>
      <c r="H96" s="2"/>
      <c r="I96" s="2"/>
      <c r="J96" s="2"/>
    </row>
    <row r="97" spans="1:10" x14ac:dyDescent="0.2">
      <c r="A97" s="283" t="s">
        <v>1131</v>
      </c>
      <c r="B97" s="283"/>
      <c r="C97" s="2"/>
      <c r="D97" s="2">
        <v>500</v>
      </c>
      <c r="E97" s="2"/>
      <c r="F97" s="2"/>
      <c r="G97" s="2"/>
      <c r="H97" s="2"/>
      <c r="I97" s="2"/>
      <c r="J97" s="2"/>
    </row>
    <row r="98" spans="1:10" x14ac:dyDescent="0.2">
      <c r="A98" s="283" t="s">
        <v>1637</v>
      </c>
      <c r="B98" s="283"/>
      <c r="C98" s="2"/>
      <c r="D98" s="2">
        <v>3500</v>
      </c>
      <c r="E98" s="2"/>
      <c r="F98" s="2"/>
      <c r="G98" s="2"/>
      <c r="H98" s="2"/>
      <c r="I98" s="2"/>
      <c r="J98" s="2"/>
    </row>
    <row r="99" spans="1:10" x14ac:dyDescent="0.2">
      <c r="A99" s="283" t="s">
        <v>1528</v>
      </c>
      <c r="B99" s="283"/>
      <c r="C99" s="2"/>
      <c r="D99" s="2">
        <v>1500</v>
      </c>
      <c r="E99" s="2"/>
      <c r="F99" s="2"/>
      <c r="G99" s="2"/>
      <c r="H99" s="2"/>
      <c r="I99" s="2"/>
      <c r="J99" s="2"/>
    </row>
    <row r="100" spans="1:10" x14ac:dyDescent="0.2">
      <c r="A100" s="283" t="s">
        <v>1132</v>
      </c>
      <c r="B100" s="283"/>
      <c r="C100" s="2"/>
      <c r="D100" s="2">
        <v>1100</v>
      </c>
      <c r="E100" s="2"/>
      <c r="F100" s="2"/>
      <c r="G100" s="2"/>
      <c r="H100" s="2"/>
      <c r="I100" s="2"/>
      <c r="J100" s="2"/>
    </row>
    <row r="101" spans="1:10" x14ac:dyDescent="0.2">
      <c r="A101" s="283" t="s">
        <v>831</v>
      </c>
      <c r="B101" s="283"/>
      <c r="C101" s="2"/>
      <c r="D101" s="2">
        <v>500</v>
      </c>
      <c r="E101" s="2"/>
      <c r="F101" s="2"/>
      <c r="G101" s="2"/>
      <c r="H101" s="2"/>
      <c r="I101" s="2"/>
      <c r="J101" s="2"/>
    </row>
    <row r="102" spans="1:10" x14ac:dyDescent="0.2">
      <c r="A102" s="5" t="s">
        <v>865</v>
      </c>
      <c r="B102" s="5"/>
      <c r="C102" s="2"/>
      <c r="D102" s="2">
        <v>11000</v>
      </c>
      <c r="E102" s="2"/>
      <c r="F102" s="2"/>
      <c r="G102" s="2"/>
      <c r="H102" s="2"/>
      <c r="I102" s="2"/>
      <c r="J102" s="2"/>
    </row>
    <row r="103" spans="1:10" x14ac:dyDescent="0.2">
      <c r="A103" s="5" t="s">
        <v>1550</v>
      </c>
      <c r="B103" s="5"/>
      <c r="C103" s="2"/>
      <c r="D103" s="2">
        <v>795</v>
      </c>
      <c r="E103" s="2"/>
      <c r="F103" s="2"/>
      <c r="G103" s="2"/>
      <c r="H103" s="2"/>
      <c r="I103" s="2"/>
      <c r="J103" s="2"/>
    </row>
    <row r="104" spans="1:10" x14ac:dyDescent="0.2">
      <c r="A104" s="5" t="s">
        <v>1704</v>
      </c>
      <c r="B104" s="5"/>
      <c r="C104" s="2"/>
      <c r="D104" s="2">
        <v>1000</v>
      </c>
      <c r="E104" s="2"/>
      <c r="F104" s="2"/>
      <c r="G104" s="2"/>
      <c r="H104" s="2"/>
      <c r="I104" s="2"/>
      <c r="J104" s="2"/>
    </row>
    <row r="105" spans="1:10" x14ac:dyDescent="0.2">
      <c r="A105" s="5" t="s">
        <v>1705</v>
      </c>
      <c r="B105" s="5"/>
      <c r="C105" s="2"/>
      <c r="D105" s="2">
        <v>1600</v>
      </c>
      <c r="E105" s="2"/>
      <c r="F105" s="2"/>
      <c r="G105" s="2"/>
      <c r="H105" s="2"/>
      <c r="I105" s="2"/>
      <c r="J105" s="2"/>
    </row>
    <row r="106" spans="1:10" x14ac:dyDescent="0.2">
      <c r="A106" s="5" t="s">
        <v>1706</v>
      </c>
      <c r="B106" s="5"/>
      <c r="C106" s="2"/>
      <c r="D106" s="2">
        <v>1100</v>
      </c>
      <c r="E106" s="2"/>
      <c r="F106" s="2"/>
      <c r="G106" s="2"/>
      <c r="H106" s="2"/>
      <c r="I106" s="2"/>
      <c r="J106" s="2"/>
    </row>
    <row r="107" spans="1:10" x14ac:dyDescent="0.2">
      <c r="A107" s="5" t="s">
        <v>1707</v>
      </c>
      <c r="B107" s="5"/>
      <c r="C107" s="2"/>
      <c r="D107" s="2">
        <v>1000</v>
      </c>
      <c r="E107" s="2"/>
      <c r="F107" s="2"/>
      <c r="G107" s="2"/>
      <c r="H107" s="2"/>
      <c r="I107" s="2"/>
      <c r="J107" s="2"/>
    </row>
    <row r="108" spans="1:10" x14ac:dyDescent="0.2">
      <c r="A108" s="5" t="s">
        <v>889</v>
      </c>
      <c r="B108" s="5"/>
      <c r="C108" s="2"/>
      <c r="D108" s="2">
        <v>1500</v>
      </c>
      <c r="E108" s="2"/>
      <c r="F108" s="2"/>
      <c r="G108" s="2"/>
      <c r="H108" s="2"/>
      <c r="I108" s="2"/>
      <c r="J108" s="2"/>
    </row>
    <row r="109" spans="1:10" x14ac:dyDescent="0.2">
      <c r="A109" s="5" t="s">
        <v>1994</v>
      </c>
      <c r="B109" s="5"/>
      <c r="C109" s="2"/>
      <c r="D109" s="2">
        <v>850</v>
      </c>
      <c r="E109" s="2"/>
      <c r="F109" s="2"/>
      <c r="G109" s="2"/>
      <c r="H109" s="2"/>
      <c r="I109" s="2"/>
      <c r="J109" s="2"/>
    </row>
    <row r="110" spans="1:10" x14ac:dyDescent="0.2">
      <c r="A110" s="5" t="s">
        <v>1995</v>
      </c>
      <c r="B110" s="5"/>
      <c r="C110" s="2"/>
      <c r="D110" s="2">
        <v>2000</v>
      </c>
      <c r="E110" s="2"/>
      <c r="F110" s="2"/>
      <c r="G110" s="2"/>
      <c r="H110" s="2"/>
      <c r="I110" s="2"/>
      <c r="J110" s="2"/>
    </row>
    <row r="111" spans="1:10" x14ac:dyDescent="0.2">
      <c r="A111" s="5" t="s">
        <v>1708</v>
      </c>
      <c r="B111" s="5"/>
      <c r="C111" s="2"/>
      <c r="D111" s="2">
        <v>2000</v>
      </c>
      <c r="E111" s="2"/>
      <c r="F111" s="2"/>
      <c r="G111" s="2"/>
      <c r="H111" s="2"/>
      <c r="I111" s="2"/>
      <c r="J111" s="2"/>
    </row>
    <row r="112" spans="1:10" x14ac:dyDescent="0.2">
      <c r="A112" s="5" t="s">
        <v>1483</v>
      </c>
      <c r="B112" s="5"/>
      <c r="C112" s="2"/>
      <c r="D112" s="2">
        <v>880</v>
      </c>
      <c r="E112" s="2"/>
      <c r="F112" s="2"/>
      <c r="G112" s="2"/>
      <c r="H112" s="2"/>
      <c r="I112" s="2"/>
      <c r="J112" s="2"/>
    </row>
    <row r="113" spans="1:10" ht="15" x14ac:dyDescent="0.35">
      <c r="A113" s="283" t="s">
        <v>1709</v>
      </c>
      <c r="B113" s="283"/>
      <c r="C113" s="10"/>
      <c r="D113" s="10">
        <v>8000</v>
      </c>
      <c r="E113" s="2"/>
      <c r="F113" s="2"/>
      <c r="G113" s="2"/>
      <c r="H113" s="2"/>
      <c r="I113" s="2"/>
      <c r="J113" s="2"/>
    </row>
    <row r="114" spans="1:10" x14ac:dyDescent="0.2">
      <c r="A114" s="283" t="s">
        <v>1067</v>
      </c>
      <c r="B114" s="283"/>
      <c r="C114" s="2"/>
      <c r="D114" s="2">
        <f>SUM(D94:D113)</f>
        <v>49325</v>
      </c>
      <c r="E114" s="2"/>
      <c r="F114" s="258"/>
      <c r="G114" s="258"/>
      <c r="H114" s="267"/>
      <c r="I114" s="316"/>
      <c r="J114" s="316"/>
    </row>
    <row r="115" spans="1:10" x14ac:dyDescent="0.2">
      <c r="A115" s="283"/>
      <c r="B115" s="283"/>
      <c r="C115" s="2"/>
      <c r="D115" s="2"/>
      <c r="E115" s="2"/>
      <c r="F115" s="2"/>
      <c r="G115" s="2"/>
      <c r="H115" s="2"/>
      <c r="I115" s="2"/>
      <c r="J115" s="2"/>
    </row>
    <row r="116" spans="1:10" ht="13.5" x14ac:dyDescent="0.25">
      <c r="A116" s="286" t="s">
        <v>838</v>
      </c>
      <c r="B116" s="283"/>
      <c r="C116" s="2"/>
      <c r="D116" s="2"/>
      <c r="E116" s="2">
        <v>4650</v>
      </c>
      <c r="F116" s="2">
        <v>6000</v>
      </c>
      <c r="G116" s="2">
        <v>5800</v>
      </c>
      <c r="H116" s="2">
        <v>5800</v>
      </c>
      <c r="I116" s="2">
        <v>5800</v>
      </c>
      <c r="J116" s="2">
        <v>5800</v>
      </c>
    </row>
    <row r="117" spans="1:10" x14ac:dyDescent="0.2">
      <c r="A117" s="283" t="s">
        <v>839</v>
      </c>
      <c r="B117" s="283"/>
      <c r="C117" s="2">
        <v>750</v>
      </c>
      <c r="D117" s="2">
        <v>1000</v>
      </c>
      <c r="E117" s="2"/>
      <c r="F117" s="2"/>
      <c r="G117" s="2"/>
      <c r="H117" s="2"/>
      <c r="I117" s="2"/>
      <c r="J117" s="2"/>
    </row>
    <row r="118" spans="1:10" x14ac:dyDescent="0.2">
      <c r="A118" s="283" t="s">
        <v>850</v>
      </c>
      <c r="B118" s="283"/>
      <c r="C118" s="2">
        <v>750</v>
      </c>
      <c r="D118" s="2">
        <v>1000</v>
      </c>
      <c r="E118" s="2"/>
      <c r="F118" s="2"/>
      <c r="G118" s="2"/>
      <c r="H118" s="2"/>
      <c r="I118" s="2"/>
      <c r="J118" s="2"/>
    </row>
    <row r="119" spans="1:10" x14ac:dyDescent="0.2">
      <c r="A119" s="283" t="s">
        <v>1476</v>
      </c>
      <c r="B119" s="283"/>
      <c r="C119" s="2">
        <v>3000</v>
      </c>
      <c r="D119" s="2">
        <v>2800</v>
      </c>
      <c r="E119" s="2"/>
      <c r="F119" s="2"/>
      <c r="G119" s="2"/>
      <c r="H119" s="2"/>
      <c r="I119" s="2"/>
      <c r="J119" s="2"/>
    </row>
    <row r="120" spans="1:10" ht="15" x14ac:dyDescent="0.35">
      <c r="A120" s="283" t="s">
        <v>1996</v>
      </c>
      <c r="B120" s="283"/>
      <c r="C120" s="10">
        <v>750</v>
      </c>
      <c r="D120" s="10">
        <v>1000</v>
      </c>
      <c r="E120" s="2"/>
      <c r="F120" s="2"/>
      <c r="G120" s="2"/>
      <c r="H120" s="2"/>
      <c r="I120" s="2"/>
      <c r="J120" s="2"/>
    </row>
    <row r="121" spans="1:10" x14ac:dyDescent="0.2">
      <c r="A121" s="283" t="s">
        <v>1067</v>
      </c>
      <c r="B121" s="283"/>
      <c r="C121" s="2">
        <f>SUM(C117:C120)</f>
        <v>5250</v>
      </c>
      <c r="D121" s="2">
        <f>SUM(D117:D120)</f>
        <v>5800</v>
      </c>
      <c r="E121" s="2"/>
      <c r="F121" s="2"/>
      <c r="G121" s="2"/>
      <c r="H121" s="2"/>
      <c r="I121" s="2"/>
      <c r="J121" s="2"/>
    </row>
    <row r="122" spans="1:10" x14ac:dyDescent="0.2">
      <c r="A122" s="283"/>
      <c r="B122" s="283"/>
      <c r="C122" s="2"/>
      <c r="D122" s="2"/>
      <c r="E122" s="2"/>
      <c r="F122" s="2"/>
      <c r="G122" s="2"/>
      <c r="H122" s="2"/>
      <c r="I122" s="2"/>
      <c r="J122" s="2"/>
    </row>
    <row r="123" spans="1:10" ht="13.5" x14ac:dyDescent="0.25">
      <c r="A123" s="286" t="s">
        <v>1278</v>
      </c>
      <c r="B123" s="283"/>
      <c r="C123" s="2"/>
      <c r="D123" s="2"/>
      <c r="E123" s="2">
        <v>610</v>
      </c>
      <c r="F123" s="2">
        <v>750</v>
      </c>
      <c r="G123" s="2">
        <v>750</v>
      </c>
      <c r="H123" s="2">
        <v>750</v>
      </c>
      <c r="I123" s="2">
        <v>750</v>
      </c>
      <c r="J123" s="2">
        <v>750</v>
      </c>
    </row>
    <row r="124" spans="1:10" x14ac:dyDescent="0.2">
      <c r="A124" s="22" t="s">
        <v>1408</v>
      </c>
      <c r="B124" s="283"/>
      <c r="C124" s="2"/>
      <c r="D124" s="2">
        <v>750</v>
      </c>
      <c r="E124" s="2"/>
      <c r="F124" s="2"/>
      <c r="G124" s="2"/>
      <c r="H124" s="2"/>
      <c r="I124" s="2"/>
      <c r="J124" s="2"/>
    </row>
    <row r="125" spans="1:10" x14ac:dyDescent="0.2">
      <c r="A125" s="283"/>
      <c r="B125" s="283"/>
      <c r="C125" s="2"/>
      <c r="D125" s="2"/>
      <c r="E125" s="2"/>
      <c r="F125" s="2"/>
      <c r="G125" s="2"/>
      <c r="H125" s="2"/>
      <c r="I125" s="2"/>
      <c r="J125" s="2"/>
    </row>
    <row r="126" spans="1:10" ht="13.5" x14ac:dyDescent="0.25">
      <c r="A126" s="286" t="s">
        <v>927</v>
      </c>
      <c r="B126" s="283"/>
      <c r="C126" s="2"/>
      <c r="D126" s="2"/>
      <c r="E126" s="2">
        <v>1797</v>
      </c>
      <c r="F126" s="2">
        <v>500</v>
      </c>
      <c r="G126" s="2">
        <v>2000</v>
      </c>
      <c r="H126" s="2">
        <v>2000</v>
      </c>
      <c r="I126" s="2">
        <v>2000</v>
      </c>
      <c r="J126" s="2">
        <v>2000</v>
      </c>
    </row>
    <row r="127" spans="1:10" x14ac:dyDescent="0.2">
      <c r="A127" s="283" t="s">
        <v>1529</v>
      </c>
      <c r="B127" s="283"/>
      <c r="C127" s="2"/>
      <c r="D127" s="2">
        <v>2000</v>
      </c>
      <c r="E127" s="2"/>
      <c r="F127" s="2"/>
      <c r="G127" s="2"/>
      <c r="H127" s="2"/>
      <c r="I127" s="2"/>
      <c r="J127" s="2"/>
    </row>
    <row r="128" spans="1:10" x14ac:dyDescent="0.2">
      <c r="A128" s="283"/>
      <c r="B128" s="283"/>
      <c r="C128" s="2"/>
      <c r="D128" s="2"/>
      <c r="E128" s="2"/>
      <c r="F128" s="2"/>
      <c r="G128" s="2"/>
      <c r="H128" s="2"/>
      <c r="I128" s="2"/>
      <c r="J128" s="2"/>
    </row>
    <row r="129" spans="1:10" x14ac:dyDescent="0.2">
      <c r="A129" s="283"/>
      <c r="B129" s="283"/>
      <c r="C129" s="2"/>
      <c r="D129" s="2"/>
      <c r="E129" s="2"/>
      <c r="F129" s="2"/>
      <c r="G129" s="2"/>
      <c r="H129" s="2"/>
      <c r="I129" s="2"/>
      <c r="J129" s="2"/>
    </row>
    <row r="130" spans="1:10" s="192" customFormat="1" ht="13.5" x14ac:dyDescent="0.25">
      <c r="A130" s="286" t="s">
        <v>1954</v>
      </c>
      <c r="B130" s="283"/>
      <c r="C130" s="2"/>
      <c r="D130" s="2"/>
      <c r="E130" s="2">
        <v>0</v>
      </c>
      <c r="F130" s="2">
        <v>250</v>
      </c>
      <c r="G130" s="2">
        <v>250</v>
      </c>
      <c r="H130" s="2">
        <v>250</v>
      </c>
      <c r="I130" s="2">
        <v>250</v>
      </c>
      <c r="J130" s="2">
        <v>250</v>
      </c>
    </row>
    <row r="131" spans="1:10" s="192" customFormat="1" x14ac:dyDescent="0.2">
      <c r="A131" s="283"/>
      <c r="B131" s="283"/>
      <c r="C131" s="2"/>
      <c r="D131" s="2">
        <v>250</v>
      </c>
      <c r="E131" s="2"/>
      <c r="F131" s="2"/>
      <c r="G131" s="2"/>
      <c r="H131" s="2"/>
      <c r="I131" s="2"/>
      <c r="J131" s="2"/>
    </row>
    <row r="132" spans="1:10" s="192" customFormat="1" x14ac:dyDescent="0.2">
      <c r="A132" s="283"/>
      <c r="B132" s="283"/>
      <c r="C132" s="2"/>
      <c r="D132" s="2"/>
      <c r="E132" s="2"/>
      <c r="F132" s="2"/>
      <c r="G132" s="2"/>
      <c r="H132" s="2"/>
      <c r="I132" s="2"/>
      <c r="J132" s="2"/>
    </row>
    <row r="133" spans="1:10" ht="13.5" x14ac:dyDescent="0.25">
      <c r="A133" s="286" t="s">
        <v>1504</v>
      </c>
      <c r="B133" s="283"/>
      <c r="C133" s="2"/>
      <c r="D133" s="2"/>
      <c r="E133" s="2">
        <v>0</v>
      </c>
      <c r="F133" s="2">
        <v>25000</v>
      </c>
      <c r="G133" s="2">
        <v>30000</v>
      </c>
      <c r="H133" s="2">
        <v>30000</v>
      </c>
      <c r="I133" s="2">
        <v>30000</v>
      </c>
      <c r="J133" s="2">
        <v>30000</v>
      </c>
    </row>
    <row r="134" spans="1:10" x14ac:dyDescent="0.2">
      <c r="A134" s="283" t="s">
        <v>1638</v>
      </c>
      <c r="B134" s="283"/>
      <c r="C134" s="2"/>
      <c r="D134" s="2">
        <v>30000</v>
      </c>
      <c r="E134" s="2"/>
      <c r="F134" s="2"/>
      <c r="G134" s="2"/>
      <c r="H134" s="2"/>
      <c r="I134" s="2"/>
      <c r="J134" s="2"/>
    </row>
    <row r="135" spans="1:10" ht="13.5" x14ac:dyDescent="0.25">
      <c r="A135" s="286"/>
      <c r="B135" s="283"/>
      <c r="C135" s="2"/>
      <c r="D135" s="2"/>
      <c r="E135" s="2"/>
      <c r="F135" s="2"/>
      <c r="G135" s="2"/>
      <c r="H135" s="2"/>
      <c r="I135" s="2"/>
      <c r="J135" s="2"/>
    </row>
    <row r="136" spans="1:10" x14ac:dyDescent="0.2">
      <c r="A136" s="283"/>
      <c r="B136" s="283"/>
      <c r="C136" s="2"/>
      <c r="D136" s="2"/>
      <c r="E136" s="2"/>
      <c r="F136" s="2"/>
      <c r="G136" s="2"/>
      <c r="H136" s="2"/>
      <c r="I136" s="2"/>
      <c r="J136" s="2"/>
    </row>
    <row r="137" spans="1:10" ht="13.5" x14ac:dyDescent="0.25">
      <c r="A137" s="286" t="s">
        <v>462</v>
      </c>
      <c r="B137" s="283"/>
      <c r="C137" s="7"/>
      <c r="D137" s="7"/>
      <c r="E137" s="2">
        <v>5695</v>
      </c>
      <c r="F137" s="2">
        <v>0</v>
      </c>
      <c r="G137" s="2">
        <v>317424</v>
      </c>
      <c r="H137" s="2">
        <v>242424</v>
      </c>
      <c r="I137" s="2">
        <v>242424</v>
      </c>
      <c r="J137" s="2">
        <v>242424</v>
      </c>
    </row>
    <row r="138" spans="1:10" x14ac:dyDescent="0.2">
      <c r="A138" s="283" t="s">
        <v>2080</v>
      </c>
      <c r="B138" s="283"/>
      <c r="C138" s="7"/>
      <c r="D138" s="2">
        <v>150000</v>
      </c>
      <c r="E138" s="2"/>
      <c r="F138" s="2"/>
      <c r="G138" s="2"/>
      <c r="H138" s="2"/>
      <c r="I138" s="2"/>
      <c r="J138" s="2"/>
    </row>
    <row r="139" spans="1:10" ht="15" x14ac:dyDescent="0.35">
      <c r="A139" s="283" t="s">
        <v>1997</v>
      </c>
      <c r="B139" s="283"/>
      <c r="C139" s="8"/>
      <c r="D139" s="17">
        <v>92424</v>
      </c>
      <c r="E139" s="2"/>
      <c r="F139" s="258"/>
      <c r="G139" s="258"/>
      <c r="H139" s="267"/>
      <c r="I139" s="316"/>
      <c r="J139" s="316"/>
    </row>
    <row r="140" spans="1:10" s="258" customFormat="1" x14ac:dyDescent="0.2">
      <c r="A140" s="283" t="s">
        <v>1067</v>
      </c>
      <c r="B140" s="283"/>
      <c r="C140" s="2"/>
      <c r="D140" s="2">
        <f>SUM(D138:D139)</f>
        <v>242424</v>
      </c>
      <c r="E140" s="2"/>
      <c r="H140" s="267"/>
      <c r="I140" s="316"/>
      <c r="J140" s="316"/>
    </row>
    <row r="141" spans="1:10" s="258" customFormat="1" x14ac:dyDescent="0.2">
      <c r="A141" s="283"/>
      <c r="B141" s="283"/>
      <c r="C141" s="2"/>
      <c r="D141" s="2"/>
      <c r="E141" s="2"/>
      <c r="H141" s="267"/>
      <c r="I141" s="316"/>
      <c r="J141" s="316"/>
    </row>
    <row r="142" spans="1:10" ht="13.5" x14ac:dyDescent="0.25">
      <c r="A142" s="286" t="s">
        <v>1955</v>
      </c>
      <c r="B142" s="283"/>
      <c r="C142" s="2"/>
      <c r="D142" s="2"/>
      <c r="E142" s="2">
        <v>0</v>
      </c>
      <c r="F142" s="2">
        <v>0</v>
      </c>
      <c r="G142" s="2">
        <v>0</v>
      </c>
      <c r="H142" s="2">
        <v>0</v>
      </c>
      <c r="I142" s="2">
        <v>0</v>
      </c>
      <c r="J142" s="2">
        <v>0</v>
      </c>
    </row>
    <row r="143" spans="1:10" x14ac:dyDescent="0.2">
      <c r="A143" s="283" t="s">
        <v>1998</v>
      </c>
      <c r="B143" s="283"/>
      <c r="C143" s="2"/>
      <c r="D143" s="2"/>
      <c r="E143" s="2"/>
      <c r="F143" s="258"/>
      <c r="G143" s="258"/>
      <c r="H143" s="267"/>
      <c r="I143" s="316"/>
      <c r="J143" s="316"/>
    </row>
    <row r="144" spans="1:10" x14ac:dyDescent="0.2">
      <c r="A144" s="283" t="s">
        <v>1998</v>
      </c>
      <c r="B144" s="283"/>
      <c r="C144" s="2"/>
      <c r="D144" s="2"/>
      <c r="E144" s="2"/>
      <c r="F144" s="231"/>
      <c r="G144" s="206"/>
      <c r="H144" s="267"/>
      <c r="I144" s="316"/>
      <c r="J144" s="316"/>
    </row>
    <row r="145" spans="1:10" ht="15" x14ac:dyDescent="0.35">
      <c r="A145" s="283"/>
      <c r="B145" s="283"/>
      <c r="C145" s="7"/>
      <c r="D145" s="17"/>
      <c r="E145" s="10">
        <v>0</v>
      </c>
      <c r="F145" s="10">
        <v>0</v>
      </c>
      <c r="G145" s="10">
        <v>0</v>
      </c>
      <c r="H145" s="10">
        <v>0</v>
      </c>
      <c r="I145" s="10">
        <v>0</v>
      </c>
      <c r="J145" s="10">
        <v>0</v>
      </c>
    </row>
    <row r="146" spans="1:10" x14ac:dyDescent="0.2">
      <c r="A146" s="283"/>
      <c r="B146" s="283"/>
      <c r="C146" s="2"/>
      <c r="D146" s="2"/>
      <c r="E146" s="2"/>
      <c r="F146" s="2"/>
      <c r="G146" s="2"/>
      <c r="H146" s="2"/>
      <c r="I146" s="2"/>
      <c r="J146" s="2"/>
    </row>
    <row r="147" spans="1:10" x14ac:dyDescent="0.2">
      <c r="C147" s="2"/>
      <c r="D147" s="2"/>
      <c r="E147" s="2"/>
      <c r="F147" s="2"/>
      <c r="G147" s="2"/>
      <c r="H147" s="2"/>
      <c r="I147" s="2"/>
      <c r="J147" s="2"/>
    </row>
    <row r="148" spans="1:10" x14ac:dyDescent="0.2">
      <c r="C148" s="2"/>
      <c r="D148" s="2"/>
      <c r="E148" s="2"/>
      <c r="F148" s="2"/>
      <c r="G148" s="2"/>
      <c r="H148" s="2"/>
      <c r="I148" s="2"/>
      <c r="J148" s="2"/>
    </row>
    <row r="149" spans="1:10" x14ac:dyDescent="0.2">
      <c r="C149" s="2"/>
      <c r="D149" s="2"/>
      <c r="E149" s="2"/>
      <c r="F149" s="2"/>
      <c r="G149" s="2"/>
      <c r="H149" s="2"/>
      <c r="I149" s="2"/>
      <c r="J149" s="2"/>
    </row>
    <row r="150" spans="1:10" x14ac:dyDescent="0.2">
      <c r="A150" s="183" t="s">
        <v>1144</v>
      </c>
      <c r="C150" s="2"/>
      <c r="D150" s="2"/>
      <c r="E150" s="2">
        <f t="shared" ref="E150:J150" si="0">SUM(E6:E146)</f>
        <v>299238</v>
      </c>
      <c r="F150" s="2">
        <f t="shared" si="0"/>
        <v>345141</v>
      </c>
      <c r="G150" s="2">
        <f t="shared" si="0"/>
        <v>671123</v>
      </c>
      <c r="H150" s="2">
        <f t="shared" si="0"/>
        <v>596123</v>
      </c>
      <c r="I150" s="2">
        <f t="shared" si="0"/>
        <v>601477</v>
      </c>
      <c r="J150" s="2">
        <f t="shared" si="0"/>
        <v>601477</v>
      </c>
    </row>
    <row r="151" spans="1:10" x14ac:dyDescent="0.2">
      <c r="H151" s="267"/>
      <c r="I151" s="227"/>
    </row>
    <row r="152" spans="1:10" x14ac:dyDescent="0.2">
      <c r="A152" s="183" t="s">
        <v>511</v>
      </c>
      <c r="E152" s="2">
        <f t="shared" ref="E152:J152" si="1">SUM(E6:E55)</f>
        <v>178751</v>
      </c>
      <c r="F152" s="2">
        <f t="shared" si="1"/>
        <v>205728</v>
      </c>
      <c r="G152" s="2">
        <f t="shared" si="1"/>
        <v>204138</v>
      </c>
      <c r="H152" s="2">
        <f t="shared" si="1"/>
        <v>204138</v>
      </c>
      <c r="I152" s="2">
        <f t="shared" si="1"/>
        <v>209492</v>
      </c>
      <c r="J152" s="2">
        <f t="shared" si="1"/>
        <v>209492</v>
      </c>
    </row>
    <row r="153" spans="1:10" x14ac:dyDescent="0.2">
      <c r="A153" s="183" t="s">
        <v>803</v>
      </c>
      <c r="E153" s="2">
        <f t="shared" ref="E153:J153" si="2">SUM(E56:E134)</f>
        <v>114792</v>
      </c>
      <c r="F153" s="2">
        <f t="shared" si="2"/>
        <v>139413</v>
      </c>
      <c r="G153" s="2">
        <f t="shared" si="2"/>
        <v>149561</v>
      </c>
      <c r="H153" s="2">
        <f t="shared" si="2"/>
        <v>149561</v>
      </c>
      <c r="I153" s="2">
        <f t="shared" si="2"/>
        <v>149561</v>
      </c>
      <c r="J153" s="2">
        <f t="shared" si="2"/>
        <v>149561</v>
      </c>
    </row>
    <row r="154" spans="1:10" ht="15" x14ac:dyDescent="0.35">
      <c r="A154" s="183" t="s">
        <v>804</v>
      </c>
      <c r="E154" s="10">
        <f t="shared" ref="E154:J154" si="3">SUM(E137:E146)</f>
        <v>5695</v>
      </c>
      <c r="F154" s="10">
        <f t="shared" si="3"/>
        <v>0</v>
      </c>
      <c r="G154" s="10">
        <f t="shared" si="3"/>
        <v>317424</v>
      </c>
      <c r="H154" s="10">
        <f t="shared" si="3"/>
        <v>242424</v>
      </c>
      <c r="I154" s="10">
        <f t="shared" si="3"/>
        <v>242424</v>
      </c>
      <c r="J154" s="10">
        <f t="shared" si="3"/>
        <v>242424</v>
      </c>
    </row>
    <row r="155" spans="1:10" x14ac:dyDescent="0.2">
      <c r="A155" s="183" t="s">
        <v>1067</v>
      </c>
      <c r="E155" s="2">
        <f t="shared" ref="E155:J155" si="4">SUM(E152:E154)</f>
        <v>299238</v>
      </c>
      <c r="F155" s="2">
        <f t="shared" si="4"/>
        <v>345141</v>
      </c>
      <c r="G155" s="2">
        <f t="shared" si="4"/>
        <v>671123</v>
      </c>
      <c r="H155" s="2">
        <f t="shared" ref="H155" si="5">SUM(H152:H154)</f>
        <v>596123</v>
      </c>
      <c r="I155" s="2">
        <f t="shared" si="4"/>
        <v>601477</v>
      </c>
      <c r="J155" s="2">
        <f t="shared" si="4"/>
        <v>601477</v>
      </c>
    </row>
    <row r="156" spans="1:10" x14ac:dyDescent="0.2">
      <c r="H156" s="267"/>
      <c r="I156" s="227"/>
    </row>
    <row r="157" spans="1:10" x14ac:dyDescent="0.2">
      <c r="H157" s="267"/>
      <c r="I157" s="227"/>
      <c r="J157" s="2">
        <v>5354</v>
      </c>
    </row>
    <row r="158" spans="1:10" x14ac:dyDescent="0.2">
      <c r="H158" s="267"/>
      <c r="I158" s="2">
        <f>I155-H155</f>
        <v>5354</v>
      </c>
      <c r="J158" s="2">
        <f>J155-H155</f>
        <v>5354</v>
      </c>
    </row>
    <row r="159" spans="1:10" x14ac:dyDescent="0.2">
      <c r="H159" s="267"/>
      <c r="I159" s="227"/>
      <c r="J159" s="2">
        <f>J157-J158</f>
        <v>0</v>
      </c>
    </row>
    <row r="160" spans="1:10" x14ac:dyDescent="0.2">
      <c r="A160" s="183" t="s">
        <v>1804</v>
      </c>
      <c r="C160" s="7"/>
      <c r="D160" s="2"/>
      <c r="H160" s="267"/>
      <c r="I160" s="227"/>
    </row>
    <row r="161" spans="1:9" x14ac:dyDescent="0.2">
      <c r="A161" s="183" t="s">
        <v>1805</v>
      </c>
      <c r="C161" s="7"/>
      <c r="D161" s="2">
        <v>52146</v>
      </c>
      <c r="H161" s="267"/>
      <c r="I161" s="227"/>
    </row>
    <row r="162" spans="1:9" x14ac:dyDescent="0.2">
      <c r="H162" s="267"/>
      <c r="I162" s="227"/>
    </row>
    <row r="163" spans="1:9" x14ac:dyDescent="0.2">
      <c r="H163" s="267"/>
      <c r="I163" s="227"/>
    </row>
    <row r="164" spans="1:9" x14ac:dyDescent="0.2">
      <c r="H164" s="267"/>
      <c r="I164" s="227"/>
    </row>
    <row r="165" spans="1:9" x14ac:dyDescent="0.2">
      <c r="H165" s="267"/>
      <c r="I165" s="227"/>
    </row>
    <row r="166" spans="1:9" x14ac:dyDescent="0.2">
      <c r="H166" s="267"/>
      <c r="I166" s="227"/>
    </row>
    <row r="167" spans="1:9" x14ac:dyDescent="0.2">
      <c r="H167" s="267"/>
      <c r="I167" s="227"/>
    </row>
    <row r="168" spans="1:9" x14ac:dyDescent="0.2">
      <c r="H168" s="267"/>
      <c r="I168" s="227"/>
    </row>
    <row r="169" spans="1:9" x14ac:dyDescent="0.2">
      <c r="H169" s="267"/>
      <c r="I169" s="227"/>
    </row>
    <row r="170" spans="1:9" x14ac:dyDescent="0.2">
      <c r="H170" s="267"/>
      <c r="I170" s="227"/>
    </row>
    <row r="171" spans="1:9" x14ac:dyDescent="0.2">
      <c r="H171" s="267"/>
      <c r="I171" s="227"/>
    </row>
    <row r="172" spans="1:9" x14ac:dyDescent="0.2">
      <c r="H172" s="267"/>
      <c r="I172" s="227"/>
    </row>
    <row r="173" spans="1:9" x14ac:dyDescent="0.2">
      <c r="H173" s="267"/>
      <c r="I173" s="227"/>
    </row>
    <row r="174" spans="1:9" x14ac:dyDescent="0.2">
      <c r="H174" s="267"/>
      <c r="I174" s="227"/>
    </row>
    <row r="175" spans="1:9" x14ac:dyDescent="0.2">
      <c r="H175" s="267"/>
      <c r="I175" s="227"/>
    </row>
    <row r="176" spans="1:9" x14ac:dyDescent="0.2">
      <c r="H176" s="267"/>
      <c r="I176" s="227"/>
    </row>
    <row r="177" spans="8:9" x14ac:dyDescent="0.2">
      <c r="H177" s="267"/>
      <c r="I177" s="227"/>
    </row>
    <row r="178" spans="8:9" x14ac:dyDescent="0.2">
      <c r="H178" s="267"/>
      <c r="I178" s="227"/>
    </row>
    <row r="179" spans="8:9" x14ac:dyDescent="0.2">
      <c r="H179" s="267"/>
      <c r="I179" s="227"/>
    </row>
    <row r="180" spans="8:9" x14ac:dyDescent="0.2">
      <c r="H180" s="267"/>
      <c r="I180" s="227"/>
    </row>
    <row r="181" spans="8:9" x14ac:dyDescent="0.2">
      <c r="H181" s="267"/>
      <c r="I181" s="227"/>
    </row>
    <row r="182" spans="8:9" x14ac:dyDescent="0.2">
      <c r="H182" s="267"/>
      <c r="I182" s="227"/>
    </row>
    <row r="183" spans="8:9" x14ac:dyDescent="0.2">
      <c r="H183" s="267"/>
      <c r="I183" s="227"/>
    </row>
    <row r="184" spans="8:9" x14ac:dyDescent="0.2">
      <c r="H184" s="267"/>
      <c r="I184" s="227"/>
    </row>
    <row r="185" spans="8:9" x14ac:dyDescent="0.2">
      <c r="H185" s="267"/>
      <c r="I185" s="227"/>
    </row>
    <row r="186" spans="8:9" x14ac:dyDescent="0.2">
      <c r="H186" s="267"/>
      <c r="I186" s="227"/>
    </row>
    <row r="187" spans="8:9" x14ac:dyDescent="0.2">
      <c r="H187" s="267"/>
      <c r="I187" s="227"/>
    </row>
    <row r="188" spans="8:9" x14ac:dyDescent="0.2">
      <c r="H188" s="267"/>
      <c r="I188" s="227"/>
    </row>
    <row r="189" spans="8:9" x14ac:dyDescent="0.2">
      <c r="H189" s="267"/>
      <c r="I189" s="227"/>
    </row>
    <row r="190" spans="8:9" x14ac:dyDescent="0.2">
      <c r="H190" s="267"/>
      <c r="I190" s="227"/>
    </row>
    <row r="191" spans="8:9" x14ac:dyDescent="0.2">
      <c r="H191" s="267"/>
      <c r="I191" s="227"/>
    </row>
    <row r="192" spans="8:9" x14ac:dyDescent="0.2">
      <c r="H192" s="267"/>
      <c r="I192" s="227"/>
    </row>
    <row r="193" spans="8:9" x14ac:dyDescent="0.2">
      <c r="H193" s="267"/>
      <c r="I193" s="227"/>
    </row>
    <row r="194" spans="8:9" x14ac:dyDescent="0.2">
      <c r="H194" s="267"/>
      <c r="I194" s="227"/>
    </row>
    <row r="195" spans="8:9" x14ac:dyDescent="0.2">
      <c r="H195" s="267"/>
      <c r="I195" s="227"/>
    </row>
    <row r="196" spans="8:9" x14ac:dyDescent="0.2">
      <c r="H196" s="267"/>
      <c r="I196" s="227"/>
    </row>
    <row r="197" spans="8:9" x14ac:dyDescent="0.2">
      <c r="H197" s="267"/>
      <c r="I197" s="227"/>
    </row>
    <row r="198" spans="8:9" x14ac:dyDescent="0.2">
      <c r="H198" s="267"/>
      <c r="I198" s="227"/>
    </row>
    <row r="199" spans="8:9" x14ac:dyDescent="0.2">
      <c r="H199" s="267"/>
      <c r="I199" s="227"/>
    </row>
    <row r="200" spans="8:9" x14ac:dyDescent="0.2">
      <c r="H200" s="267"/>
      <c r="I200" s="227"/>
    </row>
    <row r="201" spans="8:9" x14ac:dyDescent="0.2">
      <c r="H201" s="267"/>
      <c r="I201" s="227"/>
    </row>
    <row r="202" spans="8:9" x14ac:dyDescent="0.2">
      <c r="H202" s="267"/>
      <c r="I202" s="227"/>
    </row>
    <row r="203" spans="8:9" x14ac:dyDescent="0.2">
      <c r="H203" s="267"/>
      <c r="I203" s="227"/>
    </row>
    <row r="204" spans="8:9" x14ac:dyDescent="0.2">
      <c r="H204" s="267"/>
      <c r="I204" s="227"/>
    </row>
    <row r="205" spans="8:9" x14ac:dyDescent="0.2">
      <c r="H205" s="267"/>
      <c r="I205" s="227"/>
    </row>
    <row r="206" spans="8:9" x14ac:dyDescent="0.2">
      <c r="H206" s="267"/>
      <c r="I206" s="227"/>
    </row>
    <row r="207" spans="8:9" x14ac:dyDescent="0.2">
      <c r="H207" s="267"/>
      <c r="I207" s="227"/>
    </row>
    <row r="208" spans="8:9" x14ac:dyDescent="0.2">
      <c r="H208" s="267"/>
      <c r="I208" s="227"/>
    </row>
    <row r="209" spans="8:9" x14ac:dyDescent="0.2">
      <c r="H209" s="267"/>
      <c r="I209" s="227"/>
    </row>
    <row r="210" spans="8:9" x14ac:dyDescent="0.2">
      <c r="H210" s="267"/>
      <c r="I210" s="227"/>
    </row>
    <row r="211" spans="8:9" x14ac:dyDescent="0.2">
      <c r="H211" s="267"/>
      <c r="I211" s="227"/>
    </row>
    <row r="212" spans="8:9" x14ac:dyDescent="0.2">
      <c r="H212" s="267"/>
      <c r="I212" s="227"/>
    </row>
    <row r="213" spans="8:9" x14ac:dyDescent="0.2">
      <c r="H213" s="267"/>
      <c r="I213" s="227"/>
    </row>
    <row r="214" spans="8:9" x14ac:dyDescent="0.2">
      <c r="H214" s="267"/>
      <c r="I214" s="227"/>
    </row>
    <row r="215" spans="8:9" x14ac:dyDescent="0.2">
      <c r="H215" s="267"/>
      <c r="I215" s="227"/>
    </row>
    <row r="216" spans="8:9" x14ac:dyDescent="0.2">
      <c r="H216" s="267"/>
      <c r="I216" s="227"/>
    </row>
    <row r="217" spans="8:9" x14ac:dyDescent="0.2">
      <c r="H217" s="267"/>
      <c r="I217" s="227"/>
    </row>
    <row r="218" spans="8:9" x14ac:dyDescent="0.2">
      <c r="H218" s="267"/>
      <c r="I218" s="227"/>
    </row>
    <row r="219" spans="8:9" x14ac:dyDescent="0.2">
      <c r="H219" s="267"/>
      <c r="I219" s="227"/>
    </row>
    <row r="220" spans="8:9" x14ac:dyDescent="0.2">
      <c r="H220" s="267"/>
      <c r="I220" s="227"/>
    </row>
    <row r="221" spans="8:9" x14ac:dyDescent="0.2">
      <c r="H221" s="267"/>
      <c r="I221" s="227"/>
    </row>
    <row r="222" spans="8:9" x14ac:dyDescent="0.2">
      <c r="H222" s="267"/>
      <c r="I222" s="227"/>
    </row>
    <row r="223" spans="8:9" x14ac:dyDescent="0.2">
      <c r="H223" s="267"/>
      <c r="I223" s="227"/>
    </row>
    <row r="224" spans="8:9" x14ac:dyDescent="0.2">
      <c r="H224" s="267"/>
      <c r="I224" s="227"/>
    </row>
    <row r="225" spans="8:9" x14ac:dyDescent="0.2">
      <c r="H225" s="267"/>
      <c r="I225" s="227"/>
    </row>
    <row r="226" spans="8:9" x14ac:dyDescent="0.2">
      <c r="H226" s="267"/>
      <c r="I226" s="227"/>
    </row>
    <row r="227" spans="8:9" x14ac:dyDescent="0.2">
      <c r="H227" s="267"/>
      <c r="I227" s="227"/>
    </row>
    <row r="228" spans="8:9" x14ac:dyDescent="0.2">
      <c r="H228" s="267"/>
      <c r="I228" s="227"/>
    </row>
    <row r="229" spans="8:9" x14ac:dyDescent="0.2">
      <c r="H229" s="267"/>
      <c r="I229" s="227"/>
    </row>
    <row r="230" spans="8:9" x14ac:dyDescent="0.2">
      <c r="H230" s="267"/>
      <c r="I230" s="227"/>
    </row>
    <row r="231" spans="8:9" x14ac:dyDescent="0.2">
      <c r="H231" s="267"/>
      <c r="I231" s="227"/>
    </row>
    <row r="232" spans="8:9" x14ac:dyDescent="0.2">
      <c r="I232" s="227"/>
    </row>
    <row r="233" spans="8:9" x14ac:dyDescent="0.2">
      <c r="I233" s="227"/>
    </row>
    <row r="234" spans="8:9" x14ac:dyDescent="0.2">
      <c r="I234" s="227"/>
    </row>
    <row r="235" spans="8:9" x14ac:dyDescent="0.2">
      <c r="I235" s="227"/>
    </row>
    <row r="236" spans="8:9" x14ac:dyDescent="0.2">
      <c r="I236" s="227"/>
    </row>
    <row r="237" spans="8:9" x14ac:dyDescent="0.2">
      <c r="I237" s="227"/>
    </row>
    <row r="238" spans="8:9" x14ac:dyDescent="0.2">
      <c r="I238" s="227"/>
    </row>
    <row r="239" spans="8:9" x14ac:dyDescent="0.2">
      <c r="I239" s="227"/>
    </row>
    <row r="240" spans="8:9" x14ac:dyDescent="0.2">
      <c r="I240" s="227"/>
    </row>
    <row r="241" spans="9:9" x14ac:dyDescent="0.2">
      <c r="I241" s="227"/>
    </row>
    <row r="242" spans="9:9" x14ac:dyDescent="0.2">
      <c r="I242" s="227"/>
    </row>
    <row r="243" spans="9:9" x14ac:dyDescent="0.2">
      <c r="I243" s="227"/>
    </row>
    <row r="244" spans="9:9" x14ac:dyDescent="0.2">
      <c r="I244" s="227"/>
    </row>
    <row r="245" spans="9:9" x14ac:dyDescent="0.2">
      <c r="I245" s="227"/>
    </row>
    <row r="246" spans="9:9" x14ac:dyDescent="0.2">
      <c r="I246" s="227"/>
    </row>
    <row r="247" spans="9:9" x14ac:dyDescent="0.2">
      <c r="I247" s="227"/>
    </row>
    <row r="248" spans="9:9" x14ac:dyDescent="0.2">
      <c r="I248" s="227"/>
    </row>
    <row r="249" spans="9:9" x14ac:dyDescent="0.2">
      <c r="I249" s="227"/>
    </row>
    <row r="250" spans="9:9" x14ac:dyDescent="0.2">
      <c r="I250" s="227"/>
    </row>
    <row r="251" spans="9:9" x14ac:dyDescent="0.2">
      <c r="I251" s="227"/>
    </row>
    <row r="252" spans="9:9" x14ac:dyDescent="0.2">
      <c r="I252" s="227"/>
    </row>
    <row r="253" spans="9:9" x14ac:dyDescent="0.2">
      <c r="I253" s="227"/>
    </row>
  </sheetData>
  <mergeCells count="1">
    <mergeCell ref="A1:J1"/>
  </mergeCells>
  <phoneticPr fontId="0" type="noConversion"/>
  <printOptions gridLines="1"/>
  <pageMargins left="0.75" right="0.16" top="0.51" bottom="0.22" header="0.5" footer="0"/>
  <pageSetup scale="85" fitToHeight="5" orientation="landscape" r:id="rId1"/>
  <headerFooter alignWithMargins="0"/>
  <rowBreaks count="2" manualBreakCount="2">
    <brk id="69" max="9" man="1"/>
    <brk id="115" max="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4"/>
  <sheetViews>
    <sheetView view="pageBreakPreview" zoomScaleNormal="100" zoomScaleSheetLayoutView="100" workbookViewId="0">
      <pane ySplit="5" topLeftCell="A134" activePane="bottomLeft" state="frozen"/>
      <selection activeCell="D43" sqref="D43"/>
      <selection pane="bottomLeft" sqref="A1:J1"/>
    </sheetView>
  </sheetViews>
  <sheetFormatPr defaultColWidth="8.85546875" defaultRowHeight="12.75" x14ac:dyDescent="0.2"/>
  <cols>
    <col min="1" max="1" width="55.140625" style="183" customWidth="1"/>
    <col min="2" max="2" width="8.7109375" style="183" bestFit="1" customWidth="1"/>
    <col min="3" max="3" width="7.7109375" style="183" bestFit="1" customWidth="1"/>
    <col min="4" max="4" width="8.7109375" style="183" bestFit="1" customWidth="1"/>
    <col min="5" max="6" width="9" style="183" bestFit="1" customWidth="1"/>
    <col min="7" max="7" width="11.7109375" style="2" bestFit="1" customWidth="1"/>
    <col min="8" max="8" width="13.5703125" style="2" bestFit="1" customWidth="1"/>
    <col min="9" max="10" width="10.85546875" style="183" customWidth="1"/>
    <col min="11" max="16384" width="8.85546875" style="183"/>
  </cols>
  <sheetData>
    <row r="1" spans="1:243" x14ac:dyDescent="0.2">
      <c r="A1" s="319" t="s">
        <v>2038</v>
      </c>
      <c r="B1" s="320"/>
      <c r="C1" s="320"/>
      <c r="D1" s="320"/>
      <c r="E1" s="320"/>
      <c r="F1" s="320"/>
      <c r="G1" s="320"/>
      <c r="H1" s="320"/>
      <c r="I1" s="320"/>
      <c r="J1" s="320"/>
    </row>
    <row r="2" spans="1:243" ht="18.75" x14ac:dyDescent="0.3">
      <c r="A2" s="95" t="s">
        <v>1572</v>
      </c>
      <c r="B2" s="95"/>
      <c r="C2" s="95"/>
      <c r="D2" s="95"/>
      <c r="E2" s="95"/>
      <c r="F2" s="95"/>
      <c r="I2" s="20"/>
      <c r="J2" s="20"/>
    </row>
    <row r="3" spans="1:243" x14ac:dyDescent="0.2">
      <c r="B3" s="2"/>
      <c r="C3" s="2"/>
      <c r="D3" s="2"/>
      <c r="E3" s="2"/>
      <c r="F3" s="2"/>
      <c r="I3" s="20"/>
      <c r="J3" s="20"/>
    </row>
    <row r="4" spans="1:243" x14ac:dyDescent="0.2">
      <c r="B4" s="2"/>
      <c r="C4" s="2"/>
      <c r="D4" s="2"/>
      <c r="E4" s="15" t="s">
        <v>199</v>
      </c>
      <c r="F4" s="15" t="s">
        <v>200</v>
      </c>
      <c r="G4" s="15" t="s">
        <v>60</v>
      </c>
      <c r="H4" s="15" t="s">
        <v>351</v>
      </c>
      <c r="I4" s="15" t="s">
        <v>264</v>
      </c>
      <c r="J4" s="15" t="s">
        <v>295</v>
      </c>
    </row>
    <row r="5" spans="1:243" ht="15" x14ac:dyDescent="0.35">
      <c r="B5" s="2"/>
      <c r="C5" s="2"/>
      <c r="D5" s="2"/>
      <c r="E5" s="232" t="s">
        <v>1825</v>
      </c>
      <c r="F5" s="232" t="s">
        <v>1947</v>
      </c>
      <c r="G5" s="232" t="s">
        <v>2039</v>
      </c>
      <c r="H5" s="232" t="s">
        <v>2039</v>
      </c>
      <c r="I5" s="232" t="s">
        <v>2039</v>
      </c>
      <c r="J5" s="232" t="s">
        <v>2039</v>
      </c>
    </row>
    <row r="6" spans="1:243" ht="13.5" x14ac:dyDescent="0.25">
      <c r="A6" s="196" t="s">
        <v>1179</v>
      </c>
      <c r="B6" s="2"/>
      <c r="C6" s="2"/>
      <c r="D6" s="2"/>
      <c r="E6" s="2">
        <v>42580</v>
      </c>
      <c r="F6" s="41">
        <v>42796</v>
      </c>
      <c r="G6" s="41">
        <v>42827</v>
      </c>
      <c r="H6" s="41">
        <v>42827</v>
      </c>
      <c r="I6" s="41">
        <v>44304</v>
      </c>
      <c r="J6" s="41">
        <v>44304</v>
      </c>
      <c r="II6" s="41"/>
    </row>
    <row r="7" spans="1:243" x14ac:dyDescent="0.2">
      <c r="A7" s="195" t="s">
        <v>113</v>
      </c>
      <c r="B7" s="2">
        <v>52</v>
      </c>
      <c r="C7" s="2">
        <v>852</v>
      </c>
      <c r="D7" s="2">
        <f>ROUND(B7*C7,0)</f>
        <v>44304</v>
      </c>
      <c r="E7" s="2"/>
      <c r="F7" s="41"/>
      <c r="G7" s="41"/>
      <c r="H7" s="41"/>
      <c r="I7" s="41"/>
      <c r="J7" s="41"/>
      <c r="II7" s="41"/>
    </row>
    <row r="8" spans="1:243" ht="15" x14ac:dyDescent="0.35">
      <c r="A8" s="195" t="s">
        <v>818</v>
      </c>
      <c r="B8" s="2" t="s">
        <v>338</v>
      </c>
      <c r="C8" s="2" t="s">
        <v>338</v>
      </c>
      <c r="D8" s="10">
        <v>0</v>
      </c>
      <c r="E8" s="2"/>
      <c r="F8" s="55"/>
      <c r="G8" s="55"/>
      <c r="H8" s="55"/>
      <c r="I8" s="55"/>
      <c r="J8" s="55"/>
      <c r="II8" s="55"/>
    </row>
    <row r="9" spans="1:243" x14ac:dyDescent="0.2">
      <c r="A9" s="195" t="s">
        <v>1067</v>
      </c>
      <c r="B9" s="2"/>
      <c r="C9" s="2"/>
      <c r="D9" s="2">
        <f>SUM(D7:D8)</f>
        <v>44304</v>
      </c>
      <c r="E9" s="2"/>
      <c r="F9" s="41"/>
      <c r="G9" s="41"/>
      <c r="H9" s="41"/>
      <c r="I9" s="41"/>
      <c r="J9" s="41"/>
      <c r="II9" s="41"/>
    </row>
    <row r="10" spans="1:243" x14ac:dyDescent="0.2">
      <c r="A10" s="195"/>
      <c r="B10" s="2"/>
      <c r="C10" s="2"/>
      <c r="D10" s="2"/>
      <c r="E10" s="2"/>
      <c r="F10" s="41"/>
      <c r="G10" s="41"/>
      <c r="H10" s="41"/>
      <c r="I10" s="41"/>
      <c r="J10" s="41"/>
      <c r="II10" s="41"/>
    </row>
    <row r="11" spans="1:243" ht="13.5" x14ac:dyDescent="0.25">
      <c r="A11" s="196" t="s">
        <v>330</v>
      </c>
      <c r="B11" s="2"/>
      <c r="C11" s="2"/>
      <c r="D11" s="2"/>
      <c r="E11" s="2">
        <v>181296</v>
      </c>
      <c r="F11" s="41">
        <v>184352</v>
      </c>
      <c r="G11" s="41">
        <v>184393</v>
      </c>
      <c r="H11" s="41">
        <v>184393</v>
      </c>
      <c r="I11" s="41">
        <v>190812</v>
      </c>
      <c r="J11" s="41">
        <v>190812</v>
      </c>
      <c r="II11" s="41"/>
    </row>
    <row r="12" spans="1:243" x14ac:dyDescent="0.2">
      <c r="A12" s="195" t="s">
        <v>331</v>
      </c>
      <c r="B12" s="2">
        <v>52</v>
      </c>
      <c r="C12" s="2">
        <v>2162</v>
      </c>
      <c r="D12" s="2">
        <f>ROUND(B12*C12,0)</f>
        <v>112424</v>
      </c>
      <c r="E12" s="2"/>
      <c r="F12" s="41"/>
      <c r="G12" s="41"/>
      <c r="H12" s="41"/>
      <c r="I12" s="41"/>
      <c r="J12" s="41"/>
      <c r="II12" s="41"/>
    </row>
    <row r="13" spans="1:243" x14ac:dyDescent="0.2">
      <c r="A13" s="195" t="s">
        <v>332</v>
      </c>
      <c r="B13" s="2">
        <v>52</v>
      </c>
      <c r="C13" s="2">
        <v>1467</v>
      </c>
      <c r="D13" s="2">
        <f>ROUND(B13*C13,0)</f>
        <v>76284</v>
      </c>
      <c r="E13" s="2"/>
      <c r="F13" s="41"/>
      <c r="G13" s="41"/>
      <c r="H13" s="41"/>
      <c r="I13" s="41"/>
      <c r="J13" s="41"/>
      <c r="II13" s="41"/>
    </row>
    <row r="14" spans="1:243" ht="15" x14ac:dyDescent="0.35">
      <c r="A14" s="195" t="s">
        <v>818</v>
      </c>
      <c r="B14" s="2"/>
      <c r="C14" s="2"/>
      <c r="D14" s="10">
        <v>2104</v>
      </c>
      <c r="E14" s="2"/>
      <c r="F14" s="41"/>
      <c r="G14" s="41"/>
      <c r="H14" s="41"/>
      <c r="I14" s="41"/>
      <c r="J14" s="41"/>
      <c r="II14" s="41"/>
    </row>
    <row r="15" spans="1:243" x14ac:dyDescent="0.2">
      <c r="A15" s="195" t="s">
        <v>1067</v>
      </c>
      <c r="B15" s="2"/>
      <c r="C15" s="2"/>
      <c r="D15" s="2">
        <f>SUM(D12:D14)</f>
        <v>190812</v>
      </c>
      <c r="E15" s="2"/>
      <c r="F15" s="41"/>
      <c r="G15" s="41"/>
      <c r="H15" s="41"/>
      <c r="I15" s="41"/>
      <c r="J15" s="41"/>
      <c r="II15" s="41"/>
    </row>
    <row r="16" spans="1:243" x14ac:dyDescent="0.2">
      <c r="A16" s="195"/>
      <c r="B16" s="2"/>
      <c r="C16" s="2"/>
      <c r="D16" s="2"/>
      <c r="E16" s="2"/>
      <c r="F16" s="41"/>
      <c r="G16" s="41"/>
      <c r="H16" s="41"/>
      <c r="I16" s="41"/>
      <c r="J16" s="41"/>
      <c r="II16" s="41"/>
    </row>
    <row r="17" spans="1:243" ht="13.5" x14ac:dyDescent="0.25">
      <c r="A17" s="196" t="s">
        <v>435</v>
      </c>
      <c r="B17" s="2"/>
      <c r="C17" s="2"/>
      <c r="D17" s="2"/>
      <c r="E17" s="2">
        <v>60830</v>
      </c>
      <c r="F17" s="41">
        <v>61152</v>
      </c>
      <c r="G17" s="41">
        <v>58448</v>
      </c>
      <c r="H17" s="41">
        <v>58448</v>
      </c>
      <c r="I17" s="41">
        <v>60474</v>
      </c>
      <c r="J17" s="41">
        <v>60474</v>
      </c>
      <c r="II17" s="41"/>
    </row>
    <row r="18" spans="1:243" ht="15" x14ac:dyDescent="0.35">
      <c r="A18" s="195" t="s">
        <v>262</v>
      </c>
      <c r="B18" s="2">
        <v>52</v>
      </c>
      <c r="C18" s="2">
        <v>1162.97</v>
      </c>
      <c r="D18" s="10">
        <f>ROUND(B18*C18,0)</f>
        <v>60474</v>
      </c>
      <c r="E18" s="2"/>
      <c r="F18" s="41"/>
      <c r="G18" s="41"/>
      <c r="H18" s="41"/>
      <c r="I18" s="41"/>
      <c r="J18" s="41"/>
      <c r="II18" s="41"/>
    </row>
    <row r="19" spans="1:243" x14ac:dyDescent="0.2">
      <c r="A19" s="195" t="s">
        <v>1067</v>
      </c>
      <c r="B19" s="2"/>
      <c r="C19" s="2"/>
      <c r="D19" s="2">
        <f>SUM(D18:D18)</f>
        <v>60474</v>
      </c>
      <c r="E19" s="2"/>
      <c r="F19" s="41"/>
      <c r="G19" s="41"/>
      <c r="H19" s="41"/>
      <c r="I19" s="41"/>
      <c r="J19" s="41"/>
      <c r="II19" s="41"/>
    </row>
    <row r="20" spans="1:243" x14ac:dyDescent="0.2">
      <c r="A20" s="195"/>
      <c r="B20" s="229"/>
      <c r="C20" s="229"/>
      <c r="D20" s="2"/>
      <c r="E20" s="2"/>
      <c r="F20" s="41"/>
      <c r="G20" s="41"/>
      <c r="H20" s="41"/>
      <c r="I20" s="41"/>
      <c r="J20" s="41"/>
      <c r="II20" s="41"/>
    </row>
    <row r="21" spans="1:243" ht="13.5" x14ac:dyDescent="0.25">
      <c r="A21" s="196" t="s">
        <v>538</v>
      </c>
      <c r="B21" s="229"/>
      <c r="C21" s="229"/>
      <c r="D21" s="2"/>
      <c r="E21" s="2">
        <v>21409</v>
      </c>
      <c r="F21" s="41">
        <v>23837</v>
      </c>
      <c r="G21" s="41">
        <v>24873</v>
      </c>
      <c r="H21" s="41">
        <v>24873</v>
      </c>
      <c r="I21" s="41">
        <v>25746</v>
      </c>
      <c r="J21" s="41">
        <v>25746</v>
      </c>
      <c r="II21" s="41"/>
    </row>
    <row r="22" spans="1:243" ht="15" x14ac:dyDescent="0.35">
      <c r="A22" s="195" t="s">
        <v>96</v>
      </c>
      <c r="B22" s="2">
        <v>1248</v>
      </c>
      <c r="C22" s="11">
        <v>20.63</v>
      </c>
      <c r="D22" s="10">
        <f>ROUND(B22*C22,0)</f>
        <v>25746</v>
      </c>
      <c r="E22" s="2"/>
      <c r="F22" s="41"/>
      <c r="G22" s="41"/>
      <c r="H22" s="41"/>
      <c r="I22" s="41"/>
      <c r="J22" s="41"/>
      <c r="II22" s="41"/>
    </row>
    <row r="23" spans="1:243" x14ac:dyDescent="0.2">
      <c r="A23" s="195" t="s">
        <v>1067</v>
      </c>
      <c r="B23" s="2"/>
      <c r="C23" s="11"/>
      <c r="D23" s="2">
        <f>SUM(D22:D22)</f>
        <v>25746</v>
      </c>
      <c r="E23" s="2"/>
      <c r="F23" s="41"/>
      <c r="G23" s="41"/>
      <c r="H23" s="41"/>
      <c r="I23" s="41"/>
      <c r="J23" s="41"/>
      <c r="II23" s="41"/>
    </row>
    <row r="24" spans="1:243" x14ac:dyDescent="0.2">
      <c r="A24" s="195"/>
      <c r="B24" s="229"/>
      <c r="C24" s="229"/>
      <c r="D24" s="229"/>
      <c r="E24" s="229"/>
      <c r="F24" s="41"/>
      <c r="G24" s="41"/>
      <c r="H24" s="41"/>
      <c r="I24" s="41"/>
      <c r="J24" s="41"/>
      <c r="II24" s="41"/>
    </row>
    <row r="25" spans="1:243" ht="13.5" x14ac:dyDescent="0.25">
      <c r="A25" s="196" t="s">
        <v>1592</v>
      </c>
      <c r="B25" s="2"/>
      <c r="C25" s="11"/>
      <c r="D25" s="2"/>
      <c r="E25" s="2">
        <v>0</v>
      </c>
      <c r="F25" s="2">
        <v>300</v>
      </c>
      <c r="G25" s="2">
        <v>300</v>
      </c>
      <c r="H25" s="2">
        <v>300</v>
      </c>
      <c r="I25" s="2">
        <v>300</v>
      </c>
      <c r="J25" s="2">
        <v>300</v>
      </c>
      <c r="II25" s="41"/>
    </row>
    <row r="26" spans="1:243" x14ac:dyDescent="0.2">
      <c r="A26" s="195"/>
      <c r="B26" s="229"/>
      <c r="C26" s="229"/>
      <c r="D26" s="2"/>
      <c r="E26" s="2"/>
      <c r="F26" s="41"/>
      <c r="G26" s="41"/>
      <c r="H26" s="41"/>
      <c r="I26" s="41"/>
      <c r="J26" s="41"/>
      <c r="II26" s="41"/>
    </row>
    <row r="27" spans="1:243" ht="13.5" x14ac:dyDescent="0.25">
      <c r="A27" s="196" t="s">
        <v>170</v>
      </c>
      <c r="B27" s="62"/>
      <c r="C27" s="229"/>
      <c r="D27" s="2"/>
      <c r="E27" s="2">
        <v>22961</v>
      </c>
      <c r="F27" s="41">
        <v>23879</v>
      </c>
      <c r="G27" s="41">
        <v>23756</v>
      </c>
      <c r="H27" s="41">
        <v>23756</v>
      </c>
      <c r="I27" s="41">
        <v>24582</v>
      </c>
      <c r="J27" s="41">
        <v>24582</v>
      </c>
      <c r="II27" s="41"/>
    </row>
    <row r="28" spans="1:243" hidden="1" x14ac:dyDescent="0.2">
      <c r="A28" s="12" t="s">
        <v>1068</v>
      </c>
      <c r="B28" s="2">
        <f>+D9</f>
        <v>44304</v>
      </c>
      <c r="C28" s="13">
        <v>7.6499999999999999E-2</v>
      </c>
      <c r="D28" s="2">
        <f>ROUND(B28*C28,0)</f>
        <v>3389</v>
      </c>
      <c r="E28" s="2"/>
      <c r="F28" s="41"/>
      <c r="G28" s="41"/>
      <c r="H28" s="41"/>
      <c r="I28" s="41"/>
      <c r="J28" s="41"/>
      <c r="II28" s="41"/>
    </row>
    <row r="29" spans="1:243" hidden="1" x14ac:dyDescent="0.2">
      <c r="A29" s="12" t="s">
        <v>1069</v>
      </c>
      <c r="B29" s="2">
        <f>+D15</f>
        <v>190812</v>
      </c>
      <c r="C29" s="13">
        <v>7.6499999999999999E-2</v>
      </c>
      <c r="D29" s="2">
        <f>ROUND(B29*C29,0)</f>
        <v>14597</v>
      </c>
      <c r="E29" s="2"/>
      <c r="F29" s="41"/>
      <c r="G29" s="41"/>
      <c r="H29" s="41"/>
      <c r="I29" s="41"/>
      <c r="J29" s="41"/>
      <c r="II29" s="41"/>
    </row>
    <row r="30" spans="1:243" hidden="1" x14ac:dyDescent="0.2">
      <c r="A30" s="12" t="s">
        <v>1070</v>
      </c>
      <c r="B30" s="2">
        <f>+D18</f>
        <v>60474</v>
      </c>
      <c r="C30" s="13">
        <v>7.6499999999999999E-2</v>
      </c>
      <c r="D30" s="2">
        <f>ROUND(B30*C30,0)</f>
        <v>4626</v>
      </c>
      <c r="E30" s="2"/>
      <c r="F30" s="41"/>
      <c r="G30" s="41"/>
      <c r="H30" s="41"/>
      <c r="I30" s="41"/>
      <c r="J30" s="41"/>
      <c r="II30" s="41"/>
    </row>
    <row r="31" spans="1:243" ht="15" hidden="1" x14ac:dyDescent="0.35">
      <c r="A31" s="12" t="s">
        <v>1071</v>
      </c>
      <c r="B31" s="2">
        <f>+D23</f>
        <v>25746</v>
      </c>
      <c r="C31" s="13">
        <v>7.6499999999999999E-2</v>
      </c>
      <c r="D31" s="10">
        <f>ROUND(B31*C31,0)</f>
        <v>1970</v>
      </c>
      <c r="E31" s="2"/>
      <c r="F31" s="41"/>
      <c r="G31" s="41"/>
      <c r="H31" s="41"/>
      <c r="I31" s="41"/>
      <c r="J31" s="41"/>
      <c r="II31" s="41"/>
    </row>
    <row r="32" spans="1:243" hidden="1" x14ac:dyDescent="0.2">
      <c r="A32" s="195" t="s">
        <v>1067</v>
      </c>
      <c r="B32" s="2" t="s">
        <v>338</v>
      </c>
      <c r="C32" s="229"/>
      <c r="D32" s="2">
        <f>SUM(D28:D31)</f>
        <v>24582</v>
      </c>
      <c r="E32" s="2"/>
      <c r="F32" s="41"/>
      <c r="G32" s="41"/>
      <c r="H32" s="41"/>
      <c r="I32" s="41"/>
      <c r="J32" s="41"/>
      <c r="II32" s="41"/>
    </row>
    <row r="33" spans="1:243" x14ac:dyDescent="0.2">
      <c r="A33" s="195"/>
      <c r="B33" s="229"/>
      <c r="C33" s="229"/>
      <c r="D33" s="2"/>
      <c r="E33" s="2"/>
      <c r="F33" s="41"/>
      <c r="G33" s="41"/>
      <c r="H33" s="41"/>
      <c r="I33" s="41"/>
      <c r="J33" s="41"/>
      <c r="II33" s="41"/>
    </row>
    <row r="34" spans="1:243" ht="13.5" x14ac:dyDescent="0.25">
      <c r="A34" s="14" t="s">
        <v>171</v>
      </c>
      <c r="B34" s="229"/>
      <c r="C34" s="229"/>
      <c r="D34" s="2"/>
      <c r="E34" s="2">
        <v>40029</v>
      </c>
      <c r="F34" s="41">
        <v>40535</v>
      </c>
      <c r="G34" s="41">
        <v>38650</v>
      </c>
      <c r="H34" s="41">
        <v>38650</v>
      </c>
      <c r="I34" s="41">
        <v>39993</v>
      </c>
      <c r="J34" s="41">
        <v>39993</v>
      </c>
      <c r="II34" s="41"/>
    </row>
    <row r="35" spans="1:243" hidden="1" x14ac:dyDescent="0.2">
      <c r="A35" s="12" t="s">
        <v>1068</v>
      </c>
      <c r="B35" s="2">
        <f>+D9</f>
        <v>44304</v>
      </c>
      <c r="C35" s="299">
        <v>0.1353</v>
      </c>
      <c r="D35" s="2">
        <f>ROUND(B35*C35,0)</f>
        <v>5994</v>
      </c>
      <c r="E35" s="2"/>
      <c r="F35" s="41"/>
      <c r="G35" s="41"/>
      <c r="H35" s="41"/>
      <c r="I35" s="41"/>
      <c r="J35" s="41"/>
      <c r="II35" s="41"/>
    </row>
    <row r="36" spans="1:243" hidden="1" x14ac:dyDescent="0.2">
      <c r="A36" s="12" t="s">
        <v>1069</v>
      </c>
      <c r="B36" s="2">
        <f>+D15</f>
        <v>190812</v>
      </c>
      <c r="C36" s="299">
        <v>0.1353</v>
      </c>
      <c r="D36" s="2">
        <f>ROUND(B36*C36,0)</f>
        <v>25817</v>
      </c>
      <c r="E36" s="2"/>
      <c r="F36" s="41"/>
      <c r="G36" s="41"/>
      <c r="H36" s="41"/>
      <c r="I36" s="41"/>
      <c r="J36" s="41"/>
      <c r="II36" s="41"/>
    </row>
    <row r="37" spans="1:243" ht="15" hidden="1" x14ac:dyDescent="0.35">
      <c r="A37" s="12" t="s">
        <v>1070</v>
      </c>
      <c r="B37" s="2">
        <f>+D18</f>
        <v>60474</v>
      </c>
      <c r="C37" s="299">
        <v>0.1353</v>
      </c>
      <c r="D37" s="10">
        <f>ROUND(B37*C37,0)</f>
        <v>8182</v>
      </c>
      <c r="E37" s="2"/>
      <c r="F37" s="41"/>
      <c r="G37" s="41"/>
      <c r="H37" s="41"/>
      <c r="I37" s="41"/>
      <c r="J37" s="41"/>
      <c r="II37" s="41"/>
    </row>
    <row r="38" spans="1:243" hidden="1" x14ac:dyDescent="0.2">
      <c r="A38" s="283" t="s">
        <v>1067</v>
      </c>
      <c r="B38" s="283"/>
      <c r="C38" s="283"/>
      <c r="D38" s="2">
        <f>SUM(D35:D37)</f>
        <v>39993</v>
      </c>
      <c r="E38" s="2"/>
      <c r="F38" s="41"/>
      <c r="G38" s="41"/>
      <c r="H38" s="41"/>
      <c r="I38" s="41"/>
      <c r="J38" s="41"/>
      <c r="II38" s="41"/>
    </row>
    <row r="39" spans="1:243" x14ac:dyDescent="0.2">
      <c r="A39" s="283"/>
      <c r="B39" s="283"/>
      <c r="C39" s="283"/>
      <c r="D39" s="2"/>
      <c r="E39" s="2"/>
      <c r="F39" s="41"/>
      <c r="G39" s="41"/>
      <c r="H39" s="41"/>
      <c r="I39" s="41"/>
      <c r="J39" s="41"/>
      <c r="II39" s="41"/>
    </row>
    <row r="40" spans="1:243" ht="13.5" x14ac:dyDescent="0.25">
      <c r="A40" s="286" t="s">
        <v>447</v>
      </c>
      <c r="B40" s="283"/>
      <c r="C40" s="283"/>
      <c r="D40" s="2"/>
      <c r="E40" s="2">
        <v>75637</v>
      </c>
      <c r="F40" s="41">
        <v>76000</v>
      </c>
      <c r="G40" s="41">
        <v>81000</v>
      </c>
      <c r="H40" s="41">
        <v>81000</v>
      </c>
      <c r="I40" s="41">
        <v>81000</v>
      </c>
      <c r="J40" s="41">
        <v>81000</v>
      </c>
      <c r="II40" s="41"/>
    </row>
    <row r="41" spans="1:243" hidden="1" x14ac:dyDescent="0.2">
      <c r="A41" s="283" t="s">
        <v>191</v>
      </c>
      <c r="B41" s="2">
        <v>4</v>
      </c>
      <c r="C41" s="2">
        <v>20250</v>
      </c>
      <c r="D41" s="2">
        <f>ROUND(B41*C41,0)</f>
        <v>81000</v>
      </c>
      <c r="E41" s="2"/>
      <c r="F41" s="41"/>
      <c r="G41" s="41"/>
      <c r="H41" s="41"/>
      <c r="I41" s="41"/>
      <c r="J41" s="41"/>
      <c r="II41" s="41"/>
    </row>
    <row r="42" spans="1:243" x14ac:dyDescent="0.2">
      <c r="A42" s="283"/>
      <c r="B42" s="283"/>
      <c r="C42" s="283"/>
      <c r="D42" s="2"/>
      <c r="E42" s="2"/>
      <c r="F42" s="41"/>
      <c r="G42" s="41"/>
      <c r="H42" s="41"/>
      <c r="I42" s="41"/>
      <c r="J42" s="41"/>
      <c r="II42" s="41"/>
    </row>
    <row r="43" spans="1:243" ht="13.5" x14ac:dyDescent="0.25">
      <c r="A43" s="286" t="s">
        <v>448</v>
      </c>
      <c r="B43" s="283"/>
      <c r="C43" s="283"/>
      <c r="D43" s="2"/>
      <c r="E43" s="2">
        <v>4980</v>
      </c>
      <c r="F43" s="41">
        <v>4950</v>
      </c>
      <c r="G43" s="41">
        <v>4950</v>
      </c>
      <c r="H43" s="41">
        <v>4950</v>
      </c>
      <c r="I43" s="41">
        <v>4950</v>
      </c>
      <c r="J43" s="41">
        <v>4950</v>
      </c>
      <c r="II43" s="41"/>
    </row>
    <row r="44" spans="1:243" hidden="1" x14ac:dyDescent="0.2">
      <c r="A44" s="283" t="s">
        <v>358</v>
      </c>
      <c r="B44" s="2">
        <v>4</v>
      </c>
      <c r="C44" s="2">
        <v>1375</v>
      </c>
      <c r="D44" s="2">
        <f>ROUND(B44*C44,0)</f>
        <v>5500</v>
      </c>
      <c r="E44" s="2"/>
      <c r="F44" s="41"/>
      <c r="G44" s="41"/>
      <c r="H44" s="41"/>
      <c r="I44" s="41"/>
      <c r="J44" s="41"/>
      <c r="II44" s="41"/>
    </row>
    <row r="45" spans="1:243" ht="15" hidden="1" x14ac:dyDescent="0.35">
      <c r="A45" s="283" t="s">
        <v>193</v>
      </c>
      <c r="B45" s="2"/>
      <c r="C45" s="2"/>
      <c r="D45" s="10">
        <f>-C44*B44*0.1</f>
        <v>-550</v>
      </c>
      <c r="E45" s="2"/>
      <c r="F45" s="41"/>
      <c r="G45" s="41"/>
      <c r="H45" s="41"/>
      <c r="I45" s="41"/>
      <c r="J45" s="41"/>
      <c r="II45" s="41"/>
    </row>
    <row r="46" spans="1:243" hidden="1" x14ac:dyDescent="0.2">
      <c r="A46" s="283" t="s">
        <v>678</v>
      </c>
      <c r="B46" s="2"/>
      <c r="C46" s="2"/>
      <c r="D46" s="2">
        <f>SUM(D44:D45)</f>
        <v>4950</v>
      </c>
      <c r="E46" s="2"/>
      <c r="F46" s="41"/>
      <c r="G46" s="41"/>
      <c r="H46" s="41"/>
      <c r="I46" s="41"/>
      <c r="J46" s="41"/>
      <c r="II46" s="41"/>
    </row>
    <row r="47" spans="1:243" x14ac:dyDescent="0.2">
      <c r="A47" s="283"/>
      <c r="B47" s="283"/>
      <c r="C47" s="283"/>
      <c r="D47" s="2"/>
      <c r="E47" s="2"/>
      <c r="F47" s="41"/>
      <c r="G47" s="41"/>
      <c r="H47" s="41"/>
      <c r="I47" s="41"/>
      <c r="J47" s="41"/>
      <c r="II47" s="41"/>
    </row>
    <row r="48" spans="1:243" ht="13.5" x14ac:dyDescent="0.25">
      <c r="A48" s="286" t="s">
        <v>407</v>
      </c>
      <c r="B48" s="283"/>
      <c r="C48" s="283"/>
      <c r="D48" s="2"/>
      <c r="E48" s="2">
        <v>618</v>
      </c>
      <c r="F48" s="41">
        <v>540</v>
      </c>
      <c r="G48" s="41">
        <v>580</v>
      </c>
      <c r="H48" s="41">
        <v>580</v>
      </c>
      <c r="I48" s="41">
        <v>580</v>
      </c>
      <c r="J48" s="41">
        <v>580</v>
      </c>
      <c r="II48" s="41"/>
    </row>
    <row r="49" spans="1:243" hidden="1" x14ac:dyDescent="0.2">
      <c r="A49" s="283" t="s">
        <v>358</v>
      </c>
      <c r="B49" s="2">
        <v>4</v>
      </c>
      <c r="C49" s="2">
        <v>145</v>
      </c>
      <c r="D49" s="2">
        <f>ROUND(B49*C49,0)</f>
        <v>580</v>
      </c>
      <c r="E49" s="2"/>
      <c r="F49" s="41"/>
      <c r="G49" s="41"/>
      <c r="H49" s="41"/>
      <c r="I49" s="41"/>
      <c r="J49" s="41"/>
      <c r="II49" s="41"/>
    </row>
    <row r="50" spans="1:243" x14ac:dyDescent="0.2">
      <c r="A50" s="283"/>
      <c r="B50" s="283"/>
      <c r="C50" s="283"/>
      <c r="D50" s="2"/>
      <c r="E50" s="2"/>
      <c r="F50" s="41"/>
      <c r="G50" s="41"/>
      <c r="H50" s="41"/>
      <c r="I50" s="41"/>
      <c r="J50" s="41"/>
      <c r="II50" s="41"/>
    </row>
    <row r="51" spans="1:243" ht="13.5" x14ac:dyDescent="0.25">
      <c r="A51" s="286" t="s">
        <v>408</v>
      </c>
      <c r="B51" s="283"/>
      <c r="C51" s="283"/>
      <c r="D51" s="2"/>
      <c r="E51" s="2">
        <v>2843</v>
      </c>
      <c r="F51" s="41">
        <v>2100</v>
      </c>
      <c r="G51" s="41">
        <v>2260</v>
      </c>
      <c r="H51" s="41">
        <v>2260</v>
      </c>
      <c r="I51" s="41">
        <v>2260</v>
      </c>
      <c r="J51" s="41">
        <v>2260</v>
      </c>
      <c r="II51" s="41"/>
    </row>
    <row r="52" spans="1:243" hidden="1" x14ac:dyDescent="0.2">
      <c r="A52" s="283" t="s">
        <v>358</v>
      </c>
      <c r="B52" s="2">
        <v>4</v>
      </c>
      <c r="C52" s="2">
        <v>565</v>
      </c>
      <c r="D52" s="2">
        <f>ROUND(B52*C52,0)</f>
        <v>2260</v>
      </c>
      <c r="E52" s="2"/>
      <c r="F52" s="41"/>
      <c r="G52" s="41"/>
      <c r="H52" s="41"/>
      <c r="I52" s="41"/>
      <c r="J52" s="41"/>
      <c r="II52" s="41"/>
    </row>
    <row r="53" spans="1:243" x14ac:dyDescent="0.2">
      <c r="A53" s="283"/>
      <c r="B53" s="283"/>
      <c r="C53" s="283"/>
      <c r="D53" s="2"/>
      <c r="E53" s="2"/>
      <c r="F53" s="41"/>
      <c r="G53" s="41"/>
      <c r="H53" s="41"/>
      <c r="I53" s="41"/>
      <c r="J53" s="41"/>
      <c r="II53" s="41"/>
    </row>
    <row r="54" spans="1:243" ht="13.5" x14ac:dyDescent="0.25">
      <c r="A54" s="286" t="s">
        <v>409</v>
      </c>
      <c r="B54" s="283"/>
      <c r="C54" s="283"/>
      <c r="D54" s="2"/>
      <c r="E54" s="2">
        <v>6385</v>
      </c>
      <c r="F54" s="41">
        <v>7396</v>
      </c>
      <c r="G54" s="41">
        <v>6463</v>
      </c>
      <c r="H54" s="41">
        <v>6463</v>
      </c>
      <c r="I54" s="41">
        <v>6689</v>
      </c>
      <c r="J54" s="41">
        <v>6689</v>
      </c>
      <c r="II54" s="41"/>
    </row>
    <row r="55" spans="1:243" hidden="1" x14ac:dyDescent="0.2">
      <c r="A55" s="12" t="s">
        <v>1068</v>
      </c>
      <c r="B55" s="2">
        <f>+D9</f>
        <v>44304</v>
      </c>
      <c r="C55" s="13">
        <v>1.89E-3</v>
      </c>
      <c r="D55" s="2">
        <f>ROUND(B55*C55,0)</f>
        <v>84</v>
      </c>
      <c r="E55" s="2"/>
      <c r="F55" s="41"/>
      <c r="G55" s="41"/>
      <c r="H55" s="41"/>
      <c r="I55" s="41"/>
      <c r="J55" s="41"/>
      <c r="II55" s="41"/>
    </row>
    <row r="56" spans="1:243" hidden="1" x14ac:dyDescent="0.2">
      <c r="A56" s="22" t="s">
        <v>1072</v>
      </c>
      <c r="B56" s="2">
        <f>+D15-D13</f>
        <v>114528</v>
      </c>
      <c r="C56" s="13">
        <v>3.3739999999999999E-2</v>
      </c>
      <c r="D56" s="2">
        <f>ROUND(B56*C56,0)</f>
        <v>3864</v>
      </c>
      <c r="E56" s="2"/>
      <c r="F56" s="41"/>
      <c r="G56" s="41"/>
      <c r="H56" s="41"/>
      <c r="I56" s="41"/>
      <c r="J56" s="41"/>
      <c r="II56" s="41"/>
    </row>
    <row r="57" spans="1:243" hidden="1" x14ac:dyDescent="0.2">
      <c r="A57" s="283" t="s">
        <v>787</v>
      </c>
      <c r="B57" s="2">
        <f>+D13</f>
        <v>76284</v>
      </c>
      <c r="C57" s="13">
        <v>3.3739999999999999E-2</v>
      </c>
      <c r="D57" s="2">
        <f>ROUND(B57*C57,0)</f>
        <v>2574</v>
      </c>
      <c r="E57" s="2"/>
      <c r="F57" s="41"/>
      <c r="G57" s="41"/>
      <c r="H57" s="41"/>
      <c r="I57" s="41"/>
      <c r="J57" s="41"/>
      <c r="II57" s="41"/>
    </row>
    <row r="58" spans="1:243" hidden="1" x14ac:dyDescent="0.2">
      <c r="A58" s="12" t="s">
        <v>251</v>
      </c>
      <c r="B58" s="2">
        <f>+D18</f>
        <v>60474</v>
      </c>
      <c r="C58" s="13">
        <v>1.89E-3</v>
      </c>
      <c r="D58" s="2">
        <f>ROUND(B58*C58,0)</f>
        <v>114</v>
      </c>
      <c r="E58" s="2"/>
      <c r="F58" s="41"/>
      <c r="G58" s="41"/>
      <c r="H58" s="41"/>
      <c r="I58" s="41"/>
      <c r="J58" s="41"/>
      <c r="II58" s="41"/>
    </row>
    <row r="59" spans="1:243" ht="15" hidden="1" x14ac:dyDescent="0.35">
      <c r="A59" s="12" t="s">
        <v>1074</v>
      </c>
      <c r="B59" s="2">
        <f>+D23</f>
        <v>25746</v>
      </c>
      <c r="C59" s="13">
        <v>1.89E-3</v>
      </c>
      <c r="D59" s="10">
        <f>ROUND(B59*C59,0)</f>
        <v>49</v>
      </c>
      <c r="E59" s="2"/>
      <c r="F59" s="41"/>
      <c r="G59" s="41"/>
      <c r="H59" s="41"/>
      <c r="I59" s="41"/>
      <c r="J59" s="41"/>
      <c r="II59" s="41"/>
    </row>
    <row r="60" spans="1:243" hidden="1" x14ac:dyDescent="0.2">
      <c r="A60" s="283" t="s">
        <v>1067</v>
      </c>
      <c r="B60" s="283"/>
      <c r="C60" s="283"/>
      <c r="D60" s="2">
        <f>SUM(D55:D59)+4</f>
        <v>6689</v>
      </c>
      <c r="E60" s="2"/>
      <c r="F60" s="41"/>
      <c r="G60" s="41"/>
      <c r="H60" s="41"/>
      <c r="I60" s="41"/>
      <c r="J60" s="41"/>
      <c r="II60" s="41"/>
    </row>
    <row r="61" spans="1:243" x14ac:dyDescent="0.2">
      <c r="A61" s="283"/>
      <c r="B61" s="283"/>
      <c r="C61" s="283"/>
      <c r="D61" s="2"/>
      <c r="E61" s="2"/>
      <c r="F61" s="41"/>
      <c r="G61" s="41"/>
      <c r="H61" s="41"/>
      <c r="I61" s="41"/>
      <c r="J61" s="41"/>
      <c r="II61" s="41"/>
    </row>
    <row r="62" spans="1:243" ht="13.5" x14ac:dyDescent="0.25">
      <c r="A62" s="286" t="s">
        <v>411</v>
      </c>
      <c r="B62" s="283"/>
      <c r="C62" s="283"/>
      <c r="D62" s="2"/>
      <c r="E62" s="2">
        <v>64</v>
      </c>
      <c r="F62" s="41">
        <v>100</v>
      </c>
      <c r="G62" s="41">
        <v>100</v>
      </c>
      <c r="H62" s="41">
        <v>100</v>
      </c>
      <c r="I62" s="41">
        <v>100</v>
      </c>
      <c r="J62" s="41">
        <v>100</v>
      </c>
      <c r="II62" s="41"/>
    </row>
    <row r="63" spans="1:243" hidden="1" x14ac:dyDescent="0.2">
      <c r="A63" s="12" t="s">
        <v>1068</v>
      </c>
      <c r="B63" s="2">
        <v>1</v>
      </c>
      <c r="C63" s="2">
        <v>20</v>
      </c>
      <c r="D63" s="2">
        <f>ROUND(B63*C63,0)</f>
        <v>20</v>
      </c>
      <c r="E63" s="2"/>
      <c r="F63" s="41"/>
      <c r="G63" s="41"/>
      <c r="H63" s="41"/>
      <c r="I63" s="41"/>
      <c r="J63" s="41"/>
      <c r="II63" s="41"/>
    </row>
    <row r="64" spans="1:243" hidden="1" x14ac:dyDescent="0.2">
      <c r="A64" s="12" t="s">
        <v>1069</v>
      </c>
      <c r="B64" s="2">
        <v>2</v>
      </c>
      <c r="C64" s="2">
        <v>20</v>
      </c>
      <c r="D64" s="2">
        <f>ROUND(B64*C64,0)</f>
        <v>40</v>
      </c>
      <c r="E64" s="2"/>
      <c r="F64" s="41"/>
      <c r="G64" s="41"/>
      <c r="H64" s="41"/>
      <c r="I64" s="41"/>
      <c r="J64" s="41"/>
      <c r="II64" s="41"/>
    </row>
    <row r="65" spans="1:243" hidden="1" x14ac:dyDescent="0.2">
      <c r="A65" s="12" t="s">
        <v>1070</v>
      </c>
      <c r="B65" s="2">
        <v>1</v>
      </c>
      <c r="C65" s="2">
        <v>20</v>
      </c>
      <c r="D65" s="2">
        <f>ROUND(B65*C65,0)</f>
        <v>20</v>
      </c>
      <c r="E65" s="2"/>
      <c r="F65" s="41"/>
      <c r="G65" s="41"/>
      <c r="H65" s="41"/>
      <c r="I65" s="41"/>
      <c r="J65" s="41"/>
      <c r="II65" s="41"/>
    </row>
    <row r="66" spans="1:243" hidden="1" x14ac:dyDescent="0.2">
      <c r="A66" s="12" t="s">
        <v>1659</v>
      </c>
      <c r="B66" s="2">
        <v>1</v>
      </c>
      <c r="C66" s="2">
        <v>20</v>
      </c>
      <c r="D66" s="17">
        <f>ROUND(B66*C66,0)</f>
        <v>20</v>
      </c>
      <c r="E66" s="2"/>
      <c r="F66" s="41"/>
      <c r="G66" s="41"/>
      <c r="H66" s="41"/>
      <c r="I66" s="41"/>
      <c r="J66" s="41"/>
      <c r="II66" s="41"/>
    </row>
    <row r="67" spans="1:243" hidden="1" x14ac:dyDescent="0.2">
      <c r="A67" s="283" t="s">
        <v>1067</v>
      </c>
      <c r="B67" s="2" t="s">
        <v>338</v>
      </c>
      <c r="C67" s="13" t="s">
        <v>338</v>
      </c>
      <c r="D67" s="2">
        <f>SUM(D63:D66)</f>
        <v>100</v>
      </c>
      <c r="E67" s="2"/>
      <c r="F67" s="41"/>
      <c r="G67" s="41"/>
      <c r="H67" s="41"/>
      <c r="I67" s="41"/>
      <c r="J67" s="41"/>
      <c r="II67" s="41"/>
    </row>
    <row r="68" spans="1:243" x14ac:dyDescent="0.2">
      <c r="A68" s="283"/>
      <c r="B68" s="283"/>
      <c r="C68" s="283"/>
      <c r="D68" s="2"/>
      <c r="E68" s="2"/>
      <c r="F68" s="41"/>
      <c r="G68" s="41"/>
      <c r="H68" s="41"/>
      <c r="I68" s="41"/>
      <c r="J68" s="41"/>
      <c r="II68" s="41"/>
    </row>
    <row r="69" spans="1:243" ht="13.5" x14ac:dyDescent="0.25">
      <c r="A69" s="286" t="s">
        <v>412</v>
      </c>
      <c r="B69" s="283"/>
      <c r="C69" s="283"/>
      <c r="D69" s="2"/>
      <c r="E69" s="2">
        <v>1364</v>
      </c>
      <c r="F69" s="41">
        <v>2500</v>
      </c>
      <c r="G69" s="41">
        <v>2500</v>
      </c>
      <c r="H69" s="41">
        <v>2500</v>
      </c>
      <c r="I69" s="41">
        <v>2500</v>
      </c>
      <c r="J69" s="41">
        <v>2500</v>
      </c>
      <c r="II69" s="41"/>
    </row>
    <row r="70" spans="1:243" x14ac:dyDescent="0.2">
      <c r="A70" s="283" t="s">
        <v>1374</v>
      </c>
      <c r="B70" s="283"/>
      <c r="C70" s="283"/>
      <c r="D70" s="2">
        <v>2500</v>
      </c>
      <c r="E70" s="2"/>
      <c r="F70" s="41"/>
      <c r="G70" s="41"/>
      <c r="H70" s="41"/>
      <c r="I70" s="41"/>
      <c r="J70" s="41"/>
      <c r="II70" s="41"/>
    </row>
    <row r="71" spans="1:243" x14ac:dyDescent="0.2">
      <c r="A71" s="283" t="s">
        <v>338</v>
      </c>
      <c r="B71" s="283"/>
      <c r="C71" s="283"/>
      <c r="D71" s="2" t="s">
        <v>338</v>
      </c>
      <c r="E71" s="2"/>
      <c r="F71" s="41"/>
      <c r="G71" s="41"/>
      <c r="H71" s="41"/>
      <c r="I71" s="41"/>
      <c r="J71" s="41"/>
      <c r="II71" s="41"/>
    </row>
    <row r="72" spans="1:243" ht="13.5" x14ac:dyDescent="0.25">
      <c r="A72" s="286" t="s">
        <v>402</v>
      </c>
      <c r="B72" s="283"/>
      <c r="C72" s="283"/>
      <c r="D72" s="2"/>
      <c r="E72" s="2">
        <v>0</v>
      </c>
      <c r="F72" s="41">
        <v>100</v>
      </c>
      <c r="G72" s="41">
        <v>0</v>
      </c>
      <c r="H72" s="41">
        <v>0</v>
      </c>
      <c r="I72" s="41">
        <v>0</v>
      </c>
      <c r="J72" s="41">
        <v>0</v>
      </c>
      <c r="II72" s="41"/>
    </row>
    <row r="73" spans="1:243" x14ac:dyDescent="0.2">
      <c r="A73" s="283" t="s">
        <v>403</v>
      </c>
      <c r="B73" s="2"/>
      <c r="C73" s="283"/>
      <c r="D73" s="2">
        <v>0</v>
      </c>
      <c r="E73" s="2"/>
      <c r="F73" s="41"/>
      <c r="G73" s="41"/>
      <c r="H73" s="41"/>
      <c r="I73" s="41"/>
      <c r="J73" s="41"/>
      <c r="II73" s="41"/>
    </row>
    <row r="74" spans="1:243" x14ac:dyDescent="0.2">
      <c r="A74" s="283"/>
      <c r="B74" s="283"/>
      <c r="C74" s="283"/>
      <c r="D74" s="2"/>
      <c r="E74" s="2"/>
      <c r="F74" s="41"/>
      <c r="G74" s="41"/>
      <c r="H74" s="41"/>
      <c r="I74" s="41"/>
      <c r="J74" s="41"/>
      <c r="II74" s="41"/>
    </row>
    <row r="75" spans="1:243" ht="13.5" x14ac:dyDescent="0.25">
      <c r="A75" s="286" t="s">
        <v>751</v>
      </c>
      <c r="B75" s="283"/>
      <c r="C75" s="283"/>
      <c r="D75" s="2"/>
      <c r="E75" s="2">
        <v>241</v>
      </c>
      <c r="F75" s="41">
        <v>200</v>
      </c>
      <c r="G75" s="41">
        <v>200</v>
      </c>
      <c r="H75" s="41">
        <v>200</v>
      </c>
      <c r="I75" s="41">
        <v>200</v>
      </c>
      <c r="J75" s="41">
        <v>200</v>
      </c>
      <c r="II75" s="41"/>
    </row>
    <row r="76" spans="1:243" x14ac:dyDescent="0.2">
      <c r="A76" s="283" t="s">
        <v>702</v>
      </c>
      <c r="B76" s="283"/>
      <c r="C76" s="283"/>
      <c r="D76" s="2">
        <v>200</v>
      </c>
      <c r="E76" s="2"/>
      <c r="F76" s="41"/>
      <c r="G76" s="41"/>
      <c r="H76" s="41"/>
      <c r="I76" s="41"/>
      <c r="J76" s="41"/>
      <c r="II76" s="41"/>
    </row>
    <row r="77" spans="1:243" x14ac:dyDescent="0.2">
      <c r="A77" s="283"/>
      <c r="B77" s="283"/>
      <c r="C77" s="283"/>
      <c r="D77" s="2"/>
      <c r="E77" s="2"/>
      <c r="F77" s="41"/>
      <c r="G77" s="41"/>
      <c r="H77" s="41"/>
      <c r="I77" s="41"/>
      <c r="J77" s="41"/>
      <c r="II77" s="41"/>
    </row>
    <row r="78" spans="1:243" ht="13.5" x14ac:dyDescent="0.25">
      <c r="A78" s="286" t="s">
        <v>752</v>
      </c>
      <c r="B78" s="283"/>
      <c r="C78" s="283"/>
      <c r="D78" s="2"/>
      <c r="E78" s="2">
        <v>7805</v>
      </c>
      <c r="F78" s="41">
        <v>9100</v>
      </c>
      <c r="G78" s="41">
        <v>9100</v>
      </c>
      <c r="H78" s="41">
        <v>9100</v>
      </c>
      <c r="I78" s="41">
        <v>9100</v>
      </c>
      <c r="J78" s="41">
        <v>9100</v>
      </c>
      <c r="II78" s="41"/>
    </row>
    <row r="79" spans="1:243" x14ac:dyDescent="0.2">
      <c r="A79" s="283" t="s">
        <v>271</v>
      </c>
      <c r="B79" s="2" t="s">
        <v>338</v>
      </c>
      <c r="C79" s="283"/>
      <c r="D79" s="2">
        <v>0</v>
      </c>
      <c r="E79" s="2"/>
      <c r="F79" s="41"/>
      <c r="G79" s="41"/>
      <c r="H79" s="41"/>
      <c r="I79" s="41"/>
      <c r="J79" s="41"/>
      <c r="II79" s="41"/>
    </row>
    <row r="80" spans="1:243" ht="15" x14ac:dyDescent="0.35">
      <c r="A80" s="283" t="s">
        <v>274</v>
      </c>
      <c r="B80" s="2"/>
      <c r="C80" s="283"/>
      <c r="D80" s="10">
        <v>9100</v>
      </c>
      <c r="E80" s="2"/>
      <c r="F80" s="2"/>
      <c r="I80" s="2"/>
      <c r="J80" s="2"/>
      <c r="II80" s="2"/>
    </row>
    <row r="81" spans="1:243" x14ac:dyDescent="0.2">
      <c r="A81" s="283" t="s">
        <v>1067</v>
      </c>
      <c r="B81" s="2"/>
      <c r="C81" s="283"/>
      <c r="D81" s="2">
        <f>SUM(D79:D80)</f>
        <v>9100</v>
      </c>
      <c r="E81" s="2"/>
      <c r="F81" s="41"/>
      <c r="G81" s="41"/>
      <c r="H81" s="41"/>
      <c r="I81" s="41"/>
      <c r="J81" s="41"/>
      <c r="II81" s="41"/>
    </row>
    <row r="82" spans="1:243" x14ac:dyDescent="0.2">
      <c r="A82" s="283"/>
      <c r="B82" s="283"/>
      <c r="C82" s="283"/>
      <c r="D82" s="283"/>
      <c r="E82" s="2"/>
      <c r="F82" s="41"/>
      <c r="G82" s="41"/>
      <c r="H82" s="41"/>
      <c r="I82" s="41"/>
      <c r="J82" s="41"/>
      <c r="II82" s="41"/>
    </row>
    <row r="83" spans="1:243" ht="13.5" x14ac:dyDescent="0.25">
      <c r="A83" s="286" t="s">
        <v>38</v>
      </c>
      <c r="B83" s="283"/>
      <c r="C83" s="283"/>
      <c r="D83" s="283"/>
      <c r="E83" s="2">
        <v>30</v>
      </c>
      <c r="F83" s="41">
        <v>71</v>
      </c>
      <c r="G83" s="41">
        <v>88</v>
      </c>
      <c r="H83" s="41">
        <v>88</v>
      </c>
      <c r="I83" s="41">
        <v>88</v>
      </c>
      <c r="J83" s="41">
        <v>88</v>
      </c>
      <c r="II83" s="41"/>
    </row>
    <row r="84" spans="1:243" x14ac:dyDescent="0.2">
      <c r="A84" s="283" t="s">
        <v>1101</v>
      </c>
      <c r="B84" s="2">
        <v>25</v>
      </c>
      <c r="C84" s="11">
        <v>3.5</v>
      </c>
      <c r="D84" s="2">
        <f>+C84*B84</f>
        <v>87.5</v>
      </c>
      <c r="E84" s="2"/>
      <c r="F84" s="41"/>
      <c r="G84" s="41"/>
      <c r="H84" s="41"/>
      <c r="I84" s="41"/>
      <c r="J84" s="41"/>
      <c r="II84" s="41"/>
    </row>
    <row r="85" spans="1:243" x14ac:dyDescent="0.2">
      <c r="A85" s="283"/>
      <c r="B85" s="2"/>
      <c r="C85" s="283"/>
      <c r="D85" s="13"/>
      <c r="E85" s="2"/>
      <c r="F85" s="41"/>
      <c r="G85" s="41"/>
      <c r="H85" s="41"/>
      <c r="I85" s="41"/>
      <c r="J85" s="41"/>
      <c r="II85" s="41"/>
    </row>
    <row r="86" spans="1:243" ht="13.5" x14ac:dyDescent="0.25">
      <c r="A86" s="286" t="s">
        <v>180</v>
      </c>
      <c r="B86" s="2"/>
      <c r="C86" s="283"/>
      <c r="D86" s="13"/>
      <c r="E86" s="2">
        <v>3174</v>
      </c>
      <c r="F86" s="41">
        <v>3220</v>
      </c>
      <c r="G86" s="41">
        <v>3220</v>
      </c>
      <c r="H86" s="41">
        <v>3220</v>
      </c>
      <c r="I86" s="41">
        <v>3220</v>
      </c>
      <c r="J86" s="41">
        <v>3220</v>
      </c>
      <c r="II86" s="41"/>
    </row>
    <row r="87" spans="1:243" x14ac:dyDescent="0.2">
      <c r="A87" s="283" t="s">
        <v>805</v>
      </c>
      <c r="B87" s="2"/>
      <c r="C87" s="283"/>
      <c r="D87" s="2">
        <v>2200</v>
      </c>
      <c r="E87" s="2"/>
      <c r="F87" s="41"/>
      <c r="G87" s="41"/>
      <c r="H87" s="41"/>
      <c r="I87" s="41"/>
      <c r="J87" s="41"/>
      <c r="II87" s="41"/>
    </row>
    <row r="88" spans="1:243" ht="15" x14ac:dyDescent="0.35">
      <c r="A88" s="283" t="s">
        <v>181</v>
      </c>
      <c r="B88" s="2"/>
      <c r="C88" s="283"/>
      <c r="D88" s="10">
        <v>1020</v>
      </c>
      <c r="E88" s="2"/>
      <c r="F88" s="41"/>
      <c r="G88" s="41"/>
      <c r="H88" s="41"/>
      <c r="I88" s="41"/>
      <c r="J88" s="41"/>
      <c r="II88" s="41"/>
    </row>
    <row r="89" spans="1:243" x14ac:dyDescent="0.2">
      <c r="A89" s="283" t="s">
        <v>1067</v>
      </c>
      <c r="B89" s="2"/>
      <c r="C89" s="283"/>
      <c r="D89" s="2">
        <f>SUM(D87:D88)</f>
        <v>3220</v>
      </c>
      <c r="E89" s="2"/>
      <c r="F89" s="41"/>
      <c r="G89" s="41"/>
      <c r="H89" s="41"/>
      <c r="I89" s="41"/>
      <c r="J89" s="41"/>
      <c r="II89" s="41"/>
    </row>
    <row r="90" spans="1:243" x14ac:dyDescent="0.2">
      <c r="A90" s="283"/>
      <c r="B90" s="283"/>
      <c r="C90" s="283"/>
      <c r="D90" s="2"/>
      <c r="E90" s="2"/>
      <c r="F90" s="41"/>
      <c r="G90" s="41"/>
      <c r="H90" s="41"/>
      <c r="I90" s="41"/>
      <c r="J90" s="41"/>
      <c r="II90" s="41"/>
    </row>
    <row r="91" spans="1:243" ht="13.5" x14ac:dyDescent="0.25">
      <c r="A91" s="286" t="s">
        <v>560</v>
      </c>
      <c r="B91" s="283"/>
      <c r="C91" s="283"/>
      <c r="D91" s="2"/>
      <c r="E91" s="2">
        <v>22233</v>
      </c>
      <c r="F91" s="41">
        <v>23393</v>
      </c>
      <c r="G91" s="41">
        <v>24538</v>
      </c>
      <c r="H91" s="41">
        <v>24538</v>
      </c>
      <c r="I91" s="41">
        <v>24538</v>
      </c>
      <c r="J91" s="41">
        <v>24538</v>
      </c>
      <c r="II91" s="41"/>
    </row>
    <row r="92" spans="1:243" x14ac:dyDescent="0.2">
      <c r="A92" s="283" t="s">
        <v>119</v>
      </c>
      <c r="B92" s="2" t="s">
        <v>338</v>
      </c>
      <c r="C92" s="283"/>
      <c r="D92" s="2">
        <v>21938</v>
      </c>
      <c r="E92" s="2"/>
      <c r="F92" s="2"/>
      <c r="I92" s="2"/>
      <c r="J92" s="2"/>
      <c r="II92" s="2"/>
    </row>
    <row r="93" spans="1:243" x14ac:dyDescent="0.2">
      <c r="A93" s="283" t="s">
        <v>1616</v>
      </c>
      <c r="B93" s="283"/>
      <c r="C93" s="283"/>
      <c r="D93" s="2">
        <v>2100</v>
      </c>
      <c r="E93" s="2"/>
      <c r="F93" s="2"/>
      <c r="I93" s="2"/>
      <c r="J93" s="2"/>
      <c r="II93" s="2"/>
    </row>
    <row r="94" spans="1:243" ht="15" x14ac:dyDescent="0.35">
      <c r="A94" s="283" t="s">
        <v>734</v>
      </c>
      <c r="B94" s="283"/>
      <c r="C94" s="283"/>
      <c r="D94" s="10">
        <v>500</v>
      </c>
      <c r="E94" s="2"/>
      <c r="F94" s="41"/>
      <c r="G94" s="41"/>
      <c r="H94" s="41"/>
      <c r="I94" s="41"/>
      <c r="J94" s="41"/>
      <c r="II94" s="41"/>
    </row>
    <row r="95" spans="1:243" x14ac:dyDescent="0.2">
      <c r="A95" s="283" t="s">
        <v>1067</v>
      </c>
      <c r="B95" s="283"/>
      <c r="C95" s="283"/>
      <c r="D95" s="2">
        <f>SUM(D92:D94)</f>
        <v>24538</v>
      </c>
      <c r="E95" s="2"/>
      <c r="F95" s="41"/>
      <c r="G95" s="41"/>
      <c r="H95" s="41"/>
      <c r="I95" s="41"/>
      <c r="J95" s="41"/>
      <c r="II95" s="41"/>
    </row>
    <row r="96" spans="1:243" x14ac:dyDescent="0.2">
      <c r="A96" s="283"/>
      <c r="B96" s="283"/>
      <c r="C96" s="283"/>
      <c r="D96" s="2"/>
      <c r="E96" s="2"/>
      <c r="F96" s="41"/>
      <c r="G96" s="41"/>
      <c r="H96" s="41"/>
      <c r="I96" s="41"/>
      <c r="J96" s="41"/>
      <c r="II96" s="41"/>
    </row>
    <row r="97" spans="1:243" ht="13.5" x14ac:dyDescent="0.25">
      <c r="A97" s="16" t="s">
        <v>735</v>
      </c>
      <c r="B97" s="283"/>
      <c r="C97" s="283"/>
      <c r="D97" s="2"/>
      <c r="E97" s="2">
        <v>3245</v>
      </c>
      <c r="F97" s="41">
        <v>3904</v>
      </c>
      <c r="G97" s="41">
        <v>4099</v>
      </c>
      <c r="H97" s="41">
        <v>4099</v>
      </c>
      <c r="I97" s="41">
        <v>4099</v>
      </c>
      <c r="J97" s="41">
        <v>4099</v>
      </c>
      <c r="II97" s="41"/>
    </row>
    <row r="98" spans="1:243" x14ac:dyDescent="0.2">
      <c r="A98" s="283" t="s">
        <v>736</v>
      </c>
      <c r="B98" s="283"/>
      <c r="C98" s="283"/>
      <c r="D98" s="2">
        <v>4099</v>
      </c>
      <c r="E98" s="2"/>
      <c r="F98" s="41"/>
      <c r="G98" s="41"/>
      <c r="H98" s="41"/>
      <c r="I98" s="41"/>
      <c r="J98" s="41"/>
      <c r="II98" s="41"/>
    </row>
    <row r="99" spans="1:243" x14ac:dyDescent="0.2">
      <c r="A99" s="283"/>
      <c r="B99" s="283"/>
      <c r="C99" s="283"/>
      <c r="D99" s="2"/>
      <c r="E99" s="2"/>
      <c r="F99" s="41"/>
      <c r="G99" s="41"/>
      <c r="H99" s="41"/>
      <c r="I99" s="41"/>
      <c r="J99" s="41"/>
      <c r="II99" s="41"/>
    </row>
    <row r="100" spans="1:243" ht="13.5" x14ac:dyDescent="0.25">
      <c r="A100" s="286" t="s">
        <v>737</v>
      </c>
      <c r="B100" s="283"/>
      <c r="C100" s="283"/>
      <c r="D100" s="2"/>
      <c r="E100" s="2">
        <v>78</v>
      </c>
      <c r="F100" s="41">
        <v>750</v>
      </c>
      <c r="G100" s="41">
        <v>750</v>
      </c>
      <c r="H100" s="41">
        <v>750</v>
      </c>
      <c r="I100" s="41">
        <v>750</v>
      </c>
      <c r="J100" s="41">
        <v>750</v>
      </c>
      <c r="II100" s="41"/>
    </row>
    <row r="101" spans="1:243" x14ac:dyDescent="0.2">
      <c r="A101" s="283" t="s">
        <v>449</v>
      </c>
      <c r="B101" s="283"/>
      <c r="C101" s="283"/>
      <c r="D101" s="2">
        <v>750</v>
      </c>
      <c r="E101" s="2"/>
      <c r="F101" s="41"/>
      <c r="G101" s="41"/>
      <c r="H101" s="41"/>
      <c r="I101" s="41"/>
      <c r="J101" s="41"/>
      <c r="II101" s="41"/>
    </row>
    <row r="102" spans="1:243" x14ac:dyDescent="0.2">
      <c r="A102" s="283" t="s">
        <v>338</v>
      </c>
      <c r="B102" s="283"/>
      <c r="C102" s="283"/>
      <c r="D102" s="2" t="s">
        <v>338</v>
      </c>
      <c r="E102" s="2"/>
      <c r="F102" s="41"/>
      <c r="G102" s="41"/>
      <c r="H102" s="41"/>
      <c r="I102" s="41"/>
      <c r="J102" s="41"/>
      <c r="II102" s="41"/>
    </row>
    <row r="103" spans="1:243" ht="13.5" x14ac:dyDescent="0.25">
      <c r="A103" s="286" t="s">
        <v>144</v>
      </c>
      <c r="B103" s="283"/>
      <c r="C103" s="283"/>
      <c r="D103" s="2"/>
      <c r="E103" s="2">
        <v>39</v>
      </c>
      <c r="F103" s="41">
        <v>100</v>
      </c>
      <c r="G103" s="41">
        <v>100</v>
      </c>
      <c r="H103" s="41">
        <v>100</v>
      </c>
      <c r="I103" s="41">
        <v>100</v>
      </c>
      <c r="J103" s="41">
        <v>100</v>
      </c>
      <c r="II103" s="41"/>
    </row>
    <row r="104" spans="1:243" x14ac:dyDescent="0.2">
      <c r="A104" s="283" t="s">
        <v>145</v>
      </c>
      <c r="B104" s="283"/>
      <c r="C104" s="283"/>
      <c r="D104" s="2">
        <v>100</v>
      </c>
      <c r="E104" s="2"/>
      <c r="F104" s="41"/>
      <c r="G104" s="41"/>
      <c r="H104" s="41"/>
      <c r="I104" s="41"/>
      <c r="J104" s="41"/>
      <c r="II104" s="41"/>
    </row>
    <row r="105" spans="1:243" x14ac:dyDescent="0.2">
      <c r="A105" s="283"/>
      <c r="B105" s="283"/>
      <c r="C105" s="283"/>
      <c r="D105" s="2"/>
      <c r="E105" s="2"/>
      <c r="F105" s="41"/>
      <c r="G105" s="41"/>
      <c r="H105" s="41"/>
      <c r="I105" s="41"/>
      <c r="J105" s="41"/>
      <c r="II105" s="41"/>
    </row>
    <row r="106" spans="1:243" ht="13.5" x14ac:dyDescent="0.25">
      <c r="A106" s="286" t="s">
        <v>1102</v>
      </c>
      <c r="B106" s="283"/>
      <c r="C106" s="283"/>
      <c r="D106" s="2"/>
      <c r="E106" s="2">
        <v>5681</v>
      </c>
      <c r="F106" s="41">
        <v>900</v>
      </c>
      <c r="G106" s="41">
        <v>1500</v>
      </c>
      <c r="H106" s="41">
        <v>1500</v>
      </c>
      <c r="I106" s="41">
        <v>1500</v>
      </c>
      <c r="J106" s="41">
        <v>1500</v>
      </c>
      <c r="II106" s="41"/>
    </row>
    <row r="107" spans="1:243" x14ac:dyDescent="0.2">
      <c r="A107" s="283" t="s">
        <v>685</v>
      </c>
      <c r="B107" s="283"/>
      <c r="C107" s="283"/>
      <c r="D107" s="2">
        <v>1500</v>
      </c>
      <c r="E107" s="2"/>
      <c r="F107" s="41"/>
      <c r="G107" s="41"/>
      <c r="H107" s="41"/>
      <c r="I107" s="41"/>
      <c r="J107" s="41"/>
      <c r="II107" s="41"/>
    </row>
    <row r="108" spans="1:243" x14ac:dyDescent="0.2">
      <c r="A108" s="283"/>
      <c r="B108" s="283"/>
      <c r="C108" s="283"/>
      <c r="D108" s="283"/>
      <c r="E108" s="2"/>
      <c r="F108" s="41"/>
      <c r="G108" s="41"/>
      <c r="H108" s="41"/>
      <c r="I108" s="41"/>
      <c r="J108" s="41"/>
      <c r="II108" s="41"/>
    </row>
    <row r="109" spans="1:243" ht="13.5" x14ac:dyDescent="0.25">
      <c r="A109" s="286" t="s">
        <v>192</v>
      </c>
      <c r="B109" s="27" t="s">
        <v>338</v>
      </c>
      <c r="C109" s="283"/>
      <c r="D109" s="33"/>
      <c r="E109" s="2">
        <v>0</v>
      </c>
      <c r="F109" s="41">
        <v>500</v>
      </c>
      <c r="G109" s="41">
        <v>500</v>
      </c>
      <c r="H109" s="41">
        <v>500</v>
      </c>
      <c r="I109" s="41">
        <v>500</v>
      </c>
      <c r="J109" s="41">
        <v>500</v>
      </c>
      <c r="II109" s="41"/>
    </row>
    <row r="110" spans="1:243" x14ac:dyDescent="0.2">
      <c r="A110" s="283" t="s">
        <v>1693</v>
      </c>
      <c r="B110" s="2" t="s">
        <v>338</v>
      </c>
      <c r="C110" s="283"/>
      <c r="D110" s="2">
        <v>500</v>
      </c>
      <c r="E110" s="2"/>
      <c r="F110" s="2"/>
      <c r="I110" s="2"/>
      <c r="J110" s="2"/>
      <c r="II110" s="2"/>
    </row>
    <row r="111" spans="1:243" x14ac:dyDescent="0.2">
      <c r="A111" s="283"/>
      <c r="B111" s="2"/>
      <c r="C111" s="283"/>
      <c r="D111" s="2"/>
      <c r="E111" s="2"/>
      <c r="F111" s="2"/>
      <c r="I111" s="2"/>
      <c r="J111" s="2"/>
      <c r="II111" s="2"/>
    </row>
    <row r="112" spans="1:243" ht="13.5" x14ac:dyDescent="0.25">
      <c r="A112" s="286" t="s">
        <v>640</v>
      </c>
      <c r="B112" s="283"/>
      <c r="C112" s="283"/>
      <c r="D112" s="283"/>
      <c r="E112" s="2">
        <v>899</v>
      </c>
      <c r="F112" s="41">
        <v>2000</v>
      </c>
      <c r="G112" s="41">
        <v>2000</v>
      </c>
      <c r="H112" s="41">
        <v>2000</v>
      </c>
      <c r="I112" s="41">
        <v>2000</v>
      </c>
      <c r="J112" s="41">
        <v>2000</v>
      </c>
      <c r="II112" s="41"/>
    </row>
    <row r="113" spans="1:243" x14ac:dyDescent="0.2">
      <c r="A113" s="283" t="s">
        <v>37</v>
      </c>
      <c r="B113" s="283"/>
      <c r="C113" s="283"/>
      <c r="D113" s="2">
        <v>500</v>
      </c>
      <c r="E113" s="2"/>
      <c r="F113" s="41"/>
      <c r="G113" s="41"/>
      <c r="H113" s="41"/>
      <c r="I113" s="41"/>
      <c r="J113" s="41"/>
      <c r="II113" s="41"/>
    </row>
    <row r="114" spans="1:243" x14ac:dyDescent="0.2">
      <c r="A114" s="283" t="s">
        <v>1617</v>
      </c>
      <c r="B114" s="283"/>
      <c r="C114" s="283"/>
      <c r="D114" s="2">
        <v>600</v>
      </c>
      <c r="E114" s="2"/>
      <c r="F114" s="41"/>
      <c r="G114" s="41"/>
      <c r="H114" s="41"/>
      <c r="I114" s="41"/>
      <c r="J114" s="41"/>
      <c r="II114" s="41"/>
    </row>
    <row r="115" spans="1:243" x14ac:dyDescent="0.2">
      <c r="A115" s="283" t="s">
        <v>1618</v>
      </c>
      <c r="B115" s="283"/>
      <c r="C115" s="283"/>
      <c r="D115" s="2">
        <v>700</v>
      </c>
      <c r="E115" s="2"/>
      <c r="F115" s="41"/>
      <c r="G115" s="41"/>
      <c r="H115" s="41"/>
      <c r="I115" s="41"/>
      <c r="J115" s="41"/>
      <c r="II115" s="41"/>
    </row>
    <row r="116" spans="1:243" ht="15" x14ac:dyDescent="0.35">
      <c r="A116" s="283" t="s">
        <v>1124</v>
      </c>
      <c r="B116" s="283"/>
      <c r="C116" s="283"/>
      <c r="D116" s="10">
        <v>200</v>
      </c>
      <c r="E116" s="2"/>
      <c r="F116" s="41"/>
      <c r="G116" s="41"/>
      <c r="H116" s="41"/>
      <c r="I116" s="41"/>
      <c r="J116" s="41"/>
      <c r="II116" s="41"/>
    </row>
    <row r="117" spans="1:243" x14ac:dyDescent="0.2">
      <c r="A117" s="283" t="s">
        <v>1067</v>
      </c>
      <c r="B117" s="283"/>
      <c r="C117" s="283"/>
      <c r="D117" s="2">
        <f>SUM(D113:D116)</f>
        <v>2000</v>
      </c>
      <c r="E117" s="2"/>
      <c r="F117" s="41"/>
      <c r="G117" s="41"/>
      <c r="H117" s="41"/>
      <c r="I117" s="41"/>
      <c r="J117" s="41"/>
      <c r="II117" s="41"/>
    </row>
    <row r="118" spans="1:243" x14ac:dyDescent="0.2">
      <c r="A118" s="283"/>
      <c r="B118" s="283"/>
      <c r="C118" s="283"/>
      <c r="D118" s="2"/>
      <c r="E118" s="2"/>
      <c r="F118" s="41"/>
      <c r="G118" s="41"/>
      <c r="H118" s="41"/>
      <c r="I118" s="41"/>
      <c r="J118" s="41"/>
      <c r="II118" s="41"/>
    </row>
    <row r="119" spans="1:243" ht="13.5" x14ac:dyDescent="0.25">
      <c r="A119" s="286" t="s">
        <v>15</v>
      </c>
      <c r="B119" s="283"/>
      <c r="C119" s="283"/>
      <c r="D119" s="33"/>
      <c r="E119" s="2">
        <v>1007</v>
      </c>
      <c r="F119" s="41">
        <v>750</v>
      </c>
      <c r="G119" s="41">
        <v>1000</v>
      </c>
      <c r="H119" s="41">
        <v>1000</v>
      </c>
      <c r="I119" s="41">
        <v>1000</v>
      </c>
      <c r="J119" s="41">
        <v>1000</v>
      </c>
      <c r="II119" s="41"/>
    </row>
    <row r="120" spans="1:243" x14ac:dyDescent="0.2">
      <c r="A120" s="283" t="s">
        <v>16</v>
      </c>
      <c r="B120" s="283"/>
      <c r="C120" s="283"/>
      <c r="D120" s="2">
        <v>500</v>
      </c>
      <c r="E120" s="2"/>
      <c r="F120" s="41"/>
      <c r="G120" s="41"/>
      <c r="H120" s="41"/>
      <c r="I120" s="41"/>
      <c r="J120" s="41"/>
      <c r="II120" s="41"/>
    </row>
    <row r="121" spans="1:243" ht="15" x14ac:dyDescent="0.35">
      <c r="A121" s="283" t="s">
        <v>658</v>
      </c>
      <c r="B121" s="283"/>
      <c r="C121" s="283"/>
      <c r="D121" s="10">
        <v>500</v>
      </c>
      <c r="E121" s="2"/>
      <c r="F121" s="41"/>
      <c r="G121" s="41"/>
      <c r="H121" s="41"/>
      <c r="I121" s="41"/>
      <c r="J121" s="41"/>
      <c r="II121" s="41"/>
    </row>
    <row r="122" spans="1:243" x14ac:dyDescent="0.2">
      <c r="A122" s="283" t="s">
        <v>1067</v>
      </c>
      <c r="B122" s="283"/>
      <c r="C122" s="283"/>
      <c r="D122" s="2">
        <f>SUM(D120:D121)</f>
        <v>1000</v>
      </c>
      <c r="E122" s="2"/>
      <c r="F122" s="41"/>
      <c r="G122" s="41"/>
      <c r="H122" s="41"/>
      <c r="I122" s="41"/>
      <c r="J122" s="41"/>
      <c r="II122" s="41"/>
    </row>
    <row r="123" spans="1:243" x14ac:dyDescent="0.2">
      <c r="A123" s="283"/>
      <c r="B123" s="283"/>
      <c r="C123" s="283"/>
      <c r="D123" s="2"/>
      <c r="E123" s="2"/>
      <c r="F123" s="41"/>
      <c r="G123" s="41"/>
      <c r="H123" s="41"/>
      <c r="I123" s="41"/>
      <c r="J123" s="41"/>
      <c r="II123" s="41"/>
    </row>
    <row r="124" spans="1:243" ht="13.5" x14ac:dyDescent="0.25">
      <c r="A124" s="286" t="s">
        <v>1153</v>
      </c>
      <c r="B124" s="283"/>
      <c r="C124" s="283"/>
      <c r="D124" s="2"/>
      <c r="E124" s="7">
        <v>337</v>
      </c>
      <c r="F124" s="41">
        <v>500</v>
      </c>
      <c r="G124" s="41">
        <v>500</v>
      </c>
      <c r="H124" s="41">
        <v>500</v>
      </c>
      <c r="I124" s="41">
        <v>500</v>
      </c>
      <c r="J124" s="41">
        <v>500</v>
      </c>
      <c r="II124" s="41"/>
    </row>
    <row r="125" spans="1:243" x14ac:dyDescent="0.2">
      <c r="A125" s="283" t="s">
        <v>1694</v>
      </c>
      <c r="B125" s="283"/>
      <c r="C125" s="283"/>
      <c r="D125" s="7">
        <v>500</v>
      </c>
      <c r="E125" s="2"/>
      <c r="F125" s="41"/>
      <c r="G125" s="41"/>
      <c r="H125" s="41"/>
      <c r="I125" s="41"/>
      <c r="J125" s="41"/>
      <c r="II125" s="41"/>
    </row>
    <row r="126" spans="1:243" x14ac:dyDescent="0.2">
      <c r="A126" s="283"/>
      <c r="B126" s="283"/>
      <c r="C126" s="283"/>
      <c r="D126" s="283"/>
      <c r="E126" s="2"/>
      <c r="F126" s="41"/>
      <c r="G126" s="41"/>
      <c r="H126" s="41"/>
      <c r="I126" s="41"/>
      <c r="J126" s="41"/>
      <c r="II126" s="41"/>
    </row>
    <row r="127" spans="1:243" ht="13.5" x14ac:dyDescent="0.25">
      <c r="A127" s="286" t="s">
        <v>561</v>
      </c>
      <c r="B127" s="283"/>
      <c r="C127" s="283"/>
      <c r="D127" s="33"/>
      <c r="E127" s="2">
        <v>1148</v>
      </c>
      <c r="F127" s="41">
        <v>5168</v>
      </c>
      <c r="G127" s="41">
        <v>5168</v>
      </c>
      <c r="H127" s="41">
        <v>5168</v>
      </c>
      <c r="I127" s="41">
        <v>5168</v>
      </c>
      <c r="J127" s="41">
        <v>5168</v>
      </c>
      <c r="II127" s="41"/>
    </row>
    <row r="128" spans="1:243" x14ac:dyDescent="0.2">
      <c r="A128" s="283" t="s">
        <v>562</v>
      </c>
      <c r="B128" s="283"/>
      <c r="C128" s="283"/>
      <c r="D128" s="283"/>
      <c r="E128" s="2"/>
      <c r="F128" s="41"/>
      <c r="G128" s="41"/>
      <c r="H128" s="41"/>
      <c r="I128" s="41"/>
      <c r="J128" s="41"/>
      <c r="II128" s="41"/>
    </row>
    <row r="129" spans="1:243" x14ac:dyDescent="0.2">
      <c r="A129" s="283" t="s">
        <v>1619</v>
      </c>
      <c r="B129" s="283"/>
      <c r="C129" s="283"/>
      <c r="D129" s="2">
        <v>850</v>
      </c>
      <c r="E129" s="2"/>
      <c r="F129" s="2"/>
      <c r="I129" s="2"/>
      <c r="J129" s="2"/>
      <c r="II129" s="2"/>
    </row>
    <row r="130" spans="1:243" x14ac:dyDescent="0.2">
      <c r="A130" s="283" t="s">
        <v>1620</v>
      </c>
      <c r="B130" s="283"/>
      <c r="C130" s="283"/>
      <c r="D130" s="2">
        <v>1050</v>
      </c>
      <c r="E130" s="2"/>
      <c r="F130" s="2"/>
      <c r="I130" s="2"/>
      <c r="J130" s="2"/>
      <c r="II130" s="2"/>
    </row>
    <row r="131" spans="1:243" x14ac:dyDescent="0.2">
      <c r="A131" s="283" t="s">
        <v>32</v>
      </c>
      <c r="B131" s="283"/>
      <c r="C131" s="283"/>
      <c r="D131" s="2">
        <v>250</v>
      </c>
      <c r="E131" s="2"/>
      <c r="F131" s="2"/>
      <c r="I131" s="2"/>
      <c r="J131" s="2"/>
      <c r="II131" s="2"/>
    </row>
    <row r="132" spans="1:243" x14ac:dyDescent="0.2">
      <c r="A132" s="283" t="s">
        <v>464</v>
      </c>
      <c r="B132" s="283"/>
      <c r="C132" s="283"/>
      <c r="D132" s="2">
        <v>200</v>
      </c>
      <c r="E132" s="2"/>
      <c r="F132" s="41"/>
      <c r="G132" s="41"/>
      <c r="H132" s="41"/>
      <c r="I132" s="41"/>
      <c r="J132" s="41"/>
      <c r="II132" s="41"/>
    </row>
    <row r="133" spans="1:243" x14ac:dyDescent="0.2">
      <c r="A133" s="283" t="s">
        <v>1356</v>
      </c>
      <c r="B133" s="283"/>
      <c r="C133" s="283"/>
      <c r="D133" s="2">
        <v>400</v>
      </c>
      <c r="E133" s="2"/>
      <c r="F133" s="41"/>
      <c r="G133" s="41"/>
      <c r="H133" s="41"/>
      <c r="I133" s="41"/>
      <c r="J133" s="41"/>
      <c r="II133" s="41"/>
    </row>
    <row r="134" spans="1:243" x14ac:dyDescent="0.2">
      <c r="A134" s="283" t="s">
        <v>951</v>
      </c>
      <c r="B134" s="283"/>
      <c r="C134" s="283"/>
      <c r="D134" s="2">
        <v>380</v>
      </c>
      <c r="E134" s="2"/>
      <c r="F134" s="41"/>
      <c r="G134" s="41"/>
      <c r="H134" s="41"/>
      <c r="I134" s="41"/>
      <c r="J134" s="41"/>
      <c r="II134" s="41"/>
    </row>
    <row r="135" spans="1:243" x14ac:dyDescent="0.2">
      <c r="A135" s="283" t="s">
        <v>2049</v>
      </c>
      <c r="B135" s="283"/>
      <c r="C135" s="283"/>
      <c r="D135" s="2">
        <v>150</v>
      </c>
      <c r="E135" s="2"/>
      <c r="F135" s="41"/>
      <c r="G135" s="41"/>
      <c r="H135" s="41"/>
      <c r="I135" s="41"/>
      <c r="J135" s="41"/>
      <c r="II135" s="41"/>
    </row>
    <row r="136" spans="1:243" x14ac:dyDescent="0.2">
      <c r="A136" s="283" t="s">
        <v>342</v>
      </c>
      <c r="B136" s="283"/>
      <c r="C136" s="283"/>
      <c r="D136" s="2">
        <v>200</v>
      </c>
      <c r="E136" s="2"/>
      <c r="F136" s="41"/>
      <c r="G136" s="41"/>
      <c r="H136" s="41"/>
      <c r="I136" s="41"/>
      <c r="J136" s="41"/>
      <c r="II136" s="41"/>
    </row>
    <row r="137" spans="1:243" ht="15" x14ac:dyDescent="0.35">
      <c r="A137" s="283" t="s">
        <v>343</v>
      </c>
      <c r="B137" s="283"/>
      <c r="C137" s="283"/>
      <c r="D137" s="10">
        <v>1688</v>
      </c>
      <c r="E137" s="2"/>
      <c r="F137" s="41"/>
      <c r="G137" s="41"/>
      <c r="H137" s="41"/>
      <c r="I137" s="41"/>
      <c r="J137" s="41"/>
      <c r="II137" s="41"/>
    </row>
    <row r="138" spans="1:243" x14ac:dyDescent="0.2">
      <c r="A138" s="283" t="s">
        <v>344</v>
      </c>
      <c r="B138" s="283"/>
      <c r="C138" s="283"/>
      <c r="D138" s="2">
        <f>SUM(D129:D137)</f>
        <v>5168</v>
      </c>
      <c r="E138" s="2"/>
      <c r="F138" s="41"/>
      <c r="G138" s="41"/>
      <c r="H138" s="41"/>
      <c r="I138" s="41"/>
      <c r="J138" s="41"/>
      <c r="II138" s="41"/>
    </row>
    <row r="139" spans="1:243" x14ac:dyDescent="0.2">
      <c r="A139" s="283"/>
      <c r="B139" s="283"/>
      <c r="C139" s="283"/>
      <c r="D139" s="2"/>
      <c r="E139" s="2"/>
      <c r="F139" s="41"/>
      <c r="G139" s="41"/>
      <c r="H139" s="41"/>
      <c r="I139" s="41"/>
      <c r="J139" s="41"/>
      <c r="II139" s="41"/>
    </row>
    <row r="140" spans="1:243" ht="13.5" x14ac:dyDescent="0.25">
      <c r="A140" s="286" t="s">
        <v>419</v>
      </c>
      <c r="B140" s="283"/>
      <c r="C140" s="283"/>
      <c r="D140" s="283"/>
      <c r="E140" s="2">
        <v>4540</v>
      </c>
      <c r="F140" s="41">
        <v>3000</v>
      </c>
      <c r="G140" s="41">
        <v>3000</v>
      </c>
      <c r="H140" s="41">
        <v>3000</v>
      </c>
      <c r="I140" s="41">
        <v>3000</v>
      </c>
      <c r="J140" s="41">
        <v>3000</v>
      </c>
      <c r="II140" s="41"/>
    </row>
    <row r="141" spans="1:243" x14ac:dyDescent="0.2">
      <c r="A141" s="283" t="s">
        <v>184</v>
      </c>
      <c r="B141" s="283"/>
      <c r="C141" s="283"/>
      <c r="D141" s="2">
        <v>3000</v>
      </c>
      <c r="E141" s="2"/>
      <c r="F141" s="2"/>
      <c r="I141" s="2"/>
      <c r="J141" s="2"/>
      <c r="II141" s="41"/>
    </row>
    <row r="142" spans="1:243" x14ac:dyDescent="0.2">
      <c r="A142" s="283"/>
      <c r="B142" s="283"/>
      <c r="C142" s="283"/>
      <c r="D142" s="2"/>
      <c r="E142" s="2"/>
      <c r="F142" s="2"/>
      <c r="I142" s="2"/>
      <c r="J142" s="2"/>
      <c r="II142" s="41"/>
    </row>
    <row r="143" spans="1:243" ht="13.5" x14ac:dyDescent="0.25">
      <c r="A143" s="286" t="s">
        <v>103</v>
      </c>
      <c r="B143" s="283"/>
      <c r="C143" s="283"/>
      <c r="D143" s="2"/>
      <c r="E143" s="2"/>
      <c r="F143" s="2"/>
      <c r="I143" s="2"/>
      <c r="J143" s="2"/>
      <c r="II143" s="41"/>
    </row>
    <row r="144" spans="1:243" ht="15" x14ac:dyDescent="0.35">
      <c r="A144" s="283"/>
      <c r="B144" s="283"/>
      <c r="C144" s="283"/>
      <c r="D144" s="283"/>
      <c r="E144" s="2"/>
      <c r="F144" s="10"/>
      <c r="G144" s="10"/>
      <c r="H144" s="10"/>
      <c r="I144" s="10"/>
      <c r="J144" s="10"/>
      <c r="II144" s="10"/>
    </row>
    <row r="145" spans="1:243" ht="15" x14ac:dyDescent="0.35">
      <c r="A145" s="286" t="s">
        <v>348</v>
      </c>
      <c r="B145" s="283"/>
      <c r="C145" s="283"/>
      <c r="D145" s="283"/>
      <c r="E145" s="2">
        <v>0</v>
      </c>
      <c r="F145" s="10"/>
      <c r="G145" s="10"/>
      <c r="H145" s="10"/>
      <c r="I145" s="10"/>
      <c r="J145" s="10"/>
      <c r="II145" s="10"/>
    </row>
    <row r="146" spans="1:243" x14ac:dyDescent="0.2">
      <c r="A146" s="283"/>
      <c r="B146" s="283"/>
      <c r="C146" s="283"/>
      <c r="D146" s="283"/>
      <c r="E146" s="2"/>
      <c r="F146" s="2"/>
      <c r="I146" s="2"/>
      <c r="J146" s="2"/>
      <c r="II146" s="2"/>
    </row>
    <row r="147" spans="1:243" ht="13.5" x14ac:dyDescent="0.25">
      <c r="A147" s="286" t="s">
        <v>1649</v>
      </c>
      <c r="B147" s="283"/>
      <c r="C147" s="283"/>
      <c r="D147" s="283"/>
      <c r="E147" s="2">
        <v>0</v>
      </c>
      <c r="F147" s="2"/>
      <c r="I147" s="2"/>
      <c r="J147" s="2"/>
      <c r="II147" s="2"/>
    </row>
    <row r="148" spans="1:243" x14ac:dyDescent="0.2">
      <c r="A148" s="22" t="s">
        <v>1650</v>
      </c>
      <c r="B148" s="283"/>
      <c r="C148" s="283"/>
      <c r="D148" s="283">
        <v>0</v>
      </c>
      <c r="E148" s="2"/>
      <c r="F148" s="2"/>
      <c r="I148" s="2"/>
      <c r="J148" s="2"/>
      <c r="II148" s="2"/>
    </row>
    <row r="149" spans="1:243" x14ac:dyDescent="0.2">
      <c r="A149" s="283"/>
      <c r="B149" s="283"/>
      <c r="C149" s="283"/>
      <c r="D149" s="283"/>
      <c r="E149" s="2"/>
      <c r="F149" s="2"/>
      <c r="I149" s="2"/>
      <c r="J149" s="2"/>
      <c r="II149" s="2"/>
    </row>
    <row r="150" spans="1:243" ht="13.5" x14ac:dyDescent="0.25">
      <c r="A150" s="286" t="s">
        <v>228</v>
      </c>
      <c r="B150" s="283"/>
      <c r="C150" s="283"/>
      <c r="D150" s="33"/>
      <c r="E150" s="2">
        <v>963</v>
      </c>
      <c r="F150" s="2">
        <v>7500</v>
      </c>
      <c r="G150" s="2">
        <v>1000</v>
      </c>
      <c r="H150" s="2">
        <v>1000</v>
      </c>
      <c r="I150" s="2">
        <v>1000</v>
      </c>
      <c r="J150" s="2">
        <v>1000</v>
      </c>
      <c r="II150" s="2"/>
    </row>
    <row r="151" spans="1:243" ht="15" x14ac:dyDescent="0.35">
      <c r="A151" s="283"/>
      <c r="B151" s="283"/>
      <c r="C151" s="283"/>
      <c r="D151" s="2">
        <v>0</v>
      </c>
      <c r="E151" s="10"/>
      <c r="F151" s="2"/>
      <c r="I151" s="2"/>
      <c r="J151" s="2"/>
      <c r="II151" s="2"/>
    </row>
    <row r="152" spans="1:243" ht="15" x14ac:dyDescent="0.35">
      <c r="A152" s="283"/>
      <c r="B152" s="283"/>
      <c r="C152" s="283"/>
      <c r="D152" s="2"/>
      <c r="E152" s="10"/>
      <c r="F152" s="2"/>
      <c r="I152" s="2"/>
      <c r="J152" s="2"/>
      <c r="II152" s="2"/>
    </row>
    <row r="153" spans="1:243" ht="15" x14ac:dyDescent="0.35">
      <c r="A153" s="286" t="s">
        <v>1736</v>
      </c>
      <c r="B153" s="283"/>
      <c r="C153" s="17"/>
      <c r="D153" s="283"/>
      <c r="E153" s="264">
        <v>5000</v>
      </c>
      <c r="F153" s="264">
        <v>5000</v>
      </c>
      <c r="G153" s="264">
        <v>5000</v>
      </c>
      <c r="H153" s="264">
        <v>5000</v>
      </c>
      <c r="I153" s="264">
        <v>5000</v>
      </c>
      <c r="J153" s="264">
        <v>5000</v>
      </c>
      <c r="II153" s="2"/>
    </row>
    <row r="154" spans="1:243" x14ac:dyDescent="0.2">
      <c r="A154" s="283"/>
      <c r="B154" s="283"/>
      <c r="C154" s="283"/>
      <c r="D154" s="283"/>
      <c r="E154" s="283"/>
      <c r="F154" s="258"/>
      <c r="I154" s="2"/>
      <c r="J154" s="229"/>
      <c r="II154" s="2"/>
    </row>
    <row r="155" spans="1:243" ht="13.5" x14ac:dyDescent="0.25">
      <c r="A155" s="47" t="s">
        <v>338</v>
      </c>
      <c r="B155" s="283"/>
      <c r="C155" s="283"/>
      <c r="D155" s="2"/>
      <c r="E155" s="2"/>
      <c r="F155" s="2"/>
      <c r="I155" s="2"/>
      <c r="J155" s="2"/>
      <c r="II155" s="2"/>
    </row>
    <row r="156" spans="1:243" x14ac:dyDescent="0.2">
      <c r="A156" s="19" t="s">
        <v>1144</v>
      </c>
      <c r="B156" s="283"/>
      <c r="C156" s="283"/>
      <c r="D156" s="2"/>
      <c r="E156" s="2">
        <f>SUM(E6:E153)</f>
        <v>517416</v>
      </c>
      <c r="F156" s="2">
        <f>SUM(F6:F153)</f>
        <v>536593</v>
      </c>
      <c r="G156" s="2">
        <f>SUM(G6:G153)</f>
        <v>532863</v>
      </c>
      <c r="H156" s="2">
        <f>SUM(H6:H153)</f>
        <v>532863</v>
      </c>
      <c r="I156" s="2">
        <f>SUM(I6:I154)</f>
        <v>546053</v>
      </c>
      <c r="J156" s="2">
        <f>SUM(J6:J154)</f>
        <v>546053</v>
      </c>
      <c r="II156" s="2"/>
    </row>
    <row r="157" spans="1:243" x14ac:dyDescent="0.2">
      <c r="A157" s="19"/>
      <c r="B157" s="283"/>
      <c r="C157" s="283"/>
      <c r="D157" s="2"/>
      <c r="E157" s="2"/>
      <c r="F157" s="2"/>
      <c r="I157" s="2"/>
      <c r="J157" s="2"/>
      <c r="II157" s="2"/>
    </row>
    <row r="158" spans="1:243" x14ac:dyDescent="0.2">
      <c r="A158" s="19"/>
      <c r="B158" s="283"/>
      <c r="C158" s="283"/>
      <c r="D158" s="2"/>
      <c r="E158" s="2"/>
      <c r="F158" s="2"/>
      <c r="I158" s="2"/>
      <c r="J158" s="2"/>
      <c r="II158" s="2"/>
    </row>
    <row r="159" spans="1:243" x14ac:dyDescent="0.2">
      <c r="A159" s="283" t="s">
        <v>511</v>
      </c>
      <c r="B159" s="283"/>
      <c r="C159" s="283"/>
      <c r="D159" s="283"/>
      <c r="E159" s="2">
        <f t="shared" ref="E159:J159" si="0">SUM(E6:E67)</f>
        <v>459632</v>
      </c>
      <c r="F159" s="2">
        <f t="shared" si="0"/>
        <v>467937</v>
      </c>
      <c r="G159" s="2">
        <f t="shared" si="0"/>
        <v>468600</v>
      </c>
      <c r="H159" s="2">
        <f t="shared" ref="H159" si="1">SUM(H6:H67)</f>
        <v>468600</v>
      </c>
      <c r="I159" s="2">
        <f t="shared" si="0"/>
        <v>481790</v>
      </c>
      <c r="J159" s="2">
        <f t="shared" si="0"/>
        <v>481790</v>
      </c>
      <c r="II159" s="2"/>
    </row>
    <row r="160" spans="1:243" x14ac:dyDescent="0.2">
      <c r="A160" s="283" t="s">
        <v>803</v>
      </c>
      <c r="B160" s="283"/>
      <c r="C160" s="283"/>
      <c r="D160" s="283"/>
      <c r="E160" s="2">
        <f t="shared" ref="E160:J160" si="2">SUM(E69:E144)</f>
        <v>51821</v>
      </c>
      <c r="F160" s="2">
        <f t="shared" si="2"/>
        <v>56156</v>
      </c>
      <c r="G160" s="2">
        <f t="shared" si="2"/>
        <v>58263</v>
      </c>
      <c r="H160" s="2">
        <f t="shared" ref="H160" si="3">SUM(H69:H144)</f>
        <v>58263</v>
      </c>
      <c r="I160" s="2">
        <f t="shared" si="2"/>
        <v>58263</v>
      </c>
      <c r="J160" s="2">
        <f t="shared" si="2"/>
        <v>58263</v>
      </c>
      <c r="II160" s="2"/>
    </row>
    <row r="161" spans="1:243" ht="15" x14ac:dyDescent="0.35">
      <c r="A161" s="283" t="s">
        <v>804</v>
      </c>
      <c r="B161" s="283"/>
      <c r="C161" s="283"/>
      <c r="D161" s="283"/>
      <c r="E161" s="10">
        <f t="shared" ref="E161:J161" si="4">SUM(E147:E154)</f>
        <v>5963</v>
      </c>
      <c r="F161" s="10">
        <f t="shared" si="4"/>
        <v>12500</v>
      </c>
      <c r="G161" s="10">
        <f t="shared" si="4"/>
        <v>6000</v>
      </c>
      <c r="H161" s="10">
        <f t="shared" si="4"/>
        <v>6000</v>
      </c>
      <c r="I161" s="10">
        <f t="shared" si="4"/>
        <v>6000</v>
      </c>
      <c r="J161" s="10">
        <f t="shared" si="4"/>
        <v>6000</v>
      </c>
      <c r="K161" s="244"/>
      <c r="II161" s="10"/>
    </row>
    <row r="162" spans="1:243" x14ac:dyDescent="0.2">
      <c r="E162" s="2">
        <f>SUM(E159:E161)</f>
        <v>517416</v>
      </c>
      <c r="F162" s="2">
        <f t="shared" ref="F162:J162" si="5">SUM(F159:F161)</f>
        <v>536593</v>
      </c>
      <c r="G162" s="2">
        <f t="shared" si="5"/>
        <v>532863</v>
      </c>
      <c r="H162" s="2">
        <f t="shared" ref="H162" si="6">SUM(H159:H161)</f>
        <v>532863</v>
      </c>
      <c r="I162" s="2">
        <f t="shared" si="5"/>
        <v>546053</v>
      </c>
      <c r="J162" s="2">
        <f t="shared" si="5"/>
        <v>546053</v>
      </c>
      <c r="II162" s="2"/>
    </row>
    <row r="163" spans="1:243" x14ac:dyDescent="0.2">
      <c r="E163" s="2"/>
      <c r="F163" s="2"/>
      <c r="I163" s="2"/>
      <c r="J163" s="2"/>
      <c r="II163" s="2"/>
    </row>
    <row r="164" spans="1:243" x14ac:dyDescent="0.2">
      <c r="E164" s="2"/>
      <c r="F164" s="2"/>
      <c r="I164" s="2"/>
      <c r="J164" s="2">
        <v>13190</v>
      </c>
      <c r="II164" s="2"/>
    </row>
    <row r="165" spans="1:243" x14ac:dyDescent="0.2">
      <c r="E165" s="2"/>
      <c r="F165" s="2"/>
      <c r="I165" s="2">
        <f>I162-H162</f>
        <v>13190</v>
      </c>
      <c r="J165" s="2">
        <f>J162-H162</f>
        <v>13190</v>
      </c>
      <c r="II165" s="2"/>
    </row>
    <row r="166" spans="1:243" x14ac:dyDescent="0.2">
      <c r="E166" s="2"/>
      <c r="F166" s="2"/>
      <c r="I166" s="2"/>
      <c r="J166" s="2">
        <f>J164-J165</f>
        <v>0</v>
      </c>
      <c r="II166" s="2"/>
    </row>
    <row r="167" spans="1:243" x14ac:dyDescent="0.2">
      <c r="E167" s="2"/>
      <c r="F167" s="2"/>
      <c r="I167" s="2"/>
      <c r="J167" s="2"/>
      <c r="II167" s="2"/>
    </row>
    <row r="168" spans="1:243" x14ac:dyDescent="0.2">
      <c r="E168" s="2"/>
      <c r="F168" s="2"/>
      <c r="I168" s="2"/>
      <c r="J168" s="2"/>
      <c r="II168" s="2"/>
    </row>
    <row r="169" spans="1:243" x14ac:dyDescent="0.2">
      <c r="E169" s="2"/>
      <c r="F169" s="2"/>
      <c r="I169" s="2"/>
      <c r="J169" s="2"/>
      <c r="II169" s="2"/>
    </row>
    <row r="170" spans="1:243" x14ac:dyDescent="0.2">
      <c r="G170" s="183"/>
      <c r="H170" s="267"/>
      <c r="I170" s="227"/>
      <c r="II170" s="2"/>
    </row>
    <row r="171" spans="1:243" x14ac:dyDescent="0.2">
      <c r="G171" s="183"/>
      <c r="H171" s="267"/>
      <c r="I171" s="227"/>
      <c r="II171" s="2"/>
    </row>
    <row r="172" spans="1:243" x14ac:dyDescent="0.2">
      <c r="G172" s="183"/>
      <c r="H172" s="267"/>
      <c r="I172" s="227"/>
      <c r="II172" s="2"/>
    </row>
    <row r="173" spans="1:243" x14ac:dyDescent="0.2">
      <c r="G173" s="183"/>
      <c r="H173" s="267"/>
      <c r="I173" s="227"/>
      <c r="II173" s="2"/>
    </row>
    <row r="174" spans="1:243" x14ac:dyDescent="0.2">
      <c r="G174" s="183"/>
      <c r="H174" s="267"/>
      <c r="I174" s="227"/>
      <c r="II174" s="2"/>
    </row>
    <row r="175" spans="1:243" x14ac:dyDescent="0.2">
      <c r="G175" s="183"/>
      <c r="H175" s="183"/>
      <c r="I175" s="227"/>
      <c r="II175" s="2"/>
    </row>
    <row r="176" spans="1:243" x14ac:dyDescent="0.2">
      <c r="G176" s="183"/>
      <c r="H176" s="183"/>
      <c r="I176" s="227"/>
      <c r="II176" s="2"/>
    </row>
    <row r="177" spans="7:243" x14ac:dyDescent="0.2">
      <c r="G177" s="183"/>
      <c r="H177" s="183"/>
      <c r="I177" s="227"/>
      <c r="II177" s="2"/>
    </row>
    <row r="178" spans="7:243" x14ac:dyDescent="0.2">
      <c r="G178" s="183"/>
      <c r="H178" s="183"/>
      <c r="I178" s="227"/>
      <c r="II178" s="2"/>
    </row>
    <row r="179" spans="7:243" x14ac:dyDescent="0.2">
      <c r="G179" s="183"/>
      <c r="H179" s="183"/>
      <c r="I179" s="227"/>
      <c r="II179" s="2"/>
    </row>
    <row r="180" spans="7:243" x14ac:dyDescent="0.2">
      <c r="G180" s="183"/>
      <c r="H180" s="183"/>
      <c r="I180" s="227"/>
    </row>
    <row r="181" spans="7:243" x14ac:dyDescent="0.2">
      <c r="G181" s="183"/>
      <c r="H181" s="183"/>
      <c r="I181" s="227"/>
    </row>
    <row r="182" spans="7:243" x14ac:dyDescent="0.2">
      <c r="G182" s="183"/>
      <c r="H182" s="183"/>
      <c r="I182" s="227"/>
    </row>
    <row r="183" spans="7:243" x14ac:dyDescent="0.2">
      <c r="G183" s="183"/>
      <c r="H183" s="183"/>
      <c r="I183" s="227"/>
    </row>
    <row r="184" spans="7:243" x14ac:dyDescent="0.2">
      <c r="G184" s="183"/>
      <c r="I184" s="2"/>
    </row>
    <row r="185" spans="7:243" x14ac:dyDescent="0.2">
      <c r="G185" s="183"/>
      <c r="I185" s="2"/>
    </row>
    <row r="186" spans="7:243" x14ac:dyDescent="0.2">
      <c r="G186" s="183"/>
      <c r="I186" s="2"/>
    </row>
    <row r="187" spans="7:243" x14ac:dyDescent="0.2">
      <c r="G187" s="183"/>
      <c r="I187" s="2"/>
    </row>
    <row r="188" spans="7:243" x14ac:dyDescent="0.2">
      <c r="G188" s="183"/>
      <c r="I188" s="2"/>
    </row>
    <row r="189" spans="7:243" x14ac:dyDescent="0.2">
      <c r="G189" s="183"/>
      <c r="I189" s="2"/>
    </row>
    <row r="190" spans="7:243" x14ac:dyDescent="0.2">
      <c r="G190" s="183"/>
      <c r="I190" s="2"/>
    </row>
    <row r="191" spans="7:243" x14ac:dyDescent="0.2">
      <c r="G191" s="183"/>
      <c r="I191" s="2"/>
    </row>
    <row r="192" spans="7:243" x14ac:dyDescent="0.2">
      <c r="G192" s="183"/>
      <c r="I192" s="2"/>
    </row>
    <row r="193" spans="7:9" x14ac:dyDescent="0.2">
      <c r="G193" s="183"/>
      <c r="I193" s="2"/>
    </row>
    <row r="194" spans="7:9" x14ac:dyDescent="0.2">
      <c r="G194" s="183"/>
      <c r="I194" s="2"/>
    </row>
    <row r="195" spans="7:9" x14ac:dyDescent="0.2">
      <c r="G195" s="183"/>
      <c r="I195" s="2"/>
    </row>
    <row r="196" spans="7:9" x14ac:dyDescent="0.2">
      <c r="G196" s="183"/>
      <c r="I196" s="2"/>
    </row>
    <row r="197" spans="7:9" x14ac:dyDescent="0.2">
      <c r="G197" s="183"/>
      <c r="I197" s="2"/>
    </row>
    <row r="198" spans="7:9" x14ac:dyDescent="0.2">
      <c r="G198" s="183"/>
      <c r="I198" s="2"/>
    </row>
    <row r="199" spans="7:9" x14ac:dyDescent="0.2">
      <c r="G199" s="183"/>
      <c r="I199" s="2"/>
    </row>
    <row r="200" spans="7:9" x14ac:dyDescent="0.2">
      <c r="I200" s="2"/>
    </row>
    <row r="201" spans="7:9" x14ac:dyDescent="0.2">
      <c r="I201" s="2"/>
    </row>
    <row r="202" spans="7:9" x14ac:dyDescent="0.2">
      <c r="I202" s="2"/>
    </row>
    <row r="203" spans="7:9" x14ac:dyDescent="0.2">
      <c r="I203" s="2"/>
    </row>
    <row r="204" spans="7:9" x14ac:dyDescent="0.2">
      <c r="I204" s="2"/>
    </row>
  </sheetData>
  <mergeCells count="1">
    <mergeCell ref="A1:J1"/>
  </mergeCells>
  <phoneticPr fontId="0" type="noConversion"/>
  <printOptions gridLines="1"/>
  <pageMargins left="0.75" right="0.16" top="0.51" bottom="0.22" header="0.5" footer="0"/>
  <pageSetup scale="85" fitToHeight="4" orientation="landscape" r:id="rId1"/>
  <headerFooter alignWithMargins="0"/>
  <rowBreaks count="1" manualBreakCount="1">
    <brk id="118"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M250"/>
  <sheetViews>
    <sheetView view="pageBreakPreview" zoomScaleNormal="100" zoomScaleSheetLayoutView="100" workbookViewId="0">
      <pane ySplit="5" topLeftCell="A133" activePane="bottomLeft" state="frozen"/>
      <selection activeCell="D43" sqref="D43"/>
      <selection pane="bottomLeft" sqref="A1:J1"/>
    </sheetView>
  </sheetViews>
  <sheetFormatPr defaultColWidth="8.85546875" defaultRowHeight="12.75" x14ac:dyDescent="0.2"/>
  <cols>
    <col min="1" max="1" width="56.5703125" style="183" bestFit="1" customWidth="1"/>
    <col min="2" max="2" width="8.7109375" style="183" bestFit="1" customWidth="1"/>
    <col min="3" max="3" width="7.7109375" style="183" bestFit="1" customWidth="1"/>
    <col min="4" max="4" width="8.7109375" style="183" bestFit="1" customWidth="1"/>
    <col min="5" max="6" width="9" style="183" bestFit="1" customWidth="1"/>
    <col min="7" max="7" width="11.7109375" style="183" bestFit="1" customWidth="1"/>
    <col min="8" max="8" width="13.5703125" style="183" bestFit="1" customWidth="1"/>
    <col min="9" max="9" width="9.42578125" style="183" bestFit="1" customWidth="1"/>
    <col min="10" max="10" width="10.85546875" style="183" customWidth="1"/>
    <col min="11" max="16384" width="8.85546875" style="183"/>
  </cols>
  <sheetData>
    <row r="1" spans="1:13" x14ac:dyDescent="0.2">
      <c r="A1" s="319" t="s">
        <v>2038</v>
      </c>
      <c r="B1" s="320"/>
      <c r="C1" s="320"/>
      <c r="D1" s="320"/>
      <c r="E1" s="320"/>
      <c r="F1" s="320"/>
      <c r="G1" s="320"/>
      <c r="H1" s="320"/>
      <c r="I1" s="320"/>
      <c r="J1" s="320"/>
    </row>
    <row r="2" spans="1:13" ht="18.75" x14ac:dyDescent="0.3">
      <c r="A2" s="95" t="s">
        <v>1573</v>
      </c>
      <c r="B2" s="95"/>
      <c r="C2" s="95"/>
      <c r="D2" s="95"/>
      <c r="E2" s="95"/>
      <c r="F2" s="95"/>
    </row>
    <row r="3" spans="1:13" x14ac:dyDescent="0.2">
      <c r="B3" s="2"/>
      <c r="C3" s="2"/>
      <c r="D3" s="2"/>
      <c r="E3" s="2"/>
      <c r="F3" s="2"/>
    </row>
    <row r="4" spans="1:13" x14ac:dyDescent="0.2">
      <c r="B4" s="2"/>
      <c r="C4" s="2"/>
      <c r="D4" s="2"/>
      <c r="E4" s="15" t="s">
        <v>199</v>
      </c>
      <c r="F4" s="15" t="s">
        <v>200</v>
      </c>
      <c r="G4" s="15" t="s">
        <v>60</v>
      </c>
      <c r="H4" s="15" t="s">
        <v>351</v>
      </c>
      <c r="I4" s="15" t="s">
        <v>264</v>
      </c>
      <c r="J4" s="15" t="s">
        <v>295</v>
      </c>
    </row>
    <row r="5" spans="1:13" ht="15" x14ac:dyDescent="0.35">
      <c r="B5" s="2"/>
      <c r="C5" s="2"/>
      <c r="D5" s="2"/>
      <c r="E5" s="232" t="s">
        <v>1825</v>
      </c>
      <c r="F5" s="232" t="s">
        <v>1947</v>
      </c>
      <c r="G5" s="232" t="s">
        <v>2039</v>
      </c>
      <c r="H5" s="232" t="s">
        <v>2039</v>
      </c>
      <c r="I5" s="232" t="s">
        <v>2039</v>
      </c>
      <c r="J5" s="232" t="s">
        <v>2039</v>
      </c>
    </row>
    <row r="6" spans="1:13" ht="13.5" x14ac:dyDescent="0.25">
      <c r="A6" s="262" t="s">
        <v>884</v>
      </c>
      <c r="B6" s="2"/>
      <c r="C6" s="2"/>
      <c r="D6" s="2"/>
      <c r="E6" s="2">
        <v>84551</v>
      </c>
      <c r="F6" s="2">
        <v>85452</v>
      </c>
      <c r="G6" s="2">
        <v>85452</v>
      </c>
      <c r="H6" s="2">
        <v>85452</v>
      </c>
      <c r="I6" s="2">
        <v>88416</v>
      </c>
      <c r="J6" s="2">
        <v>88416</v>
      </c>
    </row>
    <row r="7" spans="1:13" x14ac:dyDescent="0.2">
      <c r="A7" s="261" t="s">
        <v>885</v>
      </c>
      <c r="B7" s="2">
        <v>52</v>
      </c>
      <c r="C7" s="2">
        <v>1673</v>
      </c>
      <c r="D7" s="2">
        <f>ROUND(B7*C7,0)</f>
        <v>86996</v>
      </c>
      <c r="E7" s="2"/>
      <c r="F7" s="2"/>
      <c r="G7" s="2"/>
      <c r="H7" s="2"/>
      <c r="I7" s="2"/>
      <c r="J7" s="2"/>
    </row>
    <row r="8" spans="1:13" ht="15" x14ac:dyDescent="0.35">
      <c r="A8" s="261" t="s">
        <v>818</v>
      </c>
      <c r="B8" s="2" t="s">
        <v>338</v>
      </c>
      <c r="C8" s="2" t="s">
        <v>338</v>
      </c>
      <c r="D8" s="10">
        <v>1420</v>
      </c>
      <c r="E8" s="2"/>
      <c r="F8" s="2"/>
      <c r="G8" s="2"/>
      <c r="H8" s="2"/>
      <c r="I8" s="2"/>
      <c r="J8" s="2"/>
    </row>
    <row r="9" spans="1:13" x14ac:dyDescent="0.2">
      <c r="A9" s="261" t="s">
        <v>1067</v>
      </c>
      <c r="B9" s="2"/>
      <c r="C9" s="2"/>
      <c r="D9" s="2">
        <f>SUM(D7:D8)</f>
        <v>88416</v>
      </c>
      <c r="E9" s="2"/>
      <c r="F9" s="2"/>
      <c r="G9" s="2"/>
      <c r="H9" s="2"/>
      <c r="I9" s="2"/>
      <c r="J9" s="2"/>
    </row>
    <row r="10" spans="1:13" x14ac:dyDescent="0.2">
      <c r="A10" s="261"/>
      <c r="B10" s="2"/>
      <c r="C10" s="2"/>
      <c r="D10" s="2"/>
      <c r="E10" s="2"/>
      <c r="F10" s="2"/>
      <c r="G10" s="2"/>
      <c r="H10" s="2"/>
      <c r="I10" s="2"/>
      <c r="J10" s="2"/>
    </row>
    <row r="11" spans="1:13" ht="13.5" x14ac:dyDescent="0.25">
      <c r="A11" s="262" t="s">
        <v>662</v>
      </c>
      <c r="B11" s="2"/>
      <c r="C11" s="2"/>
      <c r="D11" s="2"/>
      <c r="E11" s="2">
        <v>146829</v>
      </c>
      <c r="F11" s="2">
        <v>187720</v>
      </c>
      <c r="G11" s="2">
        <v>146745</v>
      </c>
      <c r="H11" s="2">
        <v>157561</v>
      </c>
      <c r="I11" s="2">
        <v>163155</v>
      </c>
      <c r="J11" s="2">
        <v>163155</v>
      </c>
      <c r="K11" s="2">
        <f>+H11-G11</f>
        <v>10816</v>
      </c>
    </row>
    <row r="12" spans="1:13" ht="15" x14ac:dyDescent="0.25">
      <c r="A12" s="261" t="s">
        <v>1803</v>
      </c>
      <c r="B12" s="2">
        <v>52</v>
      </c>
      <c r="C12" s="2">
        <v>812.36</v>
      </c>
      <c r="D12" s="2">
        <f>ROUND(B12*C12,0)</f>
        <v>42243</v>
      </c>
      <c r="E12" s="2"/>
      <c r="F12" s="2"/>
      <c r="G12" s="2"/>
      <c r="H12" s="2"/>
      <c r="I12" s="2"/>
      <c r="J12" s="2"/>
      <c r="K12" s="2">
        <f t="shared" ref="K12:K75" si="0">+H12-G12</f>
        <v>0</v>
      </c>
      <c r="L12" s="85"/>
      <c r="M12" s="85"/>
    </row>
    <row r="13" spans="1:13" ht="15" x14ac:dyDescent="0.25">
      <c r="A13" s="261" t="s">
        <v>931</v>
      </c>
      <c r="B13" s="2">
        <v>52</v>
      </c>
      <c r="C13" s="2">
        <v>0</v>
      </c>
      <c r="D13" s="2">
        <f>ROUND(B13*C13,0)</f>
        <v>0</v>
      </c>
      <c r="E13" s="2"/>
      <c r="F13" s="2"/>
      <c r="G13" s="2"/>
      <c r="H13" s="2"/>
      <c r="I13" s="2"/>
      <c r="J13" s="2"/>
      <c r="K13" s="2">
        <f t="shared" si="0"/>
        <v>0</v>
      </c>
      <c r="L13" s="85"/>
      <c r="M13" s="85"/>
    </row>
    <row r="14" spans="1:13" ht="15" x14ac:dyDescent="0.25">
      <c r="A14" s="205" t="s">
        <v>931</v>
      </c>
      <c r="B14" s="2">
        <v>52</v>
      </c>
      <c r="C14" s="2">
        <v>775.45</v>
      </c>
      <c r="D14" s="2">
        <f>ROUND(B14*C14,0)</f>
        <v>40323</v>
      </c>
      <c r="E14" s="2"/>
      <c r="F14" s="2"/>
      <c r="G14" s="2"/>
      <c r="H14" s="2"/>
      <c r="I14" s="2"/>
      <c r="J14" s="2"/>
      <c r="K14" s="2">
        <f t="shared" si="0"/>
        <v>0</v>
      </c>
      <c r="L14" s="85"/>
      <c r="M14" s="85"/>
    </row>
    <row r="15" spans="1:13" x14ac:dyDescent="0.2">
      <c r="A15" s="261" t="s">
        <v>931</v>
      </c>
      <c r="B15" s="2">
        <v>52</v>
      </c>
      <c r="C15" s="2">
        <v>812.35</v>
      </c>
      <c r="D15" s="2">
        <f>ROUND(B15*C15,0)</f>
        <v>42242</v>
      </c>
      <c r="E15" s="2"/>
      <c r="F15" s="2"/>
      <c r="G15" s="2"/>
      <c r="H15" s="2"/>
      <c r="I15" s="2"/>
      <c r="J15" s="2"/>
      <c r="K15" s="2">
        <f t="shared" si="0"/>
        <v>0</v>
      </c>
    </row>
    <row r="16" spans="1:13" x14ac:dyDescent="0.2">
      <c r="A16" s="261" t="s">
        <v>931</v>
      </c>
      <c r="B16" s="2">
        <v>52</v>
      </c>
      <c r="C16" s="2">
        <v>737.45</v>
      </c>
      <c r="D16" s="2">
        <f>ROUND(B16*C16,0)</f>
        <v>38347</v>
      </c>
      <c r="E16" s="2"/>
      <c r="F16" s="2"/>
      <c r="G16" s="2"/>
      <c r="H16" s="2"/>
      <c r="I16" s="2"/>
      <c r="J16" s="2"/>
      <c r="K16" s="2">
        <f t="shared" si="0"/>
        <v>0</v>
      </c>
    </row>
    <row r="17" spans="1:11" ht="15" x14ac:dyDescent="0.35">
      <c r="A17" s="261" t="s">
        <v>818</v>
      </c>
      <c r="B17" s="2" t="s">
        <v>338</v>
      </c>
      <c r="C17" s="2" t="s">
        <v>338</v>
      </c>
      <c r="D17" s="10">
        <v>0</v>
      </c>
      <c r="E17" s="2"/>
      <c r="F17" s="2"/>
      <c r="G17" s="2"/>
      <c r="H17" s="2"/>
      <c r="I17" s="2"/>
      <c r="J17" s="2"/>
      <c r="K17" s="2">
        <f t="shared" si="0"/>
        <v>0</v>
      </c>
    </row>
    <row r="18" spans="1:11" x14ac:dyDescent="0.2">
      <c r="A18" s="261" t="s">
        <v>1067</v>
      </c>
      <c r="B18" s="2"/>
      <c r="C18" s="2"/>
      <c r="D18" s="2">
        <f>SUM(D12:D17)</f>
        <v>163155</v>
      </c>
      <c r="E18" s="2"/>
      <c r="F18" s="2"/>
      <c r="G18" s="2"/>
      <c r="H18" s="2"/>
      <c r="I18" s="2"/>
      <c r="J18" s="2"/>
      <c r="K18" s="2">
        <f t="shared" si="0"/>
        <v>0</v>
      </c>
    </row>
    <row r="19" spans="1:11" x14ac:dyDescent="0.2">
      <c r="A19" s="261"/>
      <c r="B19" s="2"/>
      <c r="C19" s="2"/>
      <c r="D19" s="2"/>
      <c r="E19" s="2"/>
      <c r="F19" s="2"/>
      <c r="G19" s="2"/>
      <c r="H19" s="2"/>
      <c r="I19" s="2"/>
      <c r="J19" s="2"/>
      <c r="K19" s="2">
        <f t="shared" si="0"/>
        <v>0</v>
      </c>
    </row>
    <row r="20" spans="1:11" ht="13.5" x14ac:dyDescent="0.25">
      <c r="A20" s="262" t="s">
        <v>475</v>
      </c>
      <c r="B20" s="2"/>
      <c r="C20" s="2"/>
      <c r="D20" s="2"/>
      <c r="E20" s="2">
        <v>65769</v>
      </c>
      <c r="F20" s="2">
        <v>66326</v>
      </c>
      <c r="G20" s="2">
        <v>66326</v>
      </c>
      <c r="H20" s="2">
        <v>66326</v>
      </c>
      <c r="I20" s="2">
        <v>68614</v>
      </c>
      <c r="J20" s="2">
        <v>68614</v>
      </c>
      <c r="K20" s="2">
        <f t="shared" si="0"/>
        <v>0</v>
      </c>
    </row>
    <row r="21" spans="1:11" x14ac:dyDescent="0.2">
      <c r="A21" s="261" t="s">
        <v>194</v>
      </c>
      <c r="B21" s="2">
        <v>52</v>
      </c>
      <c r="C21" s="2">
        <v>1296</v>
      </c>
      <c r="D21" s="2">
        <f>ROUND(B21*C21,0)</f>
        <v>67392</v>
      </c>
      <c r="E21" s="2"/>
      <c r="F21" s="2"/>
      <c r="G21" s="2"/>
      <c r="H21" s="2"/>
      <c r="I21" s="2"/>
      <c r="J21" s="2"/>
      <c r="K21" s="2">
        <f t="shared" si="0"/>
        <v>0</v>
      </c>
    </row>
    <row r="22" spans="1:11" ht="15" x14ac:dyDescent="0.35">
      <c r="A22" s="261" t="s">
        <v>818</v>
      </c>
      <c r="B22" s="2"/>
      <c r="C22" s="2"/>
      <c r="D22" s="10">
        <v>1222</v>
      </c>
      <c r="E22" s="2"/>
      <c r="F22" s="2"/>
      <c r="G22" s="2"/>
      <c r="H22" s="2"/>
      <c r="I22" s="2"/>
      <c r="J22" s="2"/>
      <c r="K22" s="2">
        <f t="shared" si="0"/>
        <v>0</v>
      </c>
    </row>
    <row r="23" spans="1:11" x14ac:dyDescent="0.2">
      <c r="A23" s="261" t="s">
        <v>1067</v>
      </c>
      <c r="B23" s="2"/>
      <c r="C23" s="2"/>
      <c r="D23" s="2">
        <f>SUM(D21:D22)</f>
        <v>68614</v>
      </c>
      <c r="E23" s="2"/>
      <c r="F23" s="2"/>
      <c r="G23" s="2"/>
      <c r="H23" s="2"/>
      <c r="I23" s="2"/>
      <c r="J23" s="2"/>
      <c r="K23" s="2">
        <f t="shared" si="0"/>
        <v>0</v>
      </c>
    </row>
    <row r="24" spans="1:11" x14ac:dyDescent="0.2">
      <c r="A24" s="261"/>
      <c r="B24" s="261"/>
      <c r="C24" s="261"/>
      <c r="D24" s="2"/>
      <c r="E24" s="2"/>
      <c r="F24" s="2"/>
      <c r="G24" s="2"/>
      <c r="H24" s="2"/>
      <c r="I24" s="2"/>
      <c r="J24" s="2"/>
      <c r="K24" s="2">
        <f t="shared" si="0"/>
        <v>0</v>
      </c>
    </row>
    <row r="25" spans="1:11" ht="13.5" x14ac:dyDescent="0.25">
      <c r="A25" s="262" t="s">
        <v>853</v>
      </c>
      <c r="B25" s="261"/>
      <c r="C25" s="261"/>
      <c r="D25" s="2"/>
      <c r="E25" s="2">
        <v>8772</v>
      </c>
      <c r="F25" s="2">
        <v>2802</v>
      </c>
      <c r="G25" s="2">
        <v>2172</v>
      </c>
      <c r="H25" s="2">
        <v>2172</v>
      </c>
      <c r="I25" s="2">
        <v>2248</v>
      </c>
      <c r="J25" s="2">
        <v>2248</v>
      </c>
      <c r="K25" s="2">
        <f t="shared" si="0"/>
        <v>0</v>
      </c>
    </row>
    <row r="26" spans="1:11" x14ac:dyDescent="0.2">
      <c r="A26" s="261" t="s">
        <v>931</v>
      </c>
      <c r="B26" s="2">
        <v>0</v>
      </c>
      <c r="C26" s="11">
        <v>17.16</v>
      </c>
      <c r="D26" s="2">
        <f>ROUND(B26*C26,0)</f>
        <v>0</v>
      </c>
      <c r="E26" s="2"/>
      <c r="F26" s="2"/>
      <c r="G26" s="2"/>
      <c r="H26" s="2"/>
      <c r="I26" s="2"/>
      <c r="J26" s="2"/>
      <c r="K26" s="2">
        <f t="shared" si="0"/>
        <v>0</v>
      </c>
    </row>
    <row r="27" spans="1:11" x14ac:dyDescent="0.2">
      <c r="A27" s="261" t="s">
        <v>931</v>
      </c>
      <c r="B27" s="2">
        <v>0</v>
      </c>
      <c r="C27" s="11">
        <v>14.75</v>
      </c>
      <c r="D27" s="2">
        <f>+B27*C27</f>
        <v>0</v>
      </c>
      <c r="E27" s="2"/>
      <c r="F27" s="2"/>
      <c r="G27" s="2"/>
      <c r="H27" s="2"/>
      <c r="I27" s="2"/>
      <c r="J27" s="2"/>
      <c r="K27" s="2">
        <f t="shared" si="0"/>
        <v>0</v>
      </c>
    </row>
    <row r="28" spans="1:11" x14ac:dyDescent="0.2">
      <c r="A28" s="261" t="s">
        <v>1232</v>
      </c>
      <c r="B28" s="2">
        <v>0</v>
      </c>
      <c r="C28" s="11">
        <v>15.75</v>
      </c>
      <c r="D28" s="2">
        <f>ROUND(B28*C28,0)</f>
        <v>0</v>
      </c>
      <c r="E28" s="2"/>
      <c r="F28" s="2"/>
      <c r="G28" s="2"/>
      <c r="H28" s="2"/>
      <c r="I28" s="2"/>
      <c r="J28" s="2"/>
      <c r="K28" s="2">
        <f t="shared" si="0"/>
        <v>0</v>
      </c>
    </row>
    <row r="29" spans="1:11" x14ac:dyDescent="0.2">
      <c r="A29" s="261" t="s">
        <v>1316</v>
      </c>
      <c r="B29" s="2">
        <v>200</v>
      </c>
      <c r="C29" s="11">
        <v>11.24</v>
      </c>
      <c r="D29" s="17">
        <f>ROUND(B29*C29,0)</f>
        <v>2248</v>
      </c>
      <c r="E29" s="2"/>
      <c r="F29" s="2"/>
      <c r="G29" s="2"/>
      <c r="H29" s="2"/>
      <c r="I29" s="2"/>
      <c r="J29" s="2"/>
      <c r="K29" s="2">
        <f t="shared" si="0"/>
        <v>0</v>
      </c>
    </row>
    <row r="30" spans="1:11" x14ac:dyDescent="0.2">
      <c r="A30" s="261"/>
      <c r="B30" s="261"/>
      <c r="C30" s="261"/>
      <c r="D30" s="2">
        <f>SUM(D26:D29)</f>
        <v>2248</v>
      </c>
      <c r="E30" s="2"/>
      <c r="F30" s="2"/>
      <c r="G30" s="2"/>
      <c r="H30" s="2"/>
      <c r="I30" s="2"/>
      <c r="J30" s="2"/>
      <c r="K30" s="2">
        <f t="shared" si="0"/>
        <v>0</v>
      </c>
    </row>
    <row r="31" spans="1:11" x14ac:dyDescent="0.2">
      <c r="A31" s="261"/>
      <c r="B31" s="261"/>
      <c r="C31" s="261"/>
      <c r="D31" s="2"/>
      <c r="E31" s="2"/>
      <c r="F31" s="2"/>
      <c r="G31" s="2"/>
      <c r="H31" s="2"/>
      <c r="I31" s="2"/>
      <c r="J31" s="2"/>
      <c r="K31" s="2">
        <f t="shared" si="0"/>
        <v>0</v>
      </c>
    </row>
    <row r="32" spans="1:11" ht="13.5" x14ac:dyDescent="0.25">
      <c r="A32" s="262" t="s">
        <v>854</v>
      </c>
      <c r="B32" s="261"/>
      <c r="C32" s="261"/>
      <c r="D32" s="2"/>
      <c r="E32" s="2">
        <v>842</v>
      </c>
      <c r="F32" s="2">
        <v>1440</v>
      </c>
      <c r="G32" s="2">
        <v>1081</v>
      </c>
      <c r="H32" s="2">
        <v>1159</v>
      </c>
      <c r="I32" s="2">
        <v>1200</v>
      </c>
      <c r="J32" s="2">
        <v>1200</v>
      </c>
      <c r="K32" s="2">
        <f t="shared" si="0"/>
        <v>78</v>
      </c>
    </row>
    <row r="33" spans="1:11" x14ac:dyDescent="0.2">
      <c r="A33" s="261" t="s">
        <v>926</v>
      </c>
      <c r="B33" s="2">
        <v>40</v>
      </c>
      <c r="C33" s="11">
        <f>SUM(C12:C15)/40/3*1.5</f>
        <v>30.001999999999995</v>
      </c>
      <c r="D33" s="2">
        <f>ROUND(C33*B33,0)</f>
        <v>1200</v>
      </c>
      <c r="E33" s="2"/>
      <c r="F33" s="2"/>
      <c r="G33" s="2"/>
      <c r="H33" s="2"/>
      <c r="I33" s="2"/>
      <c r="J33" s="2"/>
      <c r="K33" s="2">
        <f t="shared" si="0"/>
        <v>0</v>
      </c>
    </row>
    <row r="34" spans="1:11" x14ac:dyDescent="0.2">
      <c r="A34" s="261"/>
      <c r="B34" s="2"/>
      <c r="C34" s="11"/>
      <c r="D34" s="2"/>
      <c r="E34" s="2"/>
      <c r="F34" s="2"/>
      <c r="G34" s="2"/>
      <c r="H34" s="2"/>
      <c r="I34" s="2"/>
      <c r="J34" s="2"/>
      <c r="K34" s="2">
        <f t="shared" si="0"/>
        <v>0</v>
      </c>
    </row>
    <row r="35" spans="1:11" ht="13.5" x14ac:dyDescent="0.25">
      <c r="A35" s="262" t="s">
        <v>359</v>
      </c>
      <c r="B35" s="261"/>
      <c r="C35" s="261"/>
      <c r="D35" s="2"/>
      <c r="E35" s="2">
        <v>18001</v>
      </c>
      <c r="F35" s="2">
        <v>20998</v>
      </c>
      <c r="G35" s="2">
        <v>17788</v>
      </c>
      <c r="H35" s="2">
        <v>18621</v>
      </c>
      <c r="I35" s="2">
        <v>19276</v>
      </c>
      <c r="J35" s="2">
        <v>19276</v>
      </c>
      <c r="K35" s="2">
        <f t="shared" si="0"/>
        <v>833</v>
      </c>
    </row>
    <row r="36" spans="1:11" ht="12.75" hidden="1" customHeight="1" x14ac:dyDescent="0.2">
      <c r="A36" s="12" t="s">
        <v>1669</v>
      </c>
      <c r="B36" s="2">
        <f>+D9</f>
        <v>88416</v>
      </c>
      <c r="C36" s="13">
        <v>1.4500000000000001E-2</v>
      </c>
      <c r="D36" s="2">
        <f>ROUND(B36*C36,0)</f>
        <v>1282</v>
      </c>
      <c r="E36" s="2"/>
      <c r="F36" s="2"/>
      <c r="G36" s="2"/>
      <c r="H36" s="2"/>
      <c r="I36" s="2"/>
      <c r="J36" s="2"/>
      <c r="K36" s="2">
        <f t="shared" si="0"/>
        <v>0</v>
      </c>
    </row>
    <row r="37" spans="1:11" ht="12.75" hidden="1" customHeight="1" x14ac:dyDescent="0.2">
      <c r="A37" s="12" t="s">
        <v>757</v>
      </c>
      <c r="B37" s="2">
        <f>+D18</f>
        <v>163155</v>
      </c>
      <c r="C37" s="13">
        <v>7.6499999999999999E-2</v>
      </c>
      <c r="D37" s="2">
        <f>ROUND(B37*C37,0)</f>
        <v>12481</v>
      </c>
      <c r="E37" s="2"/>
      <c r="F37" s="2"/>
      <c r="G37" s="2"/>
      <c r="H37" s="2"/>
      <c r="I37" s="2"/>
      <c r="J37" s="2"/>
      <c r="K37" s="2">
        <f t="shared" si="0"/>
        <v>0</v>
      </c>
    </row>
    <row r="38" spans="1:11" ht="12.75" hidden="1" customHeight="1" x14ac:dyDescent="0.2">
      <c r="A38" s="12" t="s">
        <v>1264</v>
      </c>
      <c r="B38" s="2">
        <f>+D23</f>
        <v>68614</v>
      </c>
      <c r="C38" s="13">
        <v>7.6499999999999999E-2</v>
      </c>
      <c r="D38" s="2">
        <f>ROUND(B38*C38,0)</f>
        <v>5249</v>
      </c>
      <c r="E38" s="2"/>
      <c r="F38" s="2"/>
      <c r="G38" s="2"/>
      <c r="H38" s="2"/>
      <c r="I38" s="2"/>
      <c r="J38" s="2"/>
      <c r="K38" s="2">
        <f t="shared" si="0"/>
        <v>0</v>
      </c>
    </row>
    <row r="39" spans="1:11" ht="12.75" hidden="1" customHeight="1" x14ac:dyDescent="0.2">
      <c r="A39" s="12" t="s">
        <v>153</v>
      </c>
      <c r="B39" s="2">
        <f>+D30</f>
        <v>2248</v>
      </c>
      <c r="C39" s="13">
        <v>7.6499999999999999E-2</v>
      </c>
      <c r="D39" s="2">
        <f>ROUND(B39*C39,0)</f>
        <v>172</v>
      </c>
      <c r="E39" s="2"/>
      <c r="F39" s="2"/>
      <c r="G39" s="2"/>
      <c r="H39" s="2"/>
      <c r="I39" s="2"/>
      <c r="J39" s="2"/>
      <c r="K39" s="2">
        <f t="shared" si="0"/>
        <v>0</v>
      </c>
    </row>
    <row r="40" spans="1:11" ht="15" hidden="1" customHeight="1" x14ac:dyDescent="0.35">
      <c r="A40" s="12" t="s">
        <v>154</v>
      </c>
      <c r="B40" s="2">
        <f>+D33</f>
        <v>1200</v>
      </c>
      <c r="C40" s="13">
        <v>7.6499999999999999E-2</v>
      </c>
      <c r="D40" s="10">
        <f>ROUND(B40*C40,0)</f>
        <v>92</v>
      </c>
      <c r="E40" s="2"/>
      <c r="F40" s="2"/>
      <c r="G40" s="2"/>
      <c r="H40" s="2"/>
      <c r="I40" s="2"/>
      <c r="J40" s="2"/>
      <c r="K40" s="2">
        <f t="shared" si="0"/>
        <v>0</v>
      </c>
    </row>
    <row r="41" spans="1:11" ht="12.75" hidden="1" customHeight="1" x14ac:dyDescent="0.2">
      <c r="A41" s="261" t="s">
        <v>1067</v>
      </c>
      <c r="B41" s="2" t="s">
        <v>338</v>
      </c>
      <c r="C41" s="261"/>
      <c r="D41" s="2">
        <f>SUM(D36:D40)</f>
        <v>19276</v>
      </c>
      <c r="E41" s="2"/>
      <c r="F41" s="2"/>
      <c r="G41" s="2"/>
      <c r="H41" s="2"/>
      <c r="I41" s="2"/>
      <c r="J41" s="2"/>
      <c r="K41" s="2">
        <f t="shared" si="0"/>
        <v>0</v>
      </c>
    </row>
    <row r="42" spans="1:11" x14ac:dyDescent="0.2">
      <c r="A42" s="261"/>
      <c r="B42" s="261"/>
      <c r="C42" s="261"/>
      <c r="D42" s="2"/>
      <c r="E42" s="2"/>
      <c r="F42" s="2"/>
      <c r="G42" s="2"/>
      <c r="H42" s="2"/>
      <c r="I42" s="2"/>
      <c r="J42" s="2"/>
      <c r="K42" s="2">
        <f t="shared" si="0"/>
        <v>0</v>
      </c>
    </row>
    <row r="43" spans="1:11" ht="13.5" x14ac:dyDescent="0.25">
      <c r="A43" s="14" t="s">
        <v>1242</v>
      </c>
      <c r="B43" s="261"/>
      <c r="C43" s="261"/>
      <c r="D43" s="2"/>
      <c r="E43" s="2">
        <v>41912</v>
      </c>
      <c r="F43" s="2">
        <v>47935</v>
      </c>
      <c r="G43" s="2">
        <v>40537</v>
      </c>
      <c r="H43" s="2">
        <v>42011</v>
      </c>
      <c r="I43" s="2">
        <v>43483</v>
      </c>
      <c r="J43" s="2">
        <v>43483</v>
      </c>
      <c r="K43" s="2">
        <f t="shared" si="0"/>
        <v>1474</v>
      </c>
    </row>
    <row r="44" spans="1:11" hidden="1" x14ac:dyDescent="0.2">
      <c r="A44" s="12" t="s">
        <v>151</v>
      </c>
      <c r="B44" s="2">
        <f>+D9</f>
        <v>88416</v>
      </c>
      <c r="C44" s="299">
        <v>0.1353</v>
      </c>
      <c r="D44" s="2">
        <f>ROUND(B44*C44,0)</f>
        <v>11963</v>
      </c>
      <c r="E44" s="2"/>
      <c r="F44" s="2"/>
      <c r="G44" s="2"/>
      <c r="H44" s="2"/>
      <c r="I44" s="2"/>
      <c r="J44" s="2"/>
      <c r="K44" s="2">
        <f t="shared" si="0"/>
        <v>0</v>
      </c>
    </row>
    <row r="45" spans="1:11" hidden="1" x14ac:dyDescent="0.2">
      <c r="A45" s="12" t="s">
        <v>757</v>
      </c>
      <c r="B45" s="2">
        <f>+B37</f>
        <v>163155</v>
      </c>
      <c r="C45" s="299">
        <v>0.1353</v>
      </c>
      <c r="D45" s="2">
        <f>ROUND(B45*C45,0)</f>
        <v>22075</v>
      </c>
      <c r="E45" s="2"/>
      <c r="F45" s="2"/>
      <c r="G45" s="2"/>
      <c r="H45" s="2"/>
      <c r="I45" s="2"/>
      <c r="J45" s="2"/>
      <c r="K45" s="2">
        <f t="shared" si="0"/>
        <v>0</v>
      </c>
    </row>
    <row r="46" spans="1:11" hidden="1" x14ac:dyDescent="0.2">
      <c r="A46" s="22">
        <v>8103</v>
      </c>
      <c r="B46" s="2">
        <f>+B38</f>
        <v>68614</v>
      </c>
      <c r="C46" s="299">
        <v>0.1353</v>
      </c>
      <c r="D46" s="2">
        <f>ROUND(B46*C46,0)</f>
        <v>9283</v>
      </c>
      <c r="E46" s="2"/>
      <c r="F46" s="2"/>
      <c r="G46" s="2"/>
      <c r="H46" s="2"/>
      <c r="I46" s="2"/>
      <c r="J46" s="2"/>
      <c r="K46" s="2">
        <f t="shared" si="0"/>
        <v>0</v>
      </c>
    </row>
    <row r="47" spans="1:11" ht="15" hidden="1" x14ac:dyDescent="0.35">
      <c r="A47" s="12" t="s">
        <v>154</v>
      </c>
      <c r="B47" s="2">
        <f>+B40</f>
        <v>1200</v>
      </c>
      <c r="C47" s="299">
        <v>0.1353</v>
      </c>
      <c r="D47" s="10">
        <f>ROUND(B47*C47,0)</f>
        <v>162</v>
      </c>
      <c r="E47" s="2"/>
      <c r="F47" s="2"/>
      <c r="G47" s="2"/>
      <c r="H47" s="2"/>
      <c r="I47" s="2"/>
      <c r="J47" s="2"/>
      <c r="K47" s="2">
        <f t="shared" si="0"/>
        <v>0</v>
      </c>
    </row>
    <row r="48" spans="1:11" hidden="1" x14ac:dyDescent="0.2">
      <c r="A48" s="283" t="s">
        <v>1067</v>
      </c>
      <c r="B48" s="2"/>
      <c r="C48" s="283"/>
      <c r="D48" s="2">
        <f>SUM(D44:D47)</f>
        <v>43483</v>
      </c>
      <c r="E48" s="2"/>
      <c r="F48" s="2"/>
      <c r="G48" s="2"/>
      <c r="H48" s="2"/>
      <c r="I48" s="2"/>
      <c r="J48" s="2"/>
      <c r="K48" s="2">
        <f t="shared" si="0"/>
        <v>0</v>
      </c>
    </row>
    <row r="49" spans="1:11" x14ac:dyDescent="0.2">
      <c r="A49" s="283"/>
      <c r="B49" s="283"/>
      <c r="C49" s="283"/>
      <c r="D49" s="2"/>
      <c r="E49" s="2"/>
      <c r="F49" s="2"/>
      <c r="G49" s="2"/>
      <c r="H49" s="2"/>
      <c r="I49" s="2"/>
      <c r="J49" s="2"/>
      <c r="K49" s="2">
        <f t="shared" si="0"/>
        <v>0</v>
      </c>
    </row>
    <row r="50" spans="1:11" ht="13.5" x14ac:dyDescent="0.25">
      <c r="A50" s="286" t="s">
        <v>1243</v>
      </c>
      <c r="B50" s="283"/>
      <c r="C50" s="283"/>
      <c r="D50" s="2"/>
      <c r="E50" s="2">
        <v>113455</v>
      </c>
      <c r="F50" s="2">
        <v>133000</v>
      </c>
      <c r="G50" s="2">
        <v>121500</v>
      </c>
      <c r="H50" s="2">
        <v>121500</v>
      </c>
      <c r="I50" s="2">
        <v>121500</v>
      </c>
      <c r="J50" s="2">
        <v>121500</v>
      </c>
      <c r="K50" s="2">
        <f t="shared" si="0"/>
        <v>0</v>
      </c>
    </row>
    <row r="51" spans="1:11" hidden="1" x14ac:dyDescent="0.2">
      <c r="A51" s="283" t="s">
        <v>358</v>
      </c>
      <c r="B51" s="2">
        <v>6</v>
      </c>
      <c r="C51" s="2">
        <v>20250</v>
      </c>
      <c r="D51" s="2">
        <f>ROUND(B51*C51,0)</f>
        <v>121500</v>
      </c>
      <c r="E51" s="2"/>
      <c r="F51" s="2"/>
      <c r="G51" s="2"/>
      <c r="H51" s="2"/>
      <c r="I51" s="2"/>
      <c r="J51" s="2"/>
      <c r="K51" s="2">
        <f t="shared" si="0"/>
        <v>0</v>
      </c>
    </row>
    <row r="52" spans="1:11" x14ac:dyDescent="0.2">
      <c r="A52" s="283"/>
      <c r="B52" s="283"/>
      <c r="C52" s="283"/>
      <c r="D52" s="2"/>
      <c r="E52" s="2"/>
      <c r="F52" s="2"/>
      <c r="G52" s="2"/>
      <c r="H52" s="2"/>
      <c r="I52" s="2"/>
      <c r="J52" s="2"/>
      <c r="K52" s="2">
        <f t="shared" si="0"/>
        <v>0</v>
      </c>
    </row>
    <row r="53" spans="1:11" ht="13.5" x14ac:dyDescent="0.25">
      <c r="A53" s="286" t="s">
        <v>1244</v>
      </c>
      <c r="B53" s="283"/>
      <c r="C53" s="283"/>
      <c r="D53" s="2"/>
      <c r="E53" s="2">
        <v>7471</v>
      </c>
      <c r="F53" s="2">
        <v>8663</v>
      </c>
      <c r="G53" s="2">
        <v>7425</v>
      </c>
      <c r="H53" s="2">
        <v>7425</v>
      </c>
      <c r="I53" s="2">
        <v>7425</v>
      </c>
      <c r="J53" s="2">
        <v>7425</v>
      </c>
      <c r="K53" s="2">
        <f t="shared" si="0"/>
        <v>0</v>
      </c>
    </row>
    <row r="54" spans="1:11" hidden="1" x14ac:dyDescent="0.2">
      <c r="A54" s="283" t="s">
        <v>358</v>
      </c>
      <c r="B54" s="2">
        <v>6</v>
      </c>
      <c r="C54" s="2">
        <v>1375</v>
      </c>
      <c r="D54" s="2">
        <f>ROUND(B54*C54,0)</f>
        <v>8250</v>
      </c>
      <c r="E54" s="2"/>
      <c r="F54" s="2"/>
      <c r="G54" s="2"/>
      <c r="H54" s="2"/>
      <c r="I54" s="2"/>
      <c r="J54" s="2"/>
      <c r="K54" s="2">
        <f t="shared" si="0"/>
        <v>0</v>
      </c>
    </row>
    <row r="55" spans="1:11" ht="15" hidden="1" x14ac:dyDescent="0.35">
      <c r="A55" s="283" t="s">
        <v>193</v>
      </c>
      <c r="B55" s="2"/>
      <c r="C55" s="2"/>
      <c r="D55" s="10">
        <f>+C54*-0.1*B54</f>
        <v>-825</v>
      </c>
      <c r="E55" s="2"/>
      <c r="F55" s="2"/>
      <c r="G55" s="2"/>
      <c r="H55" s="2"/>
      <c r="I55" s="2"/>
      <c r="J55" s="2"/>
      <c r="K55" s="2">
        <f t="shared" si="0"/>
        <v>0</v>
      </c>
    </row>
    <row r="56" spans="1:11" hidden="1" x14ac:dyDescent="0.2">
      <c r="A56" s="283" t="s">
        <v>678</v>
      </c>
      <c r="B56" s="2"/>
      <c r="C56" s="2"/>
      <c r="D56" s="2">
        <f>SUM(D54:D55)</f>
        <v>7425</v>
      </c>
      <c r="E56" s="2"/>
      <c r="F56" s="2"/>
      <c r="G56" s="2"/>
      <c r="H56" s="2"/>
      <c r="I56" s="2"/>
      <c r="J56" s="2"/>
      <c r="K56" s="2">
        <f t="shared" si="0"/>
        <v>0</v>
      </c>
    </row>
    <row r="57" spans="1:11" x14ac:dyDescent="0.2">
      <c r="A57" s="283"/>
      <c r="B57" s="2"/>
      <c r="C57" s="2"/>
      <c r="D57" s="2"/>
      <c r="E57" s="2"/>
      <c r="F57" s="2"/>
      <c r="G57" s="2"/>
      <c r="H57" s="2"/>
      <c r="I57" s="2"/>
      <c r="J57" s="2"/>
      <c r="K57" s="2">
        <f t="shared" si="0"/>
        <v>0</v>
      </c>
    </row>
    <row r="58" spans="1:11" ht="13.5" x14ac:dyDescent="0.25">
      <c r="A58" s="286" t="s">
        <v>918</v>
      </c>
      <c r="B58" s="283"/>
      <c r="C58" s="283"/>
      <c r="D58" s="2"/>
      <c r="E58" s="2">
        <v>666</v>
      </c>
      <c r="F58" s="2">
        <v>945</v>
      </c>
      <c r="G58" s="2">
        <v>870</v>
      </c>
      <c r="H58" s="2">
        <v>870</v>
      </c>
      <c r="I58" s="2">
        <v>870</v>
      </c>
      <c r="J58" s="2">
        <v>870</v>
      </c>
      <c r="K58" s="2">
        <f t="shared" si="0"/>
        <v>0</v>
      </c>
    </row>
    <row r="59" spans="1:11" hidden="1" x14ac:dyDescent="0.2">
      <c r="A59" s="283" t="s">
        <v>358</v>
      </c>
      <c r="B59" s="2">
        <v>6</v>
      </c>
      <c r="C59" s="2">
        <v>145</v>
      </c>
      <c r="D59" s="2">
        <f>ROUND(B59*C59,0)</f>
        <v>870</v>
      </c>
      <c r="E59" s="2"/>
      <c r="F59" s="2"/>
      <c r="G59" s="2"/>
      <c r="H59" s="2"/>
      <c r="I59" s="2"/>
      <c r="J59" s="2"/>
      <c r="K59" s="2">
        <f t="shared" si="0"/>
        <v>0</v>
      </c>
    </row>
    <row r="60" spans="1:11" x14ac:dyDescent="0.2">
      <c r="A60" s="283"/>
      <c r="B60" s="283"/>
      <c r="C60" s="283"/>
      <c r="D60" s="2"/>
      <c r="E60" s="2"/>
      <c r="F60" s="2"/>
      <c r="G60" s="2"/>
      <c r="H60" s="2"/>
      <c r="I60" s="2"/>
      <c r="J60" s="2"/>
      <c r="K60" s="2">
        <f t="shared" si="0"/>
        <v>0</v>
      </c>
    </row>
    <row r="61" spans="1:11" ht="13.5" x14ac:dyDescent="0.25">
      <c r="A61" s="286" t="s">
        <v>919</v>
      </c>
      <c r="B61" s="283"/>
      <c r="C61" s="283"/>
      <c r="D61" s="2"/>
      <c r="E61" s="2">
        <v>2992</v>
      </c>
      <c r="F61" s="2">
        <v>3675</v>
      </c>
      <c r="G61" s="2">
        <v>3390</v>
      </c>
      <c r="H61" s="2">
        <v>3390</v>
      </c>
      <c r="I61" s="2">
        <v>3390</v>
      </c>
      <c r="J61" s="2">
        <v>3390</v>
      </c>
      <c r="K61" s="2">
        <f t="shared" si="0"/>
        <v>0</v>
      </c>
    </row>
    <row r="62" spans="1:11" hidden="1" x14ac:dyDescent="0.2">
      <c r="A62" s="283" t="s">
        <v>358</v>
      </c>
      <c r="B62" s="2">
        <v>6</v>
      </c>
      <c r="C62" s="2">
        <v>565</v>
      </c>
      <c r="D62" s="2">
        <f>ROUND(B62*C62,0)</f>
        <v>3390</v>
      </c>
      <c r="E62" s="2"/>
      <c r="F62" s="2"/>
      <c r="G62" s="2"/>
      <c r="H62" s="2"/>
      <c r="I62" s="2"/>
      <c r="J62" s="2"/>
      <c r="K62" s="2">
        <f t="shared" si="0"/>
        <v>0</v>
      </c>
    </row>
    <row r="63" spans="1:11" x14ac:dyDescent="0.2">
      <c r="A63" s="283"/>
      <c r="B63" s="283"/>
      <c r="C63" s="283"/>
      <c r="D63" s="2"/>
      <c r="E63" s="2"/>
      <c r="F63" s="2"/>
      <c r="G63" s="2"/>
      <c r="H63" s="2"/>
      <c r="I63" s="2"/>
      <c r="J63" s="2"/>
      <c r="K63" s="2">
        <f t="shared" si="0"/>
        <v>0</v>
      </c>
    </row>
    <row r="64" spans="1:11" ht="13.5" x14ac:dyDescent="0.25">
      <c r="A64" s="286" t="s">
        <v>479</v>
      </c>
      <c r="B64" s="283"/>
      <c r="C64" s="283"/>
      <c r="D64" s="2"/>
      <c r="E64" s="2">
        <v>410</v>
      </c>
      <c r="F64" s="2">
        <v>596</v>
      </c>
      <c r="G64" s="2">
        <v>567</v>
      </c>
      <c r="H64" s="2">
        <v>588</v>
      </c>
      <c r="I64" s="2">
        <v>608</v>
      </c>
      <c r="J64" s="2">
        <v>608</v>
      </c>
      <c r="K64" s="2">
        <f t="shared" si="0"/>
        <v>21</v>
      </c>
    </row>
    <row r="65" spans="1:11" hidden="1" x14ac:dyDescent="0.2">
      <c r="A65" s="12" t="s">
        <v>151</v>
      </c>
      <c r="B65" s="2">
        <f>+D9</f>
        <v>88416</v>
      </c>
      <c r="C65" s="13">
        <v>1.89E-3</v>
      </c>
      <c r="D65" s="2">
        <f>ROUND(B65*C65,0)</f>
        <v>167</v>
      </c>
      <c r="E65" s="2"/>
      <c r="F65" s="2"/>
      <c r="G65" s="2"/>
      <c r="H65" s="2"/>
      <c r="I65" s="2"/>
      <c r="J65" s="2"/>
      <c r="K65" s="2">
        <f t="shared" si="0"/>
        <v>0</v>
      </c>
    </row>
    <row r="66" spans="1:11" hidden="1" x14ac:dyDescent="0.2">
      <c r="A66" s="12" t="s">
        <v>757</v>
      </c>
      <c r="B66" s="2">
        <f>+B45</f>
        <v>163155</v>
      </c>
      <c r="C66" s="13">
        <v>1.89E-3</v>
      </c>
      <c r="D66" s="2">
        <f>ROUND(B66*C66,0)-3</f>
        <v>305</v>
      </c>
      <c r="E66" s="2"/>
      <c r="F66" s="2"/>
      <c r="G66" s="2"/>
      <c r="H66" s="2"/>
      <c r="I66" s="2"/>
      <c r="J66" s="2"/>
      <c r="K66" s="2">
        <f t="shared" si="0"/>
        <v>0</v>
      </c>
    </row>
    <row r="67" spans="1:11" hidden="1" x14ac:dyDescent="0.2">
      <c r="A67" s="12" t="s">
        <v>1264</v>
      </c>
      <c r="B67" s="2">
        <f>+B46</f>
        <v>68614</v>
      </c>
      <c r="C67" s="13">
        <v>1.89E-3</v>
      </c>
      <c r="D67" s="2">
        <f>ROUND(B67*C67,0)</f>
        <v>130</v>
      </c>
      <c r="E67" s="2"/>
      <c r="F67" s="2"/>
      <c r="G67" s="2"/>
      <c r="H67" s="2"/>
      <c r="I67" s="2"/>
      <c r="J67" s="2"/>
      <c r="K67" s="2">
        <f t="shared" si="0"/>
        <v>0</v>
      </c>
    </row>
    <row r="68" spans="1:11" hidden="1" x14ac:dyDescent="0.2">
      <c r="A68" s="12" t="s">
        <v>153</v>
      </c>
      <c r="B68" s="2">
        <f>+B39</f>
        <v>2248</v>
      </c>
      <c r="C68" s="13">
        <v>1.89E-3</v>
      </c>
      <c r="D68" s="2">
        <f>ROUND(B68*C68,0)</f>
        <v>4</v>
      </c>
      <c r="E68" s="2"/>
      <c r="F68" s="2"/>
      <c r="G68" s="2"/>
      <c r="H68" s="2"/>
      <c r="I68" s="2"/>
      <c r="J68" s="2"/>
      <c r="K68" s="2">
        <f t="shared" si="0"/>
        <v>0</v>
      </c>
    </row>
    <row r="69" spans="1:11" ht="15" hidden="1" x14ac:dyDescent="0.35">
      <c r="A69" s="12" t="s">
        <v>1597</v>
      </c>
      <c r="B69" s="2">
        <f>+B40</f>
        <v>1200</v>
      </c>
      <c r="C69" s="13">
        <v>1.89E-3</v>
      </c>
      <c r="D69" s="10">
        <f>ROUND(B69*C69,0)</f>
        <v>2</v>
      </c>
      <c r="E69" s="2"/>
      <c r="F69" s="2"/>
      <c r="G69" s="2"/>
      <c r="H69" s="2"/>
      <c r="I69" s="2"/>
      <c r="J69" s="2"/>
      <c r="K69" s="2">
        <f t="shared" si="0"/>
        <v>0</v>
      </c>
    </row>
    <row r="70" spans="1:11" hidden="1" x14ac:dyDescent="0.2">
      <c r="A70" s="283" t="s">
        <v>1067</v>
      </c>
      <c r="B70" s="283"/>
      <c r="C70" s="283"/>
      <c r="D70" s="2">
        <f>SUM(D65:D69)</f>
        <v>608</v>
      </c>
      <c r="E70" s="2"/>
      <c r="F70" s="2"/>
      <c r="G70" s="2"/>
      <c r="H70" s="2"/>
      <c r="I70" s="2"/>
      <c r="J70" s="2"/>
      <c r="K70" s="2">
        <f t="shared" si="0"/>
        <v>0</v>
      </c>
    </row>
    <row r="71" spans="1:11" x14ac:dyDescent="0.2">
      <c r="A71" s="283"/>
      <c r="B71" s="283"/>
      <c r="C71" s="283"/>
      <c r="D71" s="2"/>
      <c r="E71" s="2"/>
      <c r="F71" s="2"/>
      <c r="G71" s="2"/>
      <c r="H71" s="2"/>
      <c r="I71" s="2"/>
      <c r="J71" s="2"/>
      <c r="K71" s="2">
        <f t="shared" si="0"/>
        <v>0</v>
      </c>
    </row>
    <row r="72" spans="1:11" ht="13.5" x14ac:dyDescent="0.25">
      <c r="A72" s="286" t="s">
        <v>1295</v>
      </c>
      <c r="B72" s="283"/>
      <c r="C72" s="283"/>
      <c r="D72" s="2"/>
      <c r="E72" s="2">
        <v>73</v>
      </c>
      <c r="F72" s="2">
        <v>144</v>
      </c>
      <c r="G72" s="2">
        <v>123</v>
      </c>
      <c r="H72" s="2">
        <v>123</v>
      </c>
      <c r="I72" s="2">
        <v>123</v>
      </c>
      <c r="J72" s="2">
        <v>123</v>
      </c>
      <c r="K72" s="2">
        <f t="shared" si="0"/>
        <v>0</v>
      </c>
    </row>
    <row r="73" spans="1:11" hidden="1" x14ac:dyDescent="0.2">
      <c r="A73" s="12" t="s">
        <v>1670</v>
      </c>
      <c r="B73" s="2">
        <v>0</v>
      </c>
      <c r="C73" s="2">
        <v>20</v>
      </c>
      <c r="D73" s="2">
        <f>ROUND(B73*C73,0)</f>
        <v>0</v>
      </c>
      <c r="E73" s="2"/>
      <c r="F73" s="2"/>
      <c r="G73" s="2"/>
      <c r="H73" s="2"/>
      <c r="I73" s="2"/>
      <c r="J73" s="2"/>
      <c r="K73" s="2">
        <f t="shared" si="0"/>
        <v>0</v>
      </c>
    </row>
    <row r="74" spans="1:11" hidden="1" x14ac:dyDescent="0.2">
      <c r="A74" s="12" t="s">
        <v>757</v>
      </c>
      <c r="B74" s="2">
        <v>5</v>
      </c>
      <c r="C74" s="2">
        <v>20</v>
      </c>
      <c r="D74" s="2">
        <f>ROUND(B74*C74,0)</f>
        <v>100</v>
      </c>
      <c r="E74" s="2"/>
      <c r="F74" s="2"/>
      <c r="G74" s="2"/>
      <c r="H74" s="2"/>
      <c r="I74" s="2"/>
      <c r="J74" s="2"/>
      <c r="K74" s="2">
        <f t="shared" si="0"/>
        <v>0</v>
      </c>
    </row>
    <row r="75" spans="1:11" hidden="1" x14ac:dyDescent="0.2">
      <c r="A75" s="12" t="s">
        <v>1264</v>
      </c>
      <c r="B75" s="2">
        <v>1</v>
      </c>
      <c r="C75" s="2">
        <v>20</v>
      </c>
      <c r="D75" s="2">
        <f>ROUND(B75*C75,0)</f>
        <v>20</v>
      </c>
      <c r="E75" s="2"/>
      <c r="F75" s="2"/>
      <c r="G75" s="2"/>
      <c r="H75" s="2"/>
      <c r="I75" s="2"/>
      <c r="J75" s="2"/>
      <c r="K75" s="2">
        <f t="shared" si="0"/>
        <v>0</v>
      </c>
    </row>
    <row r="76" spans="1:11" hidden="1" x14ac:dyDescent="0.2">
      <c r="A76" s="12" t="s">
        <v>1671</v>
      </c>
      <c r="B76" s="2">
        <f>+D28+D29</f>
        <v>2248</v>
      </c>
      <c r="C76" s="13">
        <v>1.4E-3</v>
      </c>
      <c r="D76" s="2">
        <f>ROUND(B76*C76,0)</f>
        <v>3</v>
      </c>
      <c r="E76" s="2"/>
      <c r="F76" s="2"/>
      <c r="G76" s="2"/>
      <c r="H76" s="2"/>
      <c r="I76" s="2"/>
      <c r="J76" s="2"/>
      <c r="K76" s="2">
        <f>+H76-G76</f>
        <v>0</v>
      </c>
    </row>
    <row r="77" spans="1:11" hidden="1" x14ac:dyDescent="0.2">
      <c r="A77" s="12" t="s">
        <v>153</v>
      </c>
      <c r="B77" s="2">
        <v>0</v>
      </c>
      <c r="C77" s="2">
        <v>20</v>
      </c>
      <c r="D77" s="17">
        <f>ROUND(B77*C77,0)</f>
        <v>0</v>
      </c>
      <c r="E77" s="2"/>
      <c r="F77" s="2"/>
      <c r="G77" s="2"/>
      <c r="H77" s="2"/>
      <c r="I77" s="2"/>
      <c r="J77" s="2"/>
      <c r="K77" s="2">
        <f>+H77-G77</f>
        <v>0</v>
      </c>
    </row>
    <row r="78" spans="1:11" hidden="1" x14ac:dyDescent="0.2">
      <c r="A78" s="283" t="s">
        <v>1067</v>
      </c>
      <c r="B78" s="283"/>
      <c r="C78" s="283"/>
      <c r="D78" s="2">
        <f>SUM(D73:D77)</f>
        <v>123</v>
      </c>
      <c r="E78" s="2"/>
      <c r="F78" s="2"/>
      <c r="G78" s="2"/>
      <c r="H78" s="2"/>
      <c r="I78" s="2"/>
      <c r="J78" s="2"/>
      <c r="K78" s="2">
        <f>+H78-G78</f>
        <v>0</v>
      </c>
    </row>
    <row r="79" spans="1:11" x14ac:dyDescent="0.2">
      <c r="A79" s="283"/>
      <c r="B79" s="283"/>
      <c r="C79" s="283"/>
      <c r="D79" s="2"/>
      <c r="E79" s="2"/>
      <c r="F79" s="2"/>
      <c r="G79" s="2"/>
      <c r="H79" s="2"/>
      <c r="I79" s="2"/>
      <c r="J79" s="2"/>
    </row>
    <row r="80" spans="1:11" x14ac:dyDescent="0.2">
      <c r="A80" s="283"/>
      <c r="B80" s="283"/>
      <c r="C80" s="283"/>
      <c r="D80" s="2"/>
      <c r="E80" s="2"/>
      <c r="F80" s="2"/>
      <c r="G80" s="2"/>
      <c r="H80" s="2"/>
      <c r="I80" s="2"/>
      <c r="J80" s="2"/>
    </row>
    <row r="81" spans="1:10" ht="13.5" x14ac:dyDescent="0.25">
      <c r="A81" s="286" t="s">
        <v>315</v>
      </c>
      <c r="B81" s="283"/>
      <c r="C81" s="283"/>
      <c r="D81" s="2"/>
      <c r="E81" s="2">
        <v>6879</v>
      </c>
      <c r="F81" s="2">
        <v>6811</v>
      </c>
      <c r="G81" s="2">
        <v>7000</v>
      </c>
      <c r="H81" s="2">
        <v>7000</v>
      </c>
      <c r="I81" s="2">
        <v>7000</v>
      </c>
      <c r="J81" s="2">
        <v>7000</v>
      </c>
    </row>
    <row r="82" spans="1:10" x14ac:dyDescent="0.2">
      <c r="A82" s="283" t="s">
        <v>316</v>
      </c>
      <c r="B82" s="283"/>
      <c r="C82" s="2"/>
      <c r="D82" s="2">
        <v>150</v>
      </c>
      <c r="E82" s="2"/>
      <c r="F82" s="2"/>
      <c r="G82" s="2"/>
      <c r="H82" s="2"/>
      <c r="I82" s="2"/>
      <c r="J82" s="2"/>
    </row>
    <row r="83" spans="1:10" x14ac:dyDescent="0.2">
      <c r="A83" s="283" t="s">
        <v>600</v>
      </c>
      <c r="B83" s="283"/>
      <c r="C83" s="2"/>
      <c r="D83" s="2">
        <v>500</v>
      </c>
      <c r="E83" s="2"/>
      <c r="F83" s="2"/>
      <c r="G83" s="2"/>
      <c r="H83" s="2"/>
      <c r="I83" s="2"/>
      <c r="J83" s="2"/>
    </row>
    <row r="84" spans="1:10" x14ac:dyDescent="0.2">
      <c r="A84" s="283" t="s">
        <v>1279</v>
      </c>
      <c r="B84" s="283"/>
      <c r="C84" s="2"/>
      <c r="D84" s="2">
        <v>2745</v>
      </c>
      <c r="E84" s="2"/>
      <c r="F84" s="2"/>
      <c r="G84" s="2"/>
      <c r="H84" s="2"/>
      <c r="I84" s="2"/>
      <c r="J84" s="2"/>
    </row>
    <row r="85" spans="1:10" x14ac:dyDescent="0.2">
      <c r="A85" s="283" t="s">
        <v>317</v>
      </c>
      <c r="B85" s="283"/>
      <c r="C85" s="2"/>
      <c r="D85" s="2">
        <v>2411</v>
      </c>
      <c r="E85" s="2"/>
      <c r="F85" s="2"/>
      <c r="G85" s="2"/>
      <c r="H85" s="2"/>
      <c r="I85" s="2"/>
      <c r="J85" s="2"/>
    </row>
    <row r="86" spans="1:10" x14ac:dyDescent="0.2">
      <c r="A86" s="283" t="s">
        <v>222</v>
      </c>
      <c r="B86" s="283"/>
      <c r="C86" s="2"/>
      <c r="D86" s="2">
        <v>250</v>
      </c>
      <c r="E86" s="2"/>
      <c r="F86" s="2"/>
      <c r="G86" s="2"/>
      <c r="H86" s="2"/>
      <c r="I86" s="2"/>
      <c r="J86" s="2"/>
    </row>
    <row r="87" spans="1:10" ht="15" x14ac:dyDescent="0.35">
      <c r="A87" s="283" t="s">
        <v>896</v>
      </c>
      <c r="B87" s="283"/>
      <c r="C87" s="10"/>
      <c r="D87" s="10">
        <v>944</v>
      </c>
      <c r="E87" s="2"/>
      <c r="F87" s="2"/>
      <c r="G87" s="2"/>
      <c r="H87" s="2"/>
      <c r="I87" s="2"/>
      <c r="J87" s="2"/>
    </row>
    <row r="88" spans="1:10" x14ac:dyDescent="0.2">
      <c r="A88" s="283" t="s">
        <v>1067</v>
      </c>
      <c r="B88" s="283"/>
      <c r="C88" s="2"/>
      <c r="D88" s="2">
        <f>SUM(D82:D87)</f>
        <v>7000</v>
      </c>
      <c r="E88" s="2"/>
      <c r="F88" s="2"/>
      <c r="G88" s="2"/>
      <c r="H88" s="2"/>
      <c r="I88" s="2"/>
      <c r="J88" s="2"/>
    </row>
    <row r="89" spans="1:10" x14ac:dyDescent="0.2">
      <c r="A89" s="283"/>
      <c r="B89" s="283"/>
      <c r="C89" s="2"/>
      <c r="D89" s="2"/>
      <c r="E89" s="2"/>
      <c r="F89" s="2"/>
      <c r="G89" s="2"/>
      <c r="H89" s="2"/>
      <c r="I89" s="2"/>
      <c r="J89" s="2"/>
    </row>
    <row r="90" spans="1:10" ht="13.5" x14ac:dyDescent="0.25">
      <c r="A90" s="286" t="s">
        <v>318</v>
      </c>
      <c r="B90" s="283"/>
      <c r="C90" s="2"/>
      <c r="D90" s="2"/>
      <c r="E90" s="2">
        <v>1515</v>
      </c>
      <c r="F90" s="2">
        <v>4000</v>
      </c>
      <c r="G90" s="2">
        <v>5000</v>
      </c>
      <c r="H90" s="2">
        <v>5000</v>
      </c>
      <c r="I90" s="2">
        <v>5000</v>
      </c>
      <c r="J90" s="2">
        <v>5000</v>
      </c>
    </row>
    <row r="91" spans="1:10" x14ac:dyDescent="0.2">
      <c r="A91" s="283" t="s">
        <v>319</v>
      </c>
      <c r="B91" s="283"/>
      <c r="C91" s="2"/>
      <c r="D91" s="2">
        <v>5000</v>
      </c>
      <c r="E91" s="2"/>
      <c r="F91" s="2"/>
      <c r="G91" s="2"/>
      <c r="H91" s="2"/>
      <c r="I91" s="2"/>
      <c r="J91" s="2"/>
    </row>
    <row r="92" spans="1:10" x14ac:dyDescent="0.2">
      <c r="A92" s="283"/>
      <c r="B92" s="283"/>
      <c r="C92" s="2"/>
      <c r="D92" s="2"/>
      <c r="E92" s="2"/>
      <c r="F92" s="2"/>
      <c r="G92" s="2"/>
      <c r="H92" s="2"/>
      <c r="I92" s="2"/>
      <c r="J92" s="2"/>
    </row>
    <row r="93" spans="1:10" ht="13.5" x14ac:dyDescent="0.25">
      <c r="A93" s="286" t="s">
        <v>320</v>
      </c>
      <c r="B93" s="283"/>
      <c r="C93" s="2"/>
      <c r="D93" s="2"/>
      <c r="E93" s="2">
        <v>33442</v>
      </c>
      <c r="F93" s="2">
        <v>39000</v>
      </c>
      <c r="G93" s="2">
        <v>39000</v>
      </c>
      <c r="H93" s="2">
        <v>39000</v>
      </c>
      <c r="I93" s="2">
        <v>39000</v>
      </c>
      <c r="J93" s="2">
        <v>39000</v>
      </c>
    </row>
    <row r="94" spans="1:10" x14ac:dyDescent="0.2">
      <c r="A94" s="22" t="s">
        <v>912</v>
      </c>
      <c r="B94" s="5"/>
      <c r="C94" s="2"/>
      <c r="D94" s="2" t="s">
        <v>338</v>
      </c>
      <c r="E94" s="2"/>
      <c r="F94" s="2"/>
      <c r="G94" s="2"/>
      <c r="H94" s="2"/>
      <c r="I94" s="2"/>
      <c r="J94" s="2"/>
    </row>
    <row r="95" spans="1:10" x14ac:dyDescent="0.2">
      <c r="A95" s="283" t="s">
        <v>913</v>
      </c>
      <c r="B95" s="2"/>
      <c r="C95" s="2"/>
      <c r="D95" s="2">
        <v>39000</v>
      </c>
      <c r="E95" s="2"/>
      <c r="F95" s="2"/>
      <c r="G95" s="2"/>
      <c r="H95" s="2"/>
      <c r="I95" s="2"/>
      <c r="J95" s="2"/>
    </row>
    <row r="96" spans="1:10" x14ac:dyDescent="0.2">
      <c r="A96" s="283"/>
      <c r="B96" s="283"/>
      <c r="C96" s="2"/>
      <c r="D96" s="2"/>
      <c r="E96" s="2"/>
      <c r="F96" s="2"/>
      <c r="G96" s="2"/>
      <c r="H96" s="2"/>
      <c r="I96" s="2"/>
      <c r="J96" s="2"/>
    </row>
    <row r="97" spans="1:10" ht="13.5" x14ac:dyDescent="0.25">
      <c r="A97" s="286" t="s">
        <v>835</v>
      </c>
      <c r="B97" s="2"/>
      <c r="C97" s="7"/>
      <c r="D97" s="7" t="s">
        <v>338</v>
      </c>
      <c r="E97" s="2">
        <v>1741</v>
      </c>
      <c r="F97" s="2">
        <v>2000</v>
      </c>
      <c r="G97" s="2">
        <v>2000</v>
      </c>
      <c r="H97" s="2">
        <v>2000</v>
      </c>
      <c r="I97" s="2">
        <v>2000</v>
      </c>
      <c r="J97" s="2">
        <v>2000</v>
      </c>
    </row>
    <row r="98" spans="1:10" x14ac:dyDescent="0.2">
      <c r="A98" s="283" t="s">
        <v>805</v>
      </c>
      <c r="B98" s="2"/>
      <c r="C98" s="2"/>
      <c r="D98" s="2">
        <v>2000</v>
      </c>
      <c r="E98" s="2"/>
      <c r="F98" s="2"/>
      <c r="G98" s="2"/>
      <c r="H98" s="2"/>
      <c r="I98" s="2"/>
      <c r="J98" s="2"/>
    </row>
    <row r="99" spans="1:10" x14ac:dyDescent="0.2">
      <c r="A99" s="283"/>
      <c r="B99" s="2"/>
      <c r="C99" s="2"/>
      <c r="D99" s="2"/>
      <c r="E99" s="2"/>
      <c r="F99" s="2"/>
      <c r="G99" s="2"/>
      <c r="H99" s="2"/>
      <c r="I99" s="2"/>
      <c r="J99" s="2"/>
    </row>
    <row r="100" spans="1:10" ht="13.5" x14ac:dyDescent="0.25">
      <c r="A100" s="286" t="s">
        <v>836</v>
      </c>
      <c r="B100" s="283"/>
      <c r="C100" s="2"/>
      <c r="D100" s="2"/>
      <c r="E100" s="2">
        <v>335</v>
      </c>
      <c r="F100" s="2">
        <v>335</v>
      </c>
      <c r="G100" s="2">
        <v>335</v>
      </c>
      <c r="H100" s="2">
        <v>335</v>
      </c>
      <c r="I100" s="2">
        <v>335</v>
      </c>
      <c r="J100" s="2">
        <v>335</v>
      </c>
    </row>
    <row r="101" spans="1:10" x14ac:dyDescent="0.2">
      <c r="A101" s="5" t="s">
        <v>1082</v>
      </c>
      <c r="B101" s="5"/>
      <c r="C101" s="283"/>
      <c r="D101" s="2">
        <v>335</v>
      </c>
      <c r="E101" s="2"/>
      <c r="F101" s="2"/>
      <c r="G101" s="2"/>
      <c r="H101" s="2"/>
      <c r="I101" s="2"/>
      <c r="J101" s="2"/>
    </row>
    <row r="102" spans="1:10" x14ac:dyDescent="0.2">
      <c r="A102" s="283"/>
      <c r="B102" s="283"/>
      <c r="C102" s="2"/>
      <c r="D102" s="2"/>
      <c r="E102" s="2"/>
      <c r="F102" s="2"/>
      <c r="G102" s="2"/>
      <c r="H102" s="2"/>
      <c r="I102" s="2"/>
      <c r="J102" s="2"/>
    </row>
    <row r="103" spans="1:10" ht="13.5" x14ac:dyDescent="0.25">
      <c r="A103" s="16" t="s">
        <v>1133</v>
      </c>
      <c r="B103" s="283"/>
      <c r="C103" s="2"/>
      <c r="D103" s="2"/>
      <c r="E103" s="2">
        <v>2924</v>
      </c>
      <c r="F103" s="2">
        <v>3461</v>
      </c>
      <c r="G103" s="2">
        <v>3461</v>
      </c>
      <c r="H103" s="2">
        <v>3461</v>
      </c>
      <c r="I103" s="2">
        <v>3461</v>
      </c>
      <c r="J103" s="2">
        <v>3461</v>
      </c>
    </row>
    <row r="104" spans="1:10" x14ac:dyDescent="0.2">
      <c r="A104" s="283" t="s">
        <v>1134</v>
      </c>
      <c r="B104" s="283"/>
      <c r="C104" s="283"/>
      <c r="D104" s="111">
        <v>3461</v>
      </c>
      <c r="E104" s="2"/>
      <c r="F104" s="2"/>
      <c r="G104" s="2"/>
      <c r="H104" s="2"/>
      <c r="I104" s="2"/>
      <c r="J104" s="2"/>
    </row>
    <row r="105" spans="1:10" x14ac:dyDescent="0.2">
      <c r="A105" s="283"/>
      <c r="B105" s="283"/>
      <c r="C105" s="2"/>
      <c r="D105" s="2"/>
      <c r="E105" s="2"/>
      <c r="F105" s="2"/>
      <c r="G105" s="2"/>
      <c r="H105" s="2"/>
      <c r="I105" s="2"/>
      <c r="J105" s="2"/>
    </row>
    <row r="106" spans="1:10" ht="13.5" x14ac:dyDescent="0.25">
      <c r="A106" s="286" t="s">
        <v>903</v>
      </c>
      <c r="B106" s="283"/>
      <c r="C106" s="7"/>
      <c r="D106" s="7"/>
      <c r="E106" s="2">
        <v>409</v>
      </c>
      <c r="F106" s="2">
        <v>675</v>
      </c>
      <c r="G106" s="2">
        <v>675</v>
      </c>
      <c r="H106" s="2">
        <v>675</v>
      </c>
      <c r="I106" s="2">
        <v>675</v>
      </c>
      <c r="J106" s="2">
        <v>675</v>
      </c>
    </row>
    <row r="107" spans="1:10" x14ac:dyDescent="0.2">
      <c r="A107" s="283" t="s">
        <v>1062</v>
      </c>
      <c r="B107" s="283"/>
      <c r="C107" s="2"/>
      <c r="D107" s="2">
        <v>0</v>
      </c>
      <c r="E107" s="2"/>
      <c r="F107" s="2"/>
      <c r="G107" s="2"/>
      <c r="H107" s="2"/>
      <c r="I107" s="2"/>
      <c r="J107" s="2"/>
    </row>
    <row r="108" spans="1:10" x14ac:dyDescent="0.2">
      <c r="A108" s="283" t="s">
        <v>713</v>
      </c>
      <c r="B108" s="283"/>
      <c r="C108" s="2"/>
      <c r="D108" s="2">
        <v>125</v>
      </c>
      <c r="E108" s="2"/>
      <c r="F108" s="2"/>
      <c r="G108" s="2"/>
      <c r="H108" s="2"/>
      <c r="I108" s="2"/>
      <c r="J108" s="2"/>
    </row>
    <row r="109" spans="1:10" x14ac:dyDescent="0.2">
      <c r="A109" s="283" t="s">
        <v>714</v>
      </c>
      <c r="B109" s="283"/>
      <c r="C109" s="2"/>
      <c r="D109" s="2">
        <v>125</v>
      </c>
      <c r="E109" s="2"/>
      <c r="F109" s="2"/>
      <c r="G109" s="2"/>
      <c r="H109" s="2"/>
      <c r="I109" s="2"/>
      <c r="J109" s="2"/>
    </row>
    <row r="110" spans="1:10" x14ac:dyDescent="0.2">
      <c r="A110" s="283" t="s">
        <v>715</v>
      </c>
      <c r="B110" s="283"/>
      <c r="C110" s="2"/>
      <c r="D110" s="2">
        <v>50</v>
      </c>
      <c r="E110" s="2"/>
      <c r="F110" s="2"/>
      <c r="G110" s="2"/>
      <c r="H110" s="2"/>
      <c r="I110" s="2"/>
      <c r="J110" s="2"/>
    </row>
    <row r="111" spans="1:10" x14ac:dyDescent="0.2">
      <c r="A111" s="283" t="s">
        <v>716</v>
      </c>
      <c r="B111" s="283"/>
      <c r="C111" s="2"/>
      <c r="D111" s="2">
        <v>150</v>
      </c>
      <c r="E111" s="2"/>
      <c r="F111" s="2"/>
      <c r="G111" s="2"/>
      <c r="H111" s="2"/>
      <c r="I111" s="2"/>
      <c r="J111" s="2"/>
    </row>
    <row r="112" spans="1:10" x14ac:dyDescent="0.2">
      <c r="A112" s="283" t="s">
        <v>1357</v>
      </c>
      <c r="B112" s="283"/>
      <c r="C112" s="2"/>
      <c r="D112" s="2">
        <v>125</v>
      </c>
      <c r="E112" s="2"/>
      <c r="F112" s="2"/>
      <c r="G112" s="2"/>
      <c r="H112" s="2"/>
      <c r="I112" s="2"/>
      <c r="J112" s="2"/>
    </row>
    <row r="113" spans="1:10" ht="15" x14ac:dyDescent="0.35">
      <c r="A113" s="283" t="s">
        <v>717</v>
      </c>
      <c r="B113" s="283"/>
      <c r="C113" s="10"/>
      <c r="D113" s="10">
        <v>100</v>
      </c>
      <c r="E113" s="2"/>
      <c r="F113" s="2"/>
      <c r="G113" s="2"/>
      <c r="H113" s="2"/>
      <c r="I113" s="2"/>
      <c r="J113" s="2"/>
    </row>
    <row r="114" spans="1:10" x14ac:dyDescent="0.2">
      <c r="A114" s="283" t="s">
        <v>1067</v>
      </c>
      <c r="B114" s="283"/>
      <c r="C114" s="2"/>
      <c r="D114" s="2">
        <f>SUM(D107:D113)</f>
        <v>675</v>
      </c>
      <c r="E114" s="2"/>
      <c r="F114" s="2"/>
      <c r="G114" s="2"/>
      <c r="H114" s="2"/>
      <c r="I114" s="2"/>
      <c r="J114" s="2"/>
    </row>
    <row r="115" spans="1:10" x14ac:dyDescent="0.2">
      <c r="A115" s="283"/>
      <c r="B115" s="283"/>
      <c r="C115" s="2"/>
      <c r="D115" s="2"/>
      <c r="E115" s="2"/>
      <c r="F115" s="2"/>
      <c r="G115" s="2"/>
      <c r="H115" s="2"/>
      <c r="I115" s="2"/>
      <c r="J115" s="2"/>
    </row>
    <row r="116" spans="1:10" ht="13.5" x14ac:dyDescent="0.25">
      <c r="A116" s="286" t="s">
        <v>401</v>
      </c>
      <c r="B116" s="283"/>
      <c r="C116" s="2"/>
      <c r="D116" s="2"/>
      <c r="E116" s="2">
        <v>15604</v>
      </c>
      <c r="F116" s="2">
        <v>16298</v>
      </c>
      <c r="G116" s="2">
        <v>16439</v>
      </c>
      <c r="H116" s="2">
        <v>16439</v>
      </c>
      <c r="I116" s="2">
        <v>16439</v>
      </c>
      <c r="J116" s="2">
        <v>16439</v>
      </c>
    </row>
    <row r="117" spans="1:10" x14ac:dyDescent="0.2">
      <c r="A117" s="283" t="s">
        <v>68</v>
      </c>
      <c r="B117" s="283"/>
      <c r="C117" s="283"/>
      <c r="D117" s="2">
        <v>7253</v>
      </c>
      <c r="E117" s="2"/>
      <c r="F117" s="2"/>
      <c r="G117" s="2"/>
      <c r="H117" s="2"/>
      <c r="I117" s="2"/>
      <c r="J117" s="2"/>
    </row>
    <row r="118" spans="1:10" x14ac:dyDescent="0.2">
      <c r="A118" s="283" t="s">
        <v>69</v>
      </c>
      <c r="B118" s="283"/>
      <c r="C118" s="283"/>
      <c r="D118" s="2">
        <v>6726</v>
      </c>
      <c r="E118" s="2"/>
      <c r="F118" s="2"/>
      <c r="G118" s="2"/>
      <c r="H118" s="2"/>
      <c r="I118" s="2"/>
      <c r="J118" s="2"/>
    </row>
    <row r="119" spans="1:10" x14ac:dyDescent="0.2">
      <c r="A119" s="283" t="s">
        <v>1974</v>
      </c>
      <c r="B119" s="283"/>
      <c r="C119" s="283"/>
      <c r="D119" s="2">
        <v>600</v>
      </c>
      <c r="E119" s="2"/>
      <c r="F119" s="2"/>
      <c r="G119" s="2"/>
      <c r="H119" s="2"/>
      <c r="I119" s="2"/>
      <c r="J119" s="2"/>
    </row>
    <row r="120" spans="1:10" x14ac:dyDescent="0.2">
      <c r="A120" s="283" t="s">
        <v>1692</v>
      </c>
      <c r="B120" s="283"/>
      <c r="C120" s="283"/>
      <c r="D120" s="2">
        <v>240</v>
      </c>
      <c r="E120" s="2"/>
      <c r="F120" s="2"/>
      <c r="G120" s="2"/>
      <c r="H120" s="2"/>
      <c r="I120" s="2"/>
      <c r="J120" s="2"/>
    </row>
    <row r="121" spans="1:10" x14ac:dyDescent="0.2">
      <c r="A121" s="283" t="s">
        <v>725</v>
      </c>
      <c r="B121" s="283"/>
      <c r="C121" s="283"/>
      <c r="D121" s="2">
        <v>870</v>
      </c>
      <c r="E121" s="2"/>
      <c r="F121" s="2"/>
      <c r="G121" s="2"/>
      <c r="H121" s="2"/>
      <c r="I121" s="2"/>
      <c r="J121" s="2"/>
    </row>
    <row r="122" spans="1:10" ht="15" x14ac:dyDescent="0.35">
      <c r="A122" s="283" t="s">
        <v>480</v>
      </c>
      <c r="B122" s="283"/>
      <c r="C122" s="283"/>
      <c r="D122" s="10">
        <v>750</v>
      </c>
      <c r="E122" s="2"/>
      <c r="F122" s="2"/>
      <c r="G122" s="2"/>
      <c r="H122" s="2"/>
      <c r="I122" s="2"/>
      <c r="J122" s="2"/>
    </row>
    <row r="123" spans="1:10" x14ac:dyDescent="0.2">
      <c r="A123" s="283" t="s">
        <v>1067</v>
      </c>
      <c r="B123" s="283"/>
      <c r="C123" s="283"/>
      <c r="D123" s="2">
        <f>SUM(D117:D122)</f>
        <v>16439</v>
      </c>
      <c r="E123" s="2"/>
      <c r="F123" s="2"/>
      <c r="G123" s="2"/>
      <c r="H123" s="2"/>
      <c r="I123" s="2"/>
      <c r="J123" s="2"/>
    </row>
    <row r="124" spans="1:10" x14ac:dyDescent="0.2">
      <c r="A124" s="283"/>
      <c r="B124" s="283"/>
      <c r="C124" s="2"/>
      <c r="D124" s="2"/>
      <c r="E124" s="2"/>
      <c r="F124" s="2"/>
      <c r="G124" s="2"/>
      <c r="H124" s="2"/>
      <c r="I124" s="2"/>
      <c r="J124" s="2"/>
    </row>
    <row r="125" spans="1:10" ht="13.5" x14ac:dyDescent="0.25">
      <c r="A125" s="286" t="s">
        <v>1248</v>
      </c>
      <c r="B125" s="283"/>
      <c r="C125" s="2"/>
      <c r="D125" s="2"/>
      <c r="E125" s="2">
        <v>2302</v>
      </c>
      <c r="F125" s="2">
        <v>2605</v>
      </c>
      <c r="G125" s="2">
        <v>2605</v>
      </c>
      <c r="H125" s="2">
        <v>2605</v>
      </c>
      <c r="I125" s="2">
        <v>2605</v>
      </c>
      <c r="J125" s="2">
        <v>2605</v>
      </c>
    </row>
    <row r="126" spans="1:10" x14ac:dyDescent="0.2">
      <c r="A126" s="283" t="s">
        <v>713</v>
      </c>
      <c r="B126" s="283"/>
      <c r="C126" s="283"/>
      <c r="D126" s="2">
        <v>880</v>
      </c>
      <c r="E126" s="2"/>
      <c r="F126" s="2"/>
      <c r="G126" s="2"/>
      <c r="H126" s="2"/>
      <c r="I126" s="2"/>
      <c r="J126" s="2"/>
    </row>
    <row r="127" spans="1:10" x14ac:dyDescent="0.2">
      <c r="A127" s="283" t="s">
        <v>714</v>
      </c>
      <c r="B127" s="283"/>
      <c r="C127" s="283"/>
      <c r="D127" s="2">
        <v>880</v>
      </c>
      <c r="E127" s="2"/>
      <c r="F127" s="2"/>
      <c r="G127" s="2"/>
      <c r="H127" s="2"/>
      <c r="I127" s="2"/>
      <c r="J127" s="2"/>
    </row>
    <row r="128" spans="1:10" x14ac:dyDescent="0.2">
      <c r="A128" s="283" t="s">
        <v>572</v>
      </c>
      <c r="B128" s="283"/>
      <c r="C128" s="283"/>
      <c r="D128" s="2">
        <v>325</v>
      </c>
      <c r="E128" s="2"/>
      <c r="F128" s="2"/>
      <c r="G128" s="2"/>
      <c r="H128" s="2"/>
      <c r="I128" s="2"/>
      <c r="J128" s="2"/>
    </row>
    <row r="129" spans="1:10" x14ac:dyDescent="0.2">
      <c r="A129" s="283" t="s">
        <v>604</v>
      </c>
      <c r="B129" s="283"/>
      <c r="C129" s="283"/>
      <c r="D129" s="2">
        <v>120</v>
      </c>
      <c r="E129" s="2"/>
      <c r="F129" s="2"/>
      <c r="G129" s="2"/>
      <c r="H129" s="2"/>
      <c r="I129" s="2"/>
      <c r="J129" s="2"/>
    </row>
    <row r="130" spans="1:10" ht="15" x14ac:dyDescent="0.35">
      <c r="A130" s="283" t="s">
        <v>1621</v>
      </c>
      <c r="B130" s="283"/>
      <c r="C130" s="283"/>
      <c r="D130" s="10">
        <v>400</v>
      </c>
      <c r="E130" s="2"/>
      <c r="F130" s="2"/>
      <c r="G130" s="2"/>
      <c r="H130" s="2"/>
      <c r="I130" s="2"/>
      <c r="J130" s="2"/>
    </row>
    <row r="131" spans="1:10" x14ac:dyDescent="0.2">
      <c r="A131" s="283" t="s">
        <v>1067</v>
      </c>
      <c r="B131" s="283"/>
      <c r="C131" s="283"/>
      <c r="D131" s="2">
        <f>SUM(D126:D130)</f>
        <v>2605</v>
      </c>
      <c r="E131" s="2"/>
      <c r="F131" s="2"/>
      <c r="G131" s="2"/>
      <c r="H131" s="2"/>
      <c r="I131" s="2"/>
      <c r="J131" s="2"/>
    </row>
    <row r="132" spans="1:10" x14ac:dyDescent="0.2">
      <c r="A132" s="283"/>
      <c r="B132" s="283"/>
      <c r="C132" s="2"/>
      <c r="D132" s="2"/>
      <c r="E132" s="2"/>
      <c r="F132" s="2"/>
      <c r="G132" s="2"/>
      <c r="H132" s="2"/>
      <c r="I132" s="2"/>
      <c r="J132" s="2"/>
    </row>
    <row r="133" spans="1:10" ht="13.5" x14ac:dyDescent="0.25">
      <c r="A133" s="286" t="s">
        <v>1249</v>
      </c>
      <c r="B133" s="283"/>
      <c r="C133" s="2"/>
      <c r="D133" s="2"/>
      <c r="E133" s="2">
        <v>5965</v>
      </c>
      <c r="F133" s="2">
        <v>9600</v>
      </c>
      <c r="G133" s="2">
        <v>9600</v>
      </c>
      <c r="H133" s="2">
        <v>9600</v>
      </c>
      <c r="I133" s="2">
        <v>9600</v>
      </c>
      <c r="J133" s="2">
        <v>9600</v>
      </c>
    </row>
    <row r="134" spans="1:10" x14ac:dyDescent="0.2">
      <c r="A134" s="283" t="s">
        <v>382</v>
      </c>
      <c r="B134" s="283"/>
      <c r="C134" s="2" t="s">
        <v>338</v>
      </c>
      <c r="D134" s="2"/>
      <c r="E134" s="2"/>
      <c r="F134" s="2"/>
      <c r="G134" s="2"/>
      <c r="H134" s="2"/>
      <c r="I134" s="2"/>
      <c r="J134" s="2"/>
    </row>
    <row r="135" spans="1:10" x14ac:dyDescent="0.2">
      <c r="A135" s="283" t="s">
        <v>583</v>
      </c>
      <c r="B135" s="283"/>
      <c r="C135" s="283"/>
      <c r="D135" s="2">
        <v>9600</v>
      </c>
      <c r="E135" s="2"/>
      <c r="F135" s="2"/>
      <c r="G135" s="2"/>
      <c r="H135" s="2"/>
      <c r="I135" s="2"/>
      <c r="J135" s="2"/>
    </row>
    <row r="136" spans="1:10" x14ac:dyDescent="0.2">
      <c r="A136" s="283"/>
      <c r="B136" s="283"/>
      <c r="C136" s="283"/>
      <c r="D136" s="2"/>
      <c r="E136" s="2"/>
      <c r="F136" s="2"/>
      <c r="G136" s="2"/>
      <c r="H136" s="2"/>
      <c r="I136" s="2"/>
      <c r="J136" s="2"/>
    </row>
    <row r="137" spans="1:10" ht="13.5" x14ac:dyDescent="0.25">
      <c r="A137" s="286" t="s">
        <v>584</v>
      </c>
      <c r="B137" s="283"/>
      <c r="C137" s="283"/>
      <c r="D137" s="2"/>
      <c r="E137" s="2">
        <v>0</v>
      </c>
      <c r="F137" s="2">
        <v>310</v>
      </c>
      <c r="G137" s="2">
        <v>310</v>
      </c>
      <c r="H137" s="2">
        <v>310</v>
      </c>
      <c r="I137" s="2">
        <v>310</v>
      </c>
      <c r="J137" s="2">
        <v>310</v>
      </c>
    </row>
    <row r="138" spans="1:10" x14ac:dyDescent="0.2">
      <c r="A138" s="283" t="s">
        <v>184</v>
      </c>
      <c r="B138" s="283"/>
      <c r="C138" s="283"/>
      <c r="D138" s="2"/>
      <c r="E138" s="2"/>
      <c r="F138" s="2"/>
      <c r="G138" s="2"/>
      <c r="H138" s="2"/>
      <c r="I138" s="2"/>
      <c r="J138" s="2"/>
    </row>
    <row r="139" spans="1:10" x14ac:dyDescent="0.2">
      <c r="A139" s="283"/>
      <c r="B139" s="283"/>
      <c r="C139" s="283"/>
      <c r="D139" s="2"/>
      <c r="E139" s="2"/>
      <c r="F139" s="2"/>
      <c r="G139" s="2"/>
      <c r="H139" s="2"/>
      <c r="I139" s="2"/>
      <c r="J139" s="2"/>
    </row>
    <row r="140" spans="1:10" ht="13.5" x14ac:dyDescent="0.25">
      <c r="A140" s="286" t="s">
        <v>911</v>
      </c>
      <c r="B140" s="283"/>
      <c r="C140" s="283"/>
      <c r="D140" s="2"/>
      <c r="E140" s="2">
        <v>1047</v>
      </c>
      <c r="F140" s="2">
        <v>1025</v>
      </c>
      <c r="G140" s="2">
        <v>1300</v>
      </c>
      <c r="H140" s="2">
        <v>1300</v>
      </c>
      <c r="I140" s="2">
        <v>1300</v>
      </c>
      <c r="J140" s="2">
        <v>1300</v>
      </c>
    </row>
    <row r="141" spans="1:10" x14ac:dyDescent="0.2">
      <c r="A141" s="283" t="s">
        <v>585</v>
      </c>
      <c r="B141" s="283"/>
      <c r="C141" s="283"/>
      <c r="D141" s="2">
        <v>1300</v>
      </c>
      <c r="E141" s="2"/>
      <c r="F141" s="283"/>
      <c r="G141" s="261"/>
      <c r="H141" s="267"/>
      <c r="I141" s="316"/>
      <c r="J141" s="316"/>
    </row>
    <row r="142" spans="1:10" x14ac:dyDescent="0.2">
      <c r="A142" s="283"/>
      <c r="B142" s="283"/>
      <c r="C142" s="283"/>
      <c r="D142" s="2"/>
      <c r="E142" s="2"/>
      <c r="F142" s="283"/>
      <c r="G142" s="261"/>
      <c r="H142" s="267"/>
      <c r="I142" s="316"/>
      <c r="J142" s="316"/>
    </row>
    <row r="143" spans="1:10" ht="13.5" x14ac:dyDescent="0.25">
      <c r="A143" s="286" t="s">
        <v>1676</v>
      </c>
      <c r="B143" s="283"/>
      <c r="C143" s="283"/>
      <c r="D143" s="2"/>
      <c r="E143" s="2">
        <v>0</v>
      </c>
      <c r="F143" s="2"/>
      <c r="G143" s="2"/>
      <c r="H143" s="2"/>
      <c r="I143" s="2"/>
      <c r="J143" s="2"/>
    </row>
    <row r="144" spans="1:10" x14ac:dyDescent="0.2">
      <c r="A144" s="283" t="s">
        <v>896</v>
      </c>
      <c r="B144" s="283"/>
      <c r="C144" s="283"/>
      <c r="D144" s="2">
        <v>0</v>
      </c>
      <c r="E144" s="2"/>
      <c r="F144" s="283"/>
      <c r="G144" s="261"/>
      <c r="H144" s="267"/>
      <c r="I144" s="316"/>
      <c r="J144" s="316"/>
    </row>
    <row r="145" spans="1:10" x14ac:dyDescent="0.2">
      <c r="A145" s="283"/>
      <c r="B145" s="283"/>
      <c r="C145" s="283"/>
      <c r="D145" s="2"/>
      <c r="E145" s="2"/>
      <c r="F145" s="283"/>
      <c r="G145" s="261"/>
      <c r="H145" s="267"/>
      <c r="I145" s="316"/>
      <c r="J145" s="316"/>
    </row>
    <row r="146" spans="1:10" ht="15" x14ac:dyDescent="0.35">
      <c r="A146" s="286" t="s">
        <v>555</v>
      </c>
      <c r="B146" s="283"/>
      <c r="C146" s="283"/>
      <c r="D146" s="7" t="s">
        <v>338</v>
      </c>
      <c r="E146" s="10">
        <v>1375</v>
      </c>
      <c r="F146" s="10">
        <v>3000</v>
      </c>
      <c r="G146" s="10">
        <v>3000</v>
      </c>
      <c r="H146" s="10">
        <v>3000</v>
      </c>
      <c r="I146" s="10">
        <v>3000</v>
      </c>
      <c r="J146" s="10">
        <v>3000</v>
      </c>
    </row>
    <row r="147" spans="1:10" ht="15" x14ac:dyDescent="0.35">
      <c r="A147" s="283" t="s">
        <v>726</v>
      </c>
      <c r="B147" s="283"/>
      <c r="C147" s="2">
        <v>2000</v>
      </c>
      <c r="D147" s="2">
        <v>3000</v>
      </c>
      <c r="E147" s="10"/>
      <c r="F147" s="2"/>
      <c r="G147" s="2"/>
      <c r="H147" s="2"/>
      <c r="I147" s="2"/>
      <c r="J147" s="2"/>
    </row>
    <row r="148" spans="1:10" s="195" customFormat="1" x14ac:dyDescent="0.2">
      <c r="A148" s="22" t="s">
        <v>1975</v>
      </c>
      <c r="B148" s="283"/>
      <c r="C148" s="17">
        <v>1000</v>
      </c>
      <c r="D148" s="17">
        <v>0</v>
      </c>
      <c r="E148" s="2"/>
      <c r="F148" s="2"/>
      <c r="G148" s="2"/>
      <c r="H148" s="2"/>
      <c r="I148" s="2"/>
      <c r="J148" s="2"/>
    </row>
    <row r="149" spans="1:10" s="195" customFormat="1" ht="13.5" x14ac:dyDescent="0.25">
      <c r="A149" s="47" t="s">
        <v>338</v>
      </c>
      <c r="B149" s="283"/>
      <c r="C149" s="2">
        <f>SUM(C147:C148)</f>
        <v>3000</v>
      </c>
      <c r="D149" s="2">
        <f>SUM(D147:D148)</f>
        <v>3000</v>
      </c>
      <c r="E149" s="2"/>
      <c r="F149" s="2"/>
      <c r="G149" s="2"/>
      <c r="H149" s="2"/>
      <c r="I149" s="2"/>
      <c r="J149" s="2"/>
    </row>
    <row r="150" spans="1:10" ht="13.5" x14ac:dyDescent="0.25">
      <c r="A150" s="47"/>
      <c r="B150" s="283"/>
      <c r="C150" s="2"/>
      <c r="D150" s="2"/>
      <c r="E150" s="2"/>
      <c r="F150" s="2"/>
      <c r="G150" s="2"/>
      <c r="H150" s="2"/>
      <c r="I150" s="2"/>
      <c r="J150" s="2"/>
    </row>
    <row r="151" spans="1:10" x14ac:dyDescent="0.2">
      <c r="A151" s="283" t="s">
        <v>1144</v>
      </c>
      <c r="B151" s="283"/>
      <c r="C151" s="2"/>
      <c r="D151" s="2"/>
      <c r="E151" s="2">
        <f>SUM(E1:E150)</f>
        <v>565281</v>
      </c>
      <c r="F151" s="2">
        <f t="shared" ref="F151:J151" si="1">SUM(F1:F150)</f>
        <v>648816</v>
      </c>
      <c r="G151" s="2">
        <f t="shared" si="1"/>
        <v>584701</v>
      </c>
      <c r="H151" s="2">
        <f t="shared" ref="H151" si="2">SUM(H1:H150)</f>
        <v>597923</v>
      </c>
      <c r="I151" s="2">
        <f t="shared" si="1"/>
        <v>611033</v>
      </c>
      <c r="J151" s="2">
        <f t="shared" si="1"/>
        <v>611033</v>
      </c>
    </row>
    <row r="152" spans="1:10" x14ac:dyDescent="0.2">
      <c r="A152" s="283"/>
      <c r="B152" s="283"/>
      <c r="C152" s="283"/>
      <c r="D152" s="283"/>
      <c r="E152" s="283"/>
      <c r="F152" s="283"/>
      <c r="H152" s="267"/>
      <c r="I152" s="227"/>
    </row>
    <row r="153" spans="1:10" x14ac:dyDescent="0.2">
      <c r="A153" s="183" t="s">
        <v>511</v>
      </c>
      <c r="E153" s="2">
        <f>SUM(E5:E78)</f>
        <v>491743</v>
      </c>
      <c r="F153" s="2">
        <f>SUM(F5:F78)</f>
        <v>559696</v>
      </c>
      <c r="G153" s="2">
        <f>SUM(G5:G79)</f>
        <v>493976</v>
      </c>
      <c r="H153" s="2">
        <f>SUM(H5:H79)</f>
        <v>507198</v>
      </c>
      <c r="I153" s="2">
        <f>SUM(I5:I78)</f>
        <v>520308</v>
      </c>
      <c r="J153" s="2">
        <f>SUM(J5:J78)</f>
        <v>520308</v>
      </c>
    </row>
    <row r="154" spans="1:10" x14ac:dyDescent="0.2">
      <c r="A154" s="183" t="s">
        <v>803</v>
      </c>
      <c r="E154" s="2">
        <f t="shared" ref="E154:J154" si="3">SUM(E80:E142)</f>
        <v>72163</v>
      </c>
      <c r="F154" s="2">
        <f t="shared" si="3"/>
        <v>86120</v>
      </c>
      <c r="G154" s="2">
        <f>SUM(G80:G142)</f>
        <v>87725</v>
      </c>
      <c r="H154" s="2">
        <f>SUM(H80:H142)</f>
        <v>87725</v>
      </c>
      <c r="I154" s="2">
        <f>SUM(I80:I142)</f>
        <v>87725</v>
      </c>
      <c r="J154" s="2">
        <f t="shared" si="3"/>
        <v>87725</v>
      </c>
    </row>
    <row r="155" spans="1:10" ht="15" x14ac:dyDescent="0.35">
      <c r="A155" s="183" t="s">
        <v>804</v>
      </c>
      <c r="E155" s="10">
        <f t="shared" ref="E155:J155" si="4">SUM(E143:E146)</f>
        <v>1375</v>
      </c>
      <c r="F155" s="10">
        <f t="shared" si="4"/>
        <v>3000</v>
      </c>
      <c r="G155" s="10">
        <f t="shared" si="4"/>
        <v>3000</v>
      </c>
      <c r="H155" s="10">
        <f t="shared" ref="H155" si="5">SUM(H143:H146)</f>
        <v>3000</v>
      </c>
      <c r="I155" s="10">
        <f t="shared" si="4"/>
        <v>3000</v>
      </c>
      <c r="J155" s="10">
        <f t="shared" si="4"/>
        <v>3000</v>
      </c>
    </row>
    <row r="156" spans="1:10" x14ac:dyDescent="0.2">
      <c r="A156" s="183" t="s">
        <v>1067</v>
      </c>
      <c r="E156" s="2">
        <f t="shared" ref="E156:J156" si="6">SUM(E153:E155)</f>
        <v>565281</v>
      </c>
      <c r="F156" s="2">
        <f t="shared" si="6"/>
        <v>648816</v>
      </c>
      <c r="G156" s="2">
        <f>SUM(G153:G155)</f>
        <v>584701</v>
      </c>
      <c r="H156" s="2">
        <f>SUM(H153:H155)</f>
        <v>597923</v>
      </c>
      <c r="I156" s="2">
        <f>SUM(I153:I155)</f>
        <v>611033</v>
      </c>
      <c r="J156" s="2">
        <f t="shared" si="6"/>
        <v>611033</v>
      </c>
    </row>
    <row r="157" spans="1:10" x14ac:dyDescent="0.2">
      <c r="H157" s="267"/>
      <c r="I157" s="227"/>
    </row>
    <row r="158" spans="1:10" x14ac:dyDescent="0.2">
      <c r="H158" s="267"/>
      <c r="I158" s="227"/>
      <c r="J158" s="111">
        <v>13110</v>
      </c>
    </row>
    <row r="159" spans="1:10" x14ac:dyDescent="0.2">
      <c r="H159" s="267"/>
      <c r="I159" s="2">
        <f>+I156-H156</f>
        <v>13110</v>
      </c>
      <c r="J159" s="2">
        <f>J156-H156</f>
        <v>13110</v>
      </c>
    </row>
    <row r="160" spans="1:10" x14ac:dyDescent="0.2">
      <c r="H160" s="267"/>
      <c r="I160" s="227"/>
      <c r="J160" s="2">
        <f>J158-J159</f>
        <v>0</v>
      </c>
    </row>
    <row r="161" spans="8:9" x14ac:dyDescent="0.2">
      <c r="H161" s="267"/>
      <c r="I161" s="227"/>
    </row>
    <row r="162" spans="8:9" x14ac:dyDescent="0.2">
      <c r="H162" s="267"/>
      <c r="I162" s="227"/>
    </row>
    <row r="163" spans="8:9" x14ac:dyDescent="0.2">
      <c r="H163" s="267"/>
      <c r="I163" s="227"/>
    </row>
    <row r="164" spans="8:9" x14ac:dyDescent="0.2">
      <c r="H164" s="267"/>
      <c r="I164" s="227"/>
    </row>
    <row r="165" spans="8:9" x14ac:dyDescent="0.2">
      <c r="H165" s="267"/>
      <c r="I165" s="227"/>
    </row>
    <row r="166" spans="8:9" x14ac:dyDescent="0.2">
      <c r="H166" s="267"/>
      <c r="I166" s="227"/>
    </row>
    <row r="167" spans="8:9" x14ac:dyDescent="0.2">
      <c r="H167" s="267"/>
      <c r="I167" s="227"/>
    </row>
    <row r="168" spans="8:9" x14ac:dyDescent="0.2">
      <c r="H168" s="267"/>
      <c r="I168" s="227"/>
    </row>
    <row r="169" spans="8:9" x14ac:dyDescent="0.2">
      <c r="H169" s="267"/>
      <c r="I169" s="227"/>
    </row>
    <row r="170" spans="8:9" x14ac:dyDescent="0.2">
      <c r="H170" s="267"/>
      <c r="I170" s="227"/>
    </row>
    <row r="171" spans="8:9" x14ac:dyDescent="0.2">
      <c r="H171" s="267"/>
      <c r="I171" s="227"/>
    </row>
    <row r="172" spans="8:9" x14ac:dyDescent="0.2">
      <c r="H172" s="267"/>
      <c r="I172" s="227"/>
    </row>
    <row r="173" spans="8:9" x14ac:dyDescent="0.2">
      <c r="H173" s="267"/>
      <c r="I173" s="227"/>
    </row>
    <row r="174" spans="8:9" x14ac:dyDescent="0.2">
      <c r="H174" s="267"/>
      <c r="I174" s="227"/>
    </row>
    <row r="175" spans="8:9" x14ac:dyDescent="0.2">
      <c r="I175" s="227"/>
    </row>
    <row r="176" spans="8:9" x14ac:dyDescent="0.2">
      <c r="I176" s="227"/>
    </row>
    <row r="177" spans="9:9" x14ac:dyDescent="0.2">
      <c r="I177" s="227"/>
    </row>
    <row r="178" spans="9:9" x14ac:dyDescent="0.2">
      <c r="I178" s="227"/>
    </row>
    <row r="179" spans="9:9" x14ac:dyDescent="0.2">
      <c r="I179" s="227"/>
    </row>
    <row r="180" spans="9:9" x14ac:dyDescent="0.2">
      <c r="I180" s="227"/>
    </row>
    <row r="181" spans="9:9" x14ac:dyDescent="0.2">
      <c r="I181" s="227"/>
    </row>
    <row r="182" spans="9:9" x14ac:dyDescent="0.2">
      <c r="I182" s="227"/>
    </row>
    <row r="183" spans="9:9" x14ac:dyDescent="0.2">
      <c r="I183" s="227"/>
    </row>
    <row r="184" spans="9:9" x14ac:dyDescent="0.2">
      <c r="I184" s="227"/>
    </row>
    <row r="185" spans="9:9" x14ac:dyDescent="0.2">
      <c r="I185" s="227"/>
    </row>
    <row r="186" spans="9:9" x14ac:dyDescent="0.2">
      <c r="I186" s="227"/>
    </row>
    <row r="187" spans="9:9" x14ac:dyDescent="0.2">
      <c r="I187" s="227"/>
    </row>
    <row r="188" spans="9:9" x14ac:dyDescent="0.2">
      <c r="I188" s="227"/>
    </row>
    <row r="189" spans="9:9" x14ac:dyDescent="0.2">
      <c r="I189" s="227"/>
    </row>
    <row r="190" spans="9:9" x14ac:dyDescent="0.2">
      <c r="I190" s="227"/>
    </row>
    <row r="191" spans="9:9" x14ac:dyDescent="0.2">
      <c r="I191" s="227"/>
    </row>
    <row r="192" spans="9:9" x14ac:dyDescent="0.2">
      <c r="I192" s="227"/>
    </row>
    <row r="193" spans="9:9" x14ac:dyDescent="0.2">
      <c r="I193" s="227"/>
    </row>
    <row r="194" spans="9:9" x14ac:dyDescent="0.2">
      <c r="I194" s="227"/>
    </row>
    <row r="195" spans="9:9" x14ac:dyDescent="0.2">
      <c r="I195" s="227"/>
    </row>
    <row r="196" spans="9:9" x14ac:dyDescent="0.2">
      <c r="I196" s="227"/>
    </row>
    <row r="197" spans="9:9" x14ac:dyDescent="0.2">
      <c r="I197" s="227"/>
    </row>
    <row r="198" spans="9:9" x14ac:dyDescent="0.2">
      <c r="I198" s="227"/>
    </row>
    <row r="199" spans="9:9" x14ac:dyDescent="0.2">
      <c r="I199" s="227"/>
    </row>
    <row r="200" spans="9:9" x14ac:dyDescent="0.2">
      <c r="I200" s="227"/>
    </row>
    <row r="201" spans="9:9" x14ac:dyDescent="0.2">
      <c r="I201" s="227"/>
    </row>
    <row r="202" spans="9:9" x14ac:dyDescent="0.2">
      <c r="I202" s="227"/>
    </row>
    <row r="203" spans="9:9" x14ac:dyDescent="0.2">
      <c r="I203" s="227"/>
    </row>
    <row r="204" spans="9:9" x14ac:dyDescent="0.2">
      <c r="I204" s="227"/>
    </row>
    <row r="205" spans="9:9" x14ac:dyDescent="0.2">
      <c r="I205" s="227"/>
    </row>
    <row r="206" spans="9:9" x14ac:dyDescent="0.2">
      <c r="I206" s="227"/>
    </row>
    <row r="207" spans="9:9" x14ac:dyDescent="0.2">
      <c r="I207" s="227"/>
    </row>
    <row r="208" spans="9:9" x14ac:dyDescent="0.2">
      <c r="I208" s="227"/>
    </row>
    <row r="209" spans="9:9" x14ac:dyDescent="0.2">
      <c r="I209" s="227"/>
    </row>
    <row r="210" spans="9:9" x14ac:dyDescent="0.2">
      <c r="I210" s="227"/>
    </row>
    <row r="211" spans="9:9" x14ac:dyDescent="0.2">
      <c r="I211" s="227"/>
    </row>
    <row r="212" spans="9:9" x14ac:dyDescent="0.2">
      <c r="I212" s="227"/>
    </row>
    <row r="213" spans="9:9" x14ac:dyDescent="0.2">
      <c r="I213" s="227"/>
    </row>
    <row r="214" spans="9:9" x14ac:dyDescent="0.2">
      <c r="I214" s="227"/>
    </row>
    <row r="215" spans="9:9" x14ac:dyDescent="0.2">
      <c r="I215" s="227"/>
    </row>
    <row r="216" spans="9:9" x14ac:dyDescent="0.2">
      <c r="I216" s="227"/>
    </row>
    <row r="217" spans="9:9" x14ac:dyDescent="0.2">
      <c r="I217" s="227"/>
    </row>
    <row r="218" spans="9:9" x14ac:dyDescent="0.2">
      <c r="I218" s="227"/>
    </row>
    <row r="219" spans="9:9" x14ac:dyDescent="0.2">
      <c r="I219" s="227"/>
    </row>
    <row r="220" spans="9:9" x14ac:dyDescent="0.2">
      <c r="I220" s="227"/>
    </row>
    <row r="221" spans="9:9" x14ac:dyDescent="0.2">
      <c r="I221" s="227"/>
    </row>
    <row r="222" spans="9:9" x14ac:dyDescent="0.2">
      <c r="I222" s="227"/>
    </row>
    <row r="223" spans="9:9" x14ac:dyDescent="0.2">
      <c r="I223" s="227"/>
    </row>
    <row r="224" spans="9:9" x14ac:dyDescent="0.2">
      <c r="I224" s="227"/>
    </row>
    <row r="225" spans="9:9" x14ac:dyDescent="0.2">
      <c r="I225" s="227"/>
    </row>
    <row r="226" spans="9:9" x14ac:dyDescent="0.2">
      <c r="I226" s="227"/>
    </row>
    <row r="227" spans="9:9" x14ac:dyDescent="0.2">
      <c r="I227" s="227"/>
    </row>
    <row r="228" spans="9:9" x14ac:dyDescent="0.2">
      <c r="I228" s="227"/>
    </row>
    <row r="229" spans="9:9" x14ac:dyDescent="0.2">
      <c r="I229" s="227"/>
    </row>
    <row r="230" spans="9:9" x14ac:dyDescent="0.2">
      <c r="I230" s="227"/>
    </row>
    <row r="231" spans="9:9" x14ac:dyDescent="0.2">
      <c r="I231" s="227"/>
    </row>
    <row r="232" spans="9:9" x14ac:dyDescent="0.2">
      <c r="I232" s="227"/>
    </row>
    <row r="233" spans="9:9" x14ac:dyDescent="0.2">
      <c r="I233" s="227"/>
    </row>
    <row r="234" spans="9:9" x14ac:dyDescent="0.2">
      <c r="I234" s="227"/>
    </row>
    <row r="235" spans="9:9" x14ac:dyDescent="0.2">
      <c r="I235" s="227"/>
    </row>
    <row r="236" spans="9:9" x14ac:dyDescent="0.2">
      <c r="I236" s="227"/>
    </row>
    <row r="237" spans="9:9" x14ac:dyDescent="0.2">
      <c r="I237" s="227"/>
    </row>
    <row r="238" spans="9:9" x14ac:dyDescent="0.2">
      <c r="I238" s="227"/>
    </row>
    <row r="239" spans="9:9" x14ac:dyDescent="0.2">
      <c r="I239" s="227"/>
    </row>
    <row r="240" spans="9:9" x14ac:dyDescent="0.2">
      <c r="I240" s="227"/>
    </row>
    <row r="241" spans="9:9" x14ac:dyDescent="0.2">
      <c r="I241" s="227"/>
    </row>
    <row r="242" spans="9:9" x14ac:dyDescent="0.2">
      <c r="I242" s="227"/>
    </row>
    <row r="243" spans="9:9" x14ac:dyDescent="0.2">
      <c r="I243" s="227"/>
    </row>
    <row r="244" spans="9:9" x14ac:dyDescent="0.2">
      <c r="I244" s="227"/>
    </row>
    <row r="245" spans="9:9" x14ac:dyDescent="0.2">
      <c r="I245" s="227"/>
    </row>
    <row r="246" spans="9:9" x14ac:dyDescent="0.2">
      <c r="I246" s="227"/>
    </row>
    <row r="247" spans="9:9" x14ac:dyDescent="0.2">
      <c r="I247" s="227"/>
    </row>
    <row r="248" spans="9:9" x14ac:dyDescent="0.2">
      <c r="I248" s="227"/>
    </row>
    <row r="249" spans="9:9" x14ac:dyDescent="0.2">
      <c r="I249" s="227"/>
    </row>
    <row r="250" spans="9:9" x14ac:dyDescent="0.2">
      <c r="I250" s="227"/>
    </row>
  </sheetData>
  <mergeCells count="1">
    <mergeCell ref="A1:J1"/>
  </mergeCells>
  <phoneticPr fontId="0" type="noConversion"/>
  <printOptions gridLines="1"/>
  <pageMargins left="0.75" right="0.16" top="0.51" bottom="0.22" header="0.5" footer="0"/>
  <pageSetup scale="85" fitToHeight="3" orientation="landscape" r:id="rId1"/>
  <headerFooter alignWithMargins="0"/>
  <rowBreaks count="1" manualBreakCount="1">
    <brk id="124" max="9"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68"/>
  <sheetViews>
    <sheetView view="pageBreakPreview" zoomScaleNormal="100" zoomScaleSheetLayoutView="100" workbookViewId="0">
      <pane ySplit="5" topLeftCell="A61" activePane="bottomLeft" state="frozen"/>
      <selection activeCell="D43" sqref="D43"/>
      <selection pane="bottomLeft" sqref="A1:J1"/>
    </sheetView>
  </sheetViews>
  <sheetFormatPr defaultColWidth="8.85546875" defaultRowHeight="12.75" x14ac:dyDescent="0.2"/>
  <cols>
    <col min="1" max="1" width="55" style="183" customWidth="1"/>
    <col min="2" max="2" width="7.7109375" style="183" bestFit="1" customWidth="1"/>
    <col min="3" max="4" width="9" style="183" bestFit="1" customWidth="1"/>
    <col min="5" max="5" width="9.5703125" style="183" bestFit="1" customWidth="1"/>
    <col min="6" max="7" width="9" style="183" bestFit="1" customWidth="1"/>
    <col min="8" max="8" width="10.28515625" style="183" customWidth="1"/>
    <col min="9" max="9" width="12.140625" style="2" customWidth="1"/>
    <col min="10" max="10" width="9.42578125" style="183" bestFit="1" customWidth="1"/>
    <col min="11" max="11" width="9" style="183" bestFit="1" customWidth="1"/>
    <col min="12" max="12" width="0" style="183" hidden="1" customWidth="1"/>
    <col min="13" max="16384" width="8.85546875" style="183"/>
  </cols>
  <sheetData>
    <row r="1" spans="1:11" x14ac:dyDescent="0.2">
      <c r="A1" s="319" t="s">
        <v>2038</v>
      </c>
      <c r="B1" s="320"/>
      <c r="C1" s="320"/>
      <c r="D1" s="320"/>
      <c r="E1" s="320"/>
      <c r="F1" s="320"/>
      <c r="G1" s="320"/>
      <c r="H1" s="320"/>
      <c r="I1" s="320"/>
      <c r="J1" s="320"/>
    </row>
    <row r="2" spans="1:11" ht="18.75" x14ac:dyDescent="0.3">
      <c r="A2" s="95" t="s">
        <v>1574</v>
      </c>
      <c r="B2" s="95"/>
      <c r="C2" s="95"/>
      <c r="D2" s="95"/>
      <c r="E2" s="95"/>
      <c r="F2" s="95"/>
      <c r="G2" s="95"/>
    </row>
    <row r="3" spans="1:11" x14ac:dyDescent="0.2">
      <c r="B3" s="2"/>
      <c r="C3" s="2"/>
      <c r="D3" s="2"/>
      <c r="E3" s="2"/>
      <c r="F3" s="2"/>
      <c r="G3" s="2"/>
    </row>
    <row r="4" spans="1:11" x14ac:dyDescent="0.2">
      <c r="B4" s="2"/>
      <c r="C4" s="2"/>
      <c r="D4" s="2"/>
      <c r="E4" s="2"/>
      <c r="F4" s="15" t="s">
        <v>199</v>
      </c>
      <c r="G4" s="15" t="s">
        <v>200</v>
      </c>
      <c r="H4" s="15" t="s">
        <v>60</v>
      </c>
      <c r="I4" s="15" t="s">
        <v>351</v>
      </c>
      <c r="J4" s="15" t="s">
        <v>264</v>
      </c>
      <c r="K4" s="15" t="s">
        <v>295</v>
      </c>
    </row>
    <row r="5" spans="1:11" ht="15" x14ac:dyDescent="0.35">
      <c r="B5" s="2"/>
      <c r="C5" s="2"/>
      <c r="D5" s="2"/>
      <c r="E5" s="2"/>
      <c r="F5" s="232" t="s">
        <v>1825</v>
      </c>
      <c r="G5" s="232" t="s">
        <v>1947</v>
      </c>
      <c r="H5" s="232" t="s">
        <v>2039</v>
      </c>
      <c r="I5" s="232" t="s">
        <v>2039</v>
      </c>
      <c r="J5" s="232" t="s">
        <v>2039</v>
      </c>
      <c r="K5" s="232" t="s">
        <v>2039</v>
      </c>
    </row>
    <row r="6" spans="1:11" ht="13.5" x14ac:dyDescent="0.25">
      <c r="A6" s="185" t="s">
        <v>556</v>
      </c>
      <c r="B6" s="2"/>
      <c r="C6" s="2"/>
      <c r="D6" s="2"/>
      <c r="E6" s="2"/>
      <c r="F6" s="2">
        <v>43949</v>
      </c>
      <c r="G6" s="2">
        <v>42675</v>
      </c>
      <c r="H6" s="2">
        <v>41845</v>
      </c>
      <c r="I6" s="2">
        <v>41845</v>
      </c>
      <c r="J6" s="2">
        <v>43299</v>
      </c>
      <c r="K6" s="2">
        <v>43299</v>
      </c>
    </row>
    <row r="7" spans="1:11" x14ac:dyDescent="0.2">
      <c r="A7" s="183" t="s">
        <v>1741</v>
      </c>
      <c r="B7" s="243"/>
      <c r="C7" s="2">
        <v>1456</v>
      </c>
      <c r="D7" s="87">
        <v>29.538499999999999</v>
      </c>
      <c r="E7" s="2">
        <f>+D7*C7</f>
        <v>43008.055999999997</v>
      </c>
      <c r="F7" s="2"/>
      <c r="G7" s="2"/>
      <c r="H7" s="2"/>
      <c r="J7" s="2"/>
      <c r="K7" s="2"/>
    </row>
    <row r="8" spans="1:11" ht="15" x14ac:dyDescent="0.35">
      <c r="A8" s="183" t="s">
        <v>1448</v>
      </c>
      <c r="B8" s="2"/>
      <c r="C8" s="2"/>
      <c r="D8" s="11"/>
      <c r="E8" s="10">
        <v>291</v>
      </c>
      <c r="F8" s="2"/>
      <c r="G8" s="2"/>
      <c r="H8" s="2"/>
      <c r="J8" s="2"/>
      <c r="K8" s="2"/>
    </row>
    <row r="9" spans="1:11" x14ac:dyDescent="0.2">
      <c r="B9" s="2"/>
      <c r="C9" s="2"/>
      <c r="D9" s="11"/>
      <c r="E9" s="2">
        <f>SUM(E7:E8)</f>
        <v>43299.055999999997</v>
      </c>
      <c r="F9" s="2"/>
      <c r="G9" s="2"/>
      <c r="H9" s="2"/>
      <c r="J9" s="2"/>
      <c r="K9" s="2"/>
    </row>
    <row r="10" spans="1:11" x14ac:dyDescent="0.2">
      <c r="B10" s="2"/>
      <c r="C10" s="2"/>
      <c r="D10" s="11"/>
      <c r="E10" s="2"/>
      <c r="F10" s="2"/>
      <c r="G10" s="2"/>
      <c r="H10" s="2"/>
      <c r="J10" s="2"/>
      <c r="K10" s="2"/>
    </row>
    <row r="11" spans="1:11" ht="13.5" x14ac:dyDescent="0.25">
      <c r="A11" s="185" t="s">
        <v>590</v>
      </c>
      <c r="C11" s="195"/>
      <c r="D11" s="195"/>
      <c r="E11" s="2"/>
      <c r="F11" s="2">
        <v>3362</v>
      </c>
      <c r="G11" s="2">
        <v>3265</v>
      </c>
      <c r="H11" s="2">
        <v>3201</v>
      </c>
      <c r="I11" s="2">
        <v>3201</v>
      </c>
      <c r="J11" s="2">
        <v>3312</v>
      </c>
      <c r="K11" s="2">
        <v>3312</v>
      </c>
    </row>
    <row r="12" spans="1:11" hidden="1" x14ac:dyDescent="0.2">
      <c r="A12" s="183" t="s">
        <v>591</v>
      </c>
      <c r="B12" s="2"/>
      <c r="C12" s="2">
        <f>+E9</f>
        <v>43299.055999999997</v>
      </c>
      <c r="D12" s="13">
        <v>7.6499999999999999E-2</v>
      </c>
      <c r="E12" s="2">
        <f>ROUND(D12*C12,0)</f>
        <v>3312</v>
      </c>
      <c r="F12" s="2"/>
      <c r="G12" s="2"/>
      <c r="H12" s="2"/>
      <c r="J12" s="2"/>
      <c r="K12" s="2"/>
    </row>
    <row r="13" spans="1:11" x14ac:dyDescent="0.2">
      <c r="C13" s="195"/>
      <c r="D13" s="195"/>
      <c r="E13" s="2"/>
      <c r="F13" s="2"/>
      <c r="G13" s="2"/>
      <c r="H13" s="2"/>
      <c r="J13" s="2"/>
      <c r="K13" s="2"/>
    </row>
    <row r="14" spans="1:11" ht="13.5" x14ac:dyDescent="0.25">
      <c r="A14" s="185" t="s">
        <v>592</v>
      </c>
      <c r="C14" s="195"/>
      <c r="D14" s="195"/>
      <c r="E14" s="2"/>
      <c r="F14" s="2">
        <v>62</v>
      </c>
      <c r="G14" s="2">
        <v>74</v>
      </c>
      <c r="H14" s="2">
        <v>79</v>
      </c>
      <c r="I14" s="2">
        <v>79</v>
      </c>
      <c r="J14" s="2">
        <v>82</v>
      </c>
      <c r="K14" s="2">
        <v>82</v>
      </c>
    </row>
    <row r="15" spans="1:11" hidden="1" x14ac:dyDescent="0.2">
      <c r="A15" s="283" t="s">
        <v>591</v>
      </c>
      <c r="B15" s="2"/>
      <c r="C15" s="2">
        <f>+E9</f>
        <v>43299.055999999997</v>
      </c>
      <c r="D15" s="13">
        <v>1.89E-3</v>
      </c>
      <c r="E15" s="2">
        <f>ROUND(D15*C15,0)</f>
        <v>82</v>
      </c>
      <c r="F15" s="2"/>
      <c r="G15" s="2"/>
      <c r="H15" s="2"/>
      <c r="J15" s="2"/>
      <c r="K15" s="2"/>
    </row>
    <row r="16" spans="1:11" x14ac:dyDescent="0.2">
      <c r="A16" s="283"/>
      <c r="B16" s="283"/>
      <c r="C16" s="283"/>
      <c r="D16" s="283"/>
      <c r="E16" s="2"/>
      <c r="F16" s="2"/>
      <c r="G16" s="2"/>
      <c r="H16" s="2"/>
      <c r="J16" s="2"/>
      <c r="K16" s="2"/>
    </row>
    <row r="17" spans="1:11" ht="13.5" x14ac:dyDescent="0.25">
      <c r="A17" s="286" t="s">
        <v>593</v>
      </c>
      <c r="B17" s="283"/>
      <c r="C17" s="283"/>
      <c r="D17" s="283"/>
      <c r="E17" s="2"/>
      <c r="F17" s="2">
        <v>10</v>
      </c>
      <c r="G17" s="2">
        <v>20</v>
      </c>
      <c r="H17" s="2">
        <v>20</v>
      </c>
      <c r="I17" s="2">
        <v>20</v>
      </c>
      <c r="J17" s="2">
        <v>20</v>
      </c>
      <c r="K17" s="2">
        <v>20</v>
      </c>
    </row>
    <row r="18" spans="1:11" hidden="1" x14ac:dyDescent="0.2">
      <c r="A18" s="283" t="s">
        <v>591</v>
      </c>
      <c r="B18" s="2" t="s">
        <v>338</v>
      </c>
      <c r="C18" s="2" t="s">
        <v>338</v>
      </c>
      <c r="D18" s="13" t="s">
        <v>338</v>
      </c>
      <c r="E18" s="2">
        <v>20</v>
      </c>
      <c r="F18" s="2"/>
      <c r="G18" s="2"/>
      <c r="H18" s="2"/>
      <c r="J18" s="2"/>
      <c r="K18" s="2"/>
    </row>
    <row r="19" spans="1:11" x14ac:dyDescent="0.2">
      <c r="A19" s="283"/>
      <c r="B19" s="283"/>
      <c r="C19" s="283"/>
      <c r="D19" s="283"/>
      <c r="E19" s="2"/>
      <c r="F19" s="2"/>
      <c r="G19" s="2"/>
      <c r="H19" s="2"/>
      <c r="J19" s="2"/>
      <c r="K19" s="2"/>
    </row>
    <row r="20" spans="1:11" ht="13.5" x14ac:dyDescent="0.25">
      <c r="A20" s="286" t="s">
        <v>594</v>
      </c>
      <c r="B20" s="283"/>
      <c r="C20" s="18" t="s">
        <v>1825</v>
      </c>
      <c r="D20" s="18" t="s">
        <v>1947</v>
      </c>
      <c r="E20" s="18" t="s">
        <v>2039</v>
      </c>
      <c r="F20" s="2">
        <v>194</v>
      </c>
      <c r="G20" s="2">
        <v>270</v>
      </c>
      <c r="H20" s="2">
        <v>270</v>
      </c>
      <c r="I20" s="2">
        <v>270</v>
      </c>
      <c r="J20" s="2">
        <v>270</v>
      </c>
      <c r="K20" s="2">
        <v>270</v>
      </c>
    </row>
    <row r="21" spans="1:11" x14ac:dyDescent="0.2">
      <c r="A21" s="283" t="s">
        <v>302</v>
      </c>
      <c r="B21" s="283"/>
      <c r="C21" s="2">
        <v>270</v>
      </c>
      <c r="D21" s="2">
        <v>270</v>
      </c>
      <c r="E21" s="2">
        <v>270</v>
      </c>
      <c r="F21" s="2"/>
      <c r="G21" s="2"/>
      <c r="H21" s="2"/>
      <c r="J21" s="2"/>
      <c r="K21" s="2"/>
    </row>
    <row r="22" spans="1:11" x14ac:dyDescent="0.2">
      <c r="A22" s="283"/>
      <c r="B22" s="283"/>
      <c r="C22" s="2"/>
      <c r="D22" s="2"/>
      <c r="E22" s="2"/>
      <c r="F22" s="2"/>
      <c r="G22" s="2"/>
      <c r="H22" s="2"/>
      <c r="J22" s="2"/>
      <c r="K22" s="2"/>
    </row>
    <row r="23" spans="1:11" ht="13.5" x14ac:dyDescent="0.25">
      <c r="A23" s="286" t="s">
        <v>24</v>
      </c>
      <c r="B23" s="283"/>
      <c r="C23" s="18" t="s">
        <v>1825</v>
      </c>
      <c r="D23" s="18" t="s">
        <v>1947</v>
      </c>
      <c r="E23" s="18" t="s">
        <v>2039</v>
      </c>
      <c r="F23" s="2">
        <v>0</v>
      </c>
      <c r="G23" s="2">
        <v>50</v>
      </c>
      <c r="H23" s="2">
        <v>50</v>
      </c>
      <c r="I23" s="2">
        <v>50</v>
      </c>
      <c r="J23" s="2">
        <v>50</v>
      </c>
      <c r="K23" s="2">
        <v>50</v>
      </c>
    </row>
    <row r="24" spans="1:11" x14ac:dyDescent="0.2">
      <c r="A24" s="283" t="s">
        <v>1690</v>
      </c>
      <c r="B24" s="283"/>
      <c r="C24" s="2">
        <v>50</v>
      </c>
      <c r="D24" s="2">
        <v>50</v>
      </c>
      <c r="E24" s="2">
        <v>50</v>
      </c>
      <c r="F24" s="2"/>
      <c r="G24" s="2"/>
      <c r="H24" s="2"/>
      <c r="J24" s="2"/>
      <c r="K24" s="2"/>
    </row>
    <row r="25" spans="1:11" x14ac:dyDescent="0.2">
      <c r="A25" s="283"/>
      <c r="B25" s="283"/>
      <c r="C25" s="2"/>
      <c r="D25" s="2"/>
      <c r="E25" s="2"/>
      <c r="F25" s="2"/>
      <c r="G25" s="2"/>
      <c r="H25" s="2"/>
      <c r="J25" s="2"/>
      <c r="K25" s="2"/>
    </row>
    <row r="26" spans="1:11" ht="13.5" x14ac:dyDescent="0.25">
      <c r="A26" s="286" t="s">
        <v>821</v>
      </c>
      <c r="B26" s="283"/>
      <c r="C26" s="18" t="s">
        <v>1825</v>
      </c>
      <c r="D26" s="18" t="s">
        <v>1947</v>
      </c>
      <c r="E26" s="18" t="s">
        <v>2039</v>
      </c>
      <c r="F26" s="2">
        <v>60</v>
      </c>
      <c r="G26" s="2">
        <v>100</v>
      </c>
      <c r="H26" s="2">
        <v>80</v>
      </c>
      <c r="I26" s="2">
        <v>80</v>
      </c>
      <c r="J26" s="2">
        <v>80</v>
      </c>
      <c r="K26" s="2">
        <v>80</v>
      </c>
    </row>
    <row r="27" spans="1:11" x14ac:dyDescent="0.2">
      <c r="A27" s="283" t="s">
        <v>822</v>
      </c>
      <c r="B27" s="2" t="s">
        <v>338</v>
      </c>
      <c r="C27" s="2">
        <v>100</v>
      </c>
      <c r="D27" s="2">
        <v>100</v>
      </c>
      <c r="E27" s="2">
        <v>80</v>
      </c>
      <c r="F27" s="2"/>
      <c r="G27" s="2"/>
      <c r="H27" s="2"/>
      <c r="J27" s="2"/>
      <c r="K27" s="2"/>
    </row>
    <row r="28" spans="1:11" x14ac:dyDescent="0.2">
      <c r="A28" s="283"/>
      <c r="B28" s="2"/>
      <c r="C28" s="2"/>
      <c r="D28" s="2"/>
      <c r="E28" s="2"/>
      <c r="F28" s="2"/>
      <c r="G28" s="2"/>
      <c r="H28" s="2"/>
      <c r="J28" s="2"/>
      <c r="K28" s="2"/>
    </row>
    <row r="29" spans="1:11" ht="13.5" x14ac:dyDescent="0.25">
      <c r="A29" s="286" t="s">
        <v>400</v>
      </c>
      <c r="B29" s="283"/>
      <c r="C29" s="18" t="s">
        <v>1825</v>
      </c>
      <c r="D29" s="18" t="s">
        <v>1947</v>
      </c>
      <c r="E29" s="18" t="s">
        <v>2039</v>
      </c>
      <c r="F29" s="2">
        <v>729</v>
      </c>
      <c r="G29" s="2">
        <v>910</v>
      </c>
      <c r="H29" s="2">
        <v>910</v>
      </c>
      <c r="I29" s="2">
        <v>910</v>
      </c>
      <c r="J29" s="2">
        <v>910</v>
      </c>
      <c r="K29" s="2">
        <v>910</v>
      </c>
    </row>
    <row r="30" spans="1:11" x14ac:dyDescent="0.2">
      <c r="A30" s="283" t="s">
        <v>805</v>
      </c>
      <c r="B30" s="283"/>
      <c r="C30" s="2">
        <v>500</v>
      </c>
      <c r="D30" s="2">
        <v>430</v>
      </c>
      <c r="E30" s="2">
        <v>430</v>
      </c>
      <c r="F30" s="2"/>
      <c r="G30" s="2"/>
      <c r="H30" s="2"/>
      <c r="J30" s="2"/>
      <c r="K30" s="2"/>
    </row>
    <row r="31" spans="1:11" ht="15" x14ac:dyDescent="0.35">
      <c r="A31" s="283" t="s">
        <v>848</v>
      </c>
      <c r="B31" s="283"/>
      <c r="C31" s="10">
        <v>480</v>
      </c>
      <c r="D31" s="10">
        <v>480</v>
      </c>
      <c r="E31" s="10">
        <v>480</v>
      </c>
      <c r="F31" s="2"/>
      <c r="G31" s="2"/>
      <c r="H31" s="2"/>
      <c r="J31" s="2"/>
      <c r="K31" s="2"/>
    </row>
    <row r="32" spans="1:11" x14ac:dyDescent="0.2">
      <c r="A32" s="283" t="s">
        <v>1067</v>
      </c>
      <c r="B32" s="283"/>
      <c r="C32" s="2">
        <f>SUM(C30:C31)</f>
        <v>980</v>
      </c>
      <c r="D32" s="2">
        <f>SUM(D30:D31)</f>
        <v>910</v>
      </c>
      <c r="E32" s="2">
        <f>SUM(E30:E31)</f>
        <v>910</v>
      </c>
      <c r="F32" s="2"/>
      <c r="G32" s="2"/>
      <c r="H32" s="2"/>
      <c r="J32" s="2"/>
      <c r="K32" s="2"/>
    </row>
    <row r="33" spans="1:11" x14ac:dyDescent="0.2">
      <c r="A33" s="283" t="s">
        <v>338</v>
      </c>
      <c r="B33" s="283"/>
      <c r="C33" s="2" t="s">
        <v>338</v>
      </c>
      <c r="D33" s="2" t="s">
        <v>338</v>
      </c>
      <c r="E33" s="18"/>
      <c r="F33" s="2"/>
      <c r="G33" s="2"/>
      <c r="H33" s="2"/>
      <c r="J33" s="2"/>
      <c r="K33" s="2"/>
    </row>
    <row r="34" spans="1:11" ht="13.5" x14ac:dyDescent="0.25">
      <c r="A34" s="286" t="s">
        <v>573</v>
      </c>
      <c r="B34" s="283"/>
      <c r="C34" s="18" t="s">
        <v>1825</v>
      </c>
      <c r="D34" s="18" t="s">
        <v>1947</v>
      </c>
      <c r="E34" s="18" t="s">
        <v>2039</v>
      </c>
      <c r="F34" s="2">
        <v>50</v>
      </c>
      <c r="G34" s="2">
        <v>50</v>
      </c>
      <c r="H34" s="2">
        <v>50</v>
      </c>
      <c r="I34" s="2">
        <v>50</v>
      </c>
      <c r="J34" s="2">
        <v>50</v>
      </c>
      <c r="K34" s="2">
        <v>50</v>
      </c>
    </row>
    <row r="35" spans="1:11" x14ac:dyDescent="0.2">
      <c r="A35" s="283" t="s">
        <v>370</v>
      </c>
      <c r="B35" s="2" t="s">
        <v>338</v>
      </c>
      <c r="C35" s="2">
        <v>50</v>
      </c>
      <c r="D35" s="2">
        <v>50</v>
      </c>
      <c r="E35" s="2">
        <v>50</v>
      </c>
      <c r="F35" s="2"/>
      <c r="G35" s="2"/>
      <c r="H35" s="2"/>
      <c r="J35" s="2"/>
      <c r="K35" s="2"/>
    </row>
    <row r="36" spans="1:11" x14ac:dyDescent="0.2">
      <c r="A36" s="283"/>
      <c r="B36" s="283"/>
      <c r="C36" s="2"/>
      <c r="D36" s="2"/>
      <c r="E36" s="2"/>
      <c r="F36" s="2"/>
      <c r="G36" s="2"/>
      <c r="H36" s="2"/>
      <c r="J36" s="2"/>
      <c r="K36" s="2"/>
    </row>
    <row r="37" spans="1:11" ht="13.5" x14ac:dyDescent="0.25">
      <c r="A37" s="16" t="s">
        <v>1283</v>
      </c>
      <c r="B37" s="283"/>
      <c r="C37" s="18" t="s">
        <v>1825</v>
      </c>
      <c r="D37" s="18" t="s">
        <v>1947</v>
      </c>
      <c r="E37" s="18" t="s">
        <v>2039</v>
      </c>
      <c r="F37" s="2">
        <v>382</v>
      </c>
      <c r="G37" s="2">
        <v>496</v>
      </c>
      <c r="H37" s="2">
        <v>521</v>
      </c>
      <c r="I37" s="2">
        <v>521</v>
      </c>
      <c r="J37" s="2">
        <v>521</v>
      </c>
      <c r="K37" s="2">
        <v>521</v>
      </c>
    </row>
    <row r="38" spans="1:11" x14ac:dyDescent="0.2">
      <c r="A38" s="283" t="s">
        <v>733</v>
      </c>
      <c r="B38" s="283"/>
      <c r="C38" s="283">
        <v>397</v>
      </c>
      <c r="D38" s="283">
        <v>496</v>
      </c>
      <c r="E38" s="283">
        <v>521</v>
      </c>
      <c r="F38" s="2"/>
      <c r="G38" s="2"/>
      <c r="H38" s="2"/>
      <c r="J38" s="2"/>
      <c r="K38" s="2"/>
    </row>
    <row r="39" spans="1:11" x14ac:dyDescent="0.2">
      <c r="A39" s="283"/>
      <c r="B39" s="283"/>
      <c r="C39" s="2"/>
      <c r="D39" s="2"/>
      <c r="E39" s="2"/>
      <c r="F39" s="2"/>
      <c r="G39" s="2"/>
      <c r="H39" s="2"/>
      <c r="J39" s="2"/>
      <c r="K39" s="2"/>
    </row>
    <row r="40" spans="1:11" ht="13.5" x14ac:dyDescent="0.25">
      <c r="A40" s="286" t="s">
        <v>1284</v>
      </c>
      <c r="B40" s="283"/>
      <c r="C40" s="18" t="s">
        <v>1825</v>
      </c>
      <c r="D40" s="18" t="s">
        <v>1947</v>
      </c>
      <c r="E40" s="18" t="s">
        <v>2039</v>
      </c>
      <c r="F40" s="2">
        <v>117</v>
      </c>
      <c r="G40" s="2">
        <v>600</v>
      </c>
      <c r="H40" s="2">
        <v>600</v>
      </c>
      <c r="I40" s="2">
        <v>600</v>
      </c>
      <c r="J40" s="2">
        <v>600</v>
      </c>
      <c r="K40" s="2">
        <v>600</v>
      </c>
    </row>
    <row r="41" spans="1:11" x14ac:dyDescent="0.2">
      <c r="A41" s="283" t="s">
        <v>261</v>
      </c>
      <c r="B41" s="283"/>
      <c r="C41" s="2">
        <v>600</v>
      </c>
      <c r="D41" s="2">
        <v>600</v>
      </c>
      <c r="E41" s="2">
        <v>600</v>
      </c>
      <c r="F41" s="2"/>
      <c r="G41" s="2"/>
      <c r="H41" s="2"/>
      <c r="J41" s="2"/>
      <c r="K41" s="2"/>
    </row>
    <row r="42" spans="1:11" x14ac:dyDescent="0.2">
      <c r="A42" s="283"/>
      <c r="B42" s="283"/>
      <c r="C42" s="283"/>
      <c r="D42" s="2"/>
      <c r="E42" s="2"/>
      <c r="F42" s="2"/>
      <c r="G42" s="2"/>
      <c r="H42" s="2"/>
      <c r="J42" s="2"/>
      <c r="K42" s="2"/>
    </row>
    <row r="43" spans="1:11" ht="13.5" x14ac:dyDescent="0.25">
      <c r="A43" s="286" t="s">
        <v>512</v>
      </c>
      <c r="B43" s="283"/>
      <c r="C43" s="283"/>
      <c r="D43" s="2"/>
      <c r="E43" s="2"/>
      <c r="F43" s="2">
        <v>1500</v>
      </c>
      <c r="G43" s="2">
        <v>1500</v>
      </c>
      <c r="H43" s="2">
        <v>1700</v>
      </c>
      <c r="I43" s="2">
        <v>1700</v>
      </c>
      <c r="J43" s="2">
        <v>1700</v>
      </c>
      <c r="K43" s="2">
        <v>1700</v>
      </c>
    </row>
    <row r="44" spans="1:11" x14ac:dyDescent="0.2">
      <c r="A44" s="22" t="s">
        <v>1398</v>
      </c>
      <c r="B44" s="283"/>
      <c r="C44" s="283"/>
      <c r="D44" s="2"/>
      <c r="E44" s="2">
        <v>1700</v>
      </c>
      <c r="F44" s="2"/>
      <c r="G44" s="2"/>
      <c r="H44" s="2"/>
      <c r="J44" s="2"/>
      <c r="K44" s="2"/>
    </row>
    <row r="45" spans="1:11" x14ac:dyDescent="0.2">
      <c r="A45" s="22"/>
      <c r="B45" s="283"/>
      <c r="C45" s="283"/>
      <c r="D45" s="2"/>
      <c r="E45" s="2"/>
      <c r="F45" s="2"/>
      <c r="G45" s="2"/>
      <c r="H45" s="2"/>
      <c r="J45" s="2"/>
      <c r="K45" s="2"/>
    </row>
    <row r="46" spans="1:11" ht="13.5" x14ac:dyDescent="0.25">
      <c r="A46" s="286" t="s">
        <v>442</v>
      </c>
      <c r="B46" s="283"/>
      <c r="C46" s="18" t="s">
        <v>1825</v>
      </c>
      <c r="D46" s="18" t="s">
        <v>1947</v>
      </c>
      <c r="E46" s="18" t="s">
        <v>2039</v>
      </c>
      <c r="F46" s="2">
        <v>105</v>
      </c>
      <c r="G46" s="2">
        <v>185</v>
      </c>
      <c r="H46" s="2">
        <v>290</v>
      </c>
      <c r="I46" s="2">
        <v>290</v>
      </c>
      <c r="J46" s="2">
        <v>290</v>
      </c>
      <c r="K46" s="2">
        <v>290</v>
      </c>
    </row>
    <row r="47" spans="1:11" x14ac:dyDescent="0.2">
      <c r="A47" s="283" t="s">
        <v>418</v>
      </c>
      <c r="B47" s="283"/>
      <c r="C47" s="2">
        <v>90</v>
      </c>
      <c r="D47" s="2">
        <v>90</v>
      </c>
      <c r="E47" s="2">
        <v>135</v>
      </c>
      <c r="F47" s="2"/>
      <c r="G47" s="2"/>
      <c r="H47" s="2"/>
      <c r="J47" s="2"/>
      <c r="K47" s="2"/>
    </row>
    <row r="48" spans="1:11" ht="15" x14ac:dyDescent="0.35">
      <c r="A48" s="283" t="s">
        <v>2077</v>
      </c>
      <c r="B48" s="283"/>
      <c r="C48" s="10">
        <v>95</v>
      </c>
      <c r="D48" s="10">
        <v>95</v>
      </c>
      <c r="E48" s="10">
        <v>155</v>
      </c>
      <c r="F48" s="2"/>
      <c r="G48" s="2"/>
      <c r="H48" s="2"/>
      <c r="J48" s="2"/>
      <c r="K48" s="2"/>
    </row>
    <row r="49" spans="1:11" x14ac:dyDescent="0.2">
      <c r="A49" s="283" t="s">
        <v>1067</v>
      </c>
      <c r="B49" s="283"/>
      <c r="C49" s="2">
        <f>SUM(C47:C48)</f>
        <v>185</v>
      </c>
      <c r="D49" s="2">
        <f>SUM(D47:D48)</f>
        <v>185</v>
      </c>
      <c r="E49" s="2">
        <f>SUM(E47:E48)</f>
        <v>290</v>
      </c>
      <c r="F49" s="2"/>
      <c r="G49" s="2"/>
      <c r="H49" s="2"/>
      <c r="J49" s="2"/>
      <c r="K49" s="2"/>
    </row>
    <row r="50" spans="1:11" x14ac:dyDescent="0.2">
      <c r="A50" s="283"/>
      <c r="B50" s="283"/>
      <c r="C50" s="2"/>
      <c r="D50" s="2"/>
      <c r="E50" s="2"/>
      <c r="F50" s="2"/>
      <c r="G50" s="2"/>
      <c r="H50" s="2"/>
      <c r="J50" s="2"/>
      <c r="K50" s="2"/>
    </row>
    <row r="51" spans="1:11" ht="13.5" x14ac:dyDescent="0.25">
      <c r="A51" s="286" t="s">
        <v>443</v>
      </c>
      <c r="B51" s="283"/>
      <c r="C51" s="18" t="s">
        <v>1825</v>
      </c>
      <c r="D51" s="18" t="s">
        <v>1947</v>
      </c>
      <c r="E51" s="18" t="s">
        <v>2039</v>
      </c>
      <c r="F51" s="2">
        <v>0</v>
      </c>
      <c r="G51" s="2">
        <v>20</v>
      </c>
      <c r="H51" s="2">
        <v>20</v>
      </c>
      <c r="I51" s="2">
        <v>20</v>
      </c>
      <c r="J51" s="2">
        <v>20</v>
      </c>
      <c r="K51" s="2">
        <v>20</v>
      </c>
    </row>
    <row r="52" spans="1:11" x14ac:dyDescent="0.2">
      <c r="A52" s="283" t="s">
        <v>260</v>
      </c>
      <c r="B52" s="283"/>
      <c r="C52" s="2">
        <v>20</v>
      </c>
      <c r="D52" s="2">
        <v>20</v>
      </c>
      <c r="E52" s="2">
        <v>20</v>
      </c>
      <c r="F52" s="2"/>
      <c r="G52" s="2"/>
      <c r="H52" s="2"/>
      <c r="J52" s="2"/>
      <c r="K52" s="2"/>
    </row>
    <row r="53" spans="1:11" x14ac:dyDescent="0.2">
      <c r="A53" s="283"/>
      <c r="B53" s="283"/>
      <c r="C53" s="283"/>
      <c r="D53" s="2"/>
      <c r="E53" s="2"/>
      <c r="F53" s="2"/>
      <c r="G53" s="2"/>
      <c r="H53" s="2"/>
      <c r="J53" s="2"/>
      <c r="K53" s="2"/>
    </row>
    <row r="54" spans="1:11" ht="13.5" x14ac:dyDescent="0.25">
      <c r="A54" s="286" t="s">
        <v>1460</v>
      </c>
      <c r="B54" s="283"/>
      <c r="C54" s="283"/>
      <c r="D54" s="2"/>
      <c r="E54" s="2"/>
      <c r="F54" s="2"/>
      <c r="G54" s="2"/>
      <c r="H54" s="2"/>
      <c r="J54" s="2"/>
      <c r="K54" s="2"/>
    </row>
    <row r="55" spans="1:11" x14ac:dyDescent="0.2">
      <c r="A55" s="283"/>
      <c r="B55" s="283"/>
      <c r="C55" s="283"/>
      <c r="D55" s="2"/>
      <c r="E55" s="2"/>
      <c r="F55" s="2"/>
      <c r="G55" s="2"/>
      <c r="H55" s="2"/>
      <c r="J55" s="2"/>
      <c r="K55" s="2"/>
    </row>
    <row r="56" spans="1:11" ht="15" x14ac:dyDescent="0.35">
      <c r="A56" s="283"/>
      <c r="B56" s="283"/>
      <c r="C56" s="283"/>
      <c r="D56" s="321" t="s">
        <v>2039</v>
      </c>
      <c r="E56" s="323"/>
      <c r="F56" s="2"/>
      <c r="G56" s="2"/>
      <c r="H56" s="2"/>
      <c r="J56" s="2"/>
      <c r="K56" s="2"/>
    </row>
    <row r="57" spans="1:11" ht="13.5" x14ac:dyDescent="0.25">
      <c r="A57" s="286" t="s">
        <v>239</v>
      </c>
      <c r="B57" s="84" t="s">
        <v>1825</v>
      </c>
      <c r="C57" s="84" t="s">
        <v>1947</v>
      </c>
      <c r="D57" s="18" t="s">
        <v>211</v>
      </c>
      <c r="E57" s="18" t="s">
        <v>215</v>
      </c>
      <c r="F57" s="2">
        <v>76905</v>
      </c>
      <c r="G57" s="2">
        <v>78568</v>
      </c>
      <c r="H57" s="2">
        <f>+E72</f>
        <v>81245</v>
      </c>
      <c r="I57" s="2">
        <v>81245</v>
      </c>
      <c r="J57" s="2">
        <v>81245</v>
      </c>
      <c r="K57" s="2">
        <v>81245</v>
      </c>
    </row>
    <row r="58" spans="1:11" x14ac:dyDescent="0.2">
      <c r="A58" s="283" t="s">
        <v>701</v>
      </c>
      <c r="B58" s="165">
        <v>1000</v>
      </c>
      <c r="C58" s="165">
        <v>1000</v>
      </c>
      <c r="D58" s="2">
        <v>1000</v>
      </c>
      <c r="E58" s="165">
        <v>1000</v>
      </c>
      <c r="F58" s="2"/>
      <c r="G58" s="2"/>
      <c r="H58" s="2"/>
      <c r="J58" s="2"/>
      <c r="K58" s="2"/>
    </row>
    <row r="59" spans="1:11" x14ac:dyDescent="0.2">
      <c r="A59" s="283" t="s">
        <v>1191</v>
      </c>
      <c r="B59" s="165">
        <v>1000</v>
      </c>
      <c r="C59" s="165">
        <v>1000</v>
      </c>
      <c r="D59" s="2">
        <v>1800</v>
      </c>
      <c r="E59" s="165">
        <v>1000</v>
      </c>
      <c r="F59" s="2"/>
      <c r="G59" s="2"/>
      <c r="H59" s="2"/>
      <c r="J59" s="2"/>
      <c r="K59" s="2"/>
    </row>
    <row r="60" spans="1:11" x14ac:dyDescent="0.2">
      <c r="A60" s="283" t="s">
        <v>1148</v>
      </c>
      <c r="B60" s="165">
        <v>5500</v>
      </c>
      <c r="C60" s="165">
        <v>5775</v>
      </c>
      <c r="D60" s="2">
        <v>6000</v>
      </c>
      <c r="E60" s="165">
        <v>6000</v>
      </c>
      <c r="F60" s="2"/>
      <c r="G60" s="2"/>
      <c r="H60" s="2"/>
      <c r="J60" s="2"/>
      <c r="K60" s="2"/>
    </row>
    <row r="61" spans="1:11" x14ac:dyDescent="0.2">
      <c r="A61" s="283" t="s">
        <v>878</v>
      </c>
      <c r="B61" s="165">
        <v>2915</v>
      </c>
      <c r="C61" s="165">
        <v>2915</v>
      </c>
      <c r="D61" s="7">
        <v>3000</v>
      </c>
      <c r="E61" s="165">
        <v>3000</v>
      </c>
      <c r="F61" s="2"/>
      <c r="G61" s="2"/>
      <c r="H61" s="2"/>
      <c r="J61" s="2"/>
      <c r="K61" s="2"/>
    </row>
    <row r="62" spans="1:11" x14ac:dyDescent="0.2">
      <c r="A62" s="283" t="s">
        <v>1615</v>
      </c>
      <c r="B62" s="165">
        <v>3869</v>
      </c>
      <c r="C62" s="165">
        <v>4000</v>
      </c>
      <c r="D62" s="2">
        <v>4000</v>
      </c>
      <c r="E62" s="165">
        <v>4000</v>
      </c>
      <c r="F62" s="2"/>
      <c r="G62" s="2"/>
      <c r="H62" s="2"/>
      <c r="J62" s="2"/>
      <c r="K62" s="2"/>
    </row>
    <row r="63" spans="1:11" x14ac:dyDescent="0.2">
      <c r="A63" s="283" t="s">
        <v>1691</v>
      </c>
      <c r="B63" s="165">
        <v>2500</v>
      </c>
      <c r="C63" s="165">
        <v>2625</v>
      </c>
      <c r="D63" s="2">
        <v>5000</v>
      </c>
      <c r="E63" s="165">
        <v>2835</v>
      </c>
      <c r="F63" s="2"/>
      <c r="G63" s="2"/>
      <c r="H63" s="2"/>
      <c r="J63" s="2"/>
      <c r="K63" s="2"/>
    </row>
    <row r="64" spans="1:11" x14ac:dyDescent="0.2">
      <c r="A64" s="283" t="s">
        <v>77</v>
      </c>
      <c r="B64" s="165">
        <v>13886</v>
      </c>
      <c r="C64" s="165">
        <v>15018</v>
      </c>
      <c r="D64" s="2">
        <v>72034</v>
      </c>
      <c r="E64" s="165">
        <v>16220</v>
      </c>
      <c r="F64" s="2"/>
      <c r="G64" s="2"/>
      <c r="H64" s="2"/>
      <c r="J64" s="2"/>
      <c r="K64" s="2"/>
    </row>
    <row r="65" spans="1:11" x14ac:dyDescent="0.2">
      <c r="A65" s="187" t="s">
        <v>1854</v>
      </c>
      <c r="B65" s="165">
        <v>8000</v>
      </c>
      <c r="C65" s="165">
        <v>8000</v>
      </c>
      <c r="D65" s="2">
        <v>8000</v>
      </c>
      <c r="E65" s="165">
        <v>8000</v>
      </c>
      <c r="F65" s="2"/>
      <c r="G65" s="2"/>
      <c r="H65" s="2"/>
      <c r="J65" s="2"/>
      <c r="K65" s="2"/>
    </row>
    <row r="66" spans="1:11" x14ac:dyDescent="0.2">
      <c r="A66" s="283" t="s">
        <v>1187</v>
      </c>
      <c r="B66" s="165">
        <v>15000</v>
      </c>
      <c r="C66" s="165">
        <v>15000</v>
      </c>
      <c r="D66" s="2">
        <v>15000</v>
      </c>
      <c r="E66" s="165">
        <v>15000</v>
      </c>
      <c r="F66" s="2"/>
      <c r="G66" s="2"/>
      <c r="H66" s="2"/>
      <c r="J66" s="2"/>
      <c r="K66" s="2"/>
    </row>
    <row r="67" spans="1:11" x14ac:dyDescent="0.2">
      <c r="A67" s="283" t="s">
        <v>78</v>
      </c>
      <c r="B67" s="165">
        <v>5000</v>
      </c>
      <c r="C67" s="165">
        <v>5000</v>
      </c>
      <c r="D67" s="2">
        <v>5000</v>
      </c>
      <c r="E67" s="165">
        <v>5000</v>
      </c>
      <c r="F67" s="2"/>
      <c r="G67" s="2"/>
      <c r="H67" s="2"/>
      <c r="J67" s="2"/>
      <c r="K67" s="2"/>
    </row>
    <row r="68" spans="1:11" x14ac:dyDescent="0.2">
      <c r="A68" s="283" t="s">
        <v>774</v>
      </c>
      <c r="B68" s="165">
        <v>5000</v>
      </c>
      <c r="C68" s="165">
        <v>5000</v>
      </c>
      <c r="D68" s="2">
        <v>5000</v>
      </c>
      <c r="E68" s="165">
        <v>5000</v>
      </c>
      <c r="F68" s="2"/>
      <c r="G68" s="2"/>
      <c r="H68" s="2"/>
      <c r="J68" s="2"/>
      <c r="K68" s="2"/>
    </row>
    <row r="69" spans="1:11" x14ac:dyDescent="0.2">
      <c r="A69" s="283" t="s">
        <v>79</v>
      </c>
      <c r="B69" s="165">
        <v>1300</v>
      </c>
      <c r="C69" s="165">
        <v>1300</v>
      </c>
      <c r="D69" s="2">
        <v>1800</v>
      </c>
      <c r="E69" s="165">
        <v>1300</v>
      </c>
      <c r="F69" s="2"/>
      <c r="G69" s="2"/>
      <c r="H69" s="2"/>
      <c r="J69" s="2"/>
      <c r="K69" s="2"/>
    </row>
    <row r="70" spans="1:11" x14ac:dyDescent="0.2">
      <c r="A70" s="283" t="s">
        <v>437</v>
      </c>
      <c r="B70" s="165">
        <v>2500</v>
      </c>
      <c r="C70" s="165">
        <v>2500</v>
      </c>
      <c r="D70" s="2">
        <v>3000</v>
      </c>
      <c r="E70" s="165">
        <v>2700</v>
      </c>
      <c r="F70" s="2"/>
      <c r="G70" s="2"/>
      <c r="H70" s="2"/>
      <c r="J70" s="2"/>
      <c r="K70" s="2"/>
    </row>
    <row r="71" spans="1:11" ht="15" x14ac:dyDescent="0.35">
      <c r="A71" s="283" t="s">
        <v>1976</v>
      </c>
      <c r="B71" s="166">
        <v>9435</v>
      </c>
      <c r="C71" s="166">
        <v>9435</v>
      </c>
      <c r="D71" s="10">
        <v>18000</v>
      </c>
      <c r="E71" s="166">
        <v>10190</v>
      </c>
      <c r="F71" s="2"/>
      <c r="G71" s="2"/>
      <c r="H71" s="2"/>
      <c r="J71" s="2"/>
      <c r="K71" s="2"/>
    </row>
    <row r="72" spans="1:11" x14ac:dyDescent="0.2">
      <c r="A72" s="283" t="s">
        <v>1067</v>
      </c>
      <c r="B72" s="2">
        <f>SUM(B58:B71)</f>
        <v>76905</v>
      </c>
      <c r="C72" s="2">
        <f>SUM(C58:C71)</f>
        <v>78568</v>
      </c>
      <c r="D72" s="2">
        <f>SUM(D58:D71)</f>
        <v>148634</v>
      </c>
      <c r="E72" s="165">
        <f>SUM(E58:E71)</f>
        <v>81245</v>
      </c>
      <c r="F72" s="2"/>
      <c r="G72" s="2"/>
      <c r="H72" s="2"/>
      <c r="J72" s="2"/>
      <c r="K72" s="2"/>
    </row>
    <row r="73" spans="1:11" x14ac:dyDescent="0.2">
      <c r="A73" s="283"/>
      <c r="B73" s="2"/>
      <c r="C73" s="2"/>
      <c r="D73" s="2"/>
      <c r="E73" s="2"/>
      <c r="F73" s="2"/>
      <c r="G73" s="2"/>
      <c r="H73" s="2"/>
      <c r="J73" s="2"/>
      <c r="K73" s="2"/>
    </row>
    <row r="74" spans="1:11" x14ac:dyDescent="0.2">
      <c r="A74" s="283" t="s">
        <v>808</v>
      </c>
      <c r="B74" s="2"/>
      <c r="C74" s="2"/>
      <c r="D74" s="2"/>
      <c r="E74" s="7"/>
      <c r="F74" s="2">
        <v>14520</v>
      </c>
      <c r="G74" s="2">
        <v>35000</v>
      </c>
      <c r="H74" s="2">
        <v>38300</v>
      </c>
      <c r="I74" s="2">
        <v>38300</v>
      </c>
      <c r="J74" s="2">
        <v>38300</v>
      </c>
      <c r="K74" s="2">
        <v>38300</v>
      </c>
    </row>
    <row r="75" spans="1:11" x14ac:dyDescent="0.2">
      <c r="A75" s="283" t="s">
        <v>809</v>
      </c>
      <c r="B75" s="2"/>
      <c r="C75" s="2"/>
      <c r="D75" s="2"/>
      <c r="E75" s="7"/>
      <c r="F75" s="2">
        <v>138</v>
      </c>
      <c r="G75" s="2">
        <v>1300</v>
      </c>
      <c r="H75" s="2">
        <v>1400</v>
      </c>
      <c r="I75" s="2">
        <v>1400</v>
      </c>
      <c r="J75" s="2">
        <v>1400</v>
      </c>
      <c r="K75" s="2">
        <v>1400</v>
      </c>
    </row>
    <row r="76" spans="1:11" x14ac:dyDescent="0.2">
      <c r="A76" s="283" t="s">
        <v>617</v>
      </c>
      <c r="B76" s="2"/>
      <c r="C76" s="2"/>
      <c r="D76" s="2"/>
      <c r="E76" s="7"/>
      <c r="F76" s="2">
        <v>57</v>
      </c>
      <c r="G76" s="2">
        <v>400</v>
      </c>
      <c r="H76" s="2">
        <v>450</v>
      </c>
      <c r="I76" s="2">
        <v>450</v>
      </c>
      <c r="J76" s="2">
        <v>450</v>
      </c>
      <c r="K76" s="2">
        <v>450</v>
      </c>
    </row>
    <row r="77" spans="1:11" x14ac:dyDescent="0.2">
      <c r="A77" s="283" t="s">
        <v>618</v>
      </c>
      <c r="B77" s="2"/>
      <c r="C77" s="2"/>
      <c r="D77" s="2"/>
      <c r="E77" s="7"/>
      <c r="F77" s="2">
        <v>0</v>
      </c>
      <c r="G77" s="2">
        <v>800</v>
      </c>
      <c r="H77" s="2">
        <v>1200</v>
      </c>
      <c r="I77" s="2">
        <v>1200</v>
      </c>
      <c r="J77" s="2">
        <v>1200</v>
      </c>
      <c r="K77" s="2">
        <v>1200</v>
      </c>
    </row>
    <row r="78" spans="1:11" x14ac:dyDescent="0.2">
      <c r="A78" s="283" t="s">
        <v>810</v>
      </c>
      <c r="B78" s="2"/>
      <c r="C78" s="2"/>
      <c r="D78" s="2"/>
      <c r="E78" s="7"/>
      <c r="F78" s="2">
        <v>0</v>
      </c>
      <c r="G78" s="2">
        <v>50</v>
      </c>
      <c r="H78" s="2">
        <v>50</v>
      </c>
      <c r="I78" s="2">
        <v>50</v>
      </c>
      <c r="J78" s="2">
        <v>50</v>
      </c>
      <c r="K78" s="2">
        <v>50</v>
      </c>
    </row>
    <row r="79" spans="1:11" x14ac:dyDescent="0.2">
      <c r="A79" s="283" t="s">
        <v>811</v>
      </c>
      <c r="B79" s="2"/>
      <c r="C79" s="2"/>
      <c r="D79" s="2"/>
      <c r="E79" s="7"/>
      <c r="F79" s="2">
        <v>0</v>
      </c>
      <c r="G79" s="2">
        <v>1</v>
      </c>
      <c r="H79" s="2">
        <v>1</v>
      </c>
      <c r="I79" s="2">
        <v>1</v>
      </c>
      <c r="J79" s="2">
        <v>1</v>
      </c>
      <c r="K79" s="2">
        <v>1</v>
      </c>
    </row>
    <row r="80" spans="1:11" x14ac:dyDescent="0.2">
      <c r="A80" s="283" t="s">
        <v>812</v>
      </c>
      <c r="B80" s="2"/>
      <c r="C80" s="2"/>
      <c r="D80" s="2"/>
      <c r="E80" s="7"/>
      <c r="F80" s="2">
        <v>0</v>
      </c>
      <c r="G80" s="2">
        <v>200</v>
      </c>
      <c r="H80" s="2">
        <v>300</v>
      </c>
      <c r="I80" s="2">
        <v>300</v>
      </c>
      <c r="J80" s="2">
        <v>300</v>
      </c>
      <c r="K80" s="2">
        <v>300</v>
      </c>
    </row>
    <row r="81" spans="1:11" x14ac:dyDescent="0.2">
      <c r="A81" s="283" t="s">
        <v>813</v>
      </c>
      <c r="B81" s="2"/>
      <c r="C81" s="2"/>
      <c r="D81" s="2"/>
      <c r="E81" s="7"/>
      <c r="F81" s="2">
        <v>0</v>
      </c>
      <c r="G81" s="2">
        <v>1</v>
      </c>
      <c r="H81" s="2">
        <v>1</v>
      </c>
      <c r="I81" s="2">
        <v>1</v>
      </c>
      <c r="J81" s="2">
        <v>1</v>
      </c>
      <c r="K81" s="2">
        <v>1</v>
      </c>
    </row>
    <row r="82" spans="1:11" x14ac:dyDescent="0.2">
      <c r="A82" s="283" t="s">
        <v>1118</v>
      </c>
      <c r="B82" s="2"/>
      <c r="C82" s="2"/>
      <c r="D82" s="2"/>
      <c r="E82" s="7"/>
      <c r="F82" s="2">
        <v>0</v>
      </c>
      <c r="G82" s="2">
        <v>1</v>
      </c>
      <c r="H82" s="2">
        <v>1</v>
      </c>
      <c r="I82" s="2">
        <v>1</v>
      </c>
      <c r="J82" s="2">
        <v>1</v>
      </c>
      <c r="K82" s="2">
        <v>1</v>
      </c>
    </row>
    <row r="83" spans="1:11" x14ac:dyDescent="0.2">
      <c r="A83" s="283" t="s">
        <v>1662</v>
      </c>
      <c r="B83" s="2"/>
      <c r="C83" s="2"/>
      <c r="D83" s="2"/>
      <c r="E83" s="7"/>
      <c r="F83" s="2">
        <v>5</v>
      </c>
      <c r="G83" s="2">
        <v>1000</v>
      </c>
      <c r="H83" s="2">
        <v>1000</v>
      </c>
      <c r="I83" s="2">
        <v>1000</v>
      </c>
      <c r="J83" s="2">
        <v>1000</v>
      </c>
      <c r="K83" s="2">
        <v>1000</v>
      </c>
    </row>
    <row r="84" spans="1:11" x14ac:dyDescent="0.2">
      <c r="A84" s="283" t="s">
        <v>625</v>
      </c>
      <c r="B84" s="2"/>
      <c r="C84" s="2"/>
      <c r="D84" s="2"/>
      <c r="E84" s="7"/>
      <c r="F84" s="2">
        <v>0</v>
      </c>
      <c r="G84" s="2">
        <v>1</v>
      </c>
      <c r="H84" s="2">
        <v>1</v>
      </c>
      <c r="I84" s="2">
        <v>1</v>
      </c>
      <c r="J84" s="2">
        <v>1</v>
      </c>
      <c r="K84" s="2">
        <v>1</v>
      </c>
    </row>
    <row r="85" spans="1:11" x14ac:dyDescent="0.2">
      <c r="A85" s="283" t="s">
        <v>229</v>
      </c>
      <c r="B85" s="2"/>
      <c r="C85" s="2"/>
      <c r="D85" s="2"/>
      <c r="E85" s="7"/>
      <c r="F85" s="2">
        <v>0</v>
      </c>
      <c r="G85" s="2">
        <v>1</v>
      </c>
      <c r="H85" s="2">
        <v>1</v>
      </c>
      <c r="I85" s="2">
        <v>1</v>
      </c>
      <c r="J85" s="2">
        <v>1</v>
      </c>
      <c r="K85" s="2">
        <v>1</v>
      </c>
    </row>
    <row r="86" spans="1:11" x14ac:dyDescent="0.2">
      <c r="A86" s="283" t="s">
        <v>230</v>
      </c>
      <c r="B86" s="2"/>
      <c r="C86" s="2"/>
      <c r="D86" s="2"/>
      <c r="E86" s="7"/>
      <c r="F86" s="2">
        <v>3000</v>
      </c>
      <c r="G86" s="2">
        <v>1000</v>
      </c>
      <c r="H86" s="2">
        <v>1100</v>
      </c>
      <c r="I86" s="2">
        <v>1100</v>
      </c>
      <c r="J86" s="2">
        <v>1100</v>
      </c>
      <c r="K86" s="2">
        <v>1100</v>
      </c>
    </row>
    <row r="87" spans="1:11" x14ac:dyDescent="0.2">
      <c r="A87" s="283" t="s">
        <v>868</v>
      </c>
      <c r="B87" s="2"/>
      <c r="C87" s="2"/>
      <c r="D87" s="2"/>
      <c r="E87" s="7"/>
      <c r="F87" s="2">
        <v>0</v>
      </c>
      <c r="G87" s="2">
        <v>800</v>
      </c>
      <c r="H87" s="2">
        <v>900</v>
      </c>
      <c r="I87" s="2">
        <v>900</v>
      </c>
      <c r="J87" s="2">
        <v>900</v>
      </c>
      <c r="K87" s="2">
        <v>900</v>
      </c>
    </row>
    <row r="88" spans="1:11" x14ac:dyDescent="0.2">
      <c r="A88" s="283" t="s">
        <v>1234</v>
      </c>
      <c r="B88" s="2"/>
      <c r="C88" s="2"/>
      <c r="D88" s="2"/>
      <c r="E88" s="7"/>
      <c r="F88" s="2">
        <v>0</v>
      </c>
      <c r="G88" s="2">
        <v>1</v>
      </c>
      <c r="H88" s="2">
        <v>1</v>
      </c>
      <c r="I88" s="2">
        <v>1</v>
      </c>
      <c r="J88" s="2">
        <v>1</v>
      </c>
      <c r="K88" s="2">
        <v>1</v>
      </c>
    </row>
    <row r="89" spans="1:11" ht="15" x14ac:dyDescent="0.35">
      <c r="A89" s="283" t="s">
        <v>579</v>
      </c>
      <c r="B89" s="10"/>
      <c r="C89" s="10"/>
      <c r="D89" s="10"/>
      <c r="E89" s="8"/>
      <c r="F89" s="10">
        <v>0</v>
      </c>
      <c r="G89" s="10">
        <v>1</v>
      </c>
      <c r="H89" s="10">
        <v>1</v>
      </c>
      <c r="I89" s="10">
        <v>1</v>
      </c>
      <c r="J89" s="10">
        <v>1</v>
      </c>
      <c r="K89" s="10">
        <v>1</v>
      </c>
    </row>
    <row r="90" spans="1:11" ht="15" x14ac:dyDescent="0.35">
      <c r="A90" s="283" t="s">
        <v>338</v>
      </c>
      <c r="B90" s="2"/>
      <c r="C90" s="7"/>
      <c r="D90" s="7"/>
      <c r="E90" s="2"/>
      <c r="F90" s="10">
        <f t="shared" ref="F90:K90" si="0">SUM(F74:F89)</f>
        <v>17720</v>
      </c>
      <c r="G90" s="10">
        <f t="shared" si="0"/>
        <v>40557</v>
      </c>
      <c r="H90" s="10">
        <f t="shared" si="0"/>
        <v>44707</v>
      </c>
      <c r="I90" s="10">
        <f t="shared" ref="I90" si="1">SUM(I74:I89)</f>
        <v>44707</v>
      </c>
      <c r="J90" s="10">
        <f>SUM(J74:J89)</f>
        <v>44707</v>
      </c>
      <c r="K90" s="10">
        <f t="shared" si="0"/>
        <v>44707</v>
      </c>
    </row>
    <row r="91" spans="1:11" x14ac:dyDescent="0.2">
      <c r="B91" s="2"/>
      <c r="C91" s="7"/>
      <c r="D91" s="7"/>
      <c r="E91" s="2"/>
      <c r="F91" s="2"/>
      <c r="G91" s="2"/>
      <c r="H91" s="2"/>
      <c r="J91" s="2"/>
      <c r="K91" s="2"/>
    </row>
    <row r="92" spans="1:11" x14ac:dyDescent="0.2">
      <c r="A92" s="183" t="s">
        <v>1144</v>
      </c>
      <c r="E92" s="2"/>
      <c r="F92" s="2">
        <f t="shared" ref="F92:K92" si="2">SUM(F6:F89)</f>
        <v>145145</v>
      </c>
      <c r="G92" s="2">
        <f t="shared" si="2"/>
        <v>169340</v>
      </c>
      <c r="H92" s="2">
        <f t="shared" si="2"/>
        <v>175588</v>
      </c>
      <c r="I92" s="2">
        <f t="shared" si="2"/>
        <v>175588</v>
      </c>
      <c r="J92" s="2">
        <f t="shared" si="2"/>
        <v>177156</v>
      </c>
      <c r="K92" s="2">
        <f t="shared" si="2"/>
        <v>177156</v>
      </c>
    </row>
    <row r="93" spans="1:11" x14ac:dyDescent="0.2">
      <c r="I93" s="267"/>
      <c r="J93" s="2"/>
      <c r="K93" s="2"/>
    </row>
    <row r="94" spans="1:11" x14ac:dyDescent="0.2">
      <c r="A94" s="183" t="s">
        <v>823</v>
      </c>
      <c r="F94" s="2">
        <f t="shared" ref="F94:K94" si="3">SUM(F6:F17)</f>
        <v>47383</v>
      </c>
      <c r="G94" s="2">
        <f t="shared" si="3"/>
        <v>46034</v>
      </c>
      <c r="H94" s="2">
        <f t="shared" si="3"/>
        <v>45145</v>
      </c>
      <c r="I94" s="2">
        <f t="shared" si="3"/>
        <v>45145</v>
      </c>
      <c r="J94" s="2">
        <f t="shared" si="3"/>
        <v>46713</v>
      </c>
      <c r="K94" s="2">
        <f t="shared" si="3"/>
        <v>46713</v>
      </c>
    </row>
    <row r="95" spans="1:11" x14ac:dyDescent="0.2">
      <c r="A95" s="183" t="s">
        <v>803</v>
      </c>
      <c r="F95" s="2">
        <f t="shared" ref="F95:K95" si="4">SUM(F57:F89)+SUM(F19:F53)</f>
        <v>97762</v>
      </c>
      <c r="G95" s="2">
        <f t="shared" si="4"/>
        <v>123306</v>
      </c>
      <c r="H95" s="2">
        <f t="shared" si="4"/>
        <v>130443</v>
      </c>
      <c r="I95" s="2">
        <f t="shared" si="4"/>
        <v>130443</v>
      </c>
      <c r="J95" s="2">
        <f t="shared" si="4"/>
        <v>130443</v>
      </c>
      <c r="K95" s="2">
        <f t="shared" si="4"/>
        <v>130443</v>
      </c>
    </row>
    <row r="96" spans="1:11" x14ac:dyDescent="0.2">
      <c r="A96" s="183" t="s">
        <v>804</v>
      </c>
      <c r="F96" s="17">
        <f t="shared" ref="F96:K96" si="5">+F54</f>
        <v>0</v>
      </c>
      <c r="G96" s="17">
        <f t="shared" si="5"/>
        <v>0</v>
      </c>
      <c r="H96" s="17">
        <f t="shared" si="5"/>
        <v>0</v>
      </c>
      <c r="I96" s="17">
        <f t="shared" si="5"/>
        <v>0</v>
      </c>
      <c r="J96" s="17">
        <f t="shared" si="5"/>
        <v>0</v>
      </c>
      <c r="K96" s="17">
        <f t="shared" si="5"/>
        <v>0</v>
      </c>
    </row>
    <row r="97" spans="1:11" x14ac:dyDescent="0.2">
      <c r="A97" s="183" t="s">
        <v>1067</v>
      </c>
      <c r="F97" s="2">
        <f t="shared" ref="F97:K97" si="6">SUM(F94:F96)</f>
        <v>145145</v>
      </c>
      <c r="G97" s="2">
        <f t="shared" si="6"/>
        <v>169340</v>
      </c>
      <c r="H97" s="2">
        <f t="shared" si="6"/>
        <v>175588</v>
      </c>
      <c r="I97" s="2">
        <f t="shared" ref="I97" si="7">SUM(I94:I96)</f>
        <v>175588</v>
      </c>
      <c r="J97" s="2">
        <f>SUM(J94:J96)</f>
        <v>177156</v>
      </c>
      <c r="K97" s="2">
        <f t="shared" si="6"/>
        <v>177156</v>
      </c>
    </row>
    <row r="98" spans="1:11" x14ac:dyDescent="0.2">
      <c r="I98" s="267"/>
      <c r="J98" s="2"/>
      <c r="K98" s="2">
        <f>+K97-J97</f>
        <v>0</v>
      </c>
    </row>
    <row r="99" spans="1:11" x14ac:dyDescent="0.2">
      <c r="I99" s="267"/>
      <c r="J99" s="2"/>
    </row>
    <row r="100" spans="1:11" x14ac:dyDescent="0.2">
      <c r="I100" s="267"/>
      <c r="J100" s="2"/>
      <c r="K100" s="183">
        <v>1568</v>
      </c>
    </row>
    <row r="101" spans="1:11" x14ac:dyDescent="0.2">
      <c r="I101" s="267"/>
      <c r="J101" s="2">
        <f>J97-I97</f>
        <v>1568</v>
      </c>
      <c r="K101" s="2">
        <f>K97-I97</f>
        <v>1568</v>
      </c>
    </row>
    <row r="102" spans="1:11" x14ac:dyDescent="0.2">
      <c r="I102" s="267"/>
      <c r="J102" s="2"/>
      <c r="K102" s="2">
        <f>K100-K101</f>
        <v>0</v>
      </c>
    </row>
    <row r="103" spans="1:11" x14ac:dyDescent="0.2">
      <c r="I103" s="267"/>
      <c r="J103" s="2"/>
    </row>
    <row r="104" spans="1:11" x14ac:dyDescent="0.2">
      <c r="I104" s="267"/>
      <c r="J104" s="2"/>
    </row>
    <row r="105" spans="1:11" x14ac:dyDescent="0.2">
      <c r="I105" s="267"/>
      <c r="J105" s="2"/>
    </row>
    <row r="106" spans="1:11" x14ac:dyDescent="0.2">
      <c r="I106" s="267"/>
      <c r="J106" s="2"/>
    </row>
    <row r="107" spans="1:11" x14ac:dyDescent="0.2">
      <c r="I107" s="267"/>
      <c r="J107" s="2"/>
    </row>
    <row r="108" spans="1:11" x14ac:dyDescent="0.2">
      <c r="I108" s="267"/>
      <c r="J108" s="2"/>
    </row>
    <row r="109" spans="1:11" x14ac:dyDescent="0.2">
      <c r="I109" s="267"/>
      <c r="J109" s="2"/>
    </row>
    <row r="110" spans="1:11" x14ac:dyDescent="0.2">
      <c r="I110" s="267"/>
      <c r="J110" s="2"/>
    </row>
    <row r="111" spans="1:11" x14ac:dyDescent="0.2">
      <c r="I111" s="267"/>
      <c r="J111" s="2"/>
    </row>
    <row r="112" spans="1:11" x14ac:dyDescent="0.2">
      <c r="I112" s="267"/>
      <c r="J112" s="2"/>
    </row>
    <row r="113" spans="9:10" x14ac:dyDescent="0.2">
      <c r="I113" s="267"/>
      <c r="J113" s="2"/>
    </row>
    <row r="114" spans="9:10" x14ac:dyDescent="0.2">
      <c r="I114" s="267"/>
      <c r="J114" s="2"/>
    </row>
    <row r="115" spans="9:10" x14ac:dyDescent="0.2">
      <c r="I115" s="267"/>
      <c r="J115" s="2"/>
    </row>
    <row r="116" spans="9:10" x14ac:dyDescent="0.2">
      <c r="I116" s="267"/>
      <c r="J116" s="2"/>
    </row>
    <row r="117" spans="9:10" x14ac:dyDescent="0.2">
      <c r="J117" s="2"/>
    </row>
    <row r="118" spans="9:10" x14ac:dyDescent="0.2">
      <c r="J118" s="2"/>
    </row>
    <row r="119" spans="9:10" x14ac:dyDescent="0.2">
      <c r="J119" s="2"/>
    </row>
    <row r="120" spans="9:10" x14ac:dyDescent="0.2">
      <c r="J120" s="2"/>
    </row>
    <row r="121" spans="9:10" x14ac:dyDescent="0.2">
      <c r="J121" s="2"/>
    </row>
    <row r="122" spans="9:10" x14ac:dyDescent="0.2">
      <c r="J122" s="2"/>
    </row>
    <row r="123" spans="9:10" x14ac:dyDescent="0.2">
      <c r="J123" s="2"/>
    </row>
    <row r="124" spans="9:10" x14ac:dyDescent="0.2">
      <c r="J124" s="2"/>
    </row>
    <row r="125" spans="9:10" x14ac:dyDescent="0.2">
      <c r="J125" s="2"/>
    </row>
    <row r="126" spans="9:10" x14ac:dyDescent="0.2">
      <c r="J126" s="2"/>
    </row>
    <row r="127" spans="9:10" x14ac:dyDescent="0.2">
      <c r="J127" s="2"/>
    </row>
    <row r="128" spans="9:10" x14ac:dyDescent="0.2">
      <c r="J128" s="2"/>
    </row>
    <row r="129" spans="10:10" x14ac:dyDescent="0.2">
      <c r="J129" s="2"/>
    </row>
    <row r="130" spans="10:10" x14ac:dyDescent="0.2">
      <c r="J130" s="2"/>
    </row>
    <row r="131" spans="10:10" x14ac:dyDescent="0.2">
      <c r="J131" s="2"/>
    </row>
    <row r="132" spans="10:10" x14ac:dyDescent="0.2">
      <c r="J132" s="2"/>
    </row>
    <row r="133" spans="10:10" x14ac:dyDescent="0.2">
      <c r="J133" s="2"/>
    </row>
    <row r="134" spans="10:10" x14ac:dyDescent="0.2">
      <c r="J134" s="2"/>
    </row>
    <row r="135" spans="10:10" x14ac:dyDescent="0.2">
      <c r="J135" s="2"/>
    </row>
    <row r="136" spans="10:10" x14ac:dyDescent="0.2">
      <c r="J136" s="2"/>
    </row>
    <row r="137" spans="10:10" x14ac:dyDescent="0.2">
      <c r="J137" s="2"/>
    </row>
    <row r="138" spans="10:10" x14ac:dyDescent="0.2">
      <c r="J138" s="2"/>
    </row>
    <row r="139" spans="10:10" x14ac:dyDescent="0.2">
      <c r="J139" s="2"/>
    </row>
    <row r="140" spans="10:10" x14ac:dyDescent="0.2">
      <c r="J140" s="2"/>
    </row>
    <row r="141" spans="10:10" x14ac:dyDescent="0.2">
      <c r="J141" s="2"/>
    </row>
    <row r="142" spans="10:10" x14ac:dyDescent="0.2">
      <c r="J142" s="2"/>
    </row>
    <row r="143" spans="10:10" x14ac:dyDescent="0.2">
      <c r="J143" s="2"/>
    </row>
    <row r="144" spans="10:10" x14ac:dyDescent="0.2">
      <c r="J144" s="2"/>
    </row>
    <row r="145" spans="10:10" x14ac:dyDescent="0.2">
      <c r="J145" s="2"/>
    </row>
    <row r="146" spans="10:10" x14ac:dyDescent="0.2">
      <c r="J146" s="2"/>
    </row>
    <row r="147" spans="10:10" x14ac:dyDescent="0.2">
      <c r="J147" s="2"/>
    </row>
    <row r="148" spans="10:10" x14ac:dyDescent="0.2">
      <c r="J148" s="2"/>
    </row>
    <row r="149" spans="10:10" x14ac:dyDescent="0.2">
      <c r="J149" s="2"/>
    </row>
    <row r="150" spans="10:10" x14ac:dyDescent="0.2">
      <c r="J150" s="2"/>
    </row>
    <row r="151" spans="10:10" x14ac:dyDescent="0.2">
      <c r="J151" s="2"/>
    </row>
    <row r="152" spans="10:10" x14ac:dyDescent="0.2">
      <c r="J152" s="2"/>
    </row>
    <row r="153" spans="10:10" x14ac:dyDescent="0.2">
      <c r="J153" s="2"/>
    </row>
    <row r="154" spans="10:10" x14ac:dyDescent="0.2">
      <c r="J154" s="2"/>
    </row>
    <row r="155" spans="10:10" x14ac:dyDescent="0.2">
      <c r="J155" s="2"/>
    </row>
    <row r="156" spans="10:10" x14ac:dyDescent="0.2">
      <c r="J156" s="2"/>
    </row>
    <row r="157" spans="10:10" x14ac:dyDescent="0.2">
      <c r="J157" s="2"/>
    </row>
    <row r="158" spans="10:10" x14ac:dyDescent="0.2">
      <c r="J158" s="2"/>
    </row>
    <row r="159" spans="10:10" x14ac:dyDescent="0.2">
      <c r="J159" s="2"/>
    </row>
    <row r="160" spans="10:10" x14ac:dyDescent="0.2">
      <c r="J160" s="2"/>
    </row>
    <row r="161" spans="10:10" x14ac:dyDescent="0.2">
      <c r="J161" s="2"/>
    </row>
    <row r="162" spans="10:10" x14ac:dyDescent="0.2">
      <c r="J162" s="2"/>
    </row>
    <row r="163" spans="10:10" x14ac:dyDescent="0.2">
      <c r="J163" s="2"/>
    </row>
    <row r="164" spans="10:10" x14ac:dyDescent="0.2">
      <c r="J164" s="2"/>
    </row>
    <row r="165" spans="10:10" x14ac:dyDescent="0.2">
      <c r="J165" s="2"/>
    </row>
    <row r="166" spans="10:10" x14ac:dyDescent="0.2">
      <c r="J166" s="2"/>
    </row>
    <row r="167" spans="10:10" x14ac:dyDescent="0.2">
      <c r="J167" s="2"/>
    </row>
    <row r="168" spans="10:10" x14ac:dyDescent="0.2">
      <c r="J168" s="2"/>
    </row>
  </sheetData>
  <mergeCells count="2">
    <mergeCell ref="D56:E56"/>
    <mergeCell ref="A1:J1"/>
  </mergeCells>
  <phoneticPr fontId="0" type="noConversion"/>
  <printOptions gridLines="1"/>
  <pageMargins left="0.75" right="0.16" top="0.51" bottom="0.16" header="0.5" footer="0.5"/>
  <pageSetup scale="77" fitToHeight="3" orientation="landscape" r:id="rId1"/>
  <headerFooter alignWithMargins="0"/>
  <rowBreaks count="1" manualBreakCount="1">
    <brk id="53"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0"/>
  <sheetViews>
    <sheetView view="pageBreakPreview" zoomScaleNormal="100" zoomScaleSheetLayoutView="100" workbookViewId="0">
      <pane ySplit="5" topLeftCell="A33" activePane="bottomLeft" state="frozen"/>
      <selection activeCell="D43" sqref="D43"/>
      <selection pane="bottomLeft" sqref="A1:G1"/>
    </sheetView>
  </sheetViews>
  <sheetFormatPr defaultColWidth="8.85546875" defaultRowHeight="12.75" x14ac:dyDescent="0.2"/>
  <cols>
    <col min="1" max="1" width="53.85546875" style="134" bestFit="1" customWidth="1"/>
    <col min="2" max="3" width="11.28515625" style="134" bestFit="1" customWidth="1"/>
    <col min="4" max="4" width="11.7109375" style="134" bestFit="1" customWidth="1"/>
    <col min="5" max="5" width="14.85546875" style="134" bestFit="1" customWidth="1"/>
    <col min="6" max="7" width="11.28515625" style="134" bestFit="1" customWidth="1"/>
    <col min="8" max="8" width="0" style="134" hidden="1" customWidth="1"/>
    <col min="9" max="11" width="10.85546875" style="134" bestFit="1" customWidth="1"/>
    <col min="12" max="13" width="10" style="134" bestFit="1" customWidth="1"/>
    <col min="14" max="16384" width="8.85546875" style="134"/>
  </cols>
  <sheetData>
    <row r="1" spans="1:8" x14ac:dyDescent="0.2">
      <c r="A1" s="319" t="s">
        <v>2038</v>
      </c>
      <c r="B1" s="319"/>
      <c r="C1" s="319"/>
      <c r="D1" s="319"/>
      <c r="E1" s="319"/>
      <c r="F1" s="319"/>
      <c r="G1" s="319"/>
      <c r="H1" s="5"/>
    </row>
    <row r="2" spans="1:8" ht="18.75" x14ac:dyDescent="0.3">
      <c r="A2" s="95" t="s">
        <v>1575</v>
      </c>
      <c r="B2" s="95"/>
      <c r="C2" s="95"/>
      <c r="D2" s="95"/>
      <c r="E2" s="95"/>
      <c r="F2" s="95"/>
      <c r="G2" s="95"/>
    </row>
    <row r="3" spans="1:8" x14ac:dyDescent="0.2">
      <c r="A3" s="139"/>
      <c r="B3" s="2"/>
      <c r="C3" s="2"/>
      <c r="D3" s="139"/>
      <c r="E3" s="139"/>
      <c r="F3" s="139"/>
      <c r="G3" s="139"/>
    </row>
    <row r="4" spans="1:8" x14ac:dyDescent="0.2">
      <c r="A4" s="139"/>
      <c r="B4" s="15" t="s">
        <v>199</v>
      </c>
      <c r="C4" s="15" t="s">
        <v>200</v>
      </c>
      <c r="D4" s="15" t="s">
        <v>60</v>
      </c>
      <c r="E4" s="15" t="s">
        <v>351</v>
      </c>
      <c r="F4" s="15" t="s">
        <v>264</v>
      </c>
      <c r="G4" s="15" t="s">
        <v>295</v>
      </c>
    </row>
    <row r="5" spans="1:8" ht="15" x14ac:dyDescent="0.35">
      <c r="A5" s="139"/>
      <c r="B5" s="232" t="s">
        <v>1825</v>
      </c>
      <c r="C5" s="232" t="s">
        <v>1947</v>
      </c>
      <c r="D5" s="232" t="s">
        <v>2039</v>
      </c>
      <c r="E5" s="232" t="s">
        <v>2039</v>
      </c>
      <c r="F5" s="232" t="s">
        <v>2039</v>
      </c>
      <c r="G5" s="232" t="s">
        <v>2039</v>
      </c>
    </row>
    <row r="6" spans="1:8" ht="13.5" x14ac:dyDescent="0.25">
      <c r="A6" s="140" t="s">
        <v>231</v>
      </c>
      <c r="B6" s="2">
        <v>0</v>
      </c>
      <c r="C6" s="2">
        <v>1</v>
      </c>
      <c r="D6" s="2">
        <v>1</v>
      </c>
      <c r="E6" s="2">
        <v>1</v>
      </c>
      <c r="F6" s="2">
        <v>1</v>
      </c>
      <c r="G6" s="2">
        <v>1</v>
      </c>
    </row>
    <row r="7" spans="1:8" x14ac:dyDescent="0.2">
      <c r="A7" s="139" t="s">
        <v>226</v>
      </c>
      <c r="B7" s="2"/>
      <c r="C7" s="2"/>
      <c r="D7" s="2"/>
      <c r="E7" s="2"/>
      <c r="F7" s="2"/>
      <c r="G7" s="2"/>
    </row>
    <row r="8" spans="1:8" x14ac:dyDescent="0.2">
      <c r="A8" s="139" t="s">
        <v>227</v>
      </c>
      <c r="B8" s="2"/>
      <c r="C8" s="2"/>
      <c r="D8" s="2"/>
      <c r="E8" s="2"/>
      <c r="F8" s="2"/>
      <c r="G8" s="2"/>
    </row>
    <row r="9" spans="1:8" x14ac:dyDescent="0.2">
      <c r="A9" s="139"/>
      <c r="B9" s="2"/>
      <c r="C9" s="2"/>
      <c r="D9" s="2"/>
      <c r="E9" s="2"/>
      <c r="F9" s="2"/>
      <c r="G9" s="2"/>
    </row>
    <row r="10" spans="1:8" ht="13.5" x14ac:dyDescent="0.25">
      <c r="A10" s="140"/>
      <c r="B10" s="2"/>
      <c r="C10" s="2"/>
      <c r="D10" s="2"/>
      <c r="E10" s="2"/>
      <c r="F10" s="2"/>
      <c r="G10" s="2"/>
    </row>
    <row r="11" spans="1:8" x14ac:dyDescent="0.2">
      <c r="A11" s="120" t="s">
        <v>1166</v>
      </c>
      <c r="B11" s="2">
        <v>3706</v>
      </c>
      <c r="C11" s="2">
        <v>3681</v>
      </c>
      <c r="D11" s="2">
        <v>0</v>
      </c>
      <c r="E11" s="2">
        <v>0</v>
      </c>
      <c r="F11" s="2">
        <v>0</v>
      </c>
      <c r="G11" s="2">
        <v>0</v>
      </c>
    </row>
    <row r="12" spans="1:8" x14ac:dyDescent="0.2">
      <c r="A12" s="139" t="s">
        <v>33</v>
      </c>
      <c r="B12" s="2"/>
      <c r="C12" s="2"/>
      <c r="D12" s="2"/>
      <c r="E12" s="2"/>
      <c r="F12" s="2"/>
      <c r="G12" s="2"/>
    </row>
    <row r="13" spans="1:8" ht="13.5" x14ac:dyDescent="0.25">
      <c r="A13" s="140"/>
      <c r="B13" s="2"/>
      <c r="C13" s="2"/>
      <c r="D13" s="2"/>
      <c r="E13" s="2"/>
      <c r="F13" s="2"/>
      <c r="G13" s="2"/>
    </row>
    <row r="14" spans="1:8" x14ac:dyDescent="0.2">
      <c r="A14" s="120" t="s">
        <v>1167</v>
      </c>
      <c r="B14" s="2">
        <v>145000</v>
      </c>
      <c r="C14" s="2">
        <v>155000</v>
      </c>
      <c r="D14" s="2">
        <v>0</v>
      </c>
      <c r="E14" s="2">
        <v>0</v>
      </c>
      <c r="F14" s="2">
        <v>0</v>
      </c>
      <c r="G14" s="2">
        <v>0</v>
      </c>
    </row>
    <row r="15" spans="1:8" x14ac:dyDescent="0.2">
      <c r="A15" s="139" t="s">
        <v>33</v>
      </c>
      <c r="B15" s="2"/>
      <c r="C15" s="2"/>
      <c r="D15" s="2"/>
      <c r="E15" s="2"/>
      <c r="F15" s="2"/>
      <c r="G15" s="2"/>
    </row>
    <row r="16" spans="1:8" ht="13.5" x14ac:dyDescent="0.25">
      <c r="A16" s="140"/>
      <c r="B16" s="2"/>
      <c r="C16" s="2"/>
      <c r="D16" s="2"/>
      <c r="E16" s="2"/>
      <c r="F16" s="2"/>
      <c r="G16" s="2"/>
    </row>
    <row r="17" spans="1:12" x14ac:dyDescent="0.2">
      <c r="A17" s="120" t="s">
        <v>1601</v>
      </c>
      <c r="B17" s="2">
        <v>104955</v>
      </c>
      <c r="C17" s="2">
        <v>97050</v>
      </c>
      <c r="D17" s="2">
        <v>89145</v>
      </c>
      <c r="E17" s="2">
        <v>89145</v>
      </c>
      <c r="F17" s="2">
        <v>89145</v>
      </c>
      <c r="G17" s="2">
        <v>89145</v>
      </c>
    </row>
    <row r="18" spans="1:12" x14ac:dyDescent="0.2">
      <c r="A18" s="139" t="s">
        <v>1603</v>
      </c>
      <c r="B18" s="2"/>
      <c r="C18" s="2"/>
      <c r="D18" s="2"/>
      <c r="E18" s="2"/>
      <c r="F18" s="2"/>
      <c r="G18" s="2"/>
    </row>
    <row r="19" spans="1:12" ht="13.5" x14ac:dyDescent="0.25">
      <c r="A19" s="140"/>
      <c r="B19" s="2"/>
      <c r="C19" s="2"/>
      <c r="D19" s="2"/>
      <c r="E19" s="2"/>
      <c r="F19" s="2"/>
      <c r="G19" s="2"/>
    </row>
    <row r="20" spans="1:12" ht="15" x14ac:dyDescent="0.35">
      <c r="A20" s="120" t="s">
        <v>1602</v>
      </c>
      <c r="B20" s="10">
        <v>155000</v>
      </c>
      <c r="C20" s="10">
        <v>155000</v>
      </c>
      <c r="D20" s="10">
        <v>155000</v>
      </c>
      <c r="E20" s="10">
        <v>155000</v>
      </c>
      <c r="F20" s="10">
        <v>155000</v>
      </c>
      <c r="G20" s="10">
        <v>155000</v>
      </c>
    </row>
    <row r="21" spans="1:12" x14ac:dyDescent="0.2">
      <c r="A21" s="139" t="s">
        <v>1603</v>
      </c>
      <c r="B21" s="2"/>
      <c r="C21" s="2"/>
      <c r="D21" s="2"/>
      <c r="E21" s="2"/>
      <c r="F21" s="2"/>
      <c r="G21" s="2"/>
    </row>
    <row r="22" spans="1:12" ht="13.5" x14ac:dyDescent="0.25">
      <c r="A22" s="140"/>
      <c r="B22" s="2"/>
      <c r="C22" s="2"/>
      <c r="D22" s="2"/>
      <c r="E22" s="2"/>
      <c r="F22" s="2"/>
      <c r="G22" s="2"/>
    </row>
    <row r="23" spans="1:12" x14ac:dyDescent="0.2">
      <c r="A23" s="139" t="s">
        <v>1164</v>
      </c>
      <c r="B23" s="2">
        <f>SUM(B11:B20)</f>
        <v>408661</v>
      </c>
      <c r="C23" s="2">
        <f>SUM(C6:C20)</f>
        <v>410732</v>
      </c>
      <c r="D23" s="2">
        <f t="shared" ref="D23:G23" si="0">SUM(D6:D20)</f>
        <v>244146</v>
      </c>
      <c r="E23" s="2">
        <f t="shared" si="0"/>
        <v>244146</v>
      </c>
      <c r="F23" s="2">
        <f t="shared" si="0"/>
        <v>244146</v>
      </c>
      <c r="G23" s="2">
        <f t="shared" si="0"/>
        <v>244146</v>
      </c>
    </row>
    <row r="24" spans="1:12" x14ac:dyDescent="0.2">
      <c r="A24" s="139"/>
      <c r="B24" s="2"/>
      <c r="C24" s="2"/>
      <c r="D24" s="2"/>
      <c r="E24" s="2"/>
      <c r="F24" s="2"/>
      <c r="G24" s="2"/>
    </row>
    <row r="25" spans="1:12" ht="13.5" x14ac:dyDescent="0.25">
      <c r="A25" s="140"/>
      <c r="B25" s="179"/>
      <c r="C25" s="179"/>
      <c r="D25" s="179"/>
      <c r="E25" s="179"/>
      <c r="F25" s="179"/>
      <c r="G25" s="179"/>
    </row>
    <row r="26" spans="1:12" x14ac:dyDescent="0.2">
      <c r="A26" s="139" t="s">
        <v>1558</v>
      </c>
      <c r="B26" s="2">
        <f>+'01-gen gov'!E278+'02-assessing'!E120+'03-fire'!E375+'04-police'!E308+'05-comm'!E153+'06-code enforcement'!E150+'07-pub works'!E142+'08-highway'!E356+'09-solid waste'!E225+'13-parks &amp; rec'!E253+'15-library'!E238+'16-equip mntc'!E127+'17-bldg &amp; grounds'!E150+'21-comm dev'!E156+'24-tax coll'!E151+'25-welfare'!F92+B23</f>
        <v>31209863</v>
      </c>
      <c r="C26" s="2">
        <f>+'01-gen gov'!F278+'02-assessing'!F120+'03-fire'!F375+'04-police'!F308+'05-comm'!F153+'06-code enforcement'!F150+'07-pub works'!F142+'08-highway'!F356+'09-solid waste'!F225+'13-parks &amp; rec'!F253+'15-library'!F238+'16-equip mntc'!F127+'17-bldg &amp; grounds'!F150+'21-comm dev'!F156+'24-tax coll'!F151+'25-welfare'!G92+C23</f>
        <v>32582780</v>
      </c>
      <c r="D26" s="2">
        <f>+'01-gen gov'!G278+'02-assessing'!G120+'03-fire'!G375+'04-police'!G308+'05-comm'!G153+'06-code enforcement'!G150+'07-pub works'!G142+'08-highway'!G356+'09-solid waste'!G225+'13-parks &amp; rec'!G253+'15-library'!G238+'16-equip mntc'!G127+'17-bldg &amp; grounds'!G150+'21-comm dev'!G156+'24-tax coll'!G151+'25-welfare'!H92+D23</f>
        <v>35476679.897280231</v>
      </c>
      <c r="E26" s="2">
        <f>+'01-gen gov'!H278+'02-assessing'!H120+'03-fire'!H375+'04-police'!H308+'05-comm'!H153+'06-code enforcement'!H150+'07-pub works'!H142+'08-highway'!H356+'09-solid waste'!H225+'13-parks &amp; rec'!H253+'15-library'!H238+'16-equip mntc'!H127+'17-bldg &amp; grounds'!H150+'21-comm dev'!H156+'24-tax coll'!H151+'25-welfare'!I92+E23</f>
        <v>34872305</v>
      </c>
      <c r="F26" s="2">
        <f>+'01-gen gov'!I278+'02-assessing'!I120+'03-fire'!I375+'04-police'!I308+'05-comm'!I153+'06-code enforcement'!I150+'07-pub works'!I142+'08-highway'!I356+'09-solid waste'!I225+'13-parks &amp; rec'!I253+'15-library'!I238+'16-equip mntc'!I127+'17-bldg &amp; grounds'!I150+'21-comm dev'!I156+'24-tax coll'!I151+'25-welfare'!J92+F23</f>
        <v>34917725</v>
      </c>
      <c r="G26" s="2">
        <f>+'01-gen gov'!J278+'02-assessing'!J120+'03-fire'!J375+'04-police'!J308+'05-comm'!J153+'06-code enforcement'!J150+'07-pub works'!J142+'08-highway'!J356+'09-solid waste'!J225+'13-parks &amp; rec'!J253+'15-library'!J238+'16-equip mntc'!J127+'17-bldg &amp; grounds'!J150+'21-comm dev'!J156+'24-tax coll'!J151+'25-welfare'!K92+G23</f>
        <v>35339115</v>
      </c>
    </row>
    <row r="27" spans="1:12" x14ac:dyDescent="0.2">
      <c r="A27" s="48"/>
      <c r="B27" s="2"/>
      <c r="C27" s="2"/>
      <c r="D27" s="2"/>
      <c r="E27" s="2"/>
      <c r="F27" s="2"/>
      <c r="G27" s="2"/>
    </row>
    <row r="28" spans="1:12" x14ac:dyDescent="0.2">
      <c r="A28" s="139" t="s">
        <v>511</v>
      </c>
      <c r="B28" s="2">
        <f>+'25-welfare'!F94+'24-tax coll'!E153+'21-comm dev'!E159+'17-bldg &amp; grounds'!E152+'16-equip mntc'!E130+'15-library'!E245+'13-parks &amp; rec'!E255+'09-solid waste'!E228+'08-highway'!E358+'07-pub works'!E144+'06-code enforcement'!E152+'05-comm'!E155+'04-police'!E310+'03-fire'!E377+'02-assessing'!E122+'01-gen gov'!E280</f>
        <v>21278355</v>
      </c>
      <c r="C28" s="2">
        <f>+'25-welfare'!G94+'24-tax coll'!F153+'21-comm dev'!F159+'17-bldg &amp; grounds'!F152+'16-equip mntc'!F130+'15-library'!F245+'13-parks &amp; rec'!F255+'09-solid waste'!F228+'08-highway'!F358+'07-pub works'!F144+'06-code enforcement'!F152+'05-comm'!F155+'04-police'!F310+'03-fire'!F377+'02-assessing'!F122+'01-gen gov'!F280</f>
        <v>23044941</v>
      </c>
      <c r="D28" s="2">
        <f>+'25-welfare'!H94+'24-tax coll'!G153+'21-comm dev'!G159+'17-bldg &amp; grounds'!G152+'16-equip mntc'!G130+'15-library'!G245+'13-parks &amp; rec'!G255+'09-solid waste'!G228+'08-highway'!G358+'07-pub works'!G144+'06-code enforcement'!G152+'05-comm'!G155+'04-police'!G310+'03-fire'!G377+'02-assessing'!G122+'01-gen gov'!G280</f>
        <v>23198287.897280231</v>
      </c>
      <c r="E28" s="2">
        <f>+'25-welfare'!I94+'24-tax coll'!H153+'21-comm dev'!H159+'17-bldg &amp; grounds'!H152+'16-equip mntc'!H130+'15-library'!H245+'13-parks &amp; rec'!H255+'09-solid waste'!H228+'08-highway'!H358+'07-pub works'!H144+'06-code enforcement'!H152+'05-comm'!H155+'04-police'!H310+'03-fire'!H377+'02-assessing'!H122+'01-gen gov'!H280</f>
        <v>23231758</v>
      </c>
      <c r="F28" s="2">
        <f>+'25-welfare'!J94+'24-tax coll'!I153+'21-comm dev'!I159+'17-bldg &amp; grounds'!I152+'16-equip mntc'!I130+'15-library'!I245+'13-parks &amp; rec'!I255+'09-solid waste'!I228+'08-highway'!I358+'07-pub works'!I144+'06-code enforcement'!I152+'05-comm'!I155+'04-police'!I310+'03-fire'!I377+'02-assessing'!I122+'01-gen gov'!I280</f>
        <v>23388452</v>
      </c>
      <c r="G28" s="2">
        <f>+'25-welfare'!K94+'24-tax coll'!J153+'21-comm dev'!J159+'17-bldg &amp; grounds'!J152+'16-equip mntc'!J130+'15-library'!J245+'13-parks &amp; rec'!J255+'09-solid waste'!J228+'08-highway'!J358+'07-pub works'!J144+'06-code enforcement'!J152+'05-comm'!J155+'04-police'!J310+'03-fire'!J377+'02-assessing'!J122+'01-gen gov'!J280</f>
        <v>23799528</v>
      </c>
    </row>
    <row r="29" spans="1:12" x14ac:dyDescent="0.2">
      <c r="A29" s="139" t="s">
        <v>803</v>
      </c>
      <c r="B29" s="2">
        <f>+'25-welfare'!F95+'24-tax coll'!E154+'21-comm dev'!E160+'17-bldg &amp; grounds'!E153+'16-equip mntc'!E131+'15-library'!E246+'13-parks &amp; rec'!E256+'09-solid waste'!E229+'08-highway'!E359+'07-pub works'!E145+'06-code enforcement'!E153+'05-comm'!E156+'04-police'!E311+'03-fire'!E378+'02-assessing'!E123+'01-gen gov'!E281</f>
        <v>4708930</v>
      </c>
      <c r="C29" s="2">
        <f>+'25-welfare'!G95+'24-tax coll'!F154+'21-comm dev'!F160+'17-bldg &amp; grounds'!F153+'16-equip mntc'!F131+'15-library'!F246+'13-parks &amp; rec'!F256+'09-solid waste'!F229+'08-highway'!F359+'07-pub works'!F145+'06-code enforcement'!F153+'05-comm'!F156+'04-police'!F311+'03-fire'!F378+'02-assessing'!F123+'01-gen gov'!F281</f>
        <v>4956354</v>
      </c>
      <c r="D29" s="2">
        <f>+'25-welfare'!H95+'24-tax coll'!G154+'21-comm dev'!G160+'17-bldg &amp; grounds'!G153+'16-equip mntc'!G131+'15-library'!G246+'13-parks &amp; rec'!G256+'09-solid waste'!G229+'08-highway'!G359+'07-pub works'!G145+'06-code enforcement'!G153+'05-comm'!G156+'04-police'!G311+'03-fire'!G378+'02-assessing'!G123+'01-gen gov'!G281</f>
        <v>5450333</v>
      </c>
      <c r="E29" s="2">
        <f>+'25-welfare'!I95+'24-tax coll'!H154+'21-comm dev'!H160+'17-bldg &amp; grounds'!H153+'16-equip mntc'!H131+'15-library'!H246+'13-parks &amp; rec'!H256+'09-solid waste'!H229+'08-highway'!H359+'07-pub works'!H145+'06-code enforcement'!H153+'05-comm'!H156+'04-police'!H311+'03-fire'!H378+'02-assessing'!H123+'01-gen gov'!H281</f>
        <v>5387488</v>
      </c>
      <c r="F29" s="2">
        <f>+'25-welfare'!J95+'24-tax coll'!I154+'21-comm dev'!I160+'17-bldg &amp; grounds'!I153+'16-equip mntc'!I131+'15-library'!I246+'13-parks &amp; rec'!I256+'09-solid waste'!I229+'08-highway'!I359+'07-pub works'!I145+'06-code enforcement'!I153+'05-comm'!I156+'04-police'!I311+'03-fire'!I378+'02-assessing'!I123+'01-gen gov'!I281</f>
        <v>5336214</v>
      </c>
      <c r="G29" s="2">
        <f>+'25-welfare'!K95+'24-tax coll'!J154+'21-comm dev'!J160+'17-bldg &amp; grounds'!J153+'16-equip mntc'!J131+'15-library'!J246+'13-parks &amp; rec'!J256+'09-solid waste'!J229+'08-highway'!J359+'07-pub works'!J145+'06-code enforcement'!J153+'05-comm'!J156+'04-police'!J311+'03-fire'!J378+'02-assessing'!J123+'01-gen gov'!J281</f>
        <v>5346528</v>
      </c>
    </row>
    <row r="30" spans="1:12" x14ac:dyDescent="0.2">
      <c r="A30" s="139" t="s">
        <v>804</v>
      </c>
      <c r="B30" s="2">
        <f>+'25-welfare'!F96+'24-tax coll'!E155+'21-comm dev'!E161+'17-bldg &amp; grounds'!E154+'16-equip mntc'!E132+'15-library'!E247+'13-parks &amp; rec'!E257+'09-solid waste'!E230+'08-highway'!E360+'07-pub works'!E146+'06-code enforcement'!E154+'05-comm'!E157+'04-police'!E312+'03-fire'!E379+'02-assessing'!E124+'01-gen gov'!E282</f>
        <v>4813917</v>
      </c>
      <c r="C30" s="2">
        <f>+'25-welfare'!G96+'24-tax coll'!F155+'21-comm dev'!F161+'17-bldg &amp; grounds'!F154+'16-equip mntc'!F132+'15-library'!F247+'13-parks &amp; rec'!F257+'09-solid waste'!F230+'08-highway'!F360+'07-pub works'!F146+'06-code enforcement'!F154+'05-comm'!F157+'04-police'!F312+'03-fire'!F379+'02-assessing'!F124+'01-gen gov'!F282</f>
        <v>4170753</v>
      </c>
      <c r="D30" s="2">
        <f>+'25-welfare'!H96+'24-tax coll'!G155+'21-comm dev'!G161+'17-bldg &amp; grounds'!G154+'16-equip mntc'!G132+'15-library'!G247+'13-parks &amp; rec'!G257+'09-solid waste'!G230+'08-highway'!G360+'07-pub works'!G146+'06-code enforcement'!G154+'05-comm'!G157+'04-police'!G312+'03-fire'!G379+'02-assessing'!G124+'01-gen gov'!G282</f>
        <v>6583913</v>
      </c>
      <c r="E30" s="2">
        <f>+'25-welfare'!I96+'24-tax coll'!H155+'21-comm dev'!H161+'17-bldg &amp; grounds'!H154+'16-equip mntc'!H132+'15-library'!H247+'13-parks &amp; rec'!H257+'09-solid waste'!H230+'08-highway'!H360+'07-pub works'!H146+'06-code enforcement'!H154+'05-comm'!H157+'04-police'!H312+'03-fire'!H379+'02-assessing'!H124+'01-gen gov'!H282</f>
        <v>6008913</v>
      </c>
      <c r="F30" s="2">
        <f>+'25-welfare'!J96+'24-tax coll'!I155+'21-comm dev'!I161+'17-bldg &amp; grounds'!I154+'16-equip mntc'!I132+'15-library'!I247+'13-parks &amp; rec'!I257+'09-solid waste'!I230+'08-highway'!I360+'07-pub works'!I146+'06-code enforcement'!I154+'05-comm'!I157+'04-police'!I312+'03-fire'!I379+'02-assessing'!I124+'01-gen gov'!I282</f>
        <v>5948913</v>
      </c>
      <c r="G30" s="2">
        <f>+'25-welfare'!K96+'24-tax coll'!J155+'21-comm dev'!J161+'17-bldg &amp; grounds'!J154+'16-equip mntc'!J132+'15-library'!J247+'13-parks &amp; rec'!J257+'09-solid waste'!J230+'08-highway'!J360+'07-pub works'!J146+'06-code enforcement'!J154+'05-comm'!J157+'04-police'!J312+'03-fire'!J379+'02-assessing'!J124+'01-gen gov'!J282</f>
        <v>5948913</v>
      </c>
    </row>
    <row r="31" spans="1:12" ht="15" x14ac:dyDescent="0.35">
      <c r="A31" s="139" t="s">
        <v>968</v>
      </c>
      <c r="B31" s="10">
        <f t="shared" ref="B31:G31" si="1">+B23</f>
        <v>408661</v>
      </c>
      <c r="C31" s="10">
        <f t="shared" si="1"/>
        <v>410732</v>
      </c>
      <c r="D31" s="10">
        <f t="shared" si="1"/>
        <v>244146</v>
      </c>
      <c r="E31" s="10">
        <f t="shared" si="1"/>
        <v>244146</v>
      </c>
      <c r="F31" s="10">
        <f t="shared" si="1"/>
        <v>244146</v>
      </c>
      <c r="G31" s="10">
        <f t="shared" si="1"/>
        <v>244146</v>
      </c>
    </row>
    <row r="32" spans="1:12" x14ac:dyDescent="0.2">
      <c r="A32" s="139" t="s">
        <v>1067</v>
      </c>
      <c r="B32" s="2">
        <f t="shared" ref="B32:G32" si="2">SUM(B28:B31)</f>
        <v>31209863</v>
      </c>
      <c r="C32" s="2">
        <f t="shared" si="2"/>
        <v>32582780</v>
      </c>
      <c r="D32" s="2">
        <f t="shared" si="2"/>
        <v>35476679.897280231</v>
      </c>
      <c r="E32" s="2">
        <f t="shared" si="2"/>
        <v>34872305</v>
      </c>
      <c r="F32" s="2">
        <f t="shared" si="2"/>
        <v>34917725</v>
      </c>
      <c r="G32" s="2">
        <f t="shared" si="2"/>
        <v>35339115</v>
      </c>
      <c r="I32" s="2">
        <f>+B32-B26</f>
        <v>0</v>
      </c>
      <c r="J32" s="2">
        <f>+C32-C26</f>
        <v>0</v>
      </c>
      <c r="K32" s="2">
        <f>+D32-D26</f>
        <v>0</v>
      </c>
      <c r="L32" s="2">
        <f>+E32-E26</f>
        <v>0</v>
      </c>
    </row>
    <row r="33" spans="1:13" x14ac:dyDescent="0.2">
      <c r="A33" s="139"/>
      <c r="B33" s="2"/>
      <c r="C33" s="2"/>
      <c r="D33" s="2"/>
      <c r="E33" s="2"/>
      <c r="F33" s="2"/>
      <c r="G33" s="2"/>
    </row>
    <row r="34" spans="1:13" x14ac:dyDescent="0.2">
      <c r="A34" s="319" t="s">
        <v>2038</v>
      </c>
      <c r="B34" s="319"/>
      <c r="C34" s="319"/>
      <c r="D34" s="319"/>
      <c r="E34" s="319"/>
      <c r="F34" s="319"/>
      <c r="G34" s="319"/>
    </row>
    <row r="35" spans="1:13" x14ac:dyDescent="0.2">
      <c r="A35" s="319" t="s">
        <v>1576</v>
      </c>
      <c r="B35" s="319"/>
      <c r="C35" s="319"/>
      <c r="D35" s="319"/>
      <c r="E35" s="319"/>
      <c r="F35" s="319"/>
      <c r="G35" s="319"/>
    </row>
    <row r="36" spans="1:13" ht="15" x14ac:dyDescent="0.35">
      <c r="A36" s="139"/>
      <c r="B36" s="10"/>
      <c r="C36" s="10"/>
      <c r="D36" s="10"/>
      <c r="E36" s="10"/>
      <c r="F36" s="10"/>
      <c r="G36" s="10"/>
    </row>
    <row r="37" spans="1:13" x14ac:dyDescent="0.2">
      <c r="A37" s="139"/>
      <c r="B37" s="15" t="s">
        <v>199</v>
      </c>
      <c r="C37" s="15" t="s">
        <v>200</v>
      </c>
      <c r="D37" s="15" t="s">
        <v>60</v>
      </c>
      <c r="E37" s="15" t="s">
        <v>351</v>
      </c>
      <c r="F37" s="15" t="s">
        <v>264</v>
      </c>
      <c r="G37" s="15" t="s">
        <v>295</v>
      </c>
      <c r="I37" s="2"/>
      <c r="J37" s="2"/>
      <c r="K37" s="2"/>
      <c r="L37" s="2"/>
      <c r="M37" s="2"/>
    </row>
    <row r="38" spans="1:13" ht="15" x14ac:dyDescent="0.35">
      <c r="A38" s="139"/>
      <c r="B38" s="232" t="s">
        <v>1825</v>
      </c>
      <c r="C38" s="232" t="s">
        <v>1947</v>
      </c>
      <c r="D38" s="232" t="s">
        <v>2039</v>
      </c>
      <c r="E38" s="232" t="s">
        <v>2039</v>
      </c>
      <c r="F38" s="232" t="s">
        <v>2039</v>
      </c>
      <c r="G38" s="232" t="s">
        <v>2039</v>
      </c>
    </row>
    <row r="39" spans="1:13" x14ac:dyDescent="0.2">
      <c r="A39" s="138" t="s">
        <v>1204</v>
      </c>
      <c r="B39" s="89">
        <v>0</v>
      </c>
      <c r="C39" s="15">
        <v>0</v>
      </c>
      <c r="D39" s="15">
        <v>0</v>
      </c>
      <c r="E39" s="15">
        <v>0</v>
      </c>
      <c r="F39" s="15">
        <v>0</v>
      </c>
      <c r="G39" s="15">
        <v>0</v>
      </c>
    </row>
    <row r="40" spans="1:13" ht="18.75" x14ac:dyDescent="0.3">
      <c r="A40" s="283" t="s">
        <v>2052</v>
      </c>
      <c r="B40" s="95"/>
      <c r="C40" s="95"/>
      <c r="D40" s="95"/>
      <c r="E40" s="95"/>
      <c r="F40" s="95"/>
      <c r="G40" s="95"/>
    </row>
    <row r="41" spans="1:13" x14ac:dyDescent="0.2">
      <c r="A41" s="283"/>
      <c r="B41" s="2"/>
      <c r="C41" s="283"/>
      <c r="D41" s="283"/>
      <c r="E41" s="283"/>
      <c r="F41" s="316"/>
      <c r="G41" s="316"/>
    </row>
    <row r="42" spans="1:13" x14ac:dyDescent="0.2">
      <c r="A42" s="282" t="s">
        <v>1205</v>
      </c>
      <c r="B42" s="15">
        <v>0</v>
      </c>
      <c r="C42" s="15">
        <v>0</v>
      </c>
      <c r="D42" s="15">
        <v>0</v>
      </c>
      <c r="E42" s="15">
        <v>0</v>
      </c>
      <c r="F42" s="15">
        <v>0</v>
      </c>
      <c r="G42" s="15">
        <v>0</v>
      </c>
    </row>
    <row r="43" spans="1:13" ht="15" x14ac:dyDescent="0.35">
      <c r="A43" s="283" t="s">
        <v>2052</v>
      </c>
      <c r="B43" s="284"/>
      <c r="C43" s="284"/>
      <c r="D43" s="284"/>
      <c r="E43" s="284"/>
      <c r="F43" s="317"/>
      <c r="G43" s="317"/>
    </row>
    <row r="44" spans="1:13" ht="13.5" x14ac:dyDescent="0.25">
      <c r="A44" s="286"/>
      <c r="B44" s="2"/>
      <c r="C44" s="2"/>
      <c r="D44" s="2"/>
      <c r="E44" s="2"/>
      <c r="F44" s="2"/>
      <c r="G44" s="2"/>
    </row>
    <row r="45" spans="1:13" x14ac:dyDescent="0.2">
      <c r="A45" s="282" t="s">
        <v>1092</v>
      </c>
      <c r="B45" s="2">
        <v>4479</v>
      </c>
      <c r="C45" s="2">
        <v>0</v>
      </c>
      <c r="D45" s="2">
        <v>0</v>
      </c>
      <c r="E45" s="2">
        <v>0</v>
      </c>
      <c r="F45" s="2">
        <v>0</v>
      </c>
      <c r="G45" s="2">
        <v>0</v>
      </c>
    </row>
    <row r="46" spans="1:13" x14ac:dyDescent="0.2">
      <c r="A46" s="283" t="s">
        <v>98</v>
      </c>
      <c r="B46" s="2"/>
      <c r="C46" s="2"/>
      <c r="D46" s="2"/>
      <c r="E46" s="2"/>
      <c r="F46" s="2"/>
      <c r="G46" s="2"/>
    </row>
    <row r="47" spans="1:13" ht="13.5" x14ac:dyDescent="0.25">
      <c r="A47" s="286"/>
      <c r="B47" s="2"/>
      <c r="C47" s="2"/>
      <c r="D47" s="2"/>
      <c r="E47" s="2"/>
      <c r="F47" s="2"/>
      <c r="G47" s="2"/>
    </row>
    <row r="48" spans="1:13" x14ac:dyDescent="0.2">
      <c r="A48" s="282" t="s">
        <v>1093</v>
      </c>
      <c r="B48" s="2">
        <v>263468</v>
      </c>
      <c r="C48" s="2">
        <v>0</v>
      </c>
      <c r="D48" s="2">
        <v>0</v>
      </c>
      <c r="E48" s="2">
        <v>0</v>
      </c>
      <c r="F48" s="2">
        <v>0</v>
      </c>
      <c r="G48" s="2">
        <v>0</v>
      </c>
    </row>
    <row r="49" spans="1:10" x14ac:dyDescent="0.2">
      <c r="A49" s="22" t="s">
        <v>97</v>
      </c>
      <c r="B49" s="2"/>
      <c r="C49" s="2"/>
      <c r="D49" s="2"/>
      <c r="E49" s="2"/>
      <c r="F49" s="2"/>
      <c r="G49" s="2"/>
    </row>
    <row r="50" spans="1:10" ht="13.5" x14ac:dyDescent="0.25">
      <c r="A50" s="286"/>
      <c r="B50" s="2"/>
      <c r="C50" s="2"/>
      <c r="D50" s="2"/>
      <c r="E50" s="2"/>
      <c r="F50" s="2"/>
      <c r="G50" s="2"/>
    </row>
    <row r="51" spans="1:10" x14ac:dyDescent="0.2">
      <c r="A51" s="282" t="s">
        <v>1492</v>
      </c>
      <c r="B51" s="2">
        <v>166022</v>
      </c>
      <c r="C51" s="2">
        <v>166022</v>
      </c>
      <c r="D51" s="2">
        <v>166022</v>
      </c>
      <c r="E51" s="2">
        <v>166022</v>
      </c>
      <c r="F51" s="2">
        <v>166022</v>
      </c>
      <c r="G51" s="2">
        <v>166022</v>
      </c>
    </row>
    <row r="52" spans="1:10" x14ac:dyDescent="0.2">
      <c r="A52" s="283" t="s">
        <v>1466</v>
      </c>
      <c r="B52" s="2"/>
      <c r="C52" s="2"/>
      <c r="D52" s="2"/>
      <c r="E52" s="2"/>
      <c r="F52" s="2"/>
      <c r="G52" s="2"/>
    </row>
    <row r="53" spans="1:10" ht="13.5" x14ac:dyDescent="0.25">
      <c r="A53" s="286"/>
      <c r="B53" s="2"/>
      <c r="C53" s="2"/>
      <c r="D53" s="2"/>
      <c r="E53" s="2"/>
      <c r="F53" s="2"/>
      <c r="G53" s="2"/>
    </row>
    <row r="54" spans="1:10" x14ac:dyDescent="0.2">
      <c r="A54" s="282" t="s">
        <v>1493</v>
      </c>
      <c r="B54" s="2">
        <v>181677</v>
      </c>
      <c r="C54" s="2">
        <v>181677</v>
      </c>
      <c r="D54" s="2">
        <v>181677</v>
      </c>
      <c r="E54" s="2">
        <v>181677</v>
      </c>
      <c r="F54" s="2">
        <v>181677</v>
      </c>
      <c r="G54" s="2">
        <v>181677</v>
      </c>
    </row>
    <row r="55" spans="1:10" x14ac:dyDescent="0.2">
      <c r="A55" s="22" t="s">
        <v>1467</v>
      </c>
      <c r="B55" s="2"/>
      <c r="C55" s="2"/>
      <c r="D55" s="2"/>
      <c r="E55" s="2"/>
      <c r="F55" s="2"/>
      <c r="G55" s="2"/>
    </row>
    <row r="56" spans="1:10" ht="13.5" x14ac:dyDescent="0.25">
      <c r="A56" s="286"/>
      <c r="B56" s="2"/>
      <c r="C56" s="2"/>
      <c r="D56" s="2"/>
      <c r="E56" s="2"/>
      <c r="F56" s="2"/>
      <c r="G56" s="2"/>
      <c r="J56" s="2"/>
    </row>
    <row r="57" spans="1:10" ht="15" x14ac:dyDescent="0.35">
      <c r="A57" s="282" t="s">
        <v>1494</v>
      </c>
      <c r="B57" s="10">
        <v>104310</v>
      </c>
      <c r="C57" s="10">
        <v>97356</v>
      </c>
      <c r="D57" s="10">
        <v>90402</v>
      </c>
      <c r="E57" s="10">
        <v>90402</v>
      </c>
      <c r="F57" s="10">
        <v>90402</v>
      </c>
      <c r="G57" s="10">
        <v>90402</v>
      </c>
      <c r="J57" s="11"/>
    </row>
    <row r="58" spans="1:10" x14ac:dyDescent="0.2">
      <c r="A58" s="22" t="s">
        <v>1468</v>
      </c>
      <c r="B58" s="2"/>
      <c r="C58" s="2"/>
      <c r="D58" s="2"/>
      <c r="E58" s="2"/>
      <c r="F58" s="2"/>
      <c r="G58" s="2"/>
    </row>
    <row r="59" spans="1:10" ht="13.5" x14ac:dyDescent="0.25">
      <c r="A59" s="286"/>
      <c r="B59" s="2"/>
      <c r="C59" s="2"/>
      <c r="D59" s="2"/>
      <c r="E59" s="2"/>
      <c r="F59" s="2"/>
      <c r="G59" s="2"/>
    </row>
    <row r="60" spans="1:10" x14ac:dyDescent="0.2">
      <c r="A60" s="22"/>
      <c r="B60" s="2"/>
      <c r="C60" s="2"/>
      <c r="D60" s="2"/>
      <c r="E60" s="2"/>
      <c r="F60" s="2"/>
      <c r="G60" s="2"/>
    </row>
    <row r="61" spans="1:10" ht="13.5" x14ac:dyDescent="0.25">
      <c r="A61" s="140" t="s">
        <v>213</v>
      </c>
      <c r="B61" s="2">
        <f t="shared" ref="B61:G61" si="3">SUM(B39:B58)</f>
        <v>719956</v>
      </c>
      <c r="C61" s="2">
        <f t="shared" si="3"/>
        <v>445055</v>
      </c>
      <c r="D61" s="2">
        <f t="shared" si="3"/>
        <v>438101</v>
      </c>
      <c r="E61" s="2">
        <f t="shared" si="3"/>
        <v>438101</v>
      </c>
      <c r="F61" s="2">
        <f t="shared" si="3"/>
        <v>438101</v>
      </c>
      <c r="G61" s="2">
        <f t="shared" si="3"/>
        <v>438101</v>
      </c>
    </row>
    <row r="62" spans="1:10" ht="15" x14ac:dyDescent="0.35">
      <c r="A62" s="140"/>
      <c r="B62" s="10"/>
      <c r="C62" s="10"/>
      <c r="D62" s="10"/>
      <c r="E62" s="10"/>
      <c r="F62" s="10"/>
      <c r="G62" s="10"/>
    </row>
    <row r="63" spans="1:10" x14ac:dyDescent="0.2">
      <c r="A63" s="22" t="s">
        <v>1164</v>
      </c>
      <c r="B63" s="1">
        <f t="shared" ref="B63:G63" si="4">+B23</f>
        <v>408661</v>
      </c>
      <c r="C63" s="1">
        <f t="shared" si="4"/>
        <v>410732</v>
      </c>
      <c r="D63" s="1">
        <f t="shared" si="4"/>
        <v>244146</v>
      </c>
      <c r="E63" s="2">
        <f t="shared" si="4"/>
        <v>244146</v>
      </c>
      <c r="F63" s="2">
        <f t="shared" si="4"/>
        <v>244146</v>
      </c>
      <c r="G63" s="2">
        <f t="shared" si="4"/>
        <v>244146</v>
      </c>
    </row>
    <row r="64" spans="1:10" x14ac:dyDescent="0.2">
      <c r="A64" s="22" t="s">
        <v>213</v>
      </c>
      <c r="B64" s="1">
        <f t="shared" ref="B64:G64" si="5">+B61</f>
        <v>719956</v>
      </c>
      <c r="C64" s="1">
        <f t="shared" si="5"/>
        <v>445055</v>
      </c>
      <c r="D64" s="1">
        <f t="shared" si="5"/>
        <v>438101</v>
      </c>
      <c r="E64" s="2">
        <f t="shared" si="5"/>
        <v>438101</v>
      </c>
      <c r="F64" s="2">
        <f t="shared" si="5"/>
        <v>438101</v>
      </c>
      <c r="G64" s="2">
        <f t="shared" si="5"/>
        <v>438101</v>
      </c>
    </row>
    <row r="65" spans="1:8" x14ac:dyDescent="0.2">
      <c r="A65" s="139" t="s">
        <v>1067</v>
      </c>
      <c r="B65" s="2">
        <f>SUM(B63:B64)</f>
        <v>1128617</v>
      </c>
      <c r="C65" s="2">
        <f>SUM(C63:C64)</f>
        <v>855787</v>
      </c>
      <c r="D65" s="2">
        <f>SUM(D63:D64)</f>
        <v>682247</v>
      </c>
      <c r="E65" s="2">
        <f t="shared" ref="E65:G65" si="6">SUM(E63:E64)</f>
        <v>682247</v>
      </c>
      <c r="F65" s="2">
        <f t="shared" si="6"/>
        <v>682247</v>
      </c>
      <c r="G65" s="2">
        <f t="shared" si="6"/>
        <v>682247</v>
      </c>
    </row>
    <row r="66" spans="1:8" x14ac:dyDescent="0.2">
      <c r="B66" s="2"/>
      <c r="C66" s="2"/>
      <c r="D66" s="2"/>
      <c r="E66" s="2"/>
      <c r="F66" s="2"/>
      <c r="G66" s="2"/>
    </row>
    <row r="67" spans="1:8" x14ac:dyDescent="0.2">
      <c r="B67" s="2"/>
      <c r="C67" s="2"/>
      <c r="D67" s="2"/>
      <c r="E67" s="2"/>
      <c r="F67" s="2"/>
      <c r="G67" s="2"/>
    </row>
    <row r="68" spans="1:8" x14ac:dyDescent="0.2">
      <c r="B68" s="2"/>
      <c r="C68" s="2"/>
      <c r="D68" s="2"/>
      <c r="E68" s="2"/>
      <c r="F68" s="2"/>
      <c r="G68" s="2"/>
      <c r="H68" s="2" t="e">
        <f>#N/A</f>
        <v>#N/A</v>
      </c>
    </row>
    <row r="69" spans="1:8" ht="15" x14ac:dyDescent="0.35">
      <c r="B69" s="10"/>
      <c r="C69" s="10"/>
      <c r="D69" s="10"/>
      <c r="E69" s="10"/>
      <c r="F69" s="10"/>
      <c r="G69" s="10"/>
      <c r="H69" s="10" t="e">
        <f>#N/A</f>
        <v>#N/A</v>
      </c>
    </row>
    <row r="70" spans="1:8" x14ac:dyDescent="0.2">
      <c r="B70" s="2"/>
      <c r="C70" s="2"/>
      <c r="D70" s="2"/>
      <c r="E70" s="2"/>
      <c r="F70" s="2"/>
      <c r="G70" s="2"/>
      <c r="H70" s="2" t="e">
        <f>#N/A</f>
        <v>#N/A</v>
      </c>
    </row>
  </sheetData>
  <mergeCells count="3">
    <mergeCell ref="A1:G1"/>
    <mergeCell ref="A34:G34"/>
    <mergeCell ref="A35:G35"/>
  </mergeCells>
  <phoneticPr fontId="0" type="noConversion"/>
  <printOptions gridLines="1"/>
  <pageMargins left="0.75" right="0.16" top="0.51" bottom="0.22" header="0.5" footer="0"/>
  <pageSetup scale="90" fitToHeight="2" orientation="landscape" r:id="rId1"/>
  <headerFooter alignWithMargins="0"/>
  <rowBreaks count="1" manualBreakCount="1">
    <brk id="33" max="6"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51"/>
  <sheetViews>
    <sheetView view="pageBreakPreview" zoomScaleNormal="100" zoomScaleSheetLayoutView="100" workbookViewId="0">
      <pane ySplit="5" topLeftCell="A320" activePane="bottomLeft" state="frozen"/>
      <selection activeCell="D43" sqref="D43"/>
      <selection pane="bottomLeft" sqref="A1:J1"/>
    </sheetView>
  </sheetViews>
  <sheetFormatPr defaultColWidth="8.85546875" defaultRowHeight="12.75" x14ac:dyDescent="0.2"/>
  <cols>
    <col min="1" max="1" width="50.140625" style="183" customWidth="1"/>
    <col min="2" max="2" width="8.85546875" style="183" customWidth="1"/>
    <col min="3" max="3" width="12.28515625" style="183" bestFit="1" customWidth="1"/>
    <col min="4" max="4" width="10.42578125" style="183" bestFit="1" customWidth="1"/>
    <col min="5" max="6" width="10.28515625" style="183" bestFit="1" customWidth="1"/>
    <col min="7" max="7" width="11.7109375" style="183" bestFit="1" customWidth="1"/>
    <col min="8" max="8" width="13.7109375" style="2" bestFit="1" customWidth="1"/>
    <col min="9" max="9" width="10.85546875" style="183" customWidth="1"/>
    <col min="10" max="10" width="10.28515625" style="183" bestFit="1" customWidth="1"/>
    <col min="11" max="16384" width="8.85546875" style="183"/>
  </cols>
  <sheetData>
    <row r="1" spans="1:10" x14ac:dyDescent="0.2">
      <c r="A1" s="319" t="s">
        <v>2038</v>
      </c>
      <c r="B1" s="320"/>
      <c r="C1" s="320"/>
      <c r="D1" s="320"/>
      <c r="E1" s="320"/>
      <c r="F1" s="320"/>
      <c r="G1" s="320"/>
      <c r="H1" s="320"/>
      <c r="I1" s="320"/>
      <c r="J1" s="320"/>
    </row>
    <row r="2" spans="1:10" ht="18.75" x14ac:dyDescent="0.3">
      <c r="A2" s="95" t="s">
        <v>1577</v>
      </c>
      <c r="B2" s="95"/>
      <c r="C2" s="95"/>
      <c r="D2" s="95"/>
      <c r="E2" s="95"/>
      <c r="F2" s="95"/>
      <c r="G2" s="229"/>
      <c r="I2" s="229"/>
      <c r="J2" s="229"/>
    </row>
    <row r="3" spans="1:10" x14ac:dyDescent="0.2">
      <c r="A3" s="229"/>
      <c r="B3" s="2"/>
      <c r="C3" s="2"/>
      <c r="D3" s="2"/>
      <c r="E3" s="2"/>
      <c r="F3" s="2"/>
      <c r="G3" s="229"/>
      <c r="I3" s="229"/>
      <c r="J3" s="229"/>
    </row>
    <row r="4" spans="1:10" x14ac:dyDescent="0.2">
      <c r="A4" s="229"/>
      <c r="B4" s="2"/>
      <c r="C4" s="2"/>
      <c r="D4" s="2"/>
      <c r="E4" s="15" t="s">
        <v>199</v>
      </c>
      <c r="F4" s="15" t="s">
        <v>200</v>
      </c>
      <c r="G4" s="15" t="s">
        <v>60</v>
      </c>
      <c r="H4" s="15" t="s">
        <v>351</v>
      </c>
      <c r="I4" s="15" t="s">
        <v>264</v>
      </c>
      <c r="J4" s="15" t="s">
        <v>295</v>
      </c>
    </row>
    <row r="5" spans="1:10" ht="15" x14ac:dyDescent="0.35">
      <c r="A5" s="229"/>
      <c r="B5" s="2"/>
      <c r="C5" s="2"/>
      <c r="D5" s="2"/>
      <c r="E5" s="232" t="s">
        <v>1825</v>
      </c>
      <c r="F5" s="232" t="s">
        <v>1947</v>
      </c>
      <c r="G5" s="232" t="s">
        <v>2039</v>
      </c>
      <c r="H5" s="232" t="s">
        <v>2039</v>
      </c>
      <c r="I5" s="232" t="s">
        <v>2039</v>
      </c>
      <c r="J5" s="232" t="s">
        <v>2039</v>
      </c>
    </row>
    <row r="6" spans="1:10" ht="13.5" x14ac:dyDescent="0.25">
      <c r="A6" s="230" t="s">
        <v>671</v>
      </c>
      <c r="B6" s="2"/>
      <c r="C6" s="2"/>
      <c r="D6" s="2"/>
      <c r="E6" s="2">
        <v>42167</v>
      </c>
      <c r="F6" s="2">
        <v>43426</v>
      </c>
      <c r="G6" s="41">
        <v>44720</v>
      </c>
      <c r="H6" s="41">
        <v>44720</v>
      </c>
      <c r="I6" s="41">
        <v>44720</v>
      </c>
      <c r="J6" s="41">
        <v>44720</v>
      </c>
    </row>
    <row r="7" spans="1:10" ht="15" x14ac:dyDescent="0.35">
      <c r="A7" s="229" t="s">
        <v>378</v>
      </c>
      <c r="B7" s="2">
        <v>52</v>
      </c>
      <c r="C7" s="2">
        <f>21.5*40</f>
        <v>860</v>
      </c>
      <c r="D7" s="10">
        <f>ROUND(B7*C7,0)</f>
        <v>44720</v>
      </c>
      <c r="E7" s="2"/>
      <c r="F7" s="2"/>
      <c r="G7" s="41"/>
      <c r="H7" s="41"/>
      <c r="I7" s="41"/>
      <c r="J7" s="41"/>
    </row>
    <row r="8" spans="1:10" x14ac:dyDescent="0.2">
      <c r="A8" s="229"/>
      <c r="B8" s="2"/>
      <c r="C8" s="2"/>
      <c r="D8" s="2">
        <f>SUM(D7:D7)</f>
        <v>44720</v>
      </c>
      <c r="E8" s="2"/>
      <c r="F8" s="2"/>
      <c r="G8" s="41"/>
      <c r="H8" s="41"/>
      <c r="I8" s="41"/>
      <c r="J8" s="41"/>
    </row>
    <row r="9" spans="1:10" x14ac:dyDescent="0.2">
      <c r="A9" s="229"/>
      <c r="B9" s="2"/>
      <c r="C9" s="2"/>
      <c r="D9" s="2"/>
      <c r="E9" s="2"/>
      <c r="F9" s="2"/>
      <c r="G9" s="41"/>
      <c r="H9" s="41"/>
      <c r="I9" s="41"/>
      <c r="J9" s="41"/>
    </row>
    <row r="10" spans="1:10" ht="13.5" x14ac:dyDescent="0.25">
      <c r="A10" s="230" t="s">
        <v>626</v>
      </c>
      <c r="B10" s="2"/>
      <c r="C10" s="2"/>
      <c r="D10" s="2"/>
      <c r="E10" s="2">
        <v>591129</v>
      </c>
      <c r="F10" s="2">
        <v>599421</v>
      </c>
      <c r="G10" s="41">
        <v>609094</v>
      </c>
      <c r="H10" s="41">
        <v>609094</v>
      </c>
      <c r="I10" s="41">
        <v>614868</v>
      </c>
      <c r="J10" s="41">
        <v>614868</v>
      </c>
    </row>
    <row r="11" spans="1:10" x14ac:dyDescent="0.2">
      <c r="A11" s="229" t="s">
        <v>1663</v>
      </c>
      <c r="B11" s="2">
        <v>52</v>
      </c>
      <c r="C11" s="2">
        <v>1940.4</v>
      </c>
      <c r="D11" s="2">
        <f t="shared" ref="D11:D18" si="0">ROUND(B11*C11,0)</f>
        <v>100901</v>
      </c>
      <c r="E11" s="2"/>
      <c r="F11" s="2"/>
      <c r="G11" s="41"/>
      <c r="H11" s="41"/>
      <c r="I11" s="41"/>
      <c r="J11" s="41"/>
    </row>
    <row r="12" spans="1:10" x14ac:dyDescent="0.2">
      <c r="A12" s="107" t="s">
        <v>627</v>
      </c>
      <c r="B12" s="2">
        <v>52</v>
      </c>
      <c r="C12" s="2">
        <f>45.02*40</f>
        <v>1800.8000000000002</v>
      </c>
      <c r="D12" s="2">
        <f t="shared" si="0"/>
        <v>93642</v>
      </c>
      <c r="E12" s="1"/>
      <c r="F12" s="1"/>
      <c r="G12" s="117"/>
      <c r="H12" s="117"/>
      <c r="I12" s="117"/>
      <c r="J12" s="117"/>
    </row>
    <row r="13" spans="1:10" x14ac:dyDescent="0.2">
      <c r="A13" s="229" t="s">
        <v>1822</v>
      </c>
      <c r="B13" s="2">
        <v>52</v>
      </c>
      <c r="C13" s="2">
        <f>30.54*40</f>
        <v>1221.5999999999999</v>
      </c>
      <c r="D13" s="2">
        <f t="shared" si="0"/>
        <v>63523</v>
      </c>
      <c r="E13" s="1"/>
      <c r="F13" s="1"/>
      <c r="G13" s="117"/>
      <c r="H13" s="117"/>
      <c r="I13" s="117"/>
      <c r="J13" s="117"/>
    </row>
    <row r="14" spans="1:10" x14ac:dyDescent="0.2">
      <c r="A14" s="107" t="s">
        <v>1606</v>
      </c>
      <c r="B14" s="2">
        <v>52</v>
      </c>
      <c r="C14" s="2">
        <v>1403.17</v>
      </c>
      <c r="D14" s="2">
        <f t="shared" si="0"/>
        <v>72965</v>
      </c>
      <c r="E14" s="2"/>
      <c r="F14" s="2"/>
      <c r="G14" s="41"/>
      <c r="H14" s="41"/>
      <c r="I14" s="41"/>
      <c r="J14" s="41"/>
    </row>
    <row r="15" spans="1:10" x14ac:dyDescent="0.2">
      <c r="A15" s="107" t="s">
        <v>628</v>
      </c>
      <c r="B15" s="2">
        <v>52</v>
      </c>
      <c r="C15" s="2">
        <f>36.52*40</f>
        <v>1460.8000000000002</v>
      </c>
      <c r="D15" s="2">
        <f t="shared" si="0"/>
        <v>75962</v>
      </c>
      <c r="E15" s="2"/>
      <c r="F15" s="2"/>
      <c r="G15" s="41"/>
      <c r="H15" s="41"/>
      <c r="I15" s="41"/>
      <c r="J15" s="41"/>
    </row>
    <row r="16" spans="1:10" x14ac:dyDescent="0.2">
      <c r="A16" s="107" t="s">
        <v>207</v>
      </c>
      <c r="B16" s="2">
        <v>52</v>
      </c>
      <c r="C16" s="2">
        <f>36.23*40</f>
        <v>1449.1999999999998</v>
      </c>
      <c r="D16" s="2">
        <f t="shared" si="0"/>
        <v>75358</v>
      </c>
      <c r="E16" s="2"/>
      <c r="F16" s="2"/>
      <c r="G16" s="41"/>
      <c r="H16" s="41"/>
      <c r="I16" s="41"/>
      <c r="J16" s="41"/>
    </row>
    <row r="17" spans="1:10" x14ac:dyDescent="0.2">
      <c r="A17" s="107" t="s">
        <v>1607</v>
      </c>
      <c r="B17" s="2">
        <v>52</v>
      </c>
      <c r="C17" s="2">
        <v>1221.73</v>
      </c>
      <c r="D17" s="2">
        <f t="shared" si="0"/>
        <v>63530</v>
      </c>
      <c r="E17" s="2"/>
      <c r="F17" s="2"/>
      <c r="G17" s="41"/>
      <c r="H17" s="41"/>
      <c r="I17" s="41"/>
      <c r="J17" s="41"/>
    </row>
    <row r="18" spans="1:10" x14ac:dyDescent="0.2">
      <c r="A18" s="229" t="s">
        <v>1348</v>
      </c>
      <c r="B18" s="2">
        <v>52</v>
      </c>
      <c r="C18" s="2">
        <v>1319.45</v>
      </c>
      <c r="D18" s="2">
        <f t="shared" si="0"/>
        <v>68611</v>
      </c>
      <c r="E18" s="2"/>
      <c r="F18" s="2"/>
      <c r="G18" s="41"/>
      <c r="H18" s="41"/>
      <c r="I18" s="41"/>
      <c r="J18" s="41"/>
    </row>
    <row r="19" spans="1:10" ht="15" x14ac:dyDescent="0.35">
      <c r="A19" s="229" t="s">
        <v>818</v>
      </c>
      <c r="B19" s="2" t="s">
        <v>338</v>
      </c>
      <c r="C19" s="2" t="s">
        <v>338</v>
      </c>
      <c r="D19" s="10">
        <v>376</v>
      </c>
      <c r="E19" s="2"/>
      <c r="F19" s="2"/>
      <c r="G19" s="41"/>
      <c r="H19" s="41"/>
      <c r="I19" s="41"/>
      <c r="J19" s="41"/>
    </row>
    <row r="20" spans="1:10" x14ac:dyDescent="0.2">
      <c r="A20" s="229" t="s">
        <v>1067</v>
      </c>
      <c r="B20" s="2"/>
      <c r="C20" s="2"/>
      <c r="D20" s="2">
        <f>SUM(D11:D19)</f>
        <v>614868</v>
      </c>
      <c r="E20" s="2"/>
      <c r="F20" s="2"/>
      <c r="G20" s="41"/>
      <c r="H20" s="41"/>
      <c r="I20" s="41"/>
      <c r="J20" s="41"/>
    </row>
    <row r="21" spans="1:10" x14ac:dyDescent="0.2">
      <c r="A21" s="229"/>
      <c r="B21" s="2"/>
      <c r="C21" s="2"/>
      <c r="D21" s="2"/>
      <c r="E21" s="2"/>
      <c r="F21" s="2"/>
      <c r="G21" s="41"/>
      <c r="H21" s="41"/>
      <c r="I21" s="41"/>
      <c r="J21" s="41"/>
    </row>
    <row r="22" spans="1:10" ht="13.5" x14ac:dyDescent="0.25">
      <c r="A22" s="230" t="s">
        <v>1177</v>
      </c>
      <c r="B22" s="2"/>
      <c r="C22" s="2"/>
      <c r="D22" s="2"/>
      <c r="E22" s="2">
        <v>565528</v>
      </c>
      <c r="F22" s="2">
        <v>677431</v>
      </c>
      <c r="G22" s="2">
        <v>683641</v>
      </c>
      <c r="H22" s="2">
        <v>683641</v>
      </c>
      <c r="I22" s="2">
        <v>683641</v>
      </c>
      <c r="J22" s="2">
        <v>728149</v>
      </c>
    </row>
    <row r="23" spans="1:10" x14ac:dyDescent="0.2">
      <c r="A23" s="210" t="s">
        <v>1171</v>
      </c>
      <c r="B23" s="2">
        <v>52</v>
      </c>
      <c r="C23" s="298">
        <f>26.09*40</f>
        <v>1043.5999999999999</v>
      </c>
      <c r="D23" s="2">
        <f t="shared" ref="D23:D35" si="1">ROUND(B23*C23,0)</f>
        <v>54267</v>
      </c>
      <c r="E23" s="2"/>
      <c r="F23" s="2"/>
      <c r="G23" s="2"/>
      <c r="I23" s="2"/>
      <c r="J23" s="2"/>
    </row>
    <row r="24" spans="1:10" x14ac:dyDescent="0.2">
      <c r="A24" s="210" t="s">
        <v>1171</v>
      </c>
      <c r="B24" s="2">
        <v>52</v>
      </c>
      <c r="C24" s="298">
        <f>27.12*40</f>
        <v>1084.8</v>
      </c>
      <c r="D24" s="2">
        <f t="shared" si="1"/>
        <v>56410</v>
      </c>
      <c r="E24" s="2"/>
      <c r="F24" s="2"/>
      <c r="G24" s="2"/>
      <c r="I24" s="2"/>
      <c r="J24" s="2"/>
    </row>
    <row r="25" spans="1:10" x14ac:dyDescent="0.2">
      <c r="A25" s="210" t="s">
        <v>1171</v>
      </c>
      <c r="B25" s="2">
        <v>52</v>
      </c>
      <c r="C25" s="298">
        <f>26.09*40</f>
        <v>1043.5999999999999</v>
      </c>
      <c r="D25" s="2">
        <f t="shared" si="1"/>
        <v>54267</v>
      </c>
      <c r="E25" s="2"/>
      <c r="F25" s="2"/>
      <c r="G25" s="2"/>
      <c r="I25" s="2"/>
      <c r="J25" s="2"/>
    </row>
    <row r="26" spans="1:10" x14ac:dyDescent="0.2">
      <c r="A26" s="210" t="s">
        <v>1171</v>
      </c>
      <c r="B26" s="2">
        <v>52</v>
      </c>
      <c r="C26" s="298">
        <f>26.09*40</f>
        <v>1043.5999999999999</v>
      </c>
      <c r="D26" s="2">
        <f t="shared" si="1"/>
        <v>54267</v>
      </c>
      <c r="E26" s="2"/>
      <c r="F26" s="2"/>
      <c r="G26" s="2"/>
      <c r="I26" s="2"/>
      <c r="J26" s="2"/>
    </row>
    <row r="27" spans="1:10" x14ac:dyDescent="0.2">
      <c r="A27" s="210" t="s">
        <v>1540</v>
      </c>
      <c r="B27" s="2">
        <v>52</v>
      </c>
      <c r="C27" s="298">
        <f>28.44*40</f>
        <v>1137.6000000000001</v>
      </c>
      <c r="D27" s="2">
        <f t="shared" si="1"/>
        <v>59155</v>
      </c>
      <c r="E27" s="2"/>
      <c r="F27" s="2"/>
      <c r="G27" s="2"/>
      <c r="I27" s="2"/>
      <c r="J27" s="2"/>
    </row>
    <row r="28" spans="1:10" x14ac:dyDescent="0.2">
      <c r="A28" s="210" t="s">
        <v>1540</v>
      </c>
      <c r="B28" s="2">
        <v>52</v>
      </c>
      <c r="C28" s="298">
        <f>28.44*40</f>
        <v>1137.6000000000001</v>
      </c>
      <c r="D28" s="2">
        <f t="shared" si="1"/>
        <v>59155</v>
      </c>
      <c r="E28" s="2"/>
      <c r="F28" s="2"/>
      <c r="G28" s="2"/>
      <c r="I28" s="2"/>
      <c r="J28" s="2"/>
    </row>
    <row r="29" spans="1:10" x14ac:dyDescent="0.2">
      <c r="A29" s="210" t="s">
        <v>1540</v>
      </c>
      <c r="B29" s="2">
        <v>52</v>
      </c>
      <c r="C29" s="298">
        <f>27.9*40</f>
        <v>1116</v>
      </c>
      <c r="D29" s="2">
        <f t="shared" si="1"/>
        <v>58032</v>
      </c>
      <c r="E29" s="2"/>
      <c r="F29" s="2"/>
      <c r="G29" s="2"/>
      <c r="I29" s="2"/>
      <c r="J29" s="2"/>
    </row>
    <row r="30" spans="1:10" x14ac:dyDescent="0.2">
      <c r="A30" s="210" t="s">
        <v>1540</v>
      </c>
      <c r="B30" s="2">
        <v>52</v>
      </c>
      <c r="C30" s="298">
        <f>27.9*40</f>
        <v>1116</v>
      </c>
      <c r="D30" s="2">
        <f t="shared" si="1"/>
        <v>58032</v>
      </c>
      <c r="E30" s="2"/>
      <c r="F30" s="2"/>
      <c r="G30" s="2"/>
      <c r="I30" s="2"/>
      <c r="J30" s="2"/>
    </row>
    <row r="31" spans="1:10" x14ac:dyDescent="0.2">
      <c r="A31" s="210" t="s">
        <v>1508</v>
      </c>
      <c r="B31" s="2">
        <v>52</v>
      </c>
      <c r="C31" s="298">
        <f>25.07*40</f>
        <v>1002.8</v>
      </c>
      <c r="D31" s="2">
        <f t="shared" si="1"/>
        <v>52146</v>
      </c>
      <c r="E31" s="2"/>
      <c r="F31" s="2"/>
      <c r="G31" s="2"/>
      <c r="I31" s="2"/>
      <c r="J31" s="2"/>
    </row>
    <row r="32" spans="1:10" x14ac:dyDescent="0.2">
      <c r="A32" s="210" t="s">
        <v>1508</v>
      </c>
      <c r="B32" s="2">
        <v>52</v>
      </c>
      <c r="C32" s="298">
        <f>22.63*40</f>
        <v>905.19999999999993</v>
      </c>
      <c r="D32" s="2">
        <f t="shared" si="1"/>
        <v>47070</v>
      </c>
      <c r="E32" s="2"/>
      <c r="F32" s="2"/>
      <c r="G32" s="2"/>
      <c r="I32" s="2"/>
      <c r="J32" s="2"/>
    </row>
    <row r="33" spans="1:10" x14ac:dyDescent="0.2">
      <c r="A33" s="210" t="s">
        <v>1508</v>
      </c>
      <c r="B33" s="2">
        <v>52</v>
      </c>
      <c r="C33" s="298">
        <f>24.12*40</f>
        <v>964.80000000000007</v>
      </c>
      <c r="D33" s="2">
        <f t="shared" si="1"/>
        <v>50170</v>
      </c>
      <c r="E33" s="2"/>
      <c r="F33" s="2"/>
      <c r="G33" s="2"/>
      <c r="I33" s="2"/>
      <c r="J33" s="2"/>
    </row>
    <row r="34" spans="1:10" x14ac:dyDescent="0.2">
      <c r="A34" s="210" t="s">
        <v>1509</v>
      </c>
      <c r="B34" s="2">
        <v>52</v>
      </c>
      <c r="C34" s="298">
        <f>26.84*40</f>
        <v>1073.5999999999999</v>
      </c>
      <c r="D34" s="2">
        <f t="shared" si="1"/>
        <v>55827</v>
      </c>
      <c r="E34" s="2"/>
      <c r="F34" s="2"/>
      <c r="G34" s="2"/>
      <c r="I34" s="2"/>
      <c r="J34" s="2"/>
    </row>
    <row r="35" spans="1:10" x14ac:dyDescent="0.2">
      <c r="A35" s="210" t="s">
        <v>1688</v>
      </c>
      <c r="B35" s="2">
        <v>52</v>
      </c>
      <c r="C35" s="298">
        <f>28.44*40</f>
        <v>1137.6000000000001</v>
      </c>
      <c r="D35" s="2">
        <f t="shared" si="1"/>
        <v>59155</v>
      </c>
      <c r="E35" s="2"/>
      <c r="F35" s="2"/>
      <c r="G35" s="2"/>
      <c r="I35" s="2"/>
      <c r="J35" s="2"/>
    </row>
    <row r="36" spans="1:10" x14ac:dyDescent="0.2">
      <c r="A36" s="229" t="s">
        <v>818</v>
      </c>
      <c r="B36" s="2"/>
      <c r="C36" s="2"/>
      <c r="D36" s="2">
        <f>1483-439</f>
        <v>1044</v>
      </c>
      <c r="E36" s="2"/>
      <c r="F36" s="2"/>
      <c r="G36" s="2"/>
      <c r="I36" s="2"/>
      <c r="J36" s="2"/>
    </row>
    <row r="37" spans="1:10" ht="15" x14ac:dyDescent="0.35">
      <c r="A37" s="229" t="s">
        <v>974</v>
      </c>
      <c r="B37" s="2">
        <v>9152</v>
      </c>
      <c r="C37" s="11">
        <v>1</v>
      </c>
      <c r="D37" s="10">
        <f>ROUND(B37*C37,0)</f>
        <v>9152</v>
      </c>
      <c r="E37" s="2"/>
      <c r="F37" s="2"/>
      <c r="G37" s="2"/>
      <c r="I37" s="2"/>
      <c r="J37" s="2"/>
    </row>
    <row r="38" spans="1:10" x14ac:dyDescent="0.2">
      <c r="A38" s="229" t="s">
        <v>1067</v>
      </c>
      <c r="B38" s="2"/>
      <c r="C38" s="2"/>
      <c r="D38" s="2">
        <f>SUM(D23:D37)</f>
        <v>728149</v>
      </c>
      <c r="E38" s="2"/>
      <c r="F38" s="2"/>
      <c r="G38" s="2"/>
      <c r="I38" s="2"/>
      <c r="J38" s="2"/>
    </row>
    <row r="39" spans="1:10" x14ac:dyDescent="0.2">
      <c r="A39" s="229"/>
      <c r="B39" s="229"/>
      <c r="C39" s="56"/>
      <c r="D39" s="2"/>
      <c r="E39" s="2"/>
      <c r="F39" s="2"/>
      <c r="G39" s="2"/>
      <c r="I39" s="2"/>
      <c r="J39" s="2"/>
    </row>
    <row r="40" spans="1:10" ht="13.5" x14ac:dyDescent="0.25">
      <c r="A40" s="230" t="s">
        <v>1223</v>
      </c>
      <c r="B40" s="11"/>
      <c r="C40" s="229"/>
      <c r="D40" s="2"/>
      <c r="E40" s="2">
        <v>42094</v>
      </c>
      <c r="F40" s="2">
        <v>9709</v>
      </c>
      <c r="G40" s="2">
        <v>9921</v>
      </c>
      <c r="H40" s="2">
        <v>9921</v>
      </c>
      <c r="I40" s="2">
        <v>9921</v>
      </c>
      <c r="J40" s="2">
        <v>9921</v>
      </c>
    </row>
    <row r="41" spans="1:10" x14ac:dyDescent="0.2">
      <c r="A41" s="229" t="s">
        <v>610</v>
      </c>
      <c r="B41" s="2" t="s">
        <v>338</v>
      </c>
      <c r="C41" s="11" t="s">
        <v>338</v>
      </c>
      <c r="D41" s="2" t="s">
        <v>338</v>
      </c>
      <c r="E41" s="2"/>
      <c r="F41" s="2"/>
      <c r="G41" s="2"/>
      <c r="I41" s="2"/>
      <c r="J41" s="2"/>
    </row>
    <row r="42" spans="1:10" x14ac:dyDescent="0.2">
      <c r="A42" s="229" t="s">
        <v>1046</v>
      </c>
      <c r="B42" s="2">
        <v>185.5</v>
      </c>
      <c r="C42" s="11">
        <f>SUM(C12:C17)/40/6*1.5</f>
        <v>53.483124999999987</v>
      </c>
      <c r="D42" s="2">
        <f>+C42*B42</f>
        <v>9921.1196874999969</v>
      </c>
      <c r="E42" s="2"/>
      <c r="F42" s="2"/>
      <c r="G42" s="2"/>
      <c r="I42" s="2"/>
      <c r="J42" s="2"/>
    </row>
    <row r="43" spans="1:10" x14ac:dyDescent="0.2">
      <c r="A43" s="229"/>
      <c r="B43" s="2"/>
      <c r="C43" s="11"/>
      <c r="D43" s="2"/>
      <c r="E43" s="2"/>
      <c r="F43" s="2"/>
      <c r="G43" s="2"/>
      <c r="I43" s="2"/>
      <c r="J43" s="2"/>
    </row>
    <row r="44" spans="1:10" ht="13.5" x14ac:dyDescent="0.25">
      <c r="A44" s="230" t="s">
        <v>396</v>
      </c>
      <c r="B44" s="229"/>
      <c r="C44" s="229"/>
      <c r="D44" s="2"/>
      <c r="E44" s="2">
        <v>22170</v>
      </c>
      <c r="F44" s="2">
        <v>39772</v>
      </c>
      <c r="G44" s="2">
        <v>45452</v>
      </c>
      <c r="H44" s="2">
        <v>45452</v>
      </c>
      <c r="I44" s="2">
        <v>45150</v>
      </c>
      <c r="J44" s="2">
        <v>45150</v>
      </c>
    </row>
    <row r="45" spans="1:10" x14ac:dyDescent="0.2">
      <c r="A45" s="229" t="s">
        <v>52</v>
      </c>
      <c r="B45" s="2">
        <v>640</v>
      </c>
      <c r="C45" s="11">
        <v>17.89</v>
      </c>
      <c r="D45" s="2">
        <f>ROUND(B45*C45,0)</f>
        <v>11450</v>
      </c>
      <c r="E45" s="2"/>
      <c r="F45" s="2"/>
      <c r="G45" s="2"/>
      <c r="I45" s="2"/>
      <c r="J45" s="2"/>
    </row>
    <row r="46" spans="1:10" x14ac:dyDescent="0.2">
      <c r="A46" s="283" t="s">
        <v>2099</v>
      </c>
      <c r="B46" s="2">
        <v>1200</v>
      </c>
      <c r="C46" s="11">
        <v>15</v>
      </c>
      <c r="D46" s="2">
        <f>+B46*C46</f>
        <v>18000</v>
      </c>
      <c r="E46" s="2"/>
      <c r="F46" s="2"/>
      <c r="G46" s="2"/>
      <c r="I46" s="2"/>
      <c r="J46" s="2"/>
    </row>
    <row r="47" spans="1:10" x14ac:dyDescent="0.2">
      <c r="A47" s="283" t="s">
        <v>1639</v>
      </c>
      <c r="B47" s="2"/>
      <c r="C47" s="11"/>
      <c r="D47" s="2"/>
      <c r="E47" s="2"/>
      <c r="F47" s="2"/>
      <c r="G47" s="2"/>
      <c r="I47" s="2"/>
      <c r="J47" s="2"/>
    </row>
    <row r="48" spans="1:10" x14ac:dyDescent="0.2">
      <c r="A48" s="283" t="s">
        <v>1640</v>
      </c>
      <c r="B48" s="2">
        <v>1248</v>
      </c>
      <c r="C48" s="11">
        <v>12.58</v>
      </c>
      <c r="D48" s="3">
        <f>ROUND(B48*C48,0)</f>
        <v>15700</v>
      </c>
      <c r="E48" s="2"/>
      <c r="F48" s="2"/>
      <c r="G48" s="2"/>
      <c r="I48" s="2"/>
      <c r="J48" s="2"/>
    </row>
    <row r="49" spans="1:10" ht="15" x14ac:dyDescent="0.35">
      <c r="A49" s="283"/>
      <c r="B49" s="2"/>
      <c r="C49" s="11"/>
      <c r="D49" s="28">
        <f>ROUND(B49*C49,0)</f>
        <v>0</v>
      </c>
      <c r="E49" s="2"/>
      <c r="F49" s="2"/>
      <c r="G49" s="2"/>
      <c r="I49" s="2"/>
      <c r="J49" s="2"/>
    </row>
    <row r="50" spans="1:10" x14ac:dyDescent="0.2">
      <c r="A50" s="283"/>
      <c r="B50" s="2"/>
      <c r="C50" s="11"/>
      <c r="D50" s="3">
        <f>SUM(D45:D49)</f>
        <v>45150</v>
      </c>
      <c r="E50" s="2"/>
      <c r="F50" s="2"/>
      <c r="G50" s="2"/>
      <c r="I50" s="2"/>
      <c r="J50" s="2"/>
    </row>
    <row r="51" spans="1:10" ht="13.5" x14ac:dyDescent="0.25">
      <c r="A51" s="286" t="s">
        <v>837</v>
      </c>
      <c r="B51" s="283"/>
      <c r="C51" s="283"/>
      <c r="D51" s="2"/>
      <c r="E51" s="2">
        <v>56220</v>
      </c>
      <c r="F51" s="2">
        <v>84288</v>
      </c>
      <c r="G51" s="2">
        <v>85109</v>
      </c>
      <c r="H51" s="2">
        <v>85109</v>
      </c>
      <c r="I51" s="2">
        <v>85335</v>
      </c>
      <c r="J51" s="2">
        <v>89695</v>
      </c>
    </row>
    <row r="52" spans="1:10" x14ac:dyDescent="0.2">
      <c r="A52" s="283" t="s">
        <v>176</v>
      </c>
      <c r="B52" s="2" t="s">
        <v>338</v>
      </c>
      <c r="C52" s="11" t="s">
        <v>338</v>
      </c>
      <c r="D52" s="2" t="s">
        <v>338</v>
      </c>
      <c r="E52" s="2"/>
      <c r="F52" s="2"/>
      <c r="G52" s="2"/>
      <c r="I52" s="2"/>
      <c r="J52" s="2"/>
    </row>
    <row r="53" spans="1:10" x14ac:dyDescent="0.2">
      <c r="A53" s="283" t="s">
        <v>1349</v>
      </c>
      <c r="B53" s="2">
        <v>1881.54</v>
      </c>
      <c r="C53" s="11">
        <f>+SUM(C16:C35)/40/14*1.5</f>
        <v>47.671017857142843</v>
      </c>
      <c r="D53" s="2">
        <f>+C53*B53</f>
        <v>89694.926938928547</v>
      </c>
      <c r="E53" s="2"/>
      <c r="F53" s="2"/>
      <c r="G53" s="2"/>
      <c r="I53" s="2"/>
      <c r="J53" s="2"/>
    </row>
    <row r="54" spans="1:10" x14ac:dyDescent="0.2">
      <c r="A54" s="283"/>
      <c r="B54" s="2"/>
      <c r="C54" s="11"/>
      <c r="D54" s="2"/>
      <c r="E54" s="2"/>
      <c r="F54" s="2"/>
      <c r="G54" s="2"/>
      <c r="I54" s="2"/>
      <c r="J54" s="2"/>
    </row>
    <row r="55" spans="1:10" ht="13.5" x14ac:dyDescent="0.25">
      <c r="A55" s="286" t="s">
        <v>571</v>
      </c>
      <c r="B55" s="283"/>
      <c r="C55" s="283"/>
      <c r="D55" s="2"/>
      <c r="E55" s="2">
        <v>100705</v>
      </c>
      <c r="F55" s="2">
        <v>111235</v>
      </c>
      <c r="G55" s="2">
        <v>113063</v>
      </c>
      <c r="H55" s="2">
        <v>113063</v>
      </c>
      <c r="I55" s="2">
        <v>113498</v>
      </c>
      <c r="J55" s="2">
        <v>117236</v>
      </c>
    </row>
    <row r="56" spans="1:10" hidden="1" x14ac:dyDescent="0.2">
      <c r="A56" s="12" t="s">
        <v>757</v>
      </c>
      <c r="B56" s="2">
        <f>+D7</f>
        <v>44720</v>
      </c>
      <c r="C56" s="13">
        <v>7.6499999999999999E-2</v>
      </c>
      <c r="D56" s="2">
        <f t="shared" ref="D56:D61" si="2">ROUND(B56*C56,0)</f>
        <v>3421</v>
      </c>
      <c r="E56" s="2"/>
      <c r="F56" s="2"/>
      <c r="G56" s="2"/>
      <c r="I56" s="2"/>
      <c r="J56" s="2"/>
    </row>
    <row r="57" spans="1:10" hidden="1" x14ac:dyDescent="0.2">
      <c r="A57" s="12" t="s">
        <v>1264</v>
      </c>
      <c r="B57" s="2">
        <f>+D20</f>
        <v>614868</v>
      </c>
      <c r="C57" s="13">
        <v>7.6499999999999999E-2</v>
      </c>
      <c r="D57" s="2">
        <f t="shared" si="2"/>
        <v>47037</v>
      </c>
      <c r="E57" s="2"/>
      <c r="F57" s="2"/>
      <c r="G57" s="2"/>
      <c r="I57" s="2"/>
      <c r="J57" s="2"/>
    </row>
    <row r="58" spans="1:10" hidden="1" x14ac:dyDescent="0.2">
      <c r="A58" s="12" t="s">
        <v>683</v>
      </c>
      <c r="B58" s="2">
        <f>+D38</f>
        <v>728149</v>
      </c>
      <c r="C58" s="13">
        <v>7.6499999999999999E-2</v>
      </c>
      <c r="D58" s="2">
        <f t="shared" si="2"/>
        <v>55703</v>
      </c>
      <c r="E58" s="2"/>
      <c r="F58" s="2"/>
      <c r="G58" s="2"/>
      <c r="I58" s="2"/>
      <c r="J58" s="2"/>
    </row>
    <row r="59" spans="1:10" hidden="1" x14ac:dyDescent="0.2">
      <c r="A59" s="12" t="s">
        <v>758</v>
      </c>
      <c r="B59" s="2">
        <f>+D42</f>
        <v>9921.1196874999969</v>
      </c>
      <c r="C59" s="13">
        <v>7.6499999999999999E-2</v>
      </c>
      <c r="D59" s="2">
        <f t="shared" si="2"/>
        <v>759</v>
      </c>
      <c r="E59" s="2"/>
      <c r="F59" s="2"/>
      <c r="G59" s="2"/>
      <c r="I59" s="2"/>
      <c r="J59" s="2"/>
    </row>
    <row r="60" spans="1:10" hidden="1" x14ac:dyDescent="0.2">
      <c r="A60" s="12" t="s">
        <v>153</v>
      </c>
      <c r="B60" s="2">
        <f>+D50</f>
        <v>45150</v>
      </c>
      <c r="C60" s="13">
        <v>7.6499999999999999E-2</v>
      </c>
      <c r="D60" s="2">
        <f t="shared" si="2"/>
        <v>3454</v>
      </c>
      <c r="E60" s="2"/>
      <c r="F60" s="2"/>
      <c r="G60" s="2"/>
      <c r="I60" s="2"/>
      <c r="J60" s="2"/>
    </row>
    <row r="61" spans="1:10" ht="15" hidden="1" x14ac:dyDescent="0.35">
      <c r="A61" s="12" t="s">
        <v>154</v>
      </c>
      <c r="B61" s="2">
        <f>+D53</f>
        <v>89694.926938928547</v>
      </c>
      <c r="C61" s="13">
        <v>7.6499999999999999E-2</v>
      </c>
      <c r="D61" s="10">
        <f t="shared" si="2"/>
        <v>6862</v>
      </c>
      <c r="E61" s="2"/>
      <c r="F61" s="2"/>
      <c r="G61" s="2"/>
      <c r="I61" s="2"/>
      <c r="J61" s="2"/>
    </row>
    <row r="62" spans="1:10" hidden="1" x14ac:dyDescent="0.2">
      <c r="A62" s="283" t="s">
        <v>1067</v>
      </c>
      <c r="B62" s="283"/>
      <c r="C62" s="283"/>
      <c r="D62" s="2">
        <f>SUM(D56:D61)</f>
        <v>117236</v>
      </c>
      <c r="E62" s="2"/>
      <c r="F62" s="2"/>
      <c r="G62" s="2"/>
      <c r="I62" s="2"/>
      <c r="J62" s="2"/>
    </row>
    <row r="63" spans="1:10" x14ac:dyDescent="0.2">
      <c r="A63" s="283"/>
      <c r="B63" s="283"/>
      <c r="C63" s="283"/>
      <c r="D63" s="2"/>
      <c r="E63" s="2"/>
      <c r="F63" s="2"/>
      <c r="G63" s="2"/>
      <c r="I63" s="2"/>
      <c r="J63" s="2"/>
    </row>
    <row r="64" spans="1:10" ht="13.5" x14ac:dyDescent="0.25">
      <c r="A64" s="286" t="s">
        <v>975</v>
      </c>
      <c r="B64" s="283"/>
      <c r="C64" s="283"/>
      <c r="D64" s="2"/>
      <c r="E64" s="2">
        <v>181472</v>
      </c>
      <c r="F64" s="2">
        <v>198848</v>
      </c>
      <c r="G64" s="2">
        <v>193815</v>
      </c>
      <c r="H64" s="2">
        <v>193815</v>
      </c>
      <c r="I64" s="2">
        <v>194628</v>
      </c>
      <c r="J64" s="2">
        <v>201240</v>
      </c>
    </row>
    <row r="65" spans="1:10" hidden="1" x14ac:dyDescent="0.2">
      <c r="A65" s="22">
        <v>8102</v>
      </c>
      <c r="B65" s="2">
        <f>+B56</f>
        <v>44720</v>
      </c>
      <c r="C65" s="299">
        <v>0.1353</v>
      </c>
      <c r="D65" s="2">
        <f>ROUND(B65*C65,0)</f>
        <v>6051</v>
      </c>
      <c r="E65" s="2"/>
      <c r="F65" s="2"/>
      <c r="G65" s="2"/>
      <c r="I65" s="2"/>
      <c r="J65" s="2"/>
    </row>
    <row r="66" spans="1:10" hidden="1" x14ac:dyDescent="0.2">
      <c r="A66" s="12" t="s">
        <v>1264</v>
      </c>
      <c r="B66" s="2">
        <f>+B57</f>
        <v>614868</v>
      </c>
      <c r="C66" s="299">
        <v>0.1353</v>
      </c>
      <c r="D66" s="2">
        <f>ROUND(B66*C66,0)</f>
        <v>83192</v>
      </c>
      <c r="E66" s="2"/>
      <c r="F66" s="2"/>
      <c r="G66" s="2"/>
      <c r="I66" s="2"/>
      <c r="J66" s="2"/>
    </row>
    <row r="67" spans="1:10" hidden="1" x14ac:dyDescent="0.2">
      <c r="A67" s="22">
        <v>8104</v>
      </c>
      <c r="B67" s="2">
        <f>+B58</f>
        <v>728149</v>
      </c>
      <c r="C67" s="299">
        <v>0.1353</v>
      </c>
      <c r="D67" s="2">
        <f>ROUND(B67*C67,0)</f>
        <v>98519</v>
      </c>
      <c r="E67" s="2"/>
      <c r="F67" s="2"/>
      <c r="G67" s="2"/>
      <c r="I67" s="2"/>
      <c r="J67" s="2"/>
    </row>
    <row r="68" spans="1:10" hidden="1" x14ac:dyDescent="0.2">
      <c r="A68" s="12" t="s">
        <v>758</v>
      </c>
      <c r="B68" s="2">
        <f>+B59</f>
        <v>9921.1196874999969</v>
      </c>
      <c r="C68" s="299">
        <v>0.1353</v>
      </c>
      <c r="D68" s="2">
        <f>ROUND(B68*C68,0)</f>
        <v>1342</v>
      </c>
      <c r="E68" s="2"/>
      <c r="F68" s="2"/>
      <c r="G68" s="2"/>
      <c r="I68" s="2"/>
      <c r="J68" s="2"/>
    </row>
    <row r="69" spans="1:10" ht="15" hidden="1" x14ac:dyDescent="0.35">
      <c r="A69" s="30" t="s">
        <v>154</v>
      </c>
      <c r="B69" s="2">
        <f>+B61</f>
        <v>89694.926938928547</v>
      </c>
      <c r="C69" s="299">
        <v>0.1353</v>
      </c>
      <c r="D69" s="10">
        <f>ROUND(B69*C69,0)</f>
        <v>12136</v>
      </c>
      <c r="E69" s="2"/>
      <c r="F69" s="2"/>
      <c r="G69" s="2"/>
      <c r="I69" s="2"/>
      <c r="J69" s="2"/>
    </row>
    <row r="70" spans="1:10" hidden="1" x14ac:dyDescent="0.2">
      <c r="A70" s="283" t="s">
        <v>1067</v>
      </c>
      <c r="B70" s="283"/>
      <c r="C70" s="283"/>
      <c r="D70" s="2">
        <f>SUM(D65:D69)</f>
        <v>201240</v>
      </c>
      <c r="E70" s="2"/>
      <c r="F70" s="2"/>
      <c r="G70" s="2"/>
      <c r="I70" s="2"/>
      <c r="J70" s="2"/>
    </row>
    <row r="71" spans="1:10" x14ac:dyDescent="0.2">
      <c r="A71" s="283"/>
      <c r="B71" s="283"/>
      <c r="C71" s="283"/>
      <c r="D71" s="2"/>
      <c r="E71" s="2"/>
      <c r="F71" s="2"/>
      <c r="G71" s="2"/>
      <c r="I71" s="2"/>
      <c r="J71" s="2"/>
    </row>
    <row r="72" spans="1:10" ht="13.5" x14ac:dyDescent="0.25">
      <c r="A72" s="286" t="s">
        <v>575</v>
      </c>
      <c r="B72" s="283"/>
      <c r="C72" s="283"/>
      <c r="D72" s="2"/>
      <c r="E72" s="2">
        <v>375003</v>
      </c>
      <c r="F72" s="2">
        <v>418000</v>
      </c>
      <c r="G72" s="2">
        <v>445500</v>
      </c>
      <c r="H72" s="2">
        <v>445500</v>
      </c>
      <c r="I72" s="2">
        <v>445500</v>
      </c>
      <c r="J72" s="2">
        <v>445500</v>
      </c>
    </row>
    <row r="73" spans="1:10" hidden="1" x14ac:dyDescent="0.2">
      <c r="A73" s="283" t="s">
        <v>258</v>
      </c>
      <c r="B73" s="2">
        <v>14</v>
      </c>
      <c r="C73" s="2">
        <v>20250</v>
      </c>
      <c r="D73" s="2">
        <f>ROUND(B73*C73,0)</f>
        <v>283500</v>
      </c>
      <c r="E73" s="2"/>
      <c r="F73" s="2"/>
      <c r="G73" s="2"/>
      <c r="I73" s="2"/>
      <c r="J73" s="2"/>
    </row>
    <row r="74" spans="1:10" hidden="1" x14ac:dyDescent="0.2">
      <c r="A74" s="283" t="s">
        <v>259</v>
      </c>
      <c r="B74" s="2">
        <v>2</v>
      </c>
      <c r="C74" s="2">
        <v>20250</v>
      </c>
      <c r="D74" s="2">
        <f>ROUND(B74*C74,0)</f>
        <v>40500</v>
      </c>
      <c r="E74" s="2"/>
      <c r="F74" s="2"/>
      <c r="G74" s="2"/>
      <c r="I74" s="2"/>
      <c r="J74" s="2"/>
    </row>
    <row r="75" spans="1:10" ht="15" hidden="1" x14ac:dyDescent="0.35">
      <c r="A75" s="283" t="s">
        <v>297</v>
      </c>
      <c r="B75" s="2">
        <v>6</v>
      </c>
      <c r="C75" s="2">
        <v>20250</v>
      </c>
      <c r="D75" s="10">
        <f>ROUND(B75*C75,0)</f>
        <v>121500</v>
      </c>
      <c r="E75" s="2"/>
      <c r="F75" s="2"/>
      <c r="G75" s="2"/>
      <c r="I75" s="2"/>
      <c r="J75" s="2"/>
    </row>
    <row r="76" spans="1:10" hidden="1" x14ac:dyDescent="0.2">
      <c r="A76" s="283" t="s">
        <v>678</v>
      </c>
      <c r="B76" s="2"/>
      <c r="C76" s="2"/>
      <c r="D76" s="2">
        <f>SUM(D73:D75)</f>
        <v>445500</v>
      </c>
      <c r="E76" s="2"/>
      <c r="F76" s="2"/>
      <c r="G76" s="2"/>
      <c r="I76" s="2"/>
      <c r="J76" s="2"/>
    </row>
    <row r="77" spans="1:10" x14ac:dyDescent="0.2">
      <c r="A77" s="283"/>
      <c r="B77" s="283"/>
      <c r="C77" s="283"/>
      <c r="D77" s="2"/>
      <c r="E77" s="2"/>
      <c r="F77" s="2"/>
      <c r="G77" s="2"/>
      <c r="I77" s="2"/>
      <c r="J77" s="2"/>
    </row>
    <row r="78" spans="1:10" ht="13.5" x14ac:dyDescent="0.25">
      <c r="A78" s="286" t="s">
        <v>576</v>
      </c>
      <c r="B78" s="283"/>
      <c r="C78" s="283"/>
      <c r="D78" s="2"/>
      <c r="E78" s="2">
        <v>24691</v>
      </c>
      <c r="F78" s="2">
        <v>27225</v>
      </c>
      <c r="G78" s="2">
        <v>27225</v>
      </c>
      <c r="H78" s="2">
        <v>27225</v>
      </c>
      <c r="I78" s="2">
        <v>27225</v>
      </c>
      <c r="J78" s="2">
        <v>27225</v>
      </c>
    </row>
    <row r="79" spans="1:10" hidden="1" x14ac:dyDescent="0.2">
      <c r="A79" s="283" t="s">
        <v>258</v>
      </c>
      <c r="B79" s="2">
        <v>22</v>
      </c>
      <c r="C79" s="2">
        <v>1375</v>
      </c>
      <c r="D79" s="2">
        <f>+C79*B79</f>
        <v>30250</v>
      </c>
      <c r="E79" s="2"/>
      <c r="F79" s="2"/>
      <c r="G79" s="2"/>
      <c r="I79" s="2"/>
      <c r="J79" s="2"/>
    </row>
    <row r="80" spans="1:10" ht="15" hidden="1" x14ac:dyDescent="0.35">
      <c r="A80" s="283" t="s">
        <v>523</v>
      </c>
      <c r="B80" s="2"/>
      <c r="C80" s="2"/>
      <c r="D80" s="10">
        <f>D79*-0.1</f>
        <v>-3025</v>
      </c>
      <c r="E80" s="2"/>
      <c r="F80" s="2"/>
      <c r="G80" s="2"/>
      <c r="I80" s="2"/>
      <c r="J80" s="2"/>
    </row>
    <row r="81" spans="1:10" hidden="1" x14ac:dyDescent="0.2">
      <c r="A81" s="283" t="s">
        <v>678</v>
      </c>
      <c r="B81" s="2"/>
      <c r="C81" s="2"/>
      <c r="D81" s="2">
        <f>SUM(D79:D80)</f>
        <v>27225</v>
      </c>
      <c r="E81" s="2"/>
      <c r="F81" s="2"/>
      <c r="G81" s="2"/>
      <c r="I81" s="2"/>
      <c r="J81" s="2"/>
    </row>
    <row r="82" spans="1:10" x14ac:dyDescent="0.2">
      <c r="A82" s="283"/>
      <c r="B82" s="283"/>
      <c r="C82" s="283"/>
      <c r="D82" s="2"/>
      <c r="E82" s="2"/>
      <c r="F82" s="2"/>
      <c r="G82" s="2"/>
      <c r="I82" s="2"/>
      <c r="J82" s="2"/>
    </row>
    <row r="83" spans="1:10" ht="13.5" x14ac:dyDescent="0.25">
      <c r="A83" s="286" t="s">
        <v>577</v>
      </c>
      <c r="B83" s="283"/>
      <c r="C83" s="283"/>
      <c r="D83" s="2"/>
      <c r="E83" s="2">
        <v>1670</v>
      </c>
      <c r="F83" s="2">
        <v>2308</v>
      </c>
      <c r="G83" s="2">
        <v>2328</v>
      </c>
      <c r="H83" s="2">
        <v>2328</v>
      </c>
      <c r="I83" s="2">
        <v>2328</v>
      </c>
      <c r="J83" s="2">
        <v>2328</v>
      </c>
    </row>
    <row r="84" spans="1:10" hidden="1" x14ac:dyDescent="0.2">
      <c r="A84" s="283" t="s">
        <v>189</v>
      </c>
      <c r="B84" s="2">
        <v>2</v>
      </c>
      <c r="C84" s="2">
        <v>145</v>
      </c>
      <c r="D84" s="2">
        <f>+C84*B84</f>
        <v>290</v>
      </c>
      <c r="E84" s="2"/>
      <c r="F84" s="2"/>
      <c r="G84" s="2"/>
      <c r="I84" s="2"/>
      <c r="J84" s="2"/>
    </row>
    <row r="85" spans="1:10" hidden="1" x14ac:dyDescent="0.2">
      <c r="A85" s="283" t="s">
        <v>296</v>
      </c>
      <c r="B85" s="2">
        <v>6</v>
      </c>
      <c r="C85" s="2">
        <v>258</v>
      </c>
      <c r="D85" s="2">
        <f>+C85*B85</f>
        <v>1548</v>
      </c>
      <c r="E85" s="2"/>
      <c r="F85" s="2"/>
      <c r="G85" s="2"/>
      <c r="I85" s="2"/>
      <c r="J85" s="2"/>
    </row>
    <row r="86" spans="1:10" ht="15" hidden="1" x14ac:dyDescent="0.35">
      <c r="A86" s="283" t="s">
        <v>190</v>
      </c>
      <c r="B86" s="2">
        <v>14</v>
      </c>
      <c r="C86" s="2">
        <v>35</v>
      </c>
      <c r="D86" s="10">
        <f>+C86*B86</f>
        <v>490</v>
      </c>
      <c r="E86" s="2"/>
      <c r="F86" s="2"/>
      <c r="G86" s="2"/>
      <c r="I86" s="2"/>
      <c r="J86" s="2"/>
    </row>
    <row r="87" spans="1:10" hidden="1" x14ac:dyDescent="0.2">
      <c r="A87" s="283" t="s">
        <v>1067</v>
      </c>
      <c r="B87" s="283"/>
      <c r="C87" s="283"/>
      <c r="D87" s="2">
        <f>SUM(D84:D86)</f>
        <v>2328</v>
      </c>
      <c r="E87" s="2"/>
      <c r="F87" s="2"/>
      <c r="G87" s="2"/>
      <c r="I87" s="2"/>
      <c r="J87" s="2"/>
    </row>
    <row r="88" spans="1:10" x14ac:dyDescent="0.2">
      <c r="A88" s="283"/>
      <c r="B88" s="283"/>
      <c r="C88" s="283"/>
      <c r="D88" s="2"/>
      <c r="E88" s="2"/>
      <c r="F88" s="2"/>
      <c r="G88" s="2"/>
      <c r="I88" s="2"/>
      <c r="J88" s="2"/>
    </row>
    <row r="89" spans="1:10" ht="13.5" x14ac:dyDescent="0.25">
      <c r="A89" s="286" t="s">
        <v>586</v>
      </c>
      <c r="B89" s="283"/>
      <c r="C89" s="283"/>
      <c r="D89" s="2"/>
      <c r="E89" s="2">
        <v>10575</v>
      </c>
      <c r="F89" s="2">
        <v>11550</v>
      </c>
      <c r="G89" s="2">
        <v>12430</v>
      </c>
      <c r="H89" s="2">
        <v>12430</v>
      </c>
      <c r="I89" s="2">
        <v>12430</v>
      </c>
      <c r="J89" s="2">
        <v>12430</v>
      </c>
    </row>
    <row r="90" spans="1:10" hidden="1" x14ac:dyDescent="0.2">
      <c r="A90" s="283" t="s">
        <v>189</v>
      </c>
      <c r="B90" s="2">
        <v>2</v>
      </c>
      <c r="C90" s="2">
        <v>565</v>
      </c>
      <c r="D90" s="2">
        <f>+C90*B90</f>
        <v>1130</v>
      </c>
      <c r="E90" s="2"/>
      <c r="F90" s="2"/>
      <c r="G90" s="2"/>
      <c r="I90" s="2"/>
      <c r="J90" s="2"/>
    </row>
    <row r="91" spans="1:10" ht="15" hidden="1" x14ac:dyDescent="0.35">
      <c r="A91" s="283" t="s">
        <v>1213</v>
      </c>
      <c r="B91" s="2">
        <v>20</v>
      </c>
      <c r="C91" s="2">
        <v>565</v>
      </c>
      <c r="D91" s="10">
        <f>+C91*B91</f>
        <v>11300</v>
      </c>
      <c r="E91" s="2"/>
      <c r="F91" s="2"/>
      <c r="G91" s="2"/>
      <c r="I91" s="2"/>
      <c r="J91" s="2"/>
    </row>
    <row r="92" spans="1:10" hidden="1" x14ac:dyDescent="0.2">
      <c r="A92" s="283" t="s">
        <v>1067</v>
      </c>
      <c r="B92" s="283"/>
      <c r="C92" s="283"/>
      <c r="D92" s="2">
        <f>SUM(D90:D91)</f>
        <v>12430</v>
      </c>
      <c r="E92" s="2"/>
      <c r="F92" s="2"/>
      <c r="G92" s="2"/>
      <c r="I92" s="2"/>
      <c r="J92" s="2"/>
    </row>
    <row r="93" spans="1:10" x14ac:dyDescent="0.2">
      <c r="A93" s="283"/>
      <c r="B93" s="283"/>
      <c r="C93" s="283"/>
      <c r="D93" s="2"/>
      <c r="E93" s="2"/>
      <c r="F93" s="2"/>
      <c r="G93" s="2"/>
      <c r="I93" s="2"/>
      <c r="J93" s="2"/>
    </row>
    <row r="94" spans="1:10" ht="13.5" x14ac:dyDescent="0.25">
      <c r="A94" s="286" t="s">
        <v>245</v>
      </c>
      <c r="B94" s="283"/>
      <c r="C94" s="283"/>
      <c r="D94" s="2"/>
      <c r="E94" s="2">
        <v>20206</v>
      </c>
      <c r="F94" s="2">
        <v>24062</v>
      </c>
      <c r="G94" s="2">
        <v>22465</v>
      </c>
      <c r="H94" s="2">
        <v>22465</v>
      </c>
      <c r="I94" s="2">
        <v>22553</v>
      </c>
      <c r="J94" s="2">
        <v>23315</v>
      </c>
    </row>
    <row r="95" spans="1:10" hidden="1" x14ac:dyDescent="0.2">
      <c r="A95" s="12" t="s">
        <v>757</v>
      </c>
      <c r="B95" s="2">
        <f t="shared" ref="B95:B100" si="3">+B56</f>
        <v>44720</v>
      </c>
      <c r="C95" s="13">
        <v>1.89E-3</v>
      </c>
      <c r="D95" s="2">
        <f t="shared" ref="D95:D100" si="4">ROUND(B95*C95,0)</f>
        <v>85</v>
      </c>
      <c r="E95" s="2"/>
      <c r="F95" s="2"/>
      <c r="G95" s="2"/>
      <c r="I95" s="2"/>
      <c r="J95" s="2"/>
    </row>
    <row r="96" spans="1:10" hidden="1" x14ac:dyDescent="0.2">
      <c r="A96" s="12" t="s">
        <v>1264</v>
      </c>
      <c r="B96" s="2">
        <f t="shared" si="3"/>
        <v>614868</v>
      </c>
      <c r="C96" s="13">
        <v>1.5610000000000001E-2</v>
      </c>
      <c r="D96" s="2">
        <f t="shared" si="4"/>
        <v>9598</v>
      </c>
      <c r="E96" s="2"/>
      <c r="F96" s="2"/>
      <c r="G96" s="2"/>
      <c r="I96" s="2"/>
      <c r="J96" s="2"/>
    </row>
    <row r="97" spans="1:10" hidden="1" x14ac:dyDescent="0.2">
      <c r="A97" s="12" t="s">
        <v>683</v>
      </c>
      <c r="B97" s="2">
        <f t="shared" si="3"/>
        <v>728149</v>
      </c>
      <c r="C97" s="13">
        <v>1.5610000000000001E-2</v>
      </c>
      <c r="D97" s="2">
        <f t="shared" si="4"/>
        <v>11366</v>
      </c>
      <c r="E97" s="2"/>
      <c r="F97" s="2"/>
      <c r="G97" s="2"/>
      <c r="I97" s="2"/>
      <c r="J97" s="2"/>
    </row>
    <row r="98" spans="1:10" hidden="1" x14ac:dyDescent="0.2">
      <c r="A98" s="12" t="s">
        <v>1596</v>
      </c>
      <c r="B98" s="2">
        <f t="shared" si="3"/>
        <v>9921.1196874999969</v>
      </c>
      <c r="C98" s="13">
        <v>1.5610000000000001E-2</v>
      </c>
      <c r="D98" s="2">
        <f t="shared" si="4"/>
        <v>155</v>
      </c>
      <c r="E98" s="2"/>
      <c r="F98" s="2"/>
      <c r="G98" s="2"/>
      <c r="I98" s="2"/>
      <c r="J98" s="2"/>
    </row>
    <row r="99" spans="1:10" hidden="1" x14ac:dyDescent="0.2">
      <c r="A99" s="12" t="s">
        <v>153</v>
      </c>
      <c r="B99" s="2">
        <f t="shared" si="3"/>
        <v>45150</v>
      </c>
      <c r="C99" s="13">
        <v>1.5610000000000001E-2</v>
      </c>
      <c r="D99" s="2">
        <f t="shared" si="4"/>
        <v>705</v>
      </c>
      <c r="E99" s="2"/>
      <c r="F99" s="2"/>
      <c r="G99" s="2"/>
      <c r="I99" s="2"/>
      <c r="J99" s="2"/>
    </row>
    <row r="100" spans="1:10" ht="15" hidden="1" x14ac:dyDescent="0.35">
      <c r="A100" s="12" t="s">
        <v>1597</v>
      </c>
      <c r="B100" s="2">
        <f t="shared" si="3"/>
        <v>89694.926938928547</v>
      </c>
      <c r="C100" s="13">
        <v>1.5610000000000001E-2</v>
      </c>
      <c r="D100" s="10">
        <f t="shared" si="4"/>
        <v>1400</v>
      </c>
      <c r="E100" s="2"/>
      <c r="F100" s="2"/>
      <c r="G100" s="2"/>
      <c r="I100" s="2"/>
      <c r="J100" s="2"/>
    </row>
    <row r="101" spans="1:10" hidden="1" x14ac:dyDescent="0.2">
      <c r="A101" s="283" t="s">
        <v>1067</v>
      </c>
      <c r="B101" s="283"/>
      <c r="C101" s="283"/>
      <c r="D101" s="2">
        <f>SUM(D95:D100)+6</f>
        <v>23315</v>
      </c>
      <c r="E101" s="2"/>
      <c r="F101" s="2"/>
      <c r="G101" s="2"/>
      <c r="I101" s="2"/>
      <c r="J101" s="2"/>
    </row>
    <row r="102" spans="1:10" x14ac:dyDescent="0.2">
      <c r="A102" s="283"/>
      <c r="B102" s="283"/>
      <c r="C102" s="283"/>
      <c r="D102" s="2"/>
      <c r="E102" s="2"/>
      <c r="F102" s="2"/>
      <c r="G102" s="2"/>
      <c r="I102" s="2"/>
      <c r="J102" s="2"/>
    </row>
    <row r="103" spans="1:10" ht="13.5" x14ac:dyDescent="0.25">
      <c r="A103" s="286" t="s">
        <v>1239</v>
      </c>
      <c r="B103" s="283"/>
      <c r="C103" s="283"/>
      <c r="D103" s="2"/>
      <c r="E103" s="2">
        <v>276</v>
      </c>
      <c r="F103" s="2">
        <v>449</v>
      </c>
      <c r="G103" s="2">
        <v>449</v>
      </c>
      <c r="H103" s="2">
        <v>449</v>
      </c>
      <c r="I103" s="2">
        <v>449</v>
      </c>
      <c r="J103" s="2">
        <v>449</v>
      </c>
    </row>
    <row r="104" spans="1:10" hidden="1" x14ac:dyDescent="0.2">
      <c r="A104" s="12" t="s">
        <v>757</v>
      </c>
      <c r="B104" s="2">
        <v>1</v>
      </c>
      <c r="C104" s="2">
        <v>20</v>
      </c>
      <c r="D104" s="2">
        <f>+B104*C104</f>
        <v>20</v>
      </c>
      <c r="E104" s="2"/>
      <c r="F104" s="2"/>
      <c r="G104" s="2"/>
      <c r="I104" s="2"/>
      <c r="J104" s="2"/>
    </row>
    <row r="105" spans="1:10" hidden="1" x14ac:dyDescent="0.2">
      <c r="A105" s="12" t="s">
        <v>1264</v>
      </c>
      <c r="B105" s="2">
        <v>7</v>
      </c>
      <c r="C105" s="2">
        <v>20</v>
      </c>
      <c r="D105" s="2">
        <f>+B105*C105</f>
        <v>140</v>
      </c>
      <c r="E105" s="2"/>
      <c r="F105" s="2"/>
      <c r="G105" s="41"/>
      <c r="H105" s="41"/>
      <c r="I105" s="41"/>
      <c r="J105" s="41"/>
    </row>
    <row r="106" spans="1:10" hidden="1" x14ac:dyDescent="0.2">
      <c r="A106" s="12" t="s">
        <v>683</v>
      </c>
      <c r="B106" s="2">
        <v>13</v>
      </c>
      <c r="C106" s="2">
        <v>20</v>
      </c>
      <c r="D106" s="2">
        <f>+B106*C106</f>
        <v>260</v>
      </c>
      <c r="E106" s="2"/>
      <c r="F106" s="2"/>
      <c r="G106" s="41"/>
      <c r="H106" s="41"/>
      <c r="I106" s="41"/>
      <c r="J106" s="41"/>
    </row>
    <row r="107" spans="1:10" hidden="1" x14ac:dyDescent="0.2">
      <c r="A107" s="12" t="s">
        <v>153</v>
      </c>
      <c r="B107" s="2">
        <v>1</v>
      </c>
      <c r="C107" s="2">
        <v>20</v>
      </c>
      <c r="D107" s="2">
        <f>+B107*C107</f>
        <v>20</v>
      </c>
      <c r="E107" s="2"/>
      <c r="F107" s="2"/>
      <c r="G107" s="41"/>
      <c r="H107" s="41"/>
      <c r="I107" s="41"/>
      <c r="J107" s="41"/>
    </row>
    <row r="108" spans="1:10" ht="15" hidden="1" x14ac:dyDescent="0.35">
      <c r="A108" s="12" t="s">
        <v>153</v>
      </c>
      <c r="B108" s="2">
        <v>6080</v>
      </c>
      <c r="C108" s="13">
        <v>1.4E-3</v>
      </c>
      <c r="D108" s="10">
        <f>+B108*C108</f>
        <v>8.5120000000000005</v>
      </c>
      <c r="E108" s="2"/>
      <c r="F108" s="2"/>
      <c r="G108" s="41"/>
      <c r="H108" s="41"/>
      <c r="I108" s="41"/>
      <c r="J108" s="41"/>
    </row>
    <row r="109" spans="1:10" hidden="1" x14ac:dyDescent="0.2">
      <c r="A109" s="283" t="s">
        <v>1067</v>
      </c>
      <c r="B109" s="283"/>
      <c r="C109" s="283"/>
      <c r="D109" s="2">
        <f>SUM(D104:D108)</f>
        <v>448.512</v>
      </c>
      <c r="E109" s="2"/>
      <c r="F109" s="2"/>
      <c r="G109" s="41"/>
      <c r="H109" s="41"/>
      <c r="I109" s="41"/>
      <c r="J109" s="41"/>
    </row>
    <row r="110" spans="1:10" x14ac:dyDescent="0.2">
      <c r="A110" s="283"/>
      <c r="B110" s="283"/>
      <c r="C110" s="283"/>
      <c r="D110" s="2"/>
      <c r="E110" s="2"/>
      <c r="F110" s="2"/>
      <c r="G110" s="41"/>
      <c r="H110" s="41"/>
      <c r="I110" s="41"/>
      <c r="J110" s="41"/>
    </row>
    <row r="111" spans="1:10" ht="13.5" x14ac:dyDescent="0.25">
      <c r="A111" s="44" t="s">
        <v>74</v>
      </c>
      <c r="B111" s="2" t="s">
        <v>338</v>
      </c>
      <c r="C111" s="2"/>
      <c r="D111" s="2"/>
      <c r="E111" s="2">
        <v>29803</v>
      </c>
      <c r="F111" s="2">
        <v>24870</v>
      </c>
      <c r="G111" s="41">
        <v>24870</v>
      </c>
      <c r="H111" s="41">
        <v>24870</v>
      </c>
      <c r="I111" s="41">
        <v>24870</v>
      </c>
      <c r="J111" s="41">
        <v>24870</v>
      </c>
    </row>
    <row r="112" spans="1:10" x14ac:dyDescent="0.2">
      <c r="A112" s="2" t="s">
        <v>252</v>
      </c>
      <c r="B112" s="2"/>
      <c r="C112" s="2"/>
      <c r="D112" s="2"/>
      <c r="E112" s="2"/>
      <c r="F112" s="2"/>
      <c r="G112" s="41"/>
      <c r="H112" s="41"/>
      <c r="I112" s="41"/>
      <c r="J112" s="41"/>
    </row>
    <row r="113" spans="1:10" x14ac:dyDescent="0.2">
      <c r="A113" s="2" t="s">
        <v>1541</v>
      </c>
      <c r="B113" s="2"/>
      <c r="C113" s="2"/>
      <c r="D113" s="2">
        <v>20000</v>
      </c>
      <c r="E113" s="2"/>
      <c r="F113" s="2"/>
      <c r="G113" s="41"/>
      <c r="H113" s="41"/>
      <c r="I113" s="41"/>
      <c r="J113" s="41"/>
    </row>
    <row r="114" spans="1:10" ht="15" x14ac:dyDescent="0.35">
      <c r="A114" s="2" t="s">
        <v>1821</v>
      </c>
      <c r="B114" s="2"/>
      <c r="C114" s="2"/>
      <c r="D114" s="10">
        <v>4870</v>
      </c>
      <c r="E114" s="2"/>
      <c r="F114" s="2"/>
      <c r="G114" s="41"/>
      <c r="H114" s="41"/>
      <c r="I114" s="41"/>
      <c r="J114" s="41"/>
    </row>
    <row r="115" spans="1:10" x14ac:dyDescent="0.2">
      <c r="A115" s="2" t="s">
        <v>216</v>
      </c>
      <c r="B115" s="2"/>
      <c r="C115" s="2"/>
      <c r="D115" s="2">
        <f>SUM(D113:D114)</f>
        <v>24870</v>
      </c>
      <c r="E115" s="2"/>
      <c r="F115" s="2"/>
      <c r="G115" s="41"/>
      <c r="H115" s="41"/>
      <c r="I115" s="41"/>
      <c r="J115" s="41"/>
    </row>
    <row r="116" spans="1:10" x14ac:dyDescent="0.2">
      <c r="A116" s="283"/>
      <c r="B116" s="283"/>
      <c r="C116" s="283"/>
      <c r="D116" s="2"/>
      <c r="E116" s="2"/>
      <c r="F116" s="2"/>
      <c r="G116" s="41"/>
      <c r="H116" s="41"/>
      <c r="I116" s="41"/>
      <c r="J116" s="41"/>
    </row>
    <row r="117" spans="1:10" ht="13.5" x14ac:dyDescent="0.25">
      <c r="A117" s="44" t="s">
        <v>1485</v>
      </c>
      <c r="B117" s="283"/>
      <c r="C117" s="283"/>
      <c r="D117" s="2">
        <v>0</v>
      </c>
      <c r="E117" s="2">
        <v>0</v>
      </c>
      <c r="F117" s="2">
        <v>0</v>
      </c>
      <c r="G117" s="2">
        <v>0</v>
      </c>
      <c r="H117" s="2">
        <v>0</v>
      </c>
      <c r="I117" s="2">
        <v>0</v>
      </c>
      <c r="J117" s="2">
        <v>0</v>
      </c>
    </row>
    <row r="118" spans="1:10" ht="13.5" x14ac:dyDescent="0.25">
      <c r="A118" s="44"/>
      <c r="B118" s="283"/>
      <c r="C118" s="283"/>
      <c r="D118" s="2"/>
      <c r="E118" s="2"/>
      <c r="F118" s="2"/>
      <c r="G118" s="2"/>
      <c r="I118" s="2"/>
      <c r="J118" s="2"/>
    </row>
    <row r="119" spans="1:10" ht="13.5" x14ac:dyDescent="0.25">
      <c r="A119" s="286" t="s">
        <v>1240</v>
      </c>
      <c r="B119" s="283"/>
      <c r="C119" s="283"/>
      <c r="D119" s="2"/>
      <c r="E119" s="2">
        <v>2997</v>
      </c>
      <c r="F119" s="2">
        <v>2500</v>
      </c>
      <c r="G119" s="41">
        <v>2500</v>
      </c>
      <c r="H119" s="41">
        <v>2500</v>
      </c>
      <c r="I119" s="41">
        <v>2500</v>
      </c>
      <c r="J119" s="41">
        <v>2500</v>
      </c>
    </row>
    <row r="120" spans="1:10" x14ac:dyDescent="0.2">
      <c r="A120" s="283" t="s">
        <v>1241</v>
      </c>
      <c r="B120" s="283"/>
      <c r="C120" s="283"/>
      <c r="D120" s="2" t="s">
        <v>338</v>
      </c>
      <c r="E120" s="2"/>
      <c r="F120" s="2"/>
      <c r="G120" s="41"/>
      <c r="H120" s="41"/>
      <c r="I120" s="41"/>
      <c r="J120" s="41"/>
    </row>
    <row r="121" spans="1:10" x14ac:dyDescent="0.2">
      <c r="A121" s="283" t="s">
        <v>1422</v>
      </c>
      <c r="B121" s="283"/>
      <c r="C121" s="2"/>
      <c r="D121" s="2"/>
      <c r="E121" s="2"/>
      <c r="F121" s="2"/>
      <c r="G121" s="41"/>
      <c r="H121" s="41"/>
      <c r="I121" s="41"/>
      <c r="J121" s="41"/>
    </row>
    <row r="122" spans="1:10" x14ac:dyDescent="0.2">
      <c r="A122" s="283" t="s">
        <v>1067</v>
      </c>
      <c r="B122" s="2"/>
      <c r="C122" s="2"/>
      <c r="D122" s="2">
        <v>2500</v>
      </c>
      <c r="E122" s="2"/>
      <c r="F122" s="2"/>
      <c r="G122" s="41"/>
      <c r="H122" s="41"/>
      <c r="I122" s="41"/>
      <c r="J122" s="41"/>
    </row>
    <row r="123" spans="1:10" x14ac:dyDescent="0.2">
      <c r="A123" s="283"/>
      <c r="B123" s="283"/>
      <c r="C123" s="2" t="s">
        <v>338</v>
      </c>
      <c r="D123" s="2" t="s">
        <v>338</v>
      </c>
      <c r="E123" s="2"/>
      <c r="F123" s="2"/>
      <c r="G123" s="41"/>
      <c r="H123" s="41"/>
      <c r="I123" s="41"/>
      <c r="J123" s="41"/>
    </row>
    <row r="124" spans="1:10" ht="13.5" x14ac:dyDescent="0.25">
      <c r="A124" s="286" t="s">
        <v>290</v>
      </c>
      <c r="B124" s="283"/>
      <c r="C124" s="2"/>
      <c r="D124" s="2"/>
      <c r="E124" s="2">
        <v>9927</v>
      </c>
      <c r="F124" s="2">
        <v>7900</v>
      </c>
      <c r="G124" s="41">
        <v>7900</v>
      </c>
      <c r="H124" s="41">
        <v>7900</v>
      </c>
      <c r="I124" s="41">
        <v>7900</v>
      </c>
      <c r="J124" s="41">
        <v>7900</v>
      </c>
    </row>
    <row r="125" spans="1:10" x14ac:dyDescent="0.2">
      <c r="A125" s="283" t="s">
        <v>707</v>
      </c>
      <c r="B125" s="283"/>
      <c r="C125" s="2"/>
      <c r="D125" s="2">
        <v>2500</v>
      </c>
      <c r="E125" s="2"/>
      <c r="F125" s="2"/>
      <c r="G125" s="41"/>
      <c r="H125" s="41"/>
      <c r="I125" s="41"/>
      <c r="J125" s="41"/>
    </row>
    <row r="126" spans="1:10" ht="15" x14ac:dyDescent="0.35">
      <c r="A126" s="283" t="s">
        <v>291</v>
      </c>
      <c r="B126" s="283"/>
      <c r="C126" s="10"/>
      <c r="D126" s="10">
        <v>5400</v>
      </c>
      <c r="E126" s="2"/>
      <c r="F126" s="2"/>
      <c r="G126" s="41"/>
      <c r="H126" s="41"/>
      <c r="I126" s="41"/>
      <c r="J126" s="41"/>
    </row>
    <row r="127" spans="1:10" x14ac:dyDescent="0.2">
      <c r="A127" s="283" t="s">
        <v>1067</v>
      </c>
      <c r="B127" s="283"/>
      <c r="C127" s="2"/>
      <c r="D127" s="2">
        <v>7900</v>
      </c>
      <c r="E127" s="2"/>
      <c r="F127" s="2"/>
      <c r="G127" s="41"/>
      <c r="H127" s="41"/>
      <c r="I127" s="41"/>
      <c r="J127" s="41"/>
    </row>
    <row r="128" spans="1:10" x14ac:dyDescent="0.2">
      <c r="A128" s="283"/>
      <c r="B128" s="283"/>
      <c r="C128" s="17"/>
      <c r="D128" s="17"/>
      <c r="E128" s="2"/>
      <c r="F128" s="2"/>
      <c r="G128" s="41"/>
      <c r="H128" s="41"/>
      <c r="I128" s="41"/>
      <c r="J128" s="41"/>
    </row>
    <row r="129" spans="1:10" ht="13.5" x14ac:dyDescent="0.25">
      <c r="A129" s="286" t="s">
        <v>292</v>
      </c>
      <c r="B129" s="283"/>
      <c r="C129" s="2"/>
      <c r="D129" s="2"/>
      <c r="E129" s="2">
        <v>3323</v>
      </c>
      <c r="F129" s="2">
        <v>5300</v>
      </c>
      <c r="G129" s="41">
        <v>5300</v>
      </c>
      <c r="H129" s="41">
        <v>5300</v>
      </c>
      <c r="I129" s="41">
        <v>5300</v>
      </c>
      <c r="J129" s="41">
        <v>5300</v>
      </c>
    </row>
    <row r="130" spans="1:10" x14ac:dyDescent="0.2">
      <c r="A130" s="5" t="s">
        <v>0</v>
      </c>
      <c r="B130" s="5"/>
      <c r="C130" s="2"/>
      <c r="D130" s="2">
        <v>600</v>
      </c>
      <c r="E130" s="2"/>
      <c r="F130" s="2"/>
      <c r="G130" s="41"/>
      <c r="H130" s="41"/>
      <c r="I130" s="41"/>
      <c r="J130" s="41"/>
    </row>
    <row r="131" spans="1:10" x14ac:dyDescent="0.2">
      <c r="A131" s="5" t="s">
        <v>1477</v>
      </c>
      <c r="B131" s="5"/>
      <c r="C131" s="2"/>
      <c r="D131" s="2">
        <v>1300</v>
      </c>
      <c r="E131" s="2"/>
      <c r="F131" s="2"/>
      <c r="G131" s="41"/>
      <c r="H131" s="41"/>
      <c r="I131" s="41"/>
      <c r="J131" s="41"/>
    </row>
    <row r="132" spans="1:10" x14ac:dyDescent="0.2">
      <c r="A132" s="5" t="s">
        <v>1936</v>
      </c>
      <c r="B132" s="5"/>
      <c r="C132" s="42" t="s">
        <v>1701</v>
      </c>
      <c r="D132" s="2">
        <v>1900</v>
      </c>
      <c r="E132" s="2"/>
      <c r="F132" s="2"/>
      <c r="G132" s="41"/>
      <c r="H132" s="41"/>
      <c r="I132" s="41"/>
      <c r="J132" s="41"/>
    </row>
    <row r="133" spans="1:10" x14ac:dyDescent="0.2">
      <c r="A133" s="5" t="s">
        <v>1</v>
      </c>
      <c r="B133" s="5"/>
      <c r="C133" s="2"/>
      <c r="D133" s="2">
        <v>700</v>
      </c>
      <c r="E133" s="2"/>
      <c r="F133" s="2"/>
      <c r="G133" s="41"/>
      <c r="H133" s="41"/>
      <c r="I133" s="41"/>
      <c r="J133" s="41"/>
    </row>
    <row r="134" spans="1:10" ht="15" x14ac:dyDescent="0.35">
      <c r="A134" s="5" t="s">
        <v>957</v>
      </c>
      <c r="B134" s="5"/>
      <c r="C134" s="10"/>
      <c r="D134" s="10">
        <v>800</v>
      </c>
      <c r="E134" s="2"/>
      <c r="F134" s="2"/>
      <c r="G134" s="41"/>
      <c r="H134" s="41"/>
      <c r="I134" s="41"/>
      <c r="J134" s="41"/>
    </row>
    <row r="135" spans="1:10" x14ac:dyDescent="0.2">
      <c r="A135" s="5" t="s">
        <v>1067</v>
      </c>
      <c r="B135" s="5"/>
      <c r="C135" s="2"/>
      <c r="D135" s="2">
        <f>SUM(D130:D134)</f>
        <v>5300</v>
      </c>
      <c r="E135" s="2"/>
      <c r="F135" s="2"/>
      <c r="G135" s="41"/>
      <c r="H135" s="41"/>
      <c r="I135" s="41"/>
      <c r="J135" s="41"/>
    </row>
    <row r="136" spans="1:10" x14ac:dyDescent="0.2">
      <c r="A136" s="283"/>
      <c r="B136" s="2"/>
      <c r="C136" s="17"/>
      <c r="D136" s="17"/>
      <c r="E136" s="2"/>
      <c r="F136" s="2"/>
      <c r="G136" s="41"/>
      <c r="H136" s="41"/>
      <c r="I136" s="41"/>
      <c r="J136" s="41"/>
    </row>
    <row r="137" spans="1:10" ht="13.5" x14ac:dyDescent="0.25">
      <c r="A137" s="286" t="s">
        <v>999</v>
      </c>
      <c r="B137" s="283"/>
      <c r="C137" s="283"/>
      <c r="D137" s="2" t="s">
        <v>338</v>
      </c>
      <c r="E137" s="2">
        <v>12929</v>
      </c>
      <c r="F137" s="2">
        <v>11902</v>
      </c>
      <c r="G137" s="41">
        <v>11902</v>
      </c>
      <c r="H137" s="41">
        <v>11902</v>
      </c>
      <c r="I137" s="41">
        <v>11902</v>
      </c>
      <c r="J137" s="41">
        <v>11902</v>
      </c>
    </row>
    <row r="138" spans="1:10" x14ac:dyDescent="0.2">
      <c r="A138" s="283" t="s">
        <v>39</v>
      </c>
      <c r="B138" s="2">
        <v>3</v>
      </c>
      <c r="C138" s="2">
        <v>255</v>
      </c>
      <c r="D138" s="2">
        <v>765</v>
      </c>
      <c r="E138" s="2"/>
      <c r="F138" s="2"/>
      <c r="G138" s="41"/>
      <c r="H138" s="41"/>
      <c r="I138" s="41"/>
      <c r="J138" s="41"/>
    </row>
    <row r="139" spans="1:10" x14ac:dyDescent="0.2">
      <c r="A139" s="283" t="s">
        <v>907</v>
      </c>
      <c r="B139" s="2">
        <v>4</v>
      </c>
      <c r="C139" s="2">
        <v>200</v>
      </c>
      <c r="D139" s="2">
        <f>+C139*B139</f>
        <v>800</v>
      </c>
      <c r="E139" s="2"/>
      <c r="F139" s="2"/>
      <c r="G139" s="41"/>
      <c r="H139" s="41"/>
      <c r="I139" s="41"/>
      <c r="J139" s="41"/>
    </row>
    <row r="140" spans="1:10" x14ac:dyDescent="0.2">
      <c r="A140" s="283" t="s">
        <v>1000</v>
      </c>
      <c r="B140" s="2">
        <v>2</v>
      </c>
      <c r="C140" s="2">
        <v>350</v>
      </c>
      <c r="D140" s="2">
        <v>700</v>
      </c>
      <c r="E140" s="2"/>
      <c r="F140" s="2"/>
      <c r="G140" s="41"/>
      <c r="H140" s="41"/>
      <c r="I140" s="41"/>
      <c r="J140" s="41"/>
    </row>
    <row r="141" spans="1:10" x14ac:dyDescent="0.2">
      <c r="A141" s="283" t="s">
        <v>840</v>
      </c>
      <c r="B141" s="2">
        <v>2</v>
      </c>
      <c r="C141" s="2">
        <v>75</v>
      </c>
      <c r="D141" s="2">
        <v>150</v>
      </c>
      <c r="E141" s="2"/>
      <c r="F141" s="133"/>
      <c r="G141" s="107"/>
      <c r="H141" s="107"/>
      <c r="I141" s="107"/>
      <c r="J141" s="107"/>
    </row>
    <row r="142" spans="1:10" x14ac:dyDescent="0.2">
      <c r="A142" s="29" t="s">
        <v>1785</v>
      </c>
      <c r="B142" s="2">
        <v>18</v>
      </c>
      <c r="C142" s="2">
        <v>260</v>
      </c>
      <c r="D142" s="2">
        <f>+C142*B142</f>
        <v>4680</v>
      </c>
      <c r="E142" s="2"/>
      <c r="F142" s="133"/>
      <c r="G142" s="107"/>
      <c r="H142" s="107"/>
      <c r="I142" s="107"/>
      <c r="J142" s="107"/>
    </row>
    <row r="143" spans="1:10" x14ac:dyDescent="0.2">
      <c r="A143" s="283" t="s">
        <v>1423</v>
      </c>
      <c r="B143" s="2">
        <v>1</v>
      </c>
      <c r="C143" s="78">
        <v>2.25</v>
      </c>
      <c r="D143" s="2">
        <v>117</v>
      </c>
      <c r="E143" s="2"/>
      <c r="F143" s="133"/>
      <c r="G143" s="107"/>
      <c r="H143" s="107"/>
      <c r="I143" s="107"/>
      <c r="J143" s="107"/>
    </row>
    <row r="144" spans="1:10" x14ac:dyDescent="0.2">
      <c r="A144" s="283" t="s">
        <v>841</v>
      </c>
      <c r="B144" s="2">
        <v>2</v>
      </c>
      <c r="C144" s="2">
        <v>75</v>
      </c>
      <c r="D144" s="2">
        <v>150</v>
      </c>
      <c r="E144" s="2"/>
      <c r="F144" s="133"/>
      <c r="G144" s="107"/>
      <c r="H144" s="107"/>
      <c r="I144" s="107"/>
      <c r="J144" s="107"/>
    </row>
    <row r="145" spans="1:10" x14ac:dyDescent="0.2">
      <c r="A145" s="283" t="s">
        <v>766</v>
      </c>
      <c r="B145" s="2">
        <v>14</v>
      </c>
      <c r="C145" s="2">
        <v>275</v>
      </c>
      <c r="D145" s="3">
        <f>+B145*C145</f>
        <v>3850</v>
      </c>
      <c r="E145" s="2"/>
      <c r="F145" s="2"/>
      <c r="G145" s="41"/>
      <c r="H145" s="41"/>
      <c r="I145" s="41"/>
      <c r="J145" s="41"/>
    </row>
    <row r="146" spans="1:10" s="229" customFormat="1" ht="15" x14ac:dyDescent="0.35">
      <c r="A146" s="283" t="s">
        <v>2036</v>
      </c>
      <c r="B146" s="2">
        <v>6</v>
      </c>
      <c r="C146" s="2">
        <v>115</v>
      </c>
      <c r="D146" s="28">
        <f>+B146*C146</f>
        <v>690</v>
      </c>
      <c r="E146" s="2"/>
      <c r="F146" s="2"/>
      <c r="G146" s="41"/>
      <c r="H146" s="41"/>
      <c r="I146" s="41"/>
      <c r="J146" s="41"/>
    </row>
    <row r="147" spans="1:10" x14ac:dyDescent="0.2">
      <c r="A147" s="283" t="s">
        <v>1067</v>
      </c>
      <c r="B147" s="283"/>
      <c r="C147" s="283"/>
      <c r="D147" s="2">
        <f>SUM(D138:D146)</f>
        <v>11902</v>
      </c>
      <c r="E147" s="2"/>
      <c r="F147" s="2"/>
      <c r="G147" s="283"/>
      <c r="H147" s="267"/>
      <c r="I147" s="316"/>
      <c r="J147" s="316"/>
    </row>
    <row r="148" spans="1:10" x14ac:dyDescent="0.2">
      <c r="A148" s="283"/>
      <c r="B148" s="283"/>
      <c r="C148" s="283"/>
      <c r="D148" s="2"/>
      <c r="E148" s="2"/>
      <c r="F148" s="2"/>
      <c r="G148" s="283"/>
      <c r="H148" s="267"/>
      <c r="I148" s="316"/>
      <c r="J148" s="316"/>
    </row>
    <row r="149" spans="1:10" ht="13.5" x14ac:dyDescent="0.25">
      <c r="A149" s="286" t="s">
        <v>313</v>
      </c>
      <c r="B149" s="283"/>
      <c r="C149" s="283"/>
      <c r="D149" s="2"/>
      <c r="E149" s="2">
        <v>29356</v>
      </c>
      <c r="F149" s="2">
        <v>28000</v>
      </c>
      <c r="G149" s="41">
        <v>28000</v>
      </c>
      <c r="H149" s="41">
        <v>28000</v>
      </c>
      <c r="I149" s="41">
        <v>28000</v>
      </c>
      <c r="J149" s="41">
        <v>28000</v>
      </c>
    </row>
    <row r="150" spans="1:10" x14ac:dyDescent="0.2">
      <c r="A150" s="29" t="s">
        <v>1992</v>
      </c>
      <c r="B150" s="283"/>
      <c r="C150" s="283"/>
      <c r="D150" s="2"/>
      <c r="E150" s="2"/>
      <c r="F150" s="2"/>
      <c r="G150" s="41"/>
      <c r="H150" s="41"/>
      <c r="I150" s="41"/>
      <c r="J150" s="41"/>
    </row>
    <row r="151" spans="1:10" x14ac:dyDescent="0.2">
      <c r="A151" s="283" t="s">
        <v>1993</v>
      </c>
      <c r="B151" s="283"/>
      <c r="C151" s="2"/>
      <c r="D151" s="2">
        <v>28000</v>
      </c>
      <c r="E151" s="2"/>
      <c r="F151" s="2"/>
      <c r="G151" s="41"/>
      <c r="H151" s="41"/>
      <c r="I151" s="41"/>
      <c r="J151" s="41"/>
    </row>
    <row r="152" spans="1:10" x14ac:dyDescent="0.2">
      <c r="A152" s="283"/>
      <c r="B152" s="283"/>
      <c r="C152" s="2"/>
      <c r="D152" s="2"/>
      <c r="E152" s="2"/>
      <c r="F152" s="2"/>
      <c r="G152" s="41"/>
      <c r="H152" s="41"/>
      <c r="I152" s="41"/>
      <c r="J152" s="41"/>
    </row>
    <row r="153" spans="1:10" ht="13.5" x14ac:dyDescent="0.25">
      <c r="A153" s="286" t="s">
        <v>314</v>
      </c>
      <c r="B153" s="283"/>
      <c r="C153" s="2"/>
      <c r="D153" s="2"/>
      <c r="E153" s="2">
        <v>0</v>
      </c>
      <c r="F153" s="2">
        <v>3000</v>
      </c>
      <c r="G153" s="41">
        <v>3000</v>
      </c>
      <c r="H153" s="41">
        <v>3000</v>
      </c>
      <c r="I153" s="41">
        <v>3000</v>
      </c>
      <c r="J153" s="41">
        <v>3000</v>
      </c>
    </row>
    <row r="154" spans="1:10" x14ac:dyDescent="0.2">
      <c r="A154" s="283" t="s">
        <v>1163</v>
      </c>
      <c r="B154" s="283"/>
      <c r="C154" s="2"/>
      <c r="D154" s="2">
        <v>3000</v>
      </c>
      <c r="E154" s="2"/>
      <c r="F154" s="2"/>
      <c r="G154" s="41"/>
      <c r="H154" s="41"/>
      <c r="I154" s="41"/>
      <c r="J154" s="41"/>
    </row>
    <row r="155" spans="1:10" x14ac:dyDescent="0.2">
      <c r="A155" s="283"/>
      <c r="B155" s="283"/>
      <c r="C155" s="2"/>
      <c r="D155" s="2"/>
      <c r="E155" s="2"/>
      <c r="F155" s="2"/>
      <c r="G155" s="41"/>
      <c r="H155" s="41"/>
      <c r="I155" s="41"/>
      <c r="J155" s="41"/>
    </row>
    <row r="156" spans="1:10" ht="13.5" x14ac:dyDescent="0.25">
      <c r="A156" s="286" t="s">
        <v>1677</v>
      </c>
      <c r="B156" s="283"/>
      <c r="C156" s="2"/>
      <c r="D156" s="2"/>
      <c r="E156" s="2">
        <v>250</v>
      </c>
      <c r="F156" s="2"/>
      <c r="G156" s="2"/>
      <c r="I156" s="2"/>
      <c r="J156" s="2"/>
    </row>
    <row r="157" spans="1:10" x14ac:dyDescent="0.2">
      <c r="A157" s="283"/>
      <c r="B157" s="283"/>
      <c r="C157" s="2"/>
      <c r="D157" s="2"/>
      <c r="E157" s="2"/>
      <c r="F157" s="2"/>
      <c r="G157" s="41"/>
      <c r="H157" s="41"/>
      <c r="I157" s="41"/>
      <c r="J157" s="41"/>
    </row>
    <row r="158" spans="1:10" ht="13.5" x14ac:dyDescent="0.25">
      <c r="A158" s="286" t="s">
        <v>728</v>
      </c>
      <c r="B158" s="283"/>
      <c r="C158" s="2"/>
      <c r="D158" s="2"/>
      <c r="E158" s="2">
        <v>1107</v>
      </c>
      <c r="F158" s="2">
        <v>1200</v>
      </c>
      <c r="G158" s="41">
        <v>1200</v>
      </c>
      <c r="H158" s="41">
        <v>1200</v>
      </c>
      <c r="I158" s="41">
        <v>1200</v>
      </c>
      <c r="J158" s="41">
        <v>1200</v>
      </c>
    </row>
    <row r="159" spans="1:10" x14ac:dyDescent="0.2">
      <c r="A159" s="283" t="s">
        <v>1424</v>
      </c>
      <c r="B159" s="283"/>
      <c r="C159" s="2"/>
      <c r="D159" s="2">
        <v>1200</v>
      </c>
      <c r="E159" s="2"/>
      <c r="F159" s="2"/>
      <c r="G159" s="41"/>
      <c r="H159" s="41"/>
      <c r="I159" s="41"/>
      <c r="J159" s="41"/>
    </row>
    <row r="160" spans="1:10" x14ac:dyDescent="0.2">
      <c r="A160" s="283"/>
      <c r="B160" s="283"/>
      <c r="C160" s="2"/>
      <c r="D160" s="2"/>
      <c r="E160" s="2"/>
      <c r="F160" s="2"/>
      <c r="G160" s="41"/>
      <c r="H160" s="41"/>
      <c r="I160" s="41"/>
      <c r="J160" s="41"/>
    </row>
    <row r="161" spans="1:10" ht="13.5" x14ac:dyDescent="0.25">
      <c r="A161" s="286" t="s">
        <v>303</v>
      </c>
      <c r="B161" s="283"/>
      <c r="C161" s="2"/>
      <c r="D161" s="2"/>
      <c r="E161" s="2">
        <v>333373</v>
      </c>
      <c r="F161" s="2">
        <v>369000</v>
      </c>
      <c r="G161" s="41">
        <v>350000</v>
      </c>
      <c r="H161" s="41">
        <v>350000</v>
      </c>
      <c r="I161" s="41">
        <v>350000</v>
      </c>
      <c r="J161" s="41">
        <v>350000</v>
      </c>
    </row>
    <row r="162" spans="1:10" x14ac:dyDescent="0.2">
      <c r="A162" s="283" t="s">
        <v>304</v>
      </c>
      <c r="B162" s="283"/>
      <c r="C162" s="2"/>
      <c r="D162" s="2">
        <v>259000</v>
      </c>
      <c r="E162" s="2"/>
      <c r="F162" s="188"/>
      <c r="G162" s="188"/>
      <c r="H162" s="188"/>
      <c r="I162" s="188"/>
      <c r="J162" s="188"/>
    </row>
    <row r="163" spans="1:10" x14ac:dyDescent="0.2">
      <c r="A163" s="283" t="s">
        <v>872</v>
      </c>
      <c r="B163" s="283"/>
      <c r="C163" s="2"/>
      <c r="D163" s="2">
        <v>9300</v>
      </c>
      <c r="E163" s="2"/>
      <c r="F163" s="2"/>
      <c r="G163" s="41"/>
      <c r="H163" s="41"/>
      <c r="I163" s="41"/>
      <c r="J163" s="41"/>
    </row>
    <row r="164" spans="1:10" x14ac:dyDescent="0.2">
      <c r="A164" s="283" t="s">
        <v>873</v>
      </c>
      <c r="B164" s="283"/>
      <c r="C164" s="2"/>
      <c r="D164" s="2">
        <v>5000</v>
      </c>
      <c r="E164" s="2"/>
      <c r="F164" s="2"/>
      <c r="G164" s="41"/>
      <c r="H164" s="41"/>
      <c r="I164" s="41"/>
      <c r="J164" s="41"/>
    </row>
    <row r="165" spans="1:10" x14ac:dyDescent="0.2">
      <c r="A165" s="283" t="s">
        <v>630</v>
      </c>
      <c r="B165" s="283"/>
      <c r="C165" s="2"/>
      <c r="D165" s="2">
        <v>3000</v>
      </c>
      <c r="E165" s="2"/>
      <c r="F165" s="2"/>
      <c r="G165" s="41"/>
      <c r="H165" s="41"/>
      <c r="I165" s="41"/>
      <c r="J165" s="41"/>
    </row>
    <row r="166" spans="1:10" x14ac:dyDescent="0.2">
      <c r="A166" s="283" t="s">
        <v>952</v>
      </c>
      <c r="B166" s="283"/>
      <c r="C166" s="2"/>
      <c r="D166" s="2">
        <v>2000</v>
      </c>
      <c r="E166" s="2"/>
      <c r="F166" s="2"/>
      <c r="G166" s="41"/>
      <c r="H166" s="41"/>
      <c r="I166" s="41"/>
      <c r="J166" s="41"/>
    </row>
    <row r="167" spans="1:10" x14ac:dyDescent="0.2">
      <c r="A167" s="283" t="s">
        <v>1325</v>
      </c>
      <c r="B167" s="283"/>
      <c r="C167" s="2"/>
      <c r="D167" s="2">
        <v>1200</v>
      </c>
      <c r="E167" s="2"/>
      <c r="F167" s="2"/>
      <c r="G167" s="41"/>
      <c r="H167" s="41"/>
      <c r="I167" s="41"/>
      <c r="J167" s="41"/>
    </row>
    <row r="168" spans="1:10" x14ac:dyDescent="0.2">
      <c r="A168" s="283" t="s">
        <v>631</v>
      </c>
      <c r="B168" s="283"/>
      <c r="C168" s="2"/>
      <c r="D168" s="2">
        <v>1300</v>
      </c>
      <c r="E168" s="2"/>
      <c r="F168" s="2"/>
      <c r="G168" s="41"/>
      <c r="H168" s="41"/>
      <c r="I168" s="41"/>
      <c r="J168" s="41"/>
    </row>
    <row r="169" spans="1:10" x14ac:dyDescent="0.2">
      <c r="A169" s="283" t="s">
        <v>1542</v>
      </c>
      <c r="B169" s="283"/>
      <c r="C169" s="2"/>
      <c r="D169" s="2">
        <v>4200</v>
      </c>
      <c r="E169" s="2"/>
      <c r="F169" s="2"/>
      <c r="G169" s="41"/>
      <c r="H169" s="41"/>
      <c r="I169" s="41"/>
      <c r="J169" s="41"/>
    </row>
    <row r="170" spans="1:10" ht="15" x14ac:dyDescent="0.35">
      <c r="A170" s="283" t="s">
        <v>632</v>
      </c>
      <c r="B170" s="283"/>
      <c r="C170" s="10"/>
      <c r="D170" s="10">
        <v>65000</v>
      </c>
      <c r="E170" s="2"/>
      <c r="F170" s="2"/>
      <c r="G170" s="41"/>
      <c r="H170" s="41"/>
      <c r="I170" s="41"/>
      <c r="J170" s="41"/>
    </row>
    <row r="171" spans="1:10" x14ac:dyDescent="0.2">
      <c r="A171" s="283" t="s">
        <v>1067</v>
      </c>
      <c r="B171" s="283"/>
      <c r="C171" s="2"/>
      <c r="D171" s="2">
        <f>SUM(D162:D170)</f>
        <v>350000</v>
      </c>
      <c r="E171" s="2"/>
      <c r="F171" s="2"/>
      <c r="G171" s="41"/>
      <c r="H171" s="41"/>
      <c r="I171" s="41"/>
      <c r="J171" s="41"/>
    </row>
    <row r="172" spans="1:10" x14ac:dyDescent="0.2">
      <c r="A172" s="283"/>
      <c r="B172" s="283"/>
      <c r="C172" s="2"/>
      <c r="D172" s="2"/>
      <c r="E172" s="2"/>
      <c r="F172" s="2"/>
      <c r="G172" s="41"/>
      <c r="H172" s="41"/>
      <c r="I172" s="41"/>
      <c r="J172" s="41"/>
    </row>
    <row r="173" spans="1:10" ht="13.5" x14ac:dyDescent="0.25">
      <c r="A173" s="286" t="s">
        <v>329</v>
      </c>
      <c r="B173" s="283"/>
      <c r="C173" s="2"/>
      <c r="D173" s="2"/>
      <c r="E173" s="2">
        <v>95667</v>
      </c>
      <c r="F173" s="2">
        <v>87400</v>
      </c>
      <c r="G173" s="41">
        <v>96500</v>
      </c>
      <c r="H173" s="41">
        <v>96500</v>
      </c>
      <c r="I173" s="41">
        <v>96500</v>
      </c>
      <c r="J173" s="41">
        <v>96500</v>
      </c>
    </row>
    <row r="174" spans="1:10" x14ac:dyDescent="0.2">
      <c r="A174" s="283" t="s">
        <v>1543</v>
      </c>
      <c r="B174" s="283"/>
      <c r="C174" s="2"/>
      <c r="D174" s="2">
        <v>21000</v>
      </c>
      <c r="E174" s="2"/>
      <c r="F174" s="2"/>
      <c r="G174" s="41"/>
      <c r="H174" s="41"/>
      <c r="I174" s="41"/>
      <c r="J174" s="41"/>
    </row>
    <row r="175" spans="1:10" x14ac:dyDescent="0.2">
      <c r="A175" s="283" t="s">
        <v>1544</v>
      </c>
      <c r="B175" s="283"/>
      <c r="C175" s="2"/>
      <c r="D175" s="2">
        <v>6000</v>
      </c>
      <c r="E175" s="2"/>
      <c r="F175" s="2"/>
      <c r="G175" s="41"/>
      <c r="H175" s="41"/>
      <c r="I175" s="41"/>
      <c r="J175" s="41"/>
    </row>
    <row r="176" spans="1:10" x14ac:dyDescent="0.2">
      <c r="A176" s="283" t="s">
        <v>1762</v>
      </c>
      <c r="B176" s="283"/>
      <c r="C176" s="2"/>
      <c r="D176" s="2">
        <v>4000</v>
      </c>
      <c r="E176" s="2"/>
      <c r="F176" s="2"/>
      <c r="G176" s="41"/>
      <c r="H176" s="41"/>
      <c r="I176" s="41"/>
      <c r="J176" s="41"/>
    </row>
    <row r="177" spans="1:10" x14ac:dyDescent="0.2">
      <c r="A177" s="283" t="s">
        <v>1761</v>
      </c>
      <c r="B177" s="283"/>
      <c r="C177" s="2"/>
      <c r="D177" s="2">
        <v>9500</v>
      </c>
      <c r="E177" s="2"/>
      <c r="F177" s="2"/>
      <c r="G177" s="41"/>
      <c r="H177" s="41"/>
      <c r="I177" s="41"/>
      <c r="J177" s="41"/>
    </row>
    <row r="178" spans="1:10" x14ac:dyDescent="0.2">
      <c r="A178" s="283" t="s">
        <v>945</v>
      </c>
      <c r="B178" s="283"/>
      <c r="C178" s="2"/>
      <c r="D178" s="2">
        <v>55000</v>
      </c>
      <c r="E178" s="2"/>
      <c r="F178" s="2"/>
      <c r="G178" s="41"/>
      <c r="H178" s="41"/>
      <c r="I178" s="41"/>
      <c r="J178" s="41"/>
    </row>
    <row r="179" spans="1:10" ht="15" x14ac:dyDescent="0.35">
      <c r="A179" s="283" t="s">
        <v>1763</v>
      </c>
      <c r="B179" s="283"/>
      <c r="C179" s="10"/>
      <c r="D179" s="10">
        <v>1000</v>
      </c>
      <c r="E179" s="2"/>
      <c r="F179" s="2"/>
      <c r="G179" s="41"/>
      <c r="H179" s="41"/>
      <c r="I179" s="41"/>
      <c r="J179" s="41"/>
    </row>
    <row r="180" spans="1:10" x14ac:dyDescent="0.2">
      <c r="A180" s="283" t="s">
        <v>1067</v>
      </c>
      <c r="B180" s="283"/>
      <c r="C180" s="2"/>
      <c r="D180" s="2">
        <f>SUM(D174:D179)</f>
        <v>96500</v>
      </c>
      <c r="E180" s="2"/>
      <c r="F180" s="2"/>
      <c r="G180" s="41"/>
      <c r="H180" s="41"/>
      <c r="I180" s="41"/>
      <c r="J180" s="41"/>
    </row>
    <row r="181" spans="1:10" x14ac:dyDescent="0.2">
      <c r="A181" s="283"/>
      <c r="B181" s="283"/>
      <c r="C181" s="283"/>
      <c r="D181" s="2"/>
      <c r="E181" s="2"/>
      <c r="F181" s="2"/>
      <c r="G181" s="41"/>
      <c r="H181" s="41"/>
      <c r="I181" s="41"/>
      <c r="J181" s="41"/>
    </row>
    <row r="182" spans="1:10" ht="13.5" x14ac:dyDescent="0.25">
      <c r="A182" s="286" t="s">
        <v>946</v>
      </c>
      <c r="B182" s="283"/>
      <c r="C182" s="283"/>
      <c r="D182" s="2"/>
      <c r="E182" s="2">
        <v>0</v>
      </c>
      <c r="F182" s="2">
        <v>3250</v>
      </c>
      <c r="G182" s="41">
        <v>0</v>
      </c>
      <c r="H182" s="41">
        <v>0</v>
      </c>
      <c r="I182" s="41">
        <v>0</v>
      </c>
      <c r="J182" s="41">
        <v>0</v>
      </c>
    </row>
    <row r="183" spans="1:10" x14ac:dyDescent="0.2">
      <c r="A183" s="283" t="s">
        <v>873</v>
      </c>
      <c r="B183" s="2">
        <v>0</v>
      </c>
      <c r="C183" s="11">
        <v>5.99</v>
      </c>
      <c r="D183" s="2">
        <f>+C183*B183</f>
        <v>0</v>
      </c>
      <c r="E183" s="2"/>
      <c r="F183" s="2"/>
      <c r="G183" s="41"/>
      <c r="H183" s="41"/>
      <c r="I183" s="41"/>
      <c r="J183" s="41"/>
    </row>
    <row r="184" spans="1:10" ht="15" x14ac:dyDescent="0.35">
      <c r="A184" s="283" t="s">
        <v>947</v>
      </c>
      <c r="B184" s="2">
        <v>0</v>
      </c>
      <c r="C184" s="11">
        <v>5.99</v>
      </c>
      <c r="D184" s="10">
        <f>B184*C184</f>
        <v>0</v>
      </c>
      <c r="E184" s="2"/>
      <c r="F184" s="2"/>
      <c r="G184" s="41"/>
      <c r="H184" s="41"/>
      <c r="I184" s="41"/>
      <c r="J184" s="41"/>
    </row>
    <row r="185" spans="1:10" x14ac:dyDescent="0.2">
      <c r="A185" s="283" t="s">
        <v>1067</v>
      </c>
      <c r="B185" s="283"/>
      <c r="C185" s="283"/>
      <c r="D185" s="2">
        <f>SUM(D183:D184)</f>
        <v>0</v>
      </c>
      <c r="E185" s="2"/>
      <c r="F185" s="2"/>
      <c r="G185" s="283"/>
      <c r="H185" s="267"/>
      <c r="I185" s="316"/>
      <c r="J185" s="316"/>
    </row>
    <row r="186" spans="1:10" x14ac:dyDescent="0.2">
      <c r="A186" s="283"/>
      <c r="B186" s="283"/>
      <c r="C186" s="283"/>
      <c r="D186" s="2"/>
      <c r="E186" s="2"/>
      <c r="F186" s="2"/>
      <c r="G186" s="283"/>
      <c r="H186" s="267"/>
      <c r="I186" s="316"/>
      <c r="J186" s="316"/>
    </row>
    <row r="187" spans="1:10" ht="13.5" x14ac:dyDescent="0.25">
      <c r="A187" s="14" t="s">
        <v>182</v>
      </c>
      <c r="B187" s="283"/>
      <c r="C187" s="283"/>
      <c r="D187" s="2"/>
      <c r="E187" s="2">
        <v>17373</v>
      </c>
      <c r="F187" s="2">
        <v>10300</v>
      </c>
      <c r="G187" s="41">
        <v>17800</v>
      </c>
      <c r="H187" s="41">
        <v>17800</v>
      </c>
      <c r="I187" s="41">
        <v>17800</v>
      </c>
      <c r="J187" s="41">
        <v>17800</v>
      </c>
    </row>
    <row r="188" spans="1:10" x14ac:dyDescent="0.2">
      <c r="A188" s="283" t="s">
        <v>1038</v>
      </c>
      <c r="B188" s="283"/>
      <c r="C188" s="2"/>
      <c r="D188" s="2">
        <v>6400</v>
      </c>
      <c r="E188" s="2"/>
      <c r="F188" s="2"/>
      <c r="G188" s="41"/>
      <c r="H188" s="41"/>
      <c r="I188" s="41"/>
      <c r="J188" s="41"/>
    </row>
    <row r="189" spans="1:10" x14ac:dyDescent="0.2">
      <c r="A189" s="283" t="s">
        <v>1039</v>
      </c>
      <c r="B189" s="283"/>
      <c r="C189" s="2"/>
      <c r="D189" s="2">
        <v>4000</v>
      </c>
      <c r="E189" s="2"/>
      <c r="F189" s="2"/>
      <c r="G189" s="41"/>
      <c r="H189" s="41"/>
      <c r="I189" s="41"/>
      <c r="J189" s="41"/>
    </row>
    <row r="190" spans="1:10" x14ac:dyDescent="0.2">
      <c r="A190" s="283" t="s">
        <v>1040</v>
      </c>
      <c r="B190" s="283"/>
      <c r="C190" s="2"/>
      <c r="D190" s="2">
        <v>0</v>
      </c>
      <c r="E190" s="2"/>
      <c r="F190" s="2"/>
      <c r="G190" s="41"/>
      <c r="H190" s="41"/>
      <c r="I190" s="41"/>
      <c r="J190" s="41"/>
    </row>
    <row r="191" spans="1:10" x14ac:dyDescent="0.2">
      <c r="A191" s="283" t="s">
        <v>1193</v>
      </c>
      <c r="B191" s="283"/>
      <c r="C191" s="2"/>
      <c r="D191" s="2">
        <v>200</v>
      </c>
      <c r="E191" s="2"/>
      <c r="F191" s="2"/>
      <c r="G191" s="41"/>
      <c r="H191" s="41"/>
      <c r="I191" s="41"/>
      <c r="J191" s="41"/>
    </row>
    <row r="192" spans="1:10" x14ac:dyDescent="0.2">
      <c r="A192" s="283" t="s">
        <v>1041</v>
      </c>
      <c r="B192" s="283"/>
      <c r="C192" s="2"/>
      <c r="D192" s="2">
        <v>1700</v>
      </c>
      <c r="E192" s="2"/>
      <c r="F192" s="2"/>
      <c r="G192" s="41"/>
      <c r="H192" s="41"/>
      <c r="I192" s="41"/>
      <c r="J192" s="41"/>
    </row>
    <row r="193" spans="1:10" x14ac:dyDescent="0.2">
      <c r="A193" s="283" t="s">
        <v>1350</v>
      </c>
      <c r="B193" s="283"/>
      <c r="C193" s="2"/>
      <c r="D193" s="2">
        <v>1500</v>
      </c>
      <c r="E193" s="2"/>
      <c r="F193" s="2"/>
      <c r="G193" s="41"/>
      <c r="H193" s="41"/>
      <c r="I193" s="41"/>
      <c r="J193" s="41"/>
    </row>
    <row r="194" spans="1:10" ht="15" x14ac:dyDescent="0.35">
      <c r="A194" s="283" t="s">
        <v>1425</v>
      </c>
      <c r="B194" s="283"/>
      <c r="C194" s="10"/>
      <c r="D194" s="10">
        <v>4000</v>
      </c>
      <c r="E194" s="2"/>
      <c r="F194" s="2"/>
      <c r="G194" s="41"/>
      <c r="H194" s="41"/>
      <c r="I194" s="41"/>
      <c r="J194" s="41"/>
    </row>
    <row r="195" spans="1:10" x14ac:dyDescent="0.2">
      <c r="A195" s="283" t="s">
        <v>1067</v>
      </c>
      <c r="B195" s="283"/>
      <c r="C195" s="2"/>
      <c r="D195" s="2">
        <f>SUM(D188:D194)</f>
        <v>17800</v>
      </c>
      <c r="E195" s="2"/>
      <c r="F195" s="2"/>
      <c r="G195" s="41"/>
      <c r="H195" s="41"/>
      <c r="I195" s="41"/>
      <c r="J195" s="41"/>
    </row>
    <row r="196" spans="1:10" x14ac:dyDescent="0.2">
      <c r="A196" s="283"/>
      <c r="B196" s="283"/>
      <c r="C196" s="2"/>
      <c r="D196" s="2"/>
      <c r="E196" s="2"/>
      <c r="F196" s="2"/>
      <c r="G196" s="41"/>
      <c r="H196" s="41"/>
      <c r="I196" s="41"/>
      <c r="J196" s="41"/>
    </row>
    <row r="197" spans="1:10" ht="13.5" x14ac:dyDescent="0.25">
      <c r="A197" s="286" t="s">
        <v>308</v>
      </c>
      <c r="B197" s="283"/>
      <c r="C197" s="2"/>
      <c r="D197" s="2"/>
      <c r="E197" s="2">
        <v>137566</v>
      </c>
      <c r="F197" s="2">
        <v>68000</v>
      </c>
      <c r="G197" s="41">
        <f>+D198</f>
        <v>128000</v>
      </c>
      <c r="H197" s="41">
        <v>128000</v>
      </c>
      <c r="I197" s="41">
        <v>128000</v>
      </c>
      <c r="J197" s="41">
        <v>128000</v>
      </c>
    </row>
    <row r="198" spans="1:10" ht="23.25" customHeight="1" x14ac:dyDescent="0.2">
      <c r="A198" s="283" t="s">
        <v>1641</v>
      </c>
      <c r="B198" s="324" t="s">
        <v>2083</v>
      </c>
      <c r="C198" s="324"/>
      <c r="D198" s="2">
        <f>32000*4</f>
        <v>128000</v>
      </c>
      <c r="E198" s="2"/>
      <c r="F198" s="2"/>
      <c r="G198" s="41"/>
      <c r="H198" s="41"/>
      <c r="I198" s="41"/>
      <c r="J198" s="41"/>
    </row>
    <row r="199" spans="1:10" x14ac:dyDescent="0.2">
      <c r="A199" s="283"/>
      <c r="B199" s="283"/>
      <c r="C199" s="283"/>
      <c r="D199" s="2"/>
      <c r="E199" s="2"/>
      <c r="F199" s="2"/>
      <c r="G199" s="41"/>
      <c r="H199" s="41"/>
      <c r="I199" s="41"/>
      <c r="J199" s="41"/>
    </row>
    <row r="200" spans="1:10" ht="13.5" x14ac:dyDescent="0.25">
      <c r="A200" s="286" t="s">
        <v>539</v>
      </c>
      <c r="B200" s="283"/>
      <c r="C200" s="283"/>
      <c r="D200" s="2"/>
      <c r="E200" s="2">
        <v>29067</v>
      </c>
      <c r="F200" s="2">
        <v>31975</v>
      </c>
      <c r="G200" s="41">
        <v>46325</v>
      </c>
      <c r="H200" s="41">
        <v>46325</v>
      </c>
      <c r="I200" s="41">
        <v>46325</v>
      </c>
      <c r="J200" s="41">
        <v>46325</v>
      </c>
    </row>
    <row r="201" spans="1:10" x14ac:dyDescent="0.2">
      <c r="A201" s="283" t="s">
        <v>1101</v>
      </c>
      <c r="B201" s="2">
        <v>3750</v>
      </c>
      <c r="C201" s="11">
        <v>3.5</v>
      </c>
      <c r="D201" s="2">
        <f>+C201*B201</f>
        <v>13125</v>
      </c>
      <c r="E201" s="2"/>
      <c r="F201" s="2"/>
      <c r="G201" s="41"/>
      <c r="H201" s="41"/>
      <c r="I201" s="41"/>
      <c r="J201" s="41"/>
    </row>
    <row r="202" spans="1:10" x14ac:dyDescent="0.2">
      <c r="A202" s="283" t="s">
        <v>1545</v>
      </c>
      <c r="B202" s="2">
        <v>7000</v>
      </c>
      <c r="C202" s="11">
        <v>4.1500000000000004</v>
      </c>
      <c r="D202" s="2">
        <f>+C202*B202</f>
        <v>29050.000000000004</v>
      </c>
      <c r="E202" s="2"/>
      <c r="F202" s="2"/>
      <c r="G202" s="41"/>
      <c r="H202" s="41"/>
      <c r="I202" s="41"/>
      <c r="J202" s="41"/>
    </row>
    <row r="203" spans="1:10" ht="15" x14ac:dyDescent="0.35">
      <c r="A203" s="283" t="s">
        <v>1169</v>
      </c>
      <c r="B203" s="2">
        <v>1000</v>
      </c>
      <c r="C203" s="11">
        <v>4.1500000000000004</v>
      </c>
      <c r="D203" s="10">
        <f>+C203*B203</f>
        <v>4150</v>
      </c>
      <c r="E203" s="2"/>
      <c r="F203" s="2"/>
      <c r="G203" s="41"/>
      <c r="H203" s="41"/>
      <c r="I203" s="41"/>
      <c r="J203" s="41"/>
    </row>
    <row r="204" spans="1:10" x14ac:dyDescent="0.2">
      <c r="A204" s="283" t="s">
        <v>1067</v>
      </c>
      <c r="B204" s="283"/>
      <c r="C204" s="283"/>
      <c r="D204" s="2">
        <f>SUM(D201:D203)</f>
        <v>46325</v>
      </c>
      <c r="E204" s="2"/>
      <c r="F204" s="2"/>
      <c r="G204" s="41"/>
      <c r="H204" s="41"/>
      <c r="I204" s="41"/>
      <c r="J204" s="41"/>
    </row>
    <row r="205" spans="1:10" x14ac:dyDescent="0.2">
      <c r="A205" s="283"/>
      <c r="B205" s="283"/>
      <c r="C205" s="283"/>
      <c r="D205" s="2"/>
      <c r="E205" s="2"/>
      <c r="F205" s="2"/>
      <c r="G205" s="41"/>
      <c r="H205" s="41"/>
      <c r="I205" s="41"/>
      <c r="J205" s="41"/>
    </row>
    <row r="206" spans="1:10" ht="13.5" x14ac:dyDescent="0.25">
      <c r="A206" s="286" t="s">
        <v>1227</v>
      </c>
      <c r="B206" s="283"/>
      <c r="C206" s="283"/>
      <c r="D206" s="2"/>
      <c r="E206" s="2">
        <v>15657</v>
      </c>
      <c r="F206" s="2">
        <v>13095</v>
      </c>
      <c r="G206" s="41">
        <v>15745</v>
      </c>
      <c r="H206" s="41">
        <v>15745</v>
      </c>
      <c r="I206" s="41">
        <v>15745</v>
      </c>
      <c r="J206" s="41">
        <v>15745</v>
      </c>
    </row>
    <row r="207" spans="1:10" x14ac:dyDescent="0.2">
      <c r="A207" s="283" t="s">
        <v>805</v>
      </c>
      <c r="B207" s="283"/>
      <c r="C207" s="2"/>
      <c r="D207" s="2">
        <v>7250</v>
      </c>
      <c r="E207" s="2"/>
      <c r="F207" s="2"/>
      <c r="G207" s="41"/>
      <c r="H207" s="41"/>
      <c r="I207" s="41"/>
      <c r="J207" s="41"/>
    </row>
    <row r="208" spans="1:10" x14ac:dyDescent="0.2">
      <c r="A208" s="283" t="s">
        <v>1964</v>
      </c>
      <c r="B208" s="283"/>
      <c r="C208" s="2"/>
      <c r="D208" s="2">
        <v>6120</v>
      </c>
      <c r="E208" s="2"/>
      <c r="F208" s="2"/>
      <c r="G208" s="41"/>
      <c r="H208" s="41"/>
      <c r="I208" s="41"/>
      <c r="J208" s="41"/>
    </row>
    <row r="209" spans="1:10" x14ac:dyDescent="0.2">
      <c r="A209" s="283" t="s">
        <v>1680</v>
      </c>
      <c r="B209" s="283"/>
      <c r="C209" s="2"/>
      <c r="D209" s="2">
        <v>2000</v>
      </c>
      <c r="E209" s="2"/>
      <c r="F209" s="2"/>
      <c r="G209" s="41"/>
      <c r="H209" s="41"/>
      <c r="I209" s="41"/>
      <c r="J209" s="41"/>
    </row>
    <row r="210" spans="1:10" x14ac:dyDescent="0.2">
      <c r="A210" s="283" t="s">
        <v>1756</v>
      </c>
      <c r="B210" s="283">
        <v>2</v>
      </c>
      <c r="C210" s="2"/>
      <c r="D210" s="2">
        <f>+B210*125</f>
        <v>250</v>
      </c>
      <c r="E210" s="2"/>
      <c r="F210" s="2"/>
      <c r="G210" s="41"/>
      <c r="H210" s="41"/>
      <c r="I210" s="41"/>
      <c r="J210" s="41"/>
    </row>
    <row r="211" spans="1:10" ht="15" x14ac:dyDescent="0.35">
      <c r="A211" s="283" t="s">
        <v>139</v>
      </c>
      <c r="B211" s="2" t="s">
        <v>338</v>
      </c>
      <c r="C211" s="10">
        <v>125</v>
      </c>
      <c r="D211" s="10">
        <v>125</v>
      </c>
      <c r="E211" s="2"/>
      <c r="F211" s="2"/>
      <c r="G211" s="41"/>
      <c r="H211" s="41"/>
      <c r="I211" s="41"/>
      <c r="J211" s="41"/>
    </row>
    <row r="212" spans="1:10" x14ac:dyDescent="0.2">
      <c r="A212" s="283" t="s">
        <v>1067</v>
      </c>
      <c r="B212" s="283"/>
      <c r="C212" s="2"/>
      <c r="D212" s="2">
        <f>SUM(D207:D211)</f>
        <v>15745</v>
      </c>
      <c r="E212" s="2"/>
      <c r="F212" s="2"/>
      <c r="G212" s="41"/>
      <c r="H212" s="41"/>
      <c r="I212" s="41"/>
      <c r="J212" s="41"/>
    </row>
    <row r="213" spans="1:10" x14ac:dyDescent="0.2">
      <c r="A213" s="283"/>
      <c r="B213" s="283"/>
      <c r="C213" s="2"/>
      <c r="D213" s="2"/>
      <c r="E213" s="2"/>
      <c r="F213" s="2"/>
      <c r="G213" s="41"/>
      <c r="H213" s="41"/>
      <c r="I213" s="41"/>
      <c r="J213" s="41"/>
    </row>
    <row r="214" spans="1:10" ht="13.5" x14ac:dyDescent="0.25">
      <c r="A214" s="286" t="s">
        <v>929</v>
      </c>
      <c r="B214" s="283"/>
      <c r="C214" s="7" t="s">
        <v>338</v>
      </c>
      <c r="D214" s="7" t="s">
        <v>338</v>
      </c>
      <c r="E214" s="2">
        <v>7891</v>
      </c>
      <c r="F214" s="2">
        <v>9145</v>
      </c>
      <c r="G214" s="2">
        <v>9145</v>
      </c>
      <c r="H214" s="2">
        <v>9145</v>
      </c>
      <c r="I214" s="2">
        <v>9145</v>
      </c>
      <c r="J214" s="2">
        <v>9145</v>
      </c>
    </row>
    <row r="215" spans="1:10" x14ac:dyDescent="0.2">
      <c r="A215" s="283" t="s">
        <v>293</v>
      </c>
      <c r="B215" s="2" t="s">
        <v>338</v>
      </c>
      <c r="C215" s="2"/>
      <c r="D215" s="2">
        <v>375</v>
      </c>
      <c r="E215" s="2"/>
      <c r="F215" s="133"/>
      <c r="G215" s="107"/>
      <c r="H215" s="107"/>
      <c r="I215" s="107"/>
      <c r="J215" s="107"/>
    </row>
    <row r="216" spans="1:10" x14ac:dyDescent="0.2">
      <c r="A216" s="283" t="s">
        <v>1937</v>
      </c>
      <c r="B216" s="2"/>
      <c r="C216" s="2"/>
      <c r="D216" s="2">
        <v>5500</v>
      </c>
      <c r="E216" s="2"/>
      <c r="F216" s="133"/>
      <c r="G216" s="107"/>
      <c r="H216" s="107"/>
      <c r="I216" s="107"/>
      <c r="J216" s="107"/>
    </row>
    <row r="217" spans="1:10" x14ac:dyDescent="0.2">
      <c r="A217" s="283" t="s">
        <v>140</v>
      </c>
      <c r="B217" s="2"/>
      <c r="C217" s="2"/>
      <c r="D217" s="2">
        <v>450</v>
      </c>
      <c r="E217" s="2"/>
      <c r="F217" s="2"/>
      <c r="G217" s="41"/>
      <c r="H217" s="41"/>
      <c r="I217" s="41"/>
      <c r="J217" s="41"/>
    </row>
    <row r="218" spans="1:10" x14ac:dyDescent="0.2">
      <c r="A218" s="283" t="s">
        <v>294</v>
      </c>
      <c r="B218" s="2"/>
      <c r="C218" s="2"/>
      <c r="D218" s="2">
        <v>900</v>
      </c>
      <c r="E218" s="2"/>
      <c r="F218" s="2"/>
      <c r="G218" s="41"/>
      <c r="H218" s="41"/>
      <c r="I218" s="41"/>
      <c r="J218" s="41"/>
    </row>
    <row r="219" spans="1:10" x14ac:dyDescent="0.2">
      <c r="A219" s="283" t="s">
        <v>1700</v>
      </c>
      <c r="B219" s="2"/>
      <c r="C219" s="2"/>
      <c r="D219" s="2">
        <v>1500</v>
      </c>
      <c r="E219" s="2"/>
      <c r="F219" s="2"/>
      <c r="G219" s="41"/>
      <c r="H219" s="41"/>
      <c r="I219" s="41"/>
      <c r="J219" s="41"/>
    </row>
    <row r="220" spans="1:10" ht="15" x14ac:dyDescent="0.35">
      <c r="A220" s="283" t="s">
        <v>750</v>
      </c>
      <c r="B220" s="2"/>
      <c r="C220" s="10"/>
      <c r="D220" s="10">
        <v>420</v>
      </c>
      <c r="E220" s="2"/>
      <c r="F220" s="2"/>
      <c r="G220" s="41"/>
      <c r="H220" s="41"/>
      <c r="I220" s="41"/>
      <c r="J220" s="41"/>
    </row>
    <row r="221" spans="1:10" x14ac:dyDescent="0.2">
      <c r="A221" s="283" t="s">
        <v>1067</v>
      </c>
      <c r="B221" s="2"/>
      <c r="C221" s="2"/>
      <c r="D221" s="2">
        <f>SUM(D215:D220)</f>
        <v>9145</v>
      </c>
      <c r="E221" s="2"/>
      <c r="F221" s="2"/>
      <c r="G221" s="283"/>
      <c r="H221" s="267"/>
      <c r="I221" s="316"/>
      <c r="J221" s="316"/>
    </row>
    <row r="222" spans="1:10" x14ac:dyDescent="0.2">
      <c r="A222" s="283" t="s">
        <v>338</v>
      </c>
      <c r="B222" s="283"/>
      <c r="C222" s="2" t="s">
        <v>338</v>
      </c>
      <c r="D222" s="2" t="s">
        <v>338</v>
      </c>
      <c r="E222" s="2"/>
      <c r="F222" s="2"/>
      <c r="G222" s="283"/>
      <c r="H222" s="267"/>
      <c r="I222" s="316"/>
      <c r="J222" s="316"/>
    </row>
    <row r="223" spans="1:10" ht="13.5" x14ac:dyDescent="0.25">
      <c r="A223" s="16" t="s">
        <v>746</v>
      </c>
      <c r="B223" s="283"/>
      <c r="C223" s="2"/>
      <c r="D223" s="2"/>
      <c r="E223" s="2">
        <v>66304</v>
      </c>
      <c r="F223" s="2">
        <v>69117</v>
      </c>
      <c r="G223" s="41">
        <v>72573</v>
      </c>
      <c r="H223" s="41">
        <v>72573</v>
      </c>
      <c r="I223" s="41">
        <v>72573</v>
      </c>
      <c r="J223" s="41">
        <v>72573</v>
      </c>
    </row>
    <row r="224" spans="1:10" x14ac:dyDescent="0.2">
      <c r="A224" s="283" t="s">
        <v>1406</v>
      </c>
      <c r="B224" s="283"/>
      <c r="C224" s="2"/>
      <c r="D224" s="2">
        <v>72573</v>
      </c>
      <c r="E224" s="2"/>
      <c r="F224" s="2"/>
      <c r="G224" s="283"/>
      <c r="H224" s="267"/>
      <c r="I224" s="316"/>
      <c r="J224" s="316"/>
    </row>
    <row r="225" spans="1:10" x14ac:dyDescent="0.2">
      <c r="A225" s="283"/>
      <c r="B225" s="283"/>
      <c r="C225" s="2"/>
      <c r="D225" s="2"/>
      <c r="E225" s="2"/>
      <c r="F225" s="2"/>
      <c r="G225" s="41"/>
      <c r="H225" s="41"/>
      <c r="I225" s="41"/>
      <c r="J225" s="41"/>
    </row>
    <row r="226" spans="1:10" x14ac:dyDescent="0.2">
      <c r="A226" s="283"/>
      <c r="B226" s="283"/>
      <c r="C226" s="2"/>
      <c r="D226" s="2"/>
      <c r="E226" s="2"/>
      <c r="F226" s="2"/>
      <c r="G226" s="41"/>
      <c r="H226" s="41"/>
      <c r="I226" s="41"/>
      <c r="J226" s="41"/>
    </row>
    <row r="227" spans="1:10" ht="13.5" x14ac:dyDescent="0.25">
      <c r="A227" s="286" t="s">
        <v>894</v>
      </c>
      <c r="B227" s="283"/>
      <c r="C227" s="2"/>
      <c r="D227" s="2"/>
      <c r="E227" s="2">
        <v>565</v>
      </c>
      <c r="F227" s="2">
        <v>2500</v>
      </c>
      <c r="G227" s="41">
        <v>2500</v>
      </c>
      <c r="H227" s="41">
        <v>2500</v>
      </c>
      <c r="I227" s="41">
        <v>2500</v>
      </c>
      <c r="J227" s="41">
        <v>2500</v>
      </c>
    </row>
    <row r="228" spans="1:10" x14ac:dyDescent="0.2">
      <c r="A228" s="283" t="s">
        <v>1546</v>
      </c>
      <c r="B228" s="283"/>
      <c r="C228" s="2" t="s">
        <v>338</v>
      </c>
      <c r="D228" s="2" t="s">
        <v>338</v>
      </c>
      <c r="E228" s="2"/>
      <c r="F228" s="2"/>
      <c r="G228" s="41"/>
      <c r="H228" s="41"/>
      <c r="I228" s="41"/>
      <c r="J228" s="41"/>
    </row>
    <row r="229" spans="1:10" x14ac:dyDescent="0.2">
      <c r="A229" s="283" t="s">
        <v>1426</v>
      </c>
      <c r="B229" s="283"/>
      <c r="C229" s="2"/>
      <c r="D229" s="2">
        <v>2500</v>
      </c>
      <c r="E229" s="2"/>
      <c r="F229" s="2"/>
      <c r="G229" s="41"/>
      <c r="H229" s="41"/>
      <c r="I229" s="41"/>
      <c r="J229" s="41"/>
    </row>
    <row r="230" spans="1:10" x14ac:dyDescent="0.2">
      <c r="A230" s="283"/>
      <c r="B230" s="283"/>
      <c r="C230" s="2"/>
      <c r="D230" s="2"/>
      <c r="E230" s="2"/>
      <c r="F230" s="2"/>
      <c r="G230" s="41"/>
      <c r="H230" s="41"/>
      <c r="I230" s="41"/>
      <c r="J230" s="41"/>
    </row>
    <row r="231" spans="1:10" ht="13.5" x14ac:dyDescent="0.25">
      <c r="A231" s="286" t="s">
        <v>564</v>
      </c>
      <c r="B231" s="283" t="s">
        <v>53</v>
      </c>
      <c r="C231" s="2" t="s">
        <v>2046</v>
      </c>
      <c r="D231" s="2" t="s">
        <v>54</v>
      </c>
      <c r="E231" s="2">
        <v>117385</v>
      </c>
      <c r="F231" s="2">
        <v>111711</v>
      </c>
      <c r="G231" s="41">
        <f>+D237</f>
        <v>128467.65</v>
      </c>
      <c r="H231" s="41">
        <v>128467.65</v>
      </c>
      <c r="I231" s="41">
        <v>128467.65</v>
      </c>
      <c r="J231" s="41">
        <v>128467.65</v>
      </c>
    </row>
    <row r="232" spans="1:10" x14ac:dyDescent="0.2">
      <c r="A232" s="283" t="s">
        <v>55</v>
      </c>
      <c r="B232" s="283">
        <v>1.006</v>
      </c>
      <c r="C232" s="2">
        <v>35180</v>
      </c>
      <c r="D232" s="2">
        <f>ROUND(B232*C232,0)*1.15</f>
        <v>40699.649999999994</v>
      </c>
      <c r="E232" s="2"/>
      <c r="F232" s="2"/>
      <c r="G232" s="283"/>
      <c r="H232" s="267"/>
      <c r="I232" s="316"/>
      <c r="J232" s="316"/>
    </row>
    <row r="233" spans="1:10" x14ac:dyDescent="0.2">
      <c r="A233" s="283" t="s">
        <v>56</v>
      </c>
      <c r="B233" s="283">
        <v>0.3</v>
      </c>
      <c r="C233" s="2">
        <v>18500</v>
      </c>
      <c r="D233" s="2">
        <f t="shared" ref="D233:D235" si="5">ROUND(B233*C233,0)*1.15</f>
        <v>6382.4999999999991</v>
      </c>
      <c r="E233" s="2"/>
      <c r="F233" s="2"/>
      <c r="G233" s="41"/>
      <c r="H233" s="41"/>
      <c r="I233" s="41"/>
      <c r="J233" s="41"/>
    </row>
    <row r="234" spans="1:10" x14ac:dyDescent="0.2">
      <c r="A234" s="283" t="s">
        <v>888</v>
      </c>
      <c r="B234" s="283">
        <v>1.25</v>
      </c>
      <c r="C234" s="2">
        <v>14000</v>
      </c>
      <c r="D234" s="2">
        <f t="shared" si="5"/>
        <v>20125</v>
      </c>
      <c r="E234" s="2"/>
      <c r="F234" s="2"/>
      <c r="G234" s="41"/>
      <c r="H234" s="41"/>
      <c r="I234" s="41"/>
      <c r="J234" s="41"/>
    </row>
    <row r="235" spans="1:10" x14ac:dyDescent="0.2">
      <c r="A235" s="283" t="s">
        <v>1938</v>
      </c>
      <c r="B235" s="283">
        <v>0.1522</v>
      </c>
      <c r="C235" s="2">
        <v>350000</v>
      </c>
      <c r="D235" s="2">
        <f t="shared" si="5"/>
        <v>61260.499999999993</v>
      </c>
      <c r="E235" s="2"/>
      <c r="F235" s="2"/>
      <c r="G235" s="41"/>
      <c r="H235" s="41"/>
      <c r="I235" s="41"/>
      <c r="J235" s="41"/>
    </row>
    <row r="236" spans="1:10" ht="15" x14ac:dyDescent="0.35">
      <c r="A236" s="283"/>
      <c r="B236" s="283"/>
      <c r="C236" s="10"/>
      <c r="D236" s="10">
        <f>B236*C236</f>
        <v>0</v>
      </c>
      <c r="E236" s="2"/>
      <c r="F236" s="2"/>
      <c r="G236" s="41"/>
      <c r="H236" s="41"/>
      <c r="I236" s="41"/>
      <c r="J236" s="41"/>
    </row>
    <row r="237" spans="1:10" x14ac:dyDescent="0.2">
      <c r="A237" s="283" t="s">
        <v>1067</v>
      </c>
      <c r="B237" s="325"/>
      <c r="C237" s="325"/>
      <c r="D237" s="2">
        <f>SUM(D232:D236)</f>
        <v>128467.65</v>
      </c>
      <c r="E237" s="42" t="s">
        <v>1701</v>
      </c>
      <c r="F237" s="2"/>
      <c r="G237" s="41"/>
      <c r="H237" s="41"/>
      <c r="I237" s="41"/>
      <c r="J237" s="41"/>
    </row>
    <row r="238" spans="1:10" x14ac:dyDescent="0.2">
      <c r="A238" s="283"/>
      <c r="B238" s="283"/>
      <c r="C238" s="283"/>
      <c r="D238" s="283"/>
      <c r="E238" s="283"/>
      <c r="F238" s="2"/>
      <c r="G238" s="283"/>
      <c r="H238" s="267"/>
      <c r="I238" s="316"/>
      <c r="J238" s="316"/>
    </row>
    <row r="239" spans="1:10" ht="15" x14ac:dyDescent="0.35">
      <c r="A239" s="286" t="s">
        <v>1017</v>
      </c>
      <c r="B239" s="283" t="s">
        <v>53</v>
      </c>
      <c r="C239" s="10" t="s">
        <v>1042</v>
      </c>
      <c r="D239" s="10"/>
      <c r="E239" s="2">
        <v>250000</v>
      </c>
      <c r="F239" s="2">
        <v>301760</v>
      </c>
      <c r="G239" s="41">
        <f>+D240</f>
        <v>316848</v>
      </c>
      <c r="H239" s="41">
        <v>316848</v>
      </c>
      <c r="I239" s="41">
        <v>316848</v>
      </c>
      <c r="J239" s="41">
        <v>316848</v>
      </c>
    </row>
    <row r="240" spans="1:10" x14ac:dyDescent="0.2">
      <c r="A240" s="29" t="s">
        <v>1981</v>
      </c>
      <c r="B240" s="283">
        <f>13.12*1.05</f>
        <v>13.776</v>
      </c>
      <c r="C240" s="2">
        <v>23000</v>
      </c>
      <c r="D240" s="2">
        <f>+C240*B240</f>
        <v>316848</v>
      </c>
      <c r="E240" s="2"/>
      <c r="F240" s="2"/>
      <c r="G240" s="41"/>
      <c r="H240" s="41"/>
      <c r="I240" s="41"/>
      <c r="J240" s="41"/>
    </row>
    <row r="241" spans="1:10" x14ac:dyDescent="0.2">
      <c r="A241" s="283"/>
      <c r="B241" s="325"/>
      <c r="C241" s="325"/>
      <c r="D241" s="2"/>
      <c r="E241" s="2"/>
      <c r="F241" s="2"/>
      <c r="G241" s="41"/>
      <c r="H241" s="41"/>
      <c r="I241" s="41"/>
      <c r="J241" s="41"/>
    </row>
    <row r="242" spans="1:10" s="186" customFormat="1" x14ac:dyDescent="0.2">
      <c r="A242" s="283"/>
      <c r="B242" s="325"/>
      <c r="C242" s="325"/>
      <c r="D242" s="2"/>
      <c r="E242" s="2"/>
      <c r="F242" s="2"/>
      <c r="G242" s="41"/>
      <c r="H242" s="41"/>
      <c r="I242" s="41"/>
      <c r="J242" s="41"/>
    </row>
    <row r="243" spans="1:10" ht="13.5" x14ac:dyDescent="0.25">
      <c r="A243" s="286" t="s">
        <v>1018</v>
      </c>
      <c r="B243" s="283"/>
      <c r="C243" s="2"/>
      <c r="D243" s="2"/>
      <c r="E243" s="2">
        <v>23399</v>
      </c>
      <c r="F243" s="2">
        <v>12600</v>
      </c>
      <c r="G243" s="41">
        <v>12600</v>
      </c>
      <c r="H243" s="41">
        <v>12600</v>
      </c>
      <c r="I243" s="41">
        <v>12600</v>
      </c>
      <c r="J243" s="41">
        <v>12600</v>
      </c>
    </row>
    <row r="244" spans="1:10" x14ac:dyDescent="0.2">
      <c r="A244" s="283" t="s">
        <v>1103</v>
      </c>
      <c r="B244" s="283"/>
      <c r="C244" s="2"/>
      <c r="D244" s="2">
        <v>2000</v>
      </c>
      <c r="E244" s="2"/>
      <c r="F244" s="133"/>
      <c r="G244" s="107"/>
      <c r="H244" s="107"/>
      <c r="I244" s="107"/>
      <c r="J244" s="107"/>
    </row>
    <row r="245" spans="1:10" x14ac:dyDescent="0.2">
      <c r="A245" s="283" t="s">
        <v>1104</v>
      </c>
      <c r="B245" s="283"/>
      <c r="C245" s="2"/>
      <c r="D245" s="2">
        <v>3000</v>
      </c>
      <c r="E245" s="2"/>
      <c r="F245" s="2"/>
      <c r="G245" s="41"/>
      <c r="H245" s="41"/>
      <c r="I245" s="41"/>
      <c r="J245" s="41"/>
    </row>
    <row r="246" spans="1:10" ht="15" x14ac:dyDescent="0.35">
      <c r="A246" s="283" t="s">
        <v>1105</v>
      </c>
      <c r="B246" s="283"/>
      <c r="C246" s="10"/>
      <c r="D246" s="2">
        <v>7600</v>
      </c>
      <c r="E246" s="2"/>
      <c r="F246" s="2"/>
      <c r="G246" s="41"/>
      <c r="H246" s="41"/>
      <c r="I246" s="41"/>
      <c r="J246" s="41"/>
    </row>
    <row r="247" spans="1:10" ht="15" x14ac:dyDescent="0.35">
      <c r="A247" s="12" t="s">
        <v>1701</v>
      </c>
      <c r="B247" s="283"/>
      <c r="C247" s="10"/>
      <c r="D247" s="114" t="s">
        <v>1701</v>
      </c>
      <c r="E247" s="2"/>
      <c r="F247" s="2"/>
      <c r="G247" s="41"/>
      <c r="H247" s="41"/>
      <c r="I247" s="41"/>
      <c r="J247" s="41"/>
    </row>
    <row r="248" spans="1:10" x14ac:dyDescent="0.2">
      <c r="A248" s="283" t="s">
        <v>1067</v>
      </c>
      <c r="B248" s="283"/>
      <c r="C248" s="2"/>
      <c r="D248" s="2">
        <f>SUM(D244:D247)</f>
        <v>12600</v>
      </c>
      <c r="E248" s="2"/>
      <c r="F248" s="2"/>
      <c r="G248" s="41"/>
      <c r="H248" s="41"/>
      <c r="I248" s="41"/>
      <c r="J248" s="41"/>
    </row>
    <row r="249" spans="1:10" x14ac:dyDescent="0.2">
      <c r="A249" s="283"/>
      <c r="B249" s="283"/>
      <c r="C249" s="2"/>
      <c r="D249" s="2"/>
      <c r="E249" s="2"/>
      <c r="F249" s="2"/>
      <c r="G249" s="41"/>
      <c r="H249" s="41"/>
      <c r="I249" s="41"/>
      <c r="J249" s="41"/>
    </row>
    <row r="250" spans="1:10" ht="13.5" x14ac:dyDescent="0.25">
      <c r="A250" s="286" t="s">
        <v>1106</v>
      </c>
      <c r="B250" s="283"/>
      <c r="C250" s="2"/>
      <c r="D250" s="2"/>
      <c r="E250" s="2">
        <v>1361</v>
      </c>
      <c r="F250" s="2">
        <v>1200</v>
      </c>
      <c r="G250" s="41">
        <v>1200</v>
      </c>
      <c r="H250" s="41">
        <v>1200</v>
      </c>
      <c r="I250" s="41">
        <v>1200</v>
      </c>
      <c r="J250" s="41">
        <v>1200</v>
      </c>
    </row>
    <row r="251" spans="1:10" x14ac:dyDescent="0.2">
      <c r="A251" s="283" t="s">
        <v>1107</v>
      </c>
      <c r="B251" s="283"/>
      <c r="C251" s="2"/>
      <c r="D251" s="2">
        <v>1200</v>
      </c>
      <c r="E251" s="2"/>
      <c r="F251" s="2"/>
      <c r="G251" s="41"/>
      <c r="H251" s="41"/>
      <c r="I251" s="41"/>
      <c r="J251" s="41"/>
    </row>
    <row r="252" spans="1:10" x14ac:dyDescent="0.2">
      <c r="A252" s="283"/>
      <c r="B252" s="283"/>
      <c r="C252" s="2"/>
      <c r="D252" s="2"/>
      <c r="E252" s="2"/>
      <c r="F252" s="2"/>
      <c r="G252" s="41"/>
      <c r="H252" s="41"/>
      <c r="I252" s="41"/>
      <c r="J252" s="41"/>
    </row>
    <row r="253" spans="1:10" ht="13.5" x14ac:dyDescent="0.25">
      <c r="A253" s="286" t="s">
        <v>580</v>
      </c>
      <c r="B253" s="283"/>
      <c r="C253" s="248" t="s">
        <v>2084</v>
      </c>
      <c r="D253" s="2"/>
      <c r="E253" s="2">
        <v>112621</v>
      </c>
      <c r="F253" s="2">
        <v>227420</v>
      </c>
      <c r="G253" s="41">
        <v>227000</v>
      </c>
      <c r="H253" s="41">
        <v>227000</v>
      </c>
      <c r="I253" s="41">
        <v>227000</v>
      </c>
      <c r="J253" s="41">
        <v>227000</v>
      </c>
    </row>
    <row r="254" spans="1:10" x14ac:dyDescent="0.2">
      <c r="A254" s="283" t="s">
        <v>1982</v>
      </c>
      <c r="B254" s="283"/>
      <c r="C254" s="310">
        <v>25000</v>
      </c>
      <c r="D254" s="2">
        <v>20000</v>
      </c>
      <c r="E254" s="121" t="s">
        <v>1701</v>
      </c>
      <c r="F254" s="2"/>
      <c r="G254" s="41"/>
      <c r="H254" s="41"/>
      <c r="I254" s="41"/>
      <c r="J254" s="41"/>
    </row>
    <row r="255" spans="1:10" x14ac:dyDescent="0.2">
      <c r="A255" s="283" t="s">
        <v>1043</v>
      </c>
      <c r="B255" s="283"/>
      <c r="C255" s="310">
        <v>25000</v>
      </c>
      <c r="D255" s="2">
        <v>20000</v>
      </c>
      <c r="E255" s="121" t="s">
        <v>1701</v>
      </c>
      <c r="F255" s="2"/>
      <c r="G255" s="41"/>
      <c r="H255" s="41"/>
      <c r="I255" s="41"/>
      <c r="J255" s="41"/>
    </row>
    <row r="256" spans="1:10" x14ac:dyDescent="0.2">
      <c r="A256" s="283" t="s">
        <v>1044</v>
      </c>
      <c r="B256" s="283"/>
      <c r="C256" s="310">
        <v>5000</v>
      </c>
      <c r="D256" s="2">
        <v>3000</v>
      </c>
      <c r="E256" s="2"/>
      <c r="F256" s="2"/>
      <c r="G256" s="41"/>
      <c r="H256" s="41"/>
      <c r="I256" s="41"/>
      <c r="J256" s="41"/>
    </row>
    <row r="257" spans="1:10" x14ac:dyDescent="0.2">
      <c r="A257" s="283" t="s">
        <v>816</v>
      </c>
      <c r="B257" s="283"/>
      <c r="C257" s="310">
        <v>5000</v>
      </c>
      <c r="D257" s="2">
        <v>1000</v>
      </c>
      <c r="E257" s="121" t="s">
        <v>1701</v>
      </c>
      <c r="F257" s="2"/>
      <c r="G257" s="41"/>
      <c r="H257" s="41"/>
      <c r="I257" s="41"/>
      <c r="J257" s="41"/>
    </row>
    <row r="258" spans="1:10" x14ac:dyDescent="0.2">
      <c r="A258" s="283" t="s">
        <v>57</v>
      </c>
      <c r="B258" s="283"/>
      <c r="C258" s="310">
        <v>25000</v>
      </c>
      <c r="D258" s="2">
        <v>20000</v>
      </c>
      <c r="E258" s="121" t="s">
        <v>1701</v>
      </c>
      <c r="F258" s="2"/>
      <c r="G258" s="41"/>
      <c r="H258" s="41"/>
      <c r="I258" s="41"/>
      <c r="J258" s="41"/>
    </row>
    <row r="259" spans="1:10" x14ac:dyDescent="0.2">
      <c r="A259" s="283" t="s">
        <v>1939</v>
      </c>
      <c r="B259" s="283"/>
      <c r="C259" s="310">
        <v>25000</v>
      </c>
      <c r="D259" s="2">
        <v>15000</v>
      </c>
      <c r="E259" s="121" t="s">
        <v>1701</v>
      </c>
      <c r="F259" s="2"/>
      <c r="G259" s="41"/>
      <c r="H259" s="41"/>
      <c r="I259" s="41"/>
      <c r="J259" s="41"/>
    </row>
    <row r="260" spans="1:10" x14ac:dyDescent="0.2">
      <c r="A260" s="29" t="s">
        <v>1983</v>
      </c>
      <c r="B260" s="283"/>
      <c r="C260" s="310">
        <v>20000</v>
      </c>
      <c r="D260" s="2">
        <v>15000</v>
      </c>
      <c r="E260" s="1"/>
      <c r="F260" s="2"/>
      <c r="G260" s="41"/>
      <c r="H260" s="41"/>
      <c r="I260" s="41"/>
      <c r="J260" s="41"/>
    </row>
    <row r="261" spans="1:10" x14ac:dyDescent="0.2">
      <c r="A261" s="283" t="s">
        <v>1786</v>
      </c>
      <c r="B261" s="283"/>
      <c r="C261" s="310">
        <f t="shared" ref="C261:C262" si="6">+D261*1.1</f>
        <v>11000</v>
      </c>
      <c r="D261" s="240">
        <v>10000</v>
      </c>
      <c r="E261" s="1"/>
      <c r="F261" s="2"/>
      <c r="G261" s="41"/>
      <c r="H261" s="41"/>
      <c r="I261" s="41"/>
      <c r="J261" s="41"/>
    </row>
    <row r="262" spans="1:10" x14ac:dyDescent="0.2">
      <c r="A262" s="283" t="s">
        <v>1787</v>
      </c>
      <c r="B262" s="283"/>
      <c r="C262" s="310">
        <f t="shared" si="6"/>
        <v>11000</v>
      </c>
      <c r="D262" s="2">
        <v>10000</v>
      </c>
      <c r="E262" s="1"/>
      <c r="F262" s="2"/>
      <c r="G262" s="41"/>
      <c r="H262" s="41"/>
      <c r="I262" s="41"/>
      <c r="J262" s="41"/>
    </row>
    <row r="263" spans="1:10" x14ac:dyDescent="0.2">
      <c r="A263" s="283" t="s">
        <v>1788</v>
      </c>
      <c r="B263" s="283"/>
      <c r="C263" s="310">
        <v>5000</v>
      </c>
      <c r="D263" s="7">
        <v>2500</v>
      </c>
      <c r="E263" s="1"/>
      <c r="F263" s="2"/>
      <c r="G263" s="41"/>
      <c r="H263" s="41"/>
      <c r="I263" s="41"/>
      <c r="J263" s="41"/>
    </row>
    <row r="264" spans="1:10" x14ac:dyDescent="0.2">
      <c r="A264" s="283" t="s">
        <v>1815</v>
      </c>
      <c r="B264" s="283"/>
      <c r="C264" s="310">
        <v>10000</v>
      </c>
      <c r="D264" s="2">
        <v>5000</v>
      </c>
      <c r="E264" s="1"/>
      <c r="F264" s="2"/>
      <c r="G264" s="41"/>
      <c r="H264" s="41"/>
      <c r="I264" s="41"/>
      <c r="J264" s="41"/>
    </row>
    <row r="265" spans="1:10" x14ac:dyDescent="0.2">
      <c r="A265" s="283" t="s">
        <v>1702</v>
      </c>
      <c r="B265" s="283"/>
      <c r="C265" s="311">
        <v>15000</v>
      </c>
      <c r="D265" s="2">
        <v>0</v>
      </c>
      <c r="E265" s="1"/>
      <c r="F265" s="2"/>
      <c r="G265" s="41"/>
      <c r="H265" s="41"/>
      <c r="I265" s="41"/>
      <c r="J265" s="41"/>
    </row>
    <row r="266" spans="1:10" ht="38.25" x14ac:dyDescent="0.2">
      <c r="A266" s="283" t="s">
        <v>1984</v>
      </c>
      <c r="B266" s="29" t="s">
        <v>2085</v>
      </c>
      <c r="C266" s="311">
        <v>20000</v>
      </c>
      <c r="D266" s="2">
        <v>25000</v>
      </c>
      <c r="E266" s="1"/>
      <c r="F266" s="2"/>
      <c r="G266" s="41"/>
      <c r="H266" s="41"/>
      <c r="I266" s="41"/>
      <c r="J266" s="41"/>
    </row>
    <row r="267" spans="1:10" ht="41.25" x14ac:dyDescent="0.2">
      <c r="A267" s="29" t="s">
        <v>1985</v>
      </c>
      <c r="B267" s="29" t="s">
        <v>1986</v>
      </c>
      <c r="C267" s="311"/>
      <c r="D267" s="2">
        <f>3500*13.12+15000</f>
        <v>60920</v>
      </c>
      <c r="E267" s="1"/>
      <c r="F267" s="2"/>
      <c r="G267" s="41"/>
      <c r="H267" s="41"/>
      <c r="I267" s="41"/>
      <c r="J267" s="41"/>
    </row>
    <row r="268" spans="1:10" ht="25.5" x14ac:dyDescent="0.2">
      <c r="A268" s="29" t="s">
        <v>1987</v>
      </c>
      <c r="B268" s="283"/>
      <c r="C268" s="311">
        <v>8000</v>
      </c>
      <c r="D268" s="2">
        <v>8000</v>
      </c>
      <c r="E268" s="1"/>
      <c r="F268" s="2"/>
      <c r="G268" s="41"/>
      <c r="H268" s="41"/>
      <c r="I268" s="41"/>
      <c r="J268" s="41"/>
    </row>
    <row r="269" spans="1:10" ht="25.5" x14ac:dyDescent="0.2">
      <c r="A269" s="29" t="s">
        <v>1988</v>
      </c>
      <c r="B269" s="283"/>
      <c r="C269" s="311">
        <v>10000</v>
      </c>
      <c r="D269" s="2">
        <v>7000</v>
      </c>
      <c r="E269" s="2"/>
      <c r="F269" s="2"/>
      <c r="G269" s="41"/>
      <c r="H269" s="41"/>
      <c r="I269" s="41"/>
      <c r="J269" s="41"/>
    </row>
    <row r="270" spans="1:10" ht="15" x14ac:dyDescent="0.35">
      <c r="A270" s="283" t="s">
        <v>1989</v>
      </c>
      <c r="B270" s="283"/>
      <c r="C270" s="312">
        <v>7000</v>
      </c>
      <c r="D270" s="10">
        <v>5000</v>
      </c>
      <c r="E270" s="2"/>
      <c r="F270" s="2"/>
      <c r="G270" s="41"/>
      <c r="H270" s="41"/>
      <c r="I270" s="41"/>
      <c r="J270" s="41"/>
    </row>
    <row r="271" spans="1:10" x14ac:dyDescent="0.2">
      <c r="A271" s="283" t="s">
        <v>1067</v>
      </c>
      <c r="B271" s="283"/>
      <c r="C271" s="311">
        <f>SUM(C253:C270)</f>
        <v>227000</v>
      </c>
      <c r="D271" s="2">
        <f>SUM(D254:D270)</f>
        <v>227420</v>
      </c>
      <c r="E271" s="2"/>
      <c r="F271" s="2"/>
      <c r="G271" s="41"/>
      <c r="H271" s="41"/>
      <c r="I271" s="41"/>
      <c r="J271" s="41"/>
    </row>
    <row r="272" spans="1:10" x14ac:dyDescent="0.2">
      <c r="A272" s="283"/>
      <c r="B272" s="283"/>
      <c r="C272" s="107"/>
      <c r="D272" s="2"/>
      <c r="E272" s="2"/>
      <c r="F272" s="2"/>
      <c r="G272" s="41"/>
      <c r="H272" s="41"/>
      <c r="I272" s="41"/>
      <c r="J272" s="41"/>
    </row>
    <row r="273" spans="1:10" ht="13.5" x14ac:dyDescent="0.25">
      <c r="A273" s="286" t="s">
        <v>829</v>
      </c>
      <c r="B273" s="283"/>
      <c r="C273" s="2"/>
      <c r="D273" s="2"/>
      <c r="E273" s="2">
        <v>29334</v>
      </c>
      <c r="F273" s="2">
        <v>30000</v>
      </c>
      <c r="G273" s="2">
        <v>30000</v>
      </c>
      <c r="H273" s="2">
        <v>30000</v>
      </c>
      <c r="I273" s="2">
        <v>30000</v>
      </c>
      <c r="J273" s="2">
        <v>30000</v>
      </c>
    </row>
    <row r="274" spans="1:10" x14ac:dyDescent="0.2">
      <c r="A274" s="283" t="s">
        <v>1642</v>
      </c>
      <c r="B274" s="283"/>
      <c r="C274" s="2"/>
      <c r="D274" s="2">
        <v>30000</v>
      </c>
      <c r="E274" s="2"/>
      <c r="F274" s="2"/>
      <c r="G274" s="283"/>
      <c r="H274" s="267"/>
      <c r="I274" s="316"/>
      <c r="J274" s="316"/>
    </row>
    <row r="275" spans="1:10" x14ac:dyDescent="0.2">
      <c r="A275" s="283"/>
      <c r="B275" s="283"/>
      <c r="C275" s="2"/>
      <c r="D275" s="2"/>
      <c r="E275" s="2"/>
      <c r="F275" s="2"/>
      <c r="G275" s="283"/>
      <c r="H275" s="267"/>
      <c r="I275" s="316"/>
      <c r="J275" s="316"/>
    </row>
    <row r="276" spans="1:10" ht="13.5" x14ac:dyDescent="0.25">
      <c r="A276" s="286" t="s">
        <v>830</v>
      </c>
      <c r="B276" s="283"/>
      <c r="C276" s="107"/>
      <c r="D276" s="7" t="s">
        <v>338</v>
      </c>
      <c r="E276" s="2">
        <v>76320</v>
      </c>
      <c r="F276" s="42">
        <v>30619</v>
      </c>
      <c r="G276" s="113">
        <v>31119</v>
      </c>
      <c r="H276" s="113">
        <v>31119</v>
      </c>
      <c r="I276" s="113">
        <v>31119</v>
      </c>
      <c r="J276" s="113">
        <v>31119</v>
      </c>
    </row>
    <row r="277" spans="1:10" x14ac:dyDescent="0.2">
      <c r="A277" s="283" t="s">
        <v>831</v>
      </c>
      <c r="B277" s="283"/>
      <c r="C277" s="107"/>
      <c r="D277" s="2">
        <v>650</v>
      </c>
      <c r="E277" s="2"/>
      <c r="F277" s="2"/>
      <c r="G277" s="41"/>
      <c r="H277" s="41"/>
      <c r="I277" s="41"/>
      <c r="J277" s="41"/>
    </row>
    <row r="278" spans="1:10" x14ac:dyDescent="0.2">
      <c r="A278" s="283" t="s">
        <v>1940</v>
      </c>
      <c r="B278" s="283"/>
      <c r="C278" s="180" t="s">
        <v>1701</v>
      </c>
      <c r="D278" s="2">
        <v>2500</v>
      </c>
      <c r="E278" s="2"/>
      <c r="F278" s="2"/>
      <c r="G278" s="41"/>
      <c r="H278" s="41"/>
      <c r="I278" s="41"/>
      <c r="J278" s="41"/>
    </row>
    <row r="279" spans="1:10" x14ac:dyDescent="0.2">
      <c r="A279" s="283" t="s">
        <v>141</v>
      </c>
      <c r="B279" s="283"/>
      <c r="C279" s="107"/>
      <c r="D279" s="2">
        <v>500</v>
      </c>
      <c r="E279" s="121" t="s">
        <v>1701</v>
      </c>
      <c r="F279" s="2"/>
      <c r="G279" s="41"/>
      <c r="H279" s="41"/>
      <c r="I279" s="41"/>
      <c r="J279" s="41"/>
    </row>
    <row r="280" spans="1:10" x14ac:dyDescent="0.2">
      <c r="A280" s="283" t="s">
        <v>1427</v>
      </c>
      <c r="B280" s="283"/>
      <c r="C280" s="107"/>
      <c r="D280" s="2">
        <v>20000</v>
      </c>
      <c r="E280" s="121" t="s">
        <v>1701</v>
      </c>
      <c r="F280" s="2"/>
      <c r="G280" s="41"/>
      <c r="H280" s="41"/>
      <c r="I280" s="41"/>
      <c r="J280" s="41"/>
    </row>
    <row r="281" spans="1:10" x14ac:dyDescent="0.2">
      <c r="A281" s="283" t="s">
        <v>1428</v>
      </c>
      <c r="B281" s="283"/>
      <c r="C281" s="107"/>
      <c r="D281" s="2">
        <v>2584</v>
      </c>
      <c r="E281" s="2"/>
      <c r="F281" s="2"/>
      <c r="G281" s="41"/>
      <c r="H281" s="41"/>
      <c r="I281" s="41"/>
      <c r="J281" s="41"/>
    </row>
    <row r="282" spans="1:10" x14ac:dyDescent="0.2">
      <c r="A282" s="283" t="s">
        <v>725</v>
      </c>
      <c r="B282" s="283"/>
      <c r="C282" s="107"/>
      <c r="D282" s="2">
        <v>885</v>
      </c>
      <c r="E282" s="2"/>
      <c r="F282" s="2"/>
      <c r="G282" s="41"/>
      <c r="H282" s="41"/>
      <c r="I282" s="41"/>
      <c r="J282" s="41"/>
    </row>
    <row r="283" spans="1:10" x14ac:dyDescent="0.2">
      <c r="A283" s="283" t="s">
        <v>94</v>
      </c>
      <c r="B283" s="283"/>
      <c r="C283" s="107"/>
      <c r="D283" s="3">
        <v>500</v>
      </c>
      <c r="E283" s="2"/>
      <c r="F283" s="2"/>
      <c r="G283" s="41"/>
      <c r="H283" s="41"/>
      <c r="I283" s="41"/>
      <c r="J283" s="41"/>
    </row>
    <row r="284" spans="1:10" ht="15" x14ac:dyDescent="0.35">
      <c r="A284" s="283" t="s">
        <v>1045</v>
      </c>
      <c r="B284" s="283"/>
      <c r="C284" s="107"/>
      <c r="D284" s="10">
        <v>3500</v>
      </c>
      <c r="E284" s="2"/>
      <c r="F284" s="2"/>
      <c r="G284" s="41"/>
      <c r="H284" s="41"/>
      <c r="I284" s="41"/>
      <c r="J284" s="41"/>
    </row>
    <row r="285" spans="1:10" x14ac:dyDescent="0.2">
      <c r="A285" s="283" t="s">
        <v>1067</v>
      </c>
      <c r="B285" s="283"/>
      <c r="C285" s="107"/>
      <c r="D285" s="2">
        <f>SUM(D277:D284)</f>
        <v>31119</v>
      </c>
      <c r="E285" s="2"/>
      <c r="F285" s="2"/>
      <c r="G285" s="41"/>
      <c r="H285" s="41"/>
      <c r="I285" s="41"/>
      <c r="J285" s="41"/>
    </row>
    <row r="286" spans="1:10" x14ac:dyDescent="0.2">
      <c r="A286" s="283"/>
      <c r="B286" s="283"/>
      <c r="C286" s="2"/>
      <c r="D286" s="2"/>
      <c r="E286" s="2"/>
      <c r="F286" s="2"/>
      <c r="G286" s="41"/>
      <c r="H286" s="41"/>
      <c r="I286" s="41"/>
      <c r="J286" s="41"/>
    </row>
    <row r="287" spans="1:10" ht="13.5" x14ac:dyDescent="0.25">
      <c r="A287" s="286" t="s">
        <v>398</v>
      </c>
      <c r="B287" s="283"/>
      <c r="C287" s="2"/>
      <c r="D287" s="2"/>
      <c r="E287" s="2">
        <v>38588</v>
      </c>
      <c r="F287" s="2">
        <v>42500</v>
      </c>
      <c r="G287" s="41">
        <v>42500</v>
      </c>
      <c r="H287" s="41">
        <v>42500</v>
      </c>
      <c r="I287" s="41">
        <v>42500</v>
      </c>
      <c r="J287" s="41">
        <v>42500</v>
      </c>
    </row>
    <row r="288" spans="1:10" x14ac:dyDescent="0.2">
      <c r="A288" s="283" t="s">
        <v>1703</v>
      </c>
      <c r="B288" s="283"/>
      <c r="C288" s="42" t="s">
        <v>1701</v>
      </c>
      <c r="D288" s="2">
        <v>30000</v>
      </c>
      <c r="E288" s="1"/>
      <c r="F288" s="2"/>
      <c r="G288" s="41"/>
      <c r="H288" s="41"/>
      <c r="I288" s="41"/>
      <c r="J288" s="41"/>
    </row>
    <row r="289" spans="1:10" ht="15" x14ac:dyDescent="0.35">
      <c r="A289" s="36" t="s">
        <v>1990</v>
      </c>
      <c r="B289" s="283"/>
      <c r="C289" s="12" t="s">
        <v>1701</v>
      </c>
      <c r="D289" s="28">
        <v>12500</v>
      </c>
      <c r="E289" s="1"/>
      <c r="F289" s="2"/>
      <c r="G289" s="41"/>
      <c r="H289" s="41"/>
      <c r="I289" s="41"/>
      <c r="J289" s="41"/>
    </row>
    <row r="290" spans="1:10" x14ac:dyDescent="0.2">
      <c r="A290" s="36"/>
      <c r="B290" s="283"/>
      <c r="C290" s="42" t="s">
        <v>1701</v>
      </c>
      <c r="D290" s="3">
        <f>SUM(D288:D289)</f>
        <v>42500</v>
      </c>
      <c r="E290" s="2"/>
      <c r="F290" s="2"/>
      <c r="G290" s="41"/>
      <c r="H290" s="41"/>
      <c r="I290" s="41"/>
      <c r="J290" s="41"/>
    </row>
    <row r="291" spans="1:10" x14ac:dyDescent="0.2">
      <c r="A291" s="36"/>
      <c r="B291" s="283"/>
      <c r="C291" s="42"/>
      <c r="D291" s="3"/>
      <c r="E291" s="2"/>
      <c r="F291" s="2"/>
      <c r="G291" s="41"/>
      <c r="H291" s="41"/>
      <c r="I291" s="41"/>
      <c r="J291" s="41"/>
    </row>
    <row r="292" spans="1:10" ht="13.5" x14ac:dyDescent="0.25">
      <c r="A292" s="286" t="s">
        <v>755</v>
      </c>
      <c r="B292" s="283"/>
      <c r="C292" s="7" t="s">
        <v>338</v>
      </c>
      <c r="D292" s="7" t="s">
        <v>338</v>
      </c>
      <c r="E292" s="2">
        <v>5300</v>
      </c>
      <c r="F292" s="2">
        <v>5000</v>
      </c>
      <c r="G292" s="41">
        <v>5000</v>
      </c>
      <c r="H292" s="41">
        <v>5000</v>
      </c>
      <c r="I292" s="41">
        <v>5000</v>
      </c>
      <c r="J292" s="41">
        <v>5000</v>
      </c>
    </row>
    <row r="293" spans="1:10" x14ac:dyDescent="0.2">
      <c r="A293" s="283" t="s">
        <v>1429</v>
      </c>
      <c r="B293" s="283"/>
      <c r="C293" s="2"/>
      <c r="D293" s="2">
        <v>4000</v>
      </c>
      <c r="E293" s="2"/>
      <c r="F293" s="2"/>
      <c r="G293" s="41"/>
      <c r="H293" s="41"/>
      <c r="I293" s="41"/>
      <c r="J293" s="41"/>
    </row>
    <row r="294" spans="1:10" ht="15" x14ac:dyDescent="0.35">
      <c r="A294" s="283" t="s">
        <v>1096</v>
      </c>
      <c r="B294" s="283"/>
      <c r="C294" s="10"/>
      <c r="D294" s="10">
        <v>1000</v>
      </c>
      <c r="E294" s="2"/>
      <c r="F294" s="2"/>
      <c r="G294" s="41"/>
      <c r="H294" s="41"/>
      <c r="I294" s="41"/>
      <c r="J294" s="41"/>
    </row>
    <row r="295" spans="1:10" x14ac:dyDescent="0.2">
      <c r="A295" s="283" t="s">
        <v>1067</v>
      </c>
      <c r="B295" s="283"/>
      <c r="C295" s="2"/>
      <c r="D295" s="2">
        <v>5000</v>
      </c>
      <c r="E295" s="2"/>
      <c r="F295" s="2"/>
      <c r="G295" s="41"/>
      <c r="H295" s="41"/>
      <c r="I295" s="41"/>
      <c r="J295" s="41"/>
    </row>
    <row r="296" spans="1:10" x14ac:dyDescent="0.2">
      <c r="A296" s="283"/>
      <c r="B296" s="283"/>
      <c r="C296" s="2"/>
      <c r="D296" s="2"/>
      <c r="E296" s="2"/>
      <c r="F296" s="2"/>
      <c r="G296" s="41"/>
      <c r="H296" s="41"/>
      <c r="I296" s="41"/>
      <c r="J296" s="41"/>
    </row>
    <row r="297" spans="1:10" ht="13.5" x14ac:dyDescent="0.25">
      <c r="A297" s="286" t="s">
        <v>373</v>
      </c>
      <c r="B297" s="283" t="s">
        <v>2084</v>
      </c>
      <c r="C297" s="18"/>
      <c r="D297" s="18"/>
      <c r="E297" s="2">
        <v>382668</v>
      </c>
      <c r="F297" s="2">
        <v>373241</v>
      </c>
      <c r="G297" s="2">
        <f>+C306</f>
        <v>388998</v>
      </c>
      <c r="H297" s="2">
        <v>388998</v>
      </c>
      <c r="I297" s="2">
        <v>388998</v>
      </c>
      <c r="J297" s="2">
        <v>388998</v>
      </c>
    </row>
    <row r="298" spans="1:10" x14ac:dyDescent="0.2">
      <c r="A298" s="283" t="s">
        <v>1430</v>
      </c>
      <c r="B298" s="283"/>
      <c r="C298" s="2">
        <v>341673</v>
      </c>
      <c r="D298" s="2"/>
      <c r="E298" s="2"/>
      <c r="F298" s="2"/>
      <c r="G298" s="41"/>
      <c r="H298" s="41"/>
      <c r="I298" s="41"/>
      <c r="J298" s="41"/>
    </row>
    <row r="299" spans="1:10" x14ac:dyDescent="0.2">
      <c r="A299" s="283" t="s">
        <v>1739</v>
      </c>
      <c r="B299" s="111">
        <v>20000</v>
      </c>
      <c r="C299" s="2">
        <v>20000</v>
      </c>
      <c r="D299" s="2"/>
      <c r="E299" s="2"/>
      <c r="F299" s="2"/>
      <c r="G299" s="41"/>
      <c r="H299" s="41"/>
      <c r="I299" s="41"/>
      <c r="J299" s="41"/>
    </row>
    <row r="300" spans="1:10" x14ac:dyDescent="0.2">
      <c r="A300" s="283" t="s">
        <v>374</v>
      </c>
      <c r="B300" s="111">
        <v>20000</v>
      </c>
      <c r="C300" s="2">
        <v>20000</v>
      </c>
      <c r="D300" s="2"/>
      <c r="E300" s="2"/>
      <c r="F300" s="2"/>
      <c r="G300" s="41"/>
      <c r="H300" s="41"/>
      <c r="I300" s="41"/>
      <c r="J300" s="41"/>
    </row>
    <row r="301" spans="1:10" x14ac:dyDescent="0.2">
      <c r="A301" s="283" t="s">
        <v>1431</v>
      </c>
      <c r="B301" s="283"/>
      <c r="C301" s="2">
        <v>2500</v>
      </c>
      <c r="D301" s="2"/>
      <c r="E301" s="2"/>
      <c r="F301" s="2"/>
      <c r="G301" s="41"/>
      <c r="H301" s="41"/>
      <c r="I301" s="41"/>
      <c r="J301" s="41"/>
    </row>
    <row r="302" spans="1:10" x14ac:dyDescent="0.2">
      <c r="A302" s="283" t="s">
        <v>1432</v>
      </c>
      <c r="B302" s="283"/>
      <c r="C302" s="2">
        <v>175</v>
      </c>
      <c r="D302" s="2"/>
      <c r="E302" s="2"/>
      <c r="F302" s="2"/>
      <c r="G302" s="41"/>
      <c r="H302" s="41"/>
      <c r="I302" s="41"/>
      <c r="J302" s="41"/>
    </row>
    <row r="303" spans="1:10" x14ac:dyDescent="0.2">
      <c r="A303" s="283" t="s">
        <v>142</v>
      </c>
      <c r="B303" s="283"/>
      <c r="C303" s="2">
        <v>0</v>
      </c>
      <c r="D303" s="2"/>
      <c r="E303" s="2"/>
      <c r="F303" s="2"/>
      <c r="G303" s="41"/>
      <c r="H303" s="41"/>
      <c r="I303" s="41"/>
      <c r="J303" s="41"/>
    </row>
    <row r="304" spans="1:10" x14ac:dyDescent="0.2">
      <c r="A304" s="283" t="s">
        <v>1478</v>
      </c>
      <c r="B304" s="283"/>
      <c r="C304" s="2">
        <v>3000</v>
      </c>
      <c r="D304" s="2"/>
      <c r="E304" s="2"/>
      <c r="F304" s="2"/>
      <c r="G304" s="41"/>
      <c r="H304" s="41"/>
      <c r="I304" s="41"/>
      <c r="J304" s="41"/>
    </row>
    <row r="305" spans="1:10" ht="15" x14ac:dyDescent="0.35">
      <c r="A305" s="283" t="s">
        <v>509</v>
      </c>
      <c r="B305" s="283"/>
      <c r="C305" s="10">
        <v>1650</v>
      </c>
      <c r="D305" s="10"/>
      <c r="E305" s="2"/>
      <c r="F305" s="2"/>
      <c r="G305" s="41"/>
      <c r="H305" s="41"/>
      <c r="I305" s="41"/>
      <c r="J305" s="41"/>
    </row>
    <row r="306" spans="1:10" x14ac:dyDescent="0.2">
      <c r="A306" s="283" t="s">
        <v>1067</v>
      </c>
      <c r="B306" s="283"/>
      <c r="C306" s="2">
        <f>SUM(C298:C305)</f>
        <v>388998</v>
      </c>
      <c r="D306" s="2">
        <f>SUM(D298:D305)</f>
        <v>0</v>
      </c>
      <c r="E306" s="2"/>
      <c r="F306" s="2"/>
      <c r="G306" s="41"/>
      <c r="H306" s="41"/>
      <c r="I306" s="41"/>
      <c r="J306" s="41"/>
    </row>
    <row r="307" spans="1:10" x14ac:dyDescent="0.2">
      <c r="A307" s="283"/>
      <c r="B307" s="283"/>
      <c r="C307" s="2"/>
      <c r="D307" s="2"/>
      <c r="E307" s="2"/>
      <c r="F307" s="2"/>
      <c r="G307" s="41"/>
      <c r="H307" s="41"/>
      <c r="I307" s="41"/>
      <c r="J307" s="41"/>
    </row>
    <row r="308" spans="1:10" ht="13.5" x14ac:dyDescent="0.25">
      <c r="A308" s="286" t="s">
        <v>375</v>
      </c>
      <c r="B308" s="283"/>
      <c r="C308" s="2"/>
      <c r="D308" s="2"/>
      <c r="E308" s="2">
        <v>1556</v>
      </c>
      <c r="F308" s="2">
        <v>8000</v>
      </c>
      <c r="G308" s="2">
        <v>8000</v>
      </c>
      <c r="H308" s="2">
        <v>8000</v>
      </c>
      <c r="I308" s="2">
        <v>8000</v>
      </c>
      <c r="J308" s="2">
        <v>8000</v>
      </c>
    </row>
    <row r="309" spans="1:10" x14ac:dyDescent="0.2">
      <c r="A309" s="22" t="s">
        <v>143</v>
      </c>
      <c r="B309" s="283"/>
      <c r="C309" s="2">
        <v>1000</v>
      </c>
      <c r="D309" s="2"/>
      <c r="E309" s="2"/>
      <c r="F309" s="2"/>
      <c r="G309" s="283"/>
      <c r="H309" s="267"/>
      <c r="I309" s="316"/>
      <c r="J309" s="316"/>
    </row>
    <row r="310" spans="1:10" x14ac:dyDescent="0.2">
      <c r="A310" s="283" t="s">
        <v>376</v>
      </c>
      <c r="B310" s="283"/>
      <c r="C310" s="2">
        <v>2000</v>
      </c>
      <c r="D310" s="2"/>
      <c r="E310" s="2"/>
      <c r="F310" s="2"/>
      <c r="G310" s="283"/>
      <c r="H310" s="267"/>
      <c r="I310" s="316"/>
      <c r="J310" s="316"/>
    </row>
    <row r="311" spans="1:10" ht="15" x14ac:dyDescent="0.35">
      <c r="A311" s="283" t="s">
        <v>1479</v>
      </c>
      <c r="B311" s="283"/>
      <c r="C311" s="10">
        <v>5000</v>
      </c>
      <c r="D311" s="10"/>
      <c r="E311" s="2"/>
      <c r="F311" s="2"/>
      <c r="G311" s="41"/>
      <c r="H311" s="41"/>
      <c r="I311" s="41"/>
      <c r="J311" s="41"/>
    </row>
    <row r="312" spans="1:10" x14ac:dyDescent="0.2">
      <c r="A312" s="283" t="s">
        <v>1067</v>
      </c>
      <c r="B312" s="283"/>
      <c r="C312" s="2">
        <f>SUM(C309:C311)</f>
        <v>8000</v>
      </c>
      <c r="D312" s="2">
        <f>SUM(D309:D311)</f>
        <v>0</v>
      </c>
      <c r="E312" s="2"/>
      <c r="F312" s="2"/>
      <c r="G312" s="41"/>
      <c r="H312" s="41"/>
      <c r="I312" s="41"/>
      <c r="J312" s="41"/>
    </row>
    <row r="313" spans="1:10" x14ac:dyDescent="0.2">
      <c r="A313" s="283"/>
      <c r="B313" s="283"/>
      <c r="C313" s="2"/>
      <c r="D313" s="2"/>
      <c r="E313" s="2"/>
      <c r="F313" s="2"/>
      <c r="G313" s="41"/>
      <c r="H313" s="41"/>
      <c r="I313" s="41"/>
      <c r="J313" s="41"/>
    </row>
    <row r="314" spans="1:10" ht="13.5" x14ac:dyDescent="0.25">
      <c r="A314" s="286" t="s">
        <v>337</v>
      </c>
      <c r="B314" s="283"/>
      <c r="C314" s="2"/>
      <c r="D314" s="2"/>
      <c r="E314" s="2">
        <v>497</v>
      </c>
      <c r="F314" s="2">
        <v>500</v>
      </c>
      <c r="G314" s="41">
        <v>500</v>
      </c>
      <c r="H314" s="41">
        <v>500</v>
      </c>
      <c r="I314" s="41">
        <v>500</v>
      </c>
      <c r="J314" s="41">
        <v>500</v>
      </c>
    </row>
    <row r="315" spans="1:10" x14ac:dyDescent="0.2">
      <c r="A315" s="283" t="s">
        <v>666</v>
      </c>
      <c r="B315" s="283"/>
      <c r="C315" s="2">
        <v>500</v>
      </c>
      <c r="D315" s="2">
        <v>0</v>
      </c>
      <c r="E315" s="2"/>
      <c r="F315" s="2"/>
      <c r="G315" s="41"/>
      <c r="H315" s="41"/>
      <c r="I315" s="41"/>
      <c r="J315" s="41"/>
    </row>
    <row r="316" spans="1:10" x14ac:dyDescent="0.2">
      <c r="A316" s="283"/>
      <c r="B316" s="283"/>
      <c r="C316" s="2"/>
      <c r="D316" s="2"/>
      <c r="E316" s="2"/>
      <c r="F316" s="2"/>
      <c r="G316" s="41"/>
      <c r="H316" s="41"/>
      <c r="I316" s="41"/>
      <c r="J316" s="41"/>
    </row>
    <row r="317" spans="1:10" ht="13.5" x14ac:dyDescent="0.25">
      <c r="A317" s="286" t="s">
        <v>667</v>
      </c>
      <c r="B317" s="283"/>
      <c r="C317" s="2"/>
      <c r="D317" s="2"/>
      <c r="E317" s="2">
        <v>522</v>
      </c>
      <c r="F317" s="2">
        <v>500</v>
      </c>
      <c r="G317" s="41">
        <v>500</v>
      </c>
      <c r="H317" s="41">
        <v>500</v>
      </c>
      <c r="I317" s="41">
        <v>500</v>
      </c>
      <c r="J317" s="41">
        <v>500</v>
      </c>
    </row>
    <row r="318" spans="1:10" ht="25.5" x14ac:dyDescent="0.2">
      <c r="A318" s="29" t="s">
        <v>2086</v>
      </c>
      <c r="B318" s="283"/>
      <c r="C318" s="2">
        <v>500</v>
      </c>
      <c r="D318" s="2">
        <v>0</v>
      </c>
      <c r="E318" s="2"/>
      <c r="F318" s="2"/>
      <c r="G318" s="41"/>
      <c r="H318" s="41"/>
      <c r="I318" s="41"/>
      <c r="J318" s="41"/>
    </row>
    <row r="319" spans="1:10" x14ac:dyDescent="0.2">
      <c r="A319" s="283"/>
      <c r="B319" s="283"/>
      <c r="C319" s="2"/>
      <c r="D319" s="2"/>
      <c r="E319" s="2"/>
      <c r="F319" s="133"/>
      <c r="G319" s="107"/>
      <c r="H319" s="107"/>
      <c r="I319" s="107"/>
      <c r="J319" s="107"/>
    </row>
    <row r="320" spans="1:10" s="192" customFormat="1" ht="13.5" x14ac:dyDescent="0.25">
      <c r="A320" s="286" t="s">
        <v>1593</v>
      </c>
      <c r="B320" s="283"/>
      <c r="C320" s="18"/>
      <c r="D320" s="18"/>
      <c r="E320" s="2">
        <v>0</v>
      </c>
      <c r="F320" s="2">
        <v>0</v>
      </c>
      <c r="G320" s="2">
        <v>0</v>
      </c>
      <c r="H320" s="2">
        <v>0</v>
      </c>
      <c r="I320" s="2">
        <v>0</v>
      </c>
      <c r="J320" s="2">
        <v>0</v>
      </c>
    </row>
    <row r="321" spans="1:10" s="192" customFormat="1" x14ac:dyDescent="0.2">
      <c r="A321" s="22" t="s">
        <v>1816</v>
      </c>
      <c r="B321" s="132"/>
      <c r="C321" s="18">
        <v>0</v>
      </c>
      <c r="D321" s="18"/>
      <c r="E321" s="2"/>
      <c r="F321" s="133"/>
      <c r="G321" s="107"/>
      <c r="H321" s="107"/>
      <c r="I321" s="107"/>
      <c r="J321" s="107"/>
    </row>
    <row r="322" spans="1:10" s="192" customFormat="1" ht="13.5" x14ac:dyDescent="0.25">
      <c r="A322" s="286"/>
      <c r="B322" s="283"/>
      <c r="C322" s="18"/>
      <c r="D322" s="18"/>
      <c r="E322" s="2"/>
      <c r="F322" s="133"/>
      <c r="G322" s="107"/>
      <c r="H322" s="107"/>
      <c r="I322" s="107"/>
      <c r="J322" s="107"/>
    </row>
    <row r="323" spans="1:10" ht="13.5" x14ac:dyDescent="0.25">
      <c r="A323" s="286" t="s">
        <v>1956</v>
      </c>
      <c r="B323" s="283"/>
      <c r="C323" s="18"/>
      <c r="D323" s="18"/>
      <c r="E323" s="2">
        <v>64448</v>
      </c>
      <c r="F323" s="2">
        <v>0</v>
      </c>
      <c r="G323" s="41">
        <v>0</v>
      </c>
      <c r="H323" s="41">
        <v>0</v>
      </c>
      <c r="I323" s="41">
        <v>0</v>
      </c>
      <c r="J323" s="41">
        <v>0</v>
      </c>
    </row>
    <row r="324" spans="1:10" ht="15" x14ac:dyDescent="0.35">
      <c r="A324" s="22"/>
      <c r="B324" s="283"/>
      <c r="C324" s="2">
        <v>0</v>
      </c>
      <c r="D324" s="10">
        <v>0</v>
      </c>
      <c r="E324" s="2"/>
      <c r="F324" s="2"/>
      <c r="G324" s="41"/>
      <c r="H324" s="41"/>
      <c r="I324" s="41"/>
      <c r="J324" s="41"/>
    </row>
    <row r="325" spans="1:10" ht="15" x14ac:dyDescent="0.35">
      <c r="A325" s="22"/>
      <c r="B325" s="283"/>
      <c r="C325" s="28"/>
      <c r="D325" s="3">
        <f>SUM(D324:D324)</f>
        <v>0</v>
      </c>
      <c r="E325" s="2"/>
      <c r="F325" s="2"/>
      <c r="G325" s="41"/>
      <c r="H325" s="41"/>
      <c r="I325" s="41"/>
      <c r="J325" s="41"/>
    </row>
    <row r="326" spans="1:10" x14ac:dyDescent="0.2">
      <c r="A326" s="283"/>
      <c r="B326" s="283"/>
      <c r="C326" s="2"/>
      <c r="D326" s="2"/>
      <c r="E326" s="2"/>
      <c r="F326" s="2"/>
      <c r="G326" s="41"/>
      <c r="H326" s="41"/>
      <c r="I326" s="41"/>
      <c r="J326" s="41"/>
    </row>
    <row r="327" spans="1:10" ht="13.5" x14ac:dyDescent="0.25">
      <c r="A327" s="286" t="s">
        <v>208</v>
      </c>
      <c r="B327" s="283"/>
      <c r="C327" s="18"/>
      <c r="D327" s="18"/>
      <c r="E327" s="2">
        <v>1951</v>
      </c>
      <c r="F327" s="2">
        <v>5000</v>
      </c>
      <c r="G327" s="41">
        <v>5000</v>
      </c>
      <c r="H327" s="41">
        <v>5000</v>
      </c>
      <c r="I327" s="41">
        <v>5000</v>
      </c>
      <c r="J327" s="41">
        <v>5000</v>
      </c>
    </row>
    <row r="328" spans="1:10" ht="15" x14ac:dyDescent="0.35">
      <c r="A328" s="22" t="s">
        <v>1433</v>
      </c>
      <c r="B328" s="283"/>
      <c r="C328" s="2">
        <v>5000</v>
      </c>
      <c r="D328" s="10">
        <v>5000</v>
      </c>
      <c r="E328" s="2"/>
      <c r="F328" s="2"/>
      <c r="G328" s="41"/>
      <c r="H328" s="41"/>
      <c r="I328" s="41"/>
      <c r="J328" s="41"/>
    </row>
    <row r="329" spans="1:10" ht="15" x14ac:dyDescent="0.35">
      <c r="A329" s="22"/>
      <c r="B329" s="283"/>
      <c r="C329" s="28"/>
      <c r="D329" s="3">
        <f>SUM(D328:D328)</f>
        <v>5000</v>
      </c>
      <c r="E329" s="2"/>
      <c r="F329" s="2"/>
      <c r="G329" s="41"/>
      <c r="H329" s="41"/>
      <c r="I329" s="41"/>
      <c r="J329" s="41"/>
    </row>
    <row r="330" spans="1:10" ht="15" x14ac:dyDescent="0.35">
      <c r="A330" s="22"/>
      <c r="B330" s="283"/>
      <c r="C330" s="28"/>
      <c r="D330" s="28"/>
      <c r="E330" s="2"/>
      <c r="F330" s="2"/>
      <c r="G330" s="41"/>
      <c r="H330" s="41"/>
      <c r="I330" s="41"/>
      <c r="J330" s="41"/>
    </row>
    <row r="331" spans="1:10" ht="13.5" x14ac:dyDescent="0.25">
      <c r="A331" s="286" t="s">
        <v>1594</v>
      </c>
      <c r="B331" s="283"/>
      <c r="C331" s="2"/>
      <c r="D331" s="2"/>
      <c r="E331" s="3">
        <v>0</v>
      </c>
      <c r="F331" s="2">
        <v>25000</v>
      </c>
      <c r="G331" s="41">
        <v>35000</v>
      </c>
      <c r="H331" s="41">
        <v>35000</v>
      </c>
      <c r="I331" s="41">
        <v>35000</v>
      </c>
      <c r="J331" s="41">
        <v>35000</v>
      </c>
    </row>
    <row r="332" spans="1:10" x14ac:dyDescent="0.2">
      <c r="A332" s="22" t="s">
        <v>1789</v>
      </c>
      <c r="B332" s="129"/>
      <c r="C332" s="181"/>
      <c r="D332" s="2">
        <v>35000</v>
      </c>
      <c r="E332" s="3"/>
      <c r="F332" s="2"/>
      <c r="G332" s="41"/>
      <c r="H332" s="41"/>
      <c r="I332" s="41"/>
      <c r="J332" s="41"/>
    </row>
    <row r="333" spans="1:10" ht="15" x14ac:dyDescent="0.35">
      <c r="A333" s="22"/>
      <c r="B333" s="283"/>
      <c r="C333" s="28"/>
      <c r="D333" s="28"/>
      <c r="E333" s="2"/>
      <c r="F333" s="2"/>
      <c r="G333" s="41"/>
      <c r="H333" s="41"/>
      <c r="I333" s="41"/>
      <c r="J333" s="41"/>
    </row>
    <row r="334" spans="1:10" ht="13.5" x14ac:dyDescent="0.25">
      <c r="A334" s="286" t="s">
        <v>851</v>
      </c>
      <c r="B334" s="283"/>
      <c r="C334" s="2"/>
      <c r="D334" s="2"/>
      <c r="E334" s="3">
        <v>0</v>
      </c>
      <c r="F334" s="2">
        <v>27000</v>
      </c>
      <c r="G334" s="41">
        <v>27000</v>
      </c>
      <c r="H334" s="41">
        <v>27000</v>
      </c>
      <c r="I334" s="41">
        <v>27000</v>
      </c>
      <c r="J334" s="41">
        <v>27000</v>
      </c>
    </row>
    <row r="335" spans="1:10" x14ac:dyDescent="0.2">
      <c r="A335" s="22" t="s">
        <v>1991</v>
      </c>
      <c r="B335" s="283"/>
      <c r="C335" s="111"/>
      <c r="D335" s="53">
        <v>27000</v>
      </c>
      <c r="E335" s="3"/>
      <c r="F335" s="283"/>
      <c r="G335" s="41"/>
      <c r="H335" s="41"/>
      <c r="I335" s="41"/>
      <c r="J335" s="41"/>
    </row>
    <row r="336" spans="1:10" x14ac:dyDescent="0.2">
      <c r="A336" s="283"/>
      <c r="B336" s="283"/>
      <c r="C336" s="31">
        <v>0</v>
      </c>
      <c r="D336" s="31">
        <v>0</v>
      </c>
      <c r="E336" s="3"/>
      <c r="F336" s="64"/>
      <c r="G336" s="283"/>
      <c r="H336" s="267"/>
      <c r="I336" s="316"/>
      <c r="J336" s="316"/>
    </row>
    <row r="337" spans="1:10" x14ac:dyDescent="0.2">
      <c r="A337" s="283"/>
      <c r="B337" s="283"/>
      <c r="C337" s="2">
        <f>SUM(C335:C336)</f>
        <v>0</v>
      </c>
      <c r="D337" s="2">
        <f>SUM(D335:D336)</f>
        <v>27000</v>
      </c>
      <c r="E337" s="3"/>
      <c r="F337" s="41"/>
      <c r="G337" s="283"/>
      <c r="H337" s="267"/>
      <c r="I337" s="316"/>
      <c r="J337" s="316"/>
    </row>
    <row r="338" spans="1:10" x14ac:dyDescent="0.2">
      <c r="A338" s="283"/>
      <c r="B338" s="283"/>
      <c r="C338" s="2"/>
      <c r="D338" s="2"/>
      <c r="E338" s="3"/>
      <c r="F338" s="41"/>
      <c r="G338" s="283"/>
      <c r="H338" s="267"/>
      <c r="I338" s="316"/>
      <c r="J338" s="316"/>
    </row>
    <row r="339" spans="1:10" ht="13.5" x14ac:dyDescent="0.25">
      <c r="A339" s="286" t="s">
        <v>95</v>
      </c>
      <c r="B339" s="283"/>
      <c r="C339" s="283"/>
      <c r="D339" s="283"/>
      <c r="E339" s="2"/>
      <c r="F339" s="41"/>
      <c r="G339" s="41"/>
      <c r="H339" s="41"/>
      <c r="I339" s="41"/>
      <c r="J339" s="41"/>
    </row>
    <row r="340" spans="1:10" ht="15" x14ac:dyDescent="0.35">
      <c r="A340" s="229" t="s">
        <v>1434</v>
      </c>
      <c r="B340" s="2">
        <v>500000</v>
      </c>
      <c r="C340" s="2">
        <v>500000</v>
      </c>
      <c r="D340" s="111">
        <v>500000</v>
      </c>
      <c r="E340" s="10">
        <v>500000</v>
      </c>
      <c r="F340" s="10">
        <v>500000</v>
      </c>
      <c r="G340" s="10">
        <v>550000</v>
      </c>
      <c r="H340" s="10">
        <v>550000</v>
      </c>
      <c r="I340" s="10">
        <v>550000</v>
      </c>
      <c r="J340" s="10">
        <v>550000</v>
      </c>
    </row>
    <row r="341" spans="1:10" x14ac:dyDescent="0.2">
      <c r="A341" s="37"/>
      <c r="B341" s="229"/>
      <c r="C341" s="38"/>
      <c r="D341" s="2"/>
      <c r="E341" s="2"/>
      <c r="F341" s="2"/>
      <c r="G341" s="2"/>
      <c r="I341" s="2"/>
      <c r="J341" s="2"/>
    </row>
    <row r="342" spans="1:10" x14ac:dyDescent="0.2">
      <c r="A342" s="229" t="s">
        <v>1144</v>
      </c>
      <c r="B342" s="229"/>
      <c r="C342" s="229"/>
      <c r="D342" s="2"/>
      <c r="E342" s="2">
        <f>SUM(E6:E340)</f>
        <v>4433011</v>
      </c>
      <c r="F342" s="2">
        <f t="shared" ref="F342:J342" si="7">SUM(F6:F340)</f>
        <v>4698229</v>
      </c>
      <c r="G342" s="2">
        <f t="shared" si="7"/>
        <v>4928204.6500000004</v>
      </c>
      <c r="H342" s="2">
        <f t="shared" si="7"/>
        <v>4928204.6500000004</v>
      </c>
      <c r="I342" s="2">
        <f t="shared" si="7"/>
        <v>4935238.6500000004</v>
      </c>
      <c r="J342" s="2">
        <f t="shared" si="7"/>
        <v>4995218.6500000004</v>
      </c>
    </row>
    <row r="343" spans="1:10" x14ac:dyDescent="0.2">
      <c r="A343" s="229"/>
      <c r="B343" s="229"/>
      <c r="C343" s="229"/>
      <c r="D343" s="229"/>
      <c r="E343" s="2" t="s">
        <v>338</v>
      </c>
      <c r="F343" s="2" t="s">
        <v>338</v>
      </c>
      <c r="G343" s="2" t="s">
        <v>338</v>
      </c>
      <c r="H343" s="2" t="s">
        <v>338</v>
      </c>
      <c r="I343" s="2" t="s">
        <v>338</v>
      </c>
      <c r="J343" s="2" t="s">
        <v>338</v>
      </c>
    </row>
    <row r="344" spans="1:10" x14ac:dyDescent="0.2">
      <c r="A344" s="229" t="s">
        <v>511</v>
      </c>
      <c r="B344" s="229"/>
      <c r="C344" s="229"/>
      <c r="D344" s="229"/>
      <c r="E344" s="2">
        <f t="shared" ref="E344:J344" si="8">SUM(E5:E118)</f>
        <v>2063709</v>
      </c>
      <c r="F344" s="2">
        <f t="shared" si="8"/>
        <v>2272594</v>
      </c>
      <c r="G344" s="2">
        <f t="shared" ref="G344:H344" si="9">SUM(G5:G118)</f>
        <v>2320082</v>
      </c>
      <c r="H344" s="2">
        <f t="shared" si="9"/>
        <v>2320082</v>
      </c>
      <c r="I344" s="2">
        <f t="shared" si="8"/>
        <v>2327116</v>
      </c>
      <c r="J344" s="2">
        <f t="shared" si="8"/>
        <v>2387096</v>
      </c>
    </row>
    <row r="345" spans="1:10" x14ac:dyDescent="0.2">
      <c r="A345" s="229" t="s">
        <v>803</v>
      </c>
      <c r="B345" s="229"/>
      <c r="C345" s="229"/>
      <c r="D345" s="229"/>
      <c r="E345" s="2">
        <f>SUM(E119:E318)</f>
        <v>1802903</v>
      </c>
      <c r="F345" s="2">
        <f>SUM(F119:F314)</f>
        <v>1868135</v>
      </c>
      <c r="G345" s="2">
        <f t="shared" ref="G345:H345" si="10">SUM(G119:G314)</f>
        <v>1990622.65</v>
      </c>
      <c r="H345" s="2">
        <f t="shared" si="10"/>
        <v>1990622.65</v>
      </c>
      <c r="I345" s="2">
        <f>SUM(I119:I317)</f>
        <v>1991122.65</v>
      </c>
      <c r="J345" s="2">
        <f>SUM(J119:J317)</f>
        <v>1991122.65</v>
      </c>
    </row>
    <row r="346" spans="1:10" ht="15" x14ac:dyDescent="0.35">
      <c r="A346" s="229" t="s">
        <v>804</v>
      </c>
      <c r="B346" s="229"/>
      <c r="C346" s="229"/>
      <c r="D346" s="229"/>
      <c r="E346" s="10">
        <f>SUM(E320:E340)</f>
        <v>566399</v>
      </c>
      <c r="F346" s="10">
        <f>SUM(F316:F340)</f>
        <v>557500</v>
      </c>
      <c r="G346" s="10">
        <f t="shared" ref="G346:H346" si="11">SUM(G316:G340)</f>
        <v>617500</v>
      </c>
      <c r="H346" s="10">
        <f t="shared" si="11"/>
        <v>617500</v>
      </c>
      <c r="I346" s="10">
        <f>SUM(I320:I340)</f>
        <v>617000</v>
      </c>
      <c r="J346" s="10">
        <f>SUM(J320:J340)</f>
        <v>617000</v>
      </c>
    </row>
    <row r="347" spans="1:10" x14ac:dyDescent="0.2">
      <c r="A347" s="229" t="s">
        <v>1067</v>
      </c>
      <c r="B347" s="229"/>
      <c r="C347" s="229"/>
      <c r="D347" s="229"/>
      <c r="E347" s="2">
        <f t="shared" ref="E347:J347" si="12">SUM(E344:E346)</f>
        <v>4433011</v>
      </c>
      <c r="F347" s="2">
        <f t="shared" si="12"/>
        <v>4698229</v>
      </c>
      <c r="G347" s="2">
        <f t="shared" ref="G347:H347" si="13">SUM(G344:G346)</f>
        <v>4928204.6500000004</v>
      </c>
      <c r="H347" s="2">
        <f t="shared" si="13"/>
        <v>4928204.6500000004</v>
      </c>
      <c r="I347" s="2">
        <f t="shared" si="12"/>
        <v>4935238.6500000004</v>
      </c>
      <c r="J347" s="2">
        <f t="shared" si="12"/>
        <v>4995218.6500000004</v>
      </c>
    </row>
    <row r="348" spans="1:10" x14ac:dyDescent="0.2">
      <c r="A348" s="229"/>
      <c r="B348" s="229"/>
      <c r="C348" s="229"/>
      <c r="D348" s="229"/>
      <c r="E348" s="229"/>
      <c r="F348" s="229"/>
      <c r="G348" s="229"/>
      <c r="H348" s="267"/>
      <c r="I348" s="2"/>
      <c r="J348" s="2"/>
    </row>
    <row r="349" spans="1:10" x14ac:dyDescent="0.2">
      <c r="A349" s="229"/>
      <c r="B349" s="229"/>
      <c r="C349" s="229"/>
      <c r="D349" s="229"/>
      <c r="E349" s="229"/>
      <c r="F349" s="229"/>
      <c r="G349" s="229"/>
      <c r="H349" s="267"/>
      <c r="I349" s="2"/>
      <c r="J349" s="2">
        <f>+J347-I347</f>
        <v>59980</v>
      </c>
    </row>
    <row r="350" spans="1:10" x14ac:dyDescent="0.2">
      <c r="A350" s="229"/>
      <c r="B350" s="229"/>
      <c r="C350" s="229"/>
      <c r="D350" s="229"/>
      <c r="E350" s="229"/>
      <c r="F350" s="229"/>
      <c r="G350" s="229"/>
      <c r="H350" s="267"/>
      <c r="I350" s="2"/>
      <c r="J350" s="2">
        <v>59980</v>
      </c>
    </row>
    <row r="351" spans="1:10" x14ac:dyDescent="0.2">
      <c r="A351" s="229"/>
      <c r="B351" s="229"/>
      <c r="C351" s="229"/>
      <c r="D351" s="229"/>
      <c r="E351" s="229"/>
      <c r="F351" s="229"/>
      <c r="G351" s="229"/>
      <c r="H351" s="267"/>
      <c r="I351" s="2"/>
      <c r="J351" s="2">
        <f>+J350-J349</f>
        <v>0</v>
      </c>
    </row>
    <row r="352" spans="1:10" x14ac:dyDescent="0.2">
      <c r="A352" s="229"/>
      <c r="B352" s="229"/>
      <c r="C352" s="229"/>
      <c r="D352" s="229"/>
      <c r="E352" s="229"/>
      <c r="F352" s="229"/>
      <c r="G352" s="229"/>
      <c r="H352" s="267"/>
      <c r="I352" s="2"/>
      <c r="J352" s="2"/>
    </row>
    <row r="353" spans="1:10" x14ac:dyDescent="0.2">
      <c r="A353" s="229"/>
      <c r="B353" s="229"/>
      <c r="C353" s="229"/>
      <c r="D353" s="229"/>
      <c r="E353" s="229"/>
      <c r="F353" s="229"/>
      <c r="G353" s="229"/>
      <c r="H353" s="267"/>
      <c r="I353" s="2"/>
      <c r="J353" s="2"/>
    </row>
    <row r="354" spans="1:10" x14ac:dyDescent="0.2">
      <c r="A354" s="229"/>
      <c r="B354" s="229"/>
      <c r="C354" s="229"/>
      <c r="D354" s="229"/>
      <c r="E354" s="229"/>
      <c r="F354" s="229"/>
      <c r="G354" s="229"/>
      <c r="H354" s="267"/>
      <c r="I354" s="2"/>
      <c r="J354" s="2"/>
    </row>
    <row r="355" spans="1:10" x14ac:dyDescent="0.2">
      <c r="A355" s="229"/>
      <c r="B355" s="229"/>
      <c r="C355" s="229"/>
      <c r="D355" s="229"/>
      <c r="E355" s="229"/>
      <c r="F355" s="229"/>
      <c r="G355" s="229"/>
      <c r="H355" s="267"/>
      <c r="I355" s="2"/>
      <c r="J355" s="2"/>
    </row>
    <row r="356" spans="1:10" x14ac:dyDescent="0.2">
      <c r="A356" s="229"/>
      <c r="B356" s="229"/>
      <c r="C356" s="229"/>
      <c r="D356" s="229"/>
      <c r="E356" s="229"/>
      <c r="F356" s="229"/>
      <c r="G356" s="229"/>
      <c r="H356" s="267"/>
      <c r="I356" s="2"/>
      <c r="J356" s="2"/>
    </row>
    <row r="357" spans="1:10" x14ac:dyDescent="0.2">
      <c r="A357" s="229"/>
      <c r="B357" s="229"/>
      <c r="C357" s="229"/>
      <c r="D357" s="229"/>
      <c r="E357" s="229"/>
      <c r="F357" s="229"/>
      <c r="G357" s="229"/>
      <c r="H357" s="267"/>
      <c r="I357" s="2"/>
      <c r="J357" s="2"/>
    </row>
    <row r="358" spans="1:10" x14ac:dyDescent="0.2">
      <c r="A358" s="229"/>
      <c r="B358" s="229"/>
      <c r="C358" s="229"/>
      <c r="D358" s="229"/>
      <c r="E358" s="229"/>
      <c r="F358" s="229"/>
      <c r="G358" s="229"/>
      <c r="H358" s="267"/>
      <c r="I358" s="2"/>
      <c r="J358" s="2"/>
    </row>
    <row r="359" spans="1:10" x14ac:dyDescent="0.2">
      <c r="A359" s="229"/>
      <c r="B359" s="229"/>
      <c r="C359" s="229"/>
      <c r="D359" s="229"/>
      <c r="E359" s="229"/>
      <c r="F359" s="229"/>
      <c r="G359" s="229"/>
      <c r="H359" s="267"/>
      <c r="I359" s="2"/>
      <c r="J359" s="229"/>
    </row>
    <row r="360" spans="1:10" x14ac:dyDescent="0.2">
      <c r="A360" s="229"/>
      <c r="B360" s="229"/>
      <c r="C360" s="229"/>
      <c r="D360" s="229"/>
      <c r="E360" s="229"/>
      <c r="F360" s="229"/>
      <c r="G360" s="229"/>
      <c r="H360" s="267"/>
      <c r="I360" s="2"/>
      <c r="J360" s="229"/>
    </row>
    <row r="361" spans="1:10" x14ac:dyDescent="0.2">
      <c r="A361" s="229"/>
      <c r="B361" s="229"/>
      <c r="C361" s="229"/>
      <c r="D361" s="229"/>
      <c r="E361" s="229"/>
      <c r="F361" s="229"/>
      <c r="G361" s="229"/>
      <c r="H361" s="267"/>
      <c r="I361" s="2"/>
      <c r="J361" s="229"/>
    </row>
    <row r="362" spans="1:10" x14ac:dyDescent="0.2">
      <c r="A362" s="229"/>
      <c r="B362" s="229"/>
      <c r="C362" s="229"/>
      <c r="D362" s="229"/>
      <c r="E362" s="229"/>
      <c r="F362" s="229"/>
      <c r="G362" s="229"/>
      <c r="H362" s="267"/>
      <c r="I362" s="2"/>
      <c r="J362" s="229"/>
    </row>
    <row r="363" spans="1:10" x14ac:dyDescent="0.2">
      <c r="A363" s="229"/>
      <c r="B363" s="229"/>
      <c r="C363" s="229"/>
      <c r="D363" s="229"/>
      <c r="E363" s="229"/>
      <c r="F363" s="229"/>
      <c r="G363" s="229"/>
      <c r="H363" s="267"/>
      <c r="I363" s="2"/>
      <c r="J363" s="229"/>
    </row>
    <row r="364" spans="1:10" x14ac:dyDescent="0.2">
      <c r="A364" s="229"/>
      <c r="B364" s="229"/>
      <c r="C364" s="229"/>
      <c r="D364" s="229"/>
      <c r="E364" s="229"/>
      <c r="F364" s="229"/>
      <c r="G364" s="229"/>
      <c r="H364" s="267"/>
      <c r="I364" s="2"/>
      <c r="J364" s="229"/>
    </row>
    <row r="365" spans="1:10" x14ac:dyDescent="0.2">
      <c r="A365" s="229"/>
      <c r="B365" s="229"/>
      <c r="C365" s="229"/>
      <c r="D365" s="229"/>
      <c r="E365" s="229"/>
      <c r="F365" s="229"/>
      <c r="G365" s="229"/>
      <c r="H365" s="267"/>
      <c r="I365" s="2"/>
      <c r="J365" s="229"/>
    </row>
    <row r="366" spans="1:10" x14ac:dyDescent="0.2">
      <c r="A366" s="229"/>
      <c r="B366" s="229"/>
      <c r="C366" s="229"/>
      <c r="D366" s="229"/>
      <c r="E366" s="229"/>
      <c r="F366" s="229"/>
      <c r="G366" s="229"/>
      <c r="I366" s="2"/>
      <c r="J366" s="229"/>
    </row>
    <row r="367" spans="1:10" x14ac:dyDescent="0.2">
      <c r="A367" s="229"/>
      <c r="B367" s="229"/>
      <c r="C367" s="229"/>
      <c r="D367" s="229"/>
      <c r="E367" s="229"/>
      <c r="F367" s="229"/>
      <c r="G367" s="229"/>
      <c r="I367" s="2"/>
      <c r="J367" s="229"/>
    </row>
    <row r="368" spans="1:10" x14ac:dyDescent="0.2">
      <c r="A368" s="229"/>
      <c r="B368" s="229"/>
      <c r="C368" s="229"/>
      <c r="D368" s="229"/>
      <c r="E368" s="229"/>
      <c r="F368" s="229"/>
      <c r="G368" s="229"/>
      <c r="I368" s="2"/>
      <c r="J368" s="229"/>
    </row>
    <row r="369" spans="1:10" x14ac:dyDescent="0.2">
      <c r="A369" s="229"/>
      <c r="B369" s="229"/>
      <c r="C369" s="229"/>
      <c r="D369" s="229"/>
      <c r="E369" s="229"/>
      <c r="F369" s="229"/>
      <c r="G369" s="229"/>
      <c r="I369" s="2"/>
      <c r="J369" s="229"/>
    </row>
    <row r="370" spans="1:10" x14ac:dyDescent="0.2">
      <c r="A370" s="229"/>
      <c r="B370" s="229"/>
      <c r="C370" s="229"/>
      <c r="D370" s="229"/>
      <c r="E370" s="229"/>
      <c r="F370" s="229"/>
      <c r="G370" s="229"/>
      <c r="I370" s="2"/>
      <c r="J370" s="229"/>
    </row>
    <row r="371" spans="1:10" x14ac:dyDescent="0.2">
      <c r="A371" s="229"/>
      <c r="B371" s="229"/>
      <c r="C371" s="229"/>
      <c r="D371" s="229"/>
      <c r="E371" s="229"/>
      <c r="F371" s="229"/>
      <c r="G371" s="229"/>
      <c r="I371" s="2"/>
      <c r="J371" s="229"/>
    </row>
    <row r="372" spans="1:10" x14ac:dyDescent="0.2">
      <c r="A372" s="229"/>
      <c r="B372" s="229"/>
      <c r="C372" s="229"/>
      <c r="D372" s="229"/>
      <c r="E372" s="229"/>
      <c r="F372" s="229"/>
      <c r="G372" s="229"/>
      <c r="I372" s="2"/>
      <c r="J372" s="229"/>
    </row>
    <row r="373" spans="1:10" x14ac:dyDescent="0.2">
      <c r="A373" s="229"/>
      <c r="B373" s="229"/>
      <c r="C373" s="229"/>
      <c r="D373" s="229"/>
      <c r="E373" s="229"/>
      <c r="F373" s="229"/>
      <c r="G373" s="229"/>
      <c r="I373" s="2"/>
      <c r="J373" s="229"/>
    </row>
    <row r="374" spans="1:10" x14ac:dyDescent="0.2">
      <c r="A374" s="229"/>
      <c r="B374" s="229"/>
      <c r="C374" s="229"/>
      <c r="D374" s="229"/>
      <c r="E374" s="229"/>
      <c r="F374" s="229"/>
      <c r="G374" s="229"/>
      <c r="I374" s="2"/>
      <c r="J374" s="229"/>
    </row>
    <row r="375" spans="1:10" x14ac:dyDescent="0.2">
      <c r="A375" s="229"/>
      <c r="B375" s="229"/>
      <c r="C375" s="229"/>
      <c r="D375" s="229"/>
      <c r="E375" s="229"/>
      <c r="F375" s="229"/>
      <c r="G375" s="229"/>
      <c r="I375" s="2"/>
      <c r="J375" s="229"/>
    </row>
    <row r="376" spans="1:10" x14ac:dyDescent="0.2">
      <c r="A376" s="229"/>
      <c r="B376" s="229"/>
      <c r="C376" s="229"/>
      <c r="D376" s="229"/>
      <c r="E376" s="229"/>
      <c r="F376" s="229"/>
      <c r="G376" s="229"/>
      <c r="I376" s="2"/>
      <c r="J376" s="229"/>
    </row>
    <row r="377" spans="1:10" x14ac:dyDescent="0.2">
      <c r="A377" s="229"/>
      <c r="B377" s="229"/>
      <c r="C377" s="229"/>
      <c r="D377" s="229"/>
      <c r="E377" s="229"/>
      <c r="F377" s="229"/>
      <c r="G377" s="229"/>
      <c r="I377" s="2"/>
      <c r="J377" s="229"/>
    </row>
    <row r="378" spans="1:10" x14ac:dyDescent="0.2">
      <c r="A378" s="229"/>
      <c r="B378" s="229"/>
      <c r="C378" s="229"/>
      <c r="D378" s="229"/>
      <c r="E378" s="229"/>
      <c r="F378" s="229"/>
      <c r="G378" s="229"/>
      <c r="I378" s="2"/>
      <c r="J378" s="229"/>
    </row>
    <row r="379" spans="1:10" x14ac:dyDescent="0.2">
      <c r="A379" s="229"/>
      <c r="B379" s="229"/>
      <c r="C379" s="229"/>
      <c r="D379" s="229"/>
      <c r="E379" s="229"/>
      <c r="F379" s="229"/>
      <c r="G379" s="229"/>
      <c r="I379" s="2"/>
      <c r="J379" s="229"/>
    </row>
    <row r="380" spans="1:10" x14ac:dyDescent="0.2">
      <c r="A380" s="229"/>
      <c r="B380" s="229"/>
      <c r="C380" s="229"/>
      <c r="D380" s="229"/>
      <c r="E380" s="229"/>
      <c r="F380" s="229"/>
      <c r="G380" s="229"/>
      <c r="I380" s="2"/>
      <c r="J380" s="229"/>
    </row>
    <row r="381" spans="1:10" x14ac:dyDescent="0.2">
      <c r="A381" s="229"/>
      <c r="B381" s="229"/>
      <c r="C381" s="229"/>
      <c r="D381" s="229"/>
      <c r="E381" s="229"/>
      <c r="F381" s="229"/>
      <c r="G381" s="229"/>
      <c r="I381" s="2"/>
      <c r="J381" s="229"/>
    </row>
    <row r="382" spans="1:10" x14ac:dyDescent="0.2">
      <c r="A382" s="229"/>
      <c r="B382" s="229"/>
      <c r="C382" s="229"/>
      <c r="D382" s="229"/>
      <c r="E382" s="229"/>
      <c r="F382" s="229"/>
      <c r="G382" s="229"/>
      <c r="I382" s="2"/>
      <c r="J382" s="229"/>
    </row>
    <row r="383" spans="1:10" x14ac:dyDescent="0.2">
      <c r="A383" s="229"/>
      <c r="B383" s="229"/>
      <c r="C383" s="229"/>
      <c r="D383" s="229"/>
      <c r="E383" s="229"/>
      <c r="F383" s="229"/>
      <c r="G383" s="229"/>
      <c r="I383" s="2"/>
      <c r="J383" s="229"/>
    </row>
    <row r="384" spans="1:10" x14ac:dyDescent="0.2">
      <c r="A384" s="229"/>
      <c r="B384" s="229"/>
      <c r="C384" s="229"/>
      <c r="D384" s="229"/>
      <c r="E384" s="229"/>
      <c r="F384" s="229"/>
      <c r="G384" s="229"/>
      <c r="I384" s="2"/>
      <c r="J384" s="229"/>
    </row>
    <row r="385" spans="1:10" x14ac:dyDescent="0.2">
      <c r="A385" s="229"/>
      <c r="B385" s="229"/>
      <c r="C385" s="229"/>
      <c r="D385" s="229"/>
      <c r="E385" s="229"/>
      <c r="F385" s="229"/>
      <c r="G385" s="229"/>
      <c r="I385" s="2"/>
      <c r="J385" s="229"/>
    </row>
    <row r="386" spans="1:10" x14ac:dyDescent="0.2">
      <c r="A386" s="229"/>
      <c r="B386" s="229"/>
      <c r="C386" s="229"/>
      <c r="D386" s="229"/>
      <c r="E386" s="229"/>
      <c r="F386" s="229"/>
      <c r="G386" s="229"/>
      <c r="I386" s="2"/>
      <c r="J386" s="229"/>
    </row>
    <row r="387" spans="1:10" x14ac:dyDescent="0.2">
      <c r="A387" s="229"/>
      <c r="B387" s="229"/>
      <c r="C387" s="229"/>
      <c r="D387" s="229"/>
      <c r="E387" s="229"/>
      <c r="F387" s="229"/>
      <c r="G387" s="229"/>
      <c r="I387" s="2"/>
      <c r="J387" s="229"/>
    </row>
    <row r="388" spans="1:10" x14ac:dyDescent="0.2">
      <c r="A388" s="229"/>
      <c r="B388" s="229"/>
      <c r="C388" s="229"/>
      <c r="D388" s="229"/>
      <c r="E388" s="229"/>
      <c r="F388" s="229"/>
      <c r="G388" s="229"/>
      <c r="I388" s="2"/>
      <c r="J388" s="229"/>
    </row>
    <row r="389" spans="1:10" x14ac:dyDescent="0.2">
      <c r="A389" s="229"/>
      <c r="B389" s="229"/>
      <c r="C389" s="229"/>
      <c r="D389" s="229"/>
      <c r="E389" s="229"/>
      <c r="F389" s="229"/>
      <c r="G389" s="229"/>
      <c r="I389" s="2"/>
      <c r="J389" s="229"/>
    </row>
    <row r="390" spans="1:10" x14ac:dyDescent="0.2">
      <c r="A390" s="229"/>
      <c r="B390" s="229"/>
      <c r="C390" s="229"/>
      <c r="D390" s="229"/>
      <c r="E390" s="229"/>
      <c r="F390" s="229"/>
      <c r="G390" s="229"/>
      <c r="I390" s="2"/>
      <c r="J390" s="229"/>
    </row>
    <row r="391" spans="1:10" x14ac:dyDescent="0.2">
      <c r="A391" s="229"/>
      <c r="B391" s="229"/>
      <c r="C391" s="229"/>
      <c r="D391" s="229"/>
      <c r="E391" s="229"/>
      <c r="F391" s="229"/>
      <c r="G391" s="229"/>
      <c r="I391" s="2"/>
      <c r="J391" s="229"/>
    </row>
    <row r="392" spans="1:10" x14ac:dyDescent="0.2">
      <c r="A392" s="229"/>
      <c r="B392" s="229"/>
      <c r="C392" s="229"/>
      <c r="D392" s="229"/>
      <c r="E392" s="229"/>
      <c r="F392" s="229"/>
      <c r="G392" s="229"/>
      <c r="I392" s="2"/>
      <c r="J392" s="229"/>
    </row>
    <row r="393" spans="1:10" x14ac:dyDescent="0.2">
      <c r="A393" s="229"/>
      <c r="B393" s="229"/>
      <c r="C393" s="229"/>
      <c r="D393" s="229"/>
      <c r="E393" s="229"/>
      <c r="F393" s="229"/>
      <c r="G393" s="229"/>
      <c r="I393" s="2"/>
      <c r="J393" s="229"/>
    </row>
    <row r="394" spans="1:10" x14ac:dyDescent="0.2">
      <c r="A394" s="229"/>
      <c r="B394" s="229"/>
      <c r="C394" s="229"/>
      <c r="D394" s="229"/>
      <c r="E394" s="229"/>
      <c r="F394" s="229"/>
      <c r="G394" s="229"/>
      <c r="I394" s="2"/>
      <c r="J394" s="229"/>
    </row>
    <row r="395" spans="1:10" x14ac:dyDescent="0.2">
      <c r="A395" s="229"/>
      <c r="B395" s="229"/>
      <c r="C395" s="229"/>
      <c r="D395" s="229"/>
      <c r="E395" s="229"/>
      <c r="F395" s="229"/>
      <c r="G395" s="229"/>
      <c r="I395" s="2"/>
      <c r="J395" s="229"/>
    </row>
    <row r="396" spans="1:10" x14ac:dyDescent="0.2">
      <c r="A396" s="229"/>
      <c r="B396" s="229"/>
      <c r="C396" s="229"/>
      <c r="D396" s="229"/>
      <c r="E396" s="229"/>
      <c r="F396" s="229"/>
      <c r="G396" s="229"/>
      <c r="I396" s="2"/>
      <c r="J396" s="229"/>
    </row>
    <row r="397" spans="1:10" x14ac:dyDescent="0.2">
      <c r="A397" s="229"/>
      <c r="B397" s="229"/>
      <c r="C397" s="229"/>
      <c r="D397" s="229"/>
      <c r="E397" s="229"/>
      <c r="F397" s="229"/>
      <c r="G397" s="229"/>
      <c r="I397" s="2"/>
      <c r="J397" s="229"/>
    </row>
    <row r="398" spans="1:10" x14ac:dyDescent="0.2">
      <c r="A398" s="229"/>
      <c r="B398" s="229"/>
      <c r="C398" s="229"/>
      <c r="D398" s="229"/>
      <c r="E398" s="229"/>
      <c r="F398" s="229"/>
      <c r="G398" s="229"/>
      <c r="I398" s="2"/>
      <c r="J398" s="229"/>
    </row>
    <row r="399" spans="1:10" x14ac:dyDescent="0.2">
      <c r="A399" s="229"/>
      <c r="B399" s="229"/>
      <c r="C399" s="229"/>
      <c r="D399" s="229"/>
      <c r="E399" s="229"/>
      <c r="F399" s="229"/>
      <c r="G399" s="229"/>
      <c r="I399" s="2"/>
      <c r="J399" s="229"/>
    </row>
    <row r="400" spans="1:10" x14ac:dyDescent="0.2">
      <c r="A400" s="229"/>
      <c r="B400" s="229"/>
      <c r="C400" s="229"/>
      <c r="D400" s="229"/>
      <c r="E400" s="229"/>
      <c r="F400" s="229"/>
      <c r="G400" s="229"/>
      <c r="I400" s="2"/>
      <c r="J400" s="229"/>
    </row>
    <row r="401" spans="1:10" x14ac:dyDescent="0.2">
      <c r="A401" s="229"/>
      <c r="B401" s="229"/>
      <c r="C401" s="229"/>
      <c r="D401" s="229"/>
      <c r="E401" s="229"/>
      <c r="F401" s="229"/>
      <c r="G401" s="229"/>
      <c r="I401" s="2"/>
      <c r="J401" s="229"/>
    </row>
    <row r="402" spans="1:10" x14ac:dyDescent="0.2">
      <c r="A402" s="229"/>
      <c r="B402" s="229"/>
      <c r="C402" s="229"/>
      <c r="D402" s="229"/>
      <c r="E402" s="229"/>
      <c r="F402" s="229"/>
      <c r="G402" s="229"/>
      <c r="I402" s="2"/>
      <c r="J402" s="229"/>
    </row>
    <row r="403" spans="1:10" x14ac:dyDescent="0.2">
      <c r="I403" s="2"/>
    </row>
    <row r="404" spans="1:10" x14ac:dyDescent="0.2">
      <c r="I404" s="2"/>
    </row>
    <row r="405" spans="1:10" x14ac:dyDescent="0.2">
      <c r="I405" s="2"/>
    </row>
    <row r="406" spans="1:10" x14ac:dyDescent="0.2">
      <c r="I406" s="2"/>
    </row>
    <row r="407" spans="1:10" x14ac:dyDescent="0.2">
      <c r="I407" s="2"/>
    </row>
    <row r="408" spans="1:10" x14ac:dyDescent="0.2">
      <c r="I408" s="2"/>
    </row>
    <row r="409" spans="1:10" x14ac:dyDescent="0.2">
      <c r="I409" s="2"/>
    </row>
    <row r="410" spans="1:10" x14ac:dyDescent="0.2">
      <c r="I410" s="2"/>
    </row>
    <row r="411" spans="1:10" x14ac:dyDescent="0.2">
      <c r="I411" s="2"/>
    </row>
    <row r="412" spans="1:10" x14ac:dyDescent="0.2">
      <c r="I412" s="2"/>
    </row>
    <row r="413" spans="1:10" x14ac:dyDescent="0.2">
      <c r="I413" s="2"/>
    </row>
    <row r="414" spans="1:10" x14ac:dyDescent="0.2">
      <c r="I414" s="2"/>
    </row>
    <row r="415" spans="1:10" x14ac:dyDescent="0.2">
      <c r="I415" s="2"/>
    </row>
    <row r="416" spans="1:10" x14ac:dyDescent="0.2">
      <c r="I416" s="2"/>
    </row>
    <row r="417" spans="9:9" x14ac:dyDescent="0.2">
      <c r="I417" s="2"/>
    </row>
    <row r="418" spans="9:9" x14ac:dyDescent="0.2">
      <c r="I418" s="2"/>
    </row>
    <row r="419" spans="9:9" x14ac:dyDescent="0.2">
      <c r="I419" s="2"/>
    </row>
    <row r="420" spans="9:9" x14ac:dyDescent="0.2">
      <c r="I420" s="2"/>
    </row>
    <row r="421" spans="9:9" x14ac:dyDescent="0.2">
      <c r="I421" s="2"/>
    </row>
    <row r="422" spans="9:9" x14ac:dyDescent="0.2">
      <c r="I422" s="2"/>
    </row>
    <row r="423" spans="9:9" x14ac:dyDescent="0.2">
      <c r="I423" s="2"/>
    </row>
    <row r="424" spans="9:9" x14ac:dyDescent="0.2">
      <c r="I424" s="2"/>
    </row>
    <row r="425" spans="9:9" x14ac:dyDescent="0.2">
      <c r="I425" s="2"/>
    </row>
    <row r="426" spans="9:9" x14ac:dyDescent="0.2">
      <c r="I426" s="2"/>
    </row>
    <row r="427" spans="9:9" x14ac:dyDescent="0.2">
      <c r="I427" s="2"/>
    </row>
    <row r="428" spans="9:9" x14ac:dyDescent="0.2">
      <c r="I428" s="2"/>
    </row>
    <row r="429" spans="9:9" x14ac:dyDescent="0.2">
      <c r="I429" s="2"/>
    </row>
    <row r="430" spans="9:9" x14ac:dyDescent="0.2">
      <c r="I430" s="2"/>
    </row>
    <row r="431" spans="9:9" x14ac:dyDescent="0.2">
      <c r="I431" s="2"/>
    </row>
    <row r="432" spans="9:9" x14ac:dyDescent="0.2">
      <c r="I432" s="2"/>
    </row>
    <row r="433" spans="9:9" x14ac:dyDescent="0.2">
      <c r="I433" s="2"/>
    </row>
    <row r="434" spans="9:9" x14ac:dyDescent="0.2">
      <c r="I434" s="2"/>
    </row>
    <row r="435" spans="9:9" x14ac:dyDescent="0.2">
      <c r="I435" s="2"/>
    </row>
    <row r="436" spans="9:9" x14ac:dyDescent="0.2">
      <c r="I436" s="2"/>
    </row>
    <row r="437" spans="9:9" x14ac:dyDescent="0.2">
      <c r="I437" s="2"/>
    </row>
    <row r="438" spans="9:9" x14ac:dyDescent="0.2">
      <c r="I438" s="2"/>
    </row>
    <row r="439" spans="9:9" x14ac:dyDescent="0.2">
      <c r="I439" s="2"/>
    </row>
    <row r="440" spans="9:9" x14ac:dyDescent="0.2">
      <c r="I440" s="2"/>
    </row>
    <row r="441" spans="9:9" x14ac:dyDescent="0.2">
      <c r="I441" s="2"/>
    </row>
    <row r="442" spans="9:9" x14ac:dyDescent="0.2">
      <c r="I442" s="2"/>
    </row>
    <row r="443" spans="9:9" x14ac:dyDescent="0.2">
      <c r="I443" s="2"/>
    </row>
    <row r="444" spans="9:9" x14ac:dyDescent="0.2">
      <c r="I444" s="2"/>
    </row>
    <row r="445" spans="9:9" x14ac:dyDescent="0.2">
      <c r="I445" s="2"/>
    </row>
    <row r="446" spans="9:9" x14ac:dyDescent="0.2">
      <c r="I446" s="2"/>
    </row>
    <row r="447" spans="9:9" x14ac:dyDescent="0.2">
      <c r="I447" s="2"/>
    </row>
    <row r="448" spans="9:9" x14ac:dyDescent="0.2">
      <c r="I448" s="2"/>
    </row>
    <row r="449" spans="9:9" x14ac:dyDescent="0.2">
      <c r="I449" s="2"/>
    </row>
    <row r="450" spans="9:9" x14ac:dyDescent="0.2">
      <c r="I450" s="2"/>
    </row>
    <row r="451" spans="9:9" x14ac:dyDescent="0.2">
      <c r="I451" s="2"/>
    </row>
  </sheetData>
  <mergeCells count="4">
    <mergeCell ref="A1:J1"/>
    <mergeCell ref="B198:C198"/>
    <mergeCell ref="B237:C237"/>
    <mergeCell ref="B241:C242"/>
  </mergeCells>
  <phoneticPr fontId="0" type="noConversion"/>
  <printOptions gridLines="1"/>
  <pageMargins left="0.75" right="0" top="0.51" bottom="0.22" header="0.5" footer="0"/>
  <pageSetup scale="85" fitToHeight="17" orientation="landscape" r:id="rId1"/>
  <headerFooter alignWithMargins="0"/>
  <rowBreaks count="4" manualBreakCount="4">
    <brk id="50" max="9" man="1"/>
    <brk id="252" max="9" man="1"/>
    <brk id="291" max="9" man="1"/>
    <brk id="332" max="9"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L245"/>
  <sheetViews>
    <sheetView view="pageBreakPreview" zoomScaleNormal="100" zoomScaleSheetLayoutView="100" workbookViewId="0">
      <pane ySplit="5" topLeftCell="A64" activePane="bottomLeft" state="frozen"/>
      <selection activeCell="D43" sqref="D43"/>
      <selection pane="bottomLeft" sqref="A1:J1"/>
    </sheetView>
  </sheetViews>
  <sheetFormatPr defaultColWidth="8.85546875" defaultRowHeight="12.75" x14ac:dyDescent="0.2"/>
  <cols>
    <col min="1" max="1" width="41.5703125" style="183" bestFit="1" customWidth="1"/>
    <col min="2" max="2" width="9.85546875" style="183" customWidth="1"/>
    <col min="3" max="3" width="10.28515625" style="183" customWidth="1"/>
    <col min="4" max="4" width="10.5703125" style="183" customWidth="1"/>
    <col min="5" max="6" width="10.85546875" style="183" customWidth="1"/>
    <col min="7" max="7" width="10.85546875" style="2" customWidth="1"/>
    <col min="8" max="8" width="14" style="183" bestFit="1" customWidth="1"/>
    <col min="9" max="10" width="10.85546875" style="183" customWidth="1"/>
    <col min="11" max="16384" width="8.85546875" style="183"/>
  </cols>
  <sheetData>
    <row r="1" spans="1:12" x14ac:dyDescent="0.2">
      <c r="A1" s="319" t="s">
        <v>2038</v>
      </c>
      <c r="B1" s="320"/>
      <c r="C1" s="320"/>
      <c r="D1" s="320"/>
      <c r="E1" s="320"/>
      <c r="F1" s="320"/>
      <c r="G1" s="320"/>
      <c r="H1" s="320"/>
      <c r="I1" s="320"/>
      <c r="J1" s="320"/>
    </row>
    <row r="2" spans="1:12" ht="18.75" x14ac:dyDescent="0.3">
      <c r="A2" s="95" t="s">
        <v>1578</v>
      </c>
      <c r="B2" s="95"/>
      <c r="C2" s="95"/>
      <c r="D2" s="95"/>
      <c r="E2" s="95"/>
      <c r="F2" s="95"/>
      <c r="G2" s="95"/>
      <c r="H2" s="95"/>
      <c r="I2" s="95"/>
      <c r="J2" s="95"/>
    </row>
    <row r="3" spans="1:12" x14ac:dyDescent="0.2">
      <c r="B3" s="2"/>
      <c r="C3" s="2"/>
      <c r="D3" s="2"/>
      <c r="E3" s="2"/>
      <c r="F3" s="2"/>
    </row>
    <row r="4" spans="1:12" x14ac:dyDescent="0.2">
      <c r="B4" s="2"/>
      <c r="C4" s="2"/>
      <c r="D4" s="2"/>
      <c r="E4" s="15" t="s">
        <v>199</v>
      </c>
      <c r="F4" s="15" t="s">
        <v>200</v>
      </c>
      <c r="G4" s="15" t="s">
        <v>60</v>
      </c>
      <c r="H4" s="15" t="s">
        <v>351</v>
      </c>
      <c r="I4" s="15" t="s">
        <v>264</v>
      </c>
      <c r="J4" s="15" t="s">
        <v>295</v>
      </c>
    </row>
    <row r="5" spans="1:12" ht="15" x14ac:dyDescent="0.35">
      <c r="B5" s="2"/>
      <c r="C5" s="2"/>
      <c r="D5" s="2"/>
      <c r="E5" s="232" t="s">
        <v>1825</v>
      </c>
      <c r="F5" s="232" t="s">
        <v>1947</v>
      </c>
      <c r="G5" s="232" t="s">
        <v>2039</v>
      </c>
      <c r="H5" s="232" t="s">
        <v>2039</v>
      </c>
      <c r="I5" s="232" t="s">
        <v>2039</v>
      </c>
      <c r="J5" s="232" t="s">
        <v>2039</v>
      </c>
    </row>
    <row r="6" spans="1:12" ht="13.5" x14ac:dyDescent="0.25">
      <c r="A6" s="185" t="s">
        <v>637</v>
      </c>
      <c r="B6" s="2"/>
      <c r="C6" s="2"/>
      <c r="D6" s="2"/>
      <c r="E6" s="2">
        <v>73758</v>
      </c>
      <c r="F6" s="2">
        <v>73979</v>
      </c>
      <c r="G6" s="2">
        <v>74052</v>
      </c>
      <c r="H6" s="2">
        <v>74052</v>
      </c>
      <c r="I6" s="2">
        <v>76584</v>
      </c>
      <c r="J6" s="2">
        <v>76584</v>
      </c>
    </row>
    <row r="7" spans="1:12" x14ac:dyDescent="0.2">
      <c r="A7" s="183" t="s">
        <v>635</v>
      </c>
      <c r="B7" s="2">
        <v>52</v>
      </c>
      <c r="C7" s="2">
        <v>1449.1</v>
      </c>
      <c r="D7" s="2">
        <f>ROUND(B7*C7,0)</f>
        <v>75353</v>
      </c>
      <c r="E7" s="2"/>
      <c r="F7" s="2"/>
      <c r="H7" s="2"/>
      <c r="I7" s="2"/>
      <c r="J7" s="2"/>
    </row>
    <row r="8" spans="1:12" x14ac:dyDescent="0.2">
      <c r="A8" s="183" t="s">
        <v>818</v>
      </c>
      <c r="B8" s="2"/>
      <c r="C8" s="2"/>
      <c r="D8" s="17">
        <v>1231</v>
      </c>
      <c r="E8" s="2"/>
      <c r="F8" s="2"/>
      <c r="H8" s="2"/>
      <c r="I8" s="2"/>
      <c r="J8" s="2"/>
    </row>
    <row r="9" spans="1:12" x14ac:dyDescent="0.2">
      <c r="A9" s="183" t="s">
        <v>1067</v>
      </c>
      <c r="B9" s="2"/>
      <c r="C9" s="2"/>
      <c r="D9" s="2">
        <f>SUM(D7:D8)</f>
        <v>76584</v>
      </c>
      <c r="E9" s="2"/>
      <c r="F9" s="2"/>
      <c r="H9" s="2"/>
      <c r="I9" s="2"/>
      <c r="J9" s="2"/>
    </row>
    <row r="10" spans="1:12" x14ac:dyDescent="0.2">
      <c r="B10" s="2"/>
      <c r="C10" s="2"/>
      <c r="D10" s="2"/>
      <c r="E10" s="2"/>
      <c r="F10" s="2"/>
      <c r="H10" s="2"/>
      <c r="I10" s="2"/>
      <c r="J10" s="2"/>
    </row>
    <row r="11" spans="1:12" ht="13.5" x14ac:dyDescent="0.25">
      <c r="A11" s="185" t="s">
        <v>686</v>
      </c>
      <c r="C11" s="283"/>
      <c r="E11" s="2">
        <v>50934</v>
      </c>
      <c r="F11" s="2">
        <v>90168</v>
      </c>
      <c r="G11" s="2">
        <v>90168</v>
      </c>
      <c r="H11" s="2">
        <v>90168</v>
      </c>
      <c r="I11" s="2">
        <v>93340</v>
      </c>
      <c r="J11" s="2">
        <v>93340</v>
      </c>
      <c r="K11" s="2">
        <v>87932</v>
      </c>
      <c r="L11" s="2">
        <f>+G11-K11</f>
        <v>2236</v>
      </c>
    </row>
    <row r="12" spans="1:12" x14ac:dyDescent="0.2">
      <c r="A12" s="183" t="s">
        <v>636</v>
      </c>
      <c r="B12" s="2">
        <v>52</v>
      </c>
      <c r="C12" s="2">
        <v>1020</v>
      </c>
      <c r="D12" s="2">
        <f>ROUND(B12*C12,0)</f>
        <v>53040</v>
      </c>
      <c r="F12" s="2"/>
      <c r="H12" s="2"/>
      <c r="I12" s="2"/>
      <c r="J12" s="2"/>
      <c r="K12" s="2"/>
      <c r="L12" s="2">
        <f t="shared" ref="L12:L52" si="0">+G12-K12</f>
        <v>0</v>
      </c>
    </row>
    <row r="13" spans="1:12" s="197" customFormat="1" ht="15" x14ac:dyDescent="0.35">
      <c r="A13" s="197" t="s">
        <v>1978</v>
      </c>
      <c r="B13" s="2">
        <v>52</v>
      </c>
      <c r="C13" s="2">
        <v>775</v>
      </c>
      <c r="D13" s="10">
        <f>ROUND(B13*C13,0)</f>
        <v>40300</v>
      </c>
      <c r="F13" s="2"/>
      <c r="G13" s="2"/>
      <c r="H13" s="2"/>
      <c r="I13" s="2"/>
      <c r="J13" s="2"/>
      <c r="K13" s="2"/>
      <c r="L13" s="2">
        <f t="shared" si="0"/>
        <v>0</v>
      </c>
    </row>
    <row r="14" spans="1:12" x14ac:dyDescent="0.2">
      <c r="A14" s="183" t="s">
        <v>1067</v>
      </c>
      <c r="B14" s="2"/>
      <c r="C14" s="2"/>
      <c r="D14" s="2">
        <f>SUM(D12:D13)</f>
        <v>93340</v>
      </c>
      <c r="F14" s="2"/>
      <c r="H14" s="2"/>
      <c r="I14" s="2"/>
      <c r="J14" s="2"/>
      <c r="K14" s="2"/>
      <c r="L14" s="2">
        <f t="shared" si="0"/>
        <v>0</v>
      </c>
    </row>
    <row r="15" spans="1:12" x14ac:dyDescent="0.2">
      <c r="D15" s="2"/>
      <c r="E15" s="2"/>
      <c r="F15" s="2"/>
      <c r="H15" s="2"/>
      <c r="I15" s="2"/>
      <c r="J15" s="2"/>
      <c r="K15" s="2"/>
      <c r="L15" s="2">
        <f t="shared" si="0"/>
        <v>0</v>
      </c>
    </row>
    <row r="16" spans="1:12" ht="13.5" x14ac:dyDescent="0.25">
      <c r="A16" s="185" t="s">
        <v>638</v>
      </c>
      <c r="D16" s="2"/>
      <c r="E16" s="2">
        <v>26632</v>
      </c>
      <c r="F16" s="2">
        <v>3150</v>
      </c>
      <c r="G16" s="2">
        <v>3150</v>
      </c>
      <c r="H16" s="2">
        <v>3150</v>
      </c>
      <c r="I16" s="2">
        <v>3261</v>
      </c>
      <c r="J16" s="2">
        <v>3261</v>
      </c>
      <c r="K16" s="2">
        <v>3150</v>
      </c>
      <c r="L16" s="2">
        <f t="shared" si="0"/>
        <v>0</v>
      </c>
    </row>
    <row r="17" spans="1:12" x14ac:dyDescent="0.2">
      <c r="A17" s="183" t="s">
        <v>156</v>
      </c>
      <c r="B17" s="2">
        <v>0</v>
      </c>
      <c r="C17" s="11">
        <v>18.260000000000002</v>
      </c>
      <c r="D17" s="2">
        <f>ROUND(B17*C17,0)</f>
        <v>0</v>
      </c>
      <c r="E17" s="2"/>
      <c r="F17" s="2"/>
      <c r="H17" s="2"/>
      <c r="I17" s="2"/>
      <c r="J17" s="2"/>
      <c r="K17" s="2"/>
      <c r="L17" s="2">
        <f t="shared" si="0"/>
        <v>0</v>
      </c>
    </row>
    <row r="18" spans="1:12" ht="15" x14ac:dyDescent="0.35">
      <c r="A18" s="183" t="s">
        <v>2172</v>
      </c>
      <c r="B18" s="2">
        <v>170</v>
      </c>
      <c r="C18" s="11">
        <v>19.18</v>
      </c>
      <c r="D18" s="10">
        <f>B18*C18</f>
        <v>3260.6</v>
      </c>
      <c r="E18" s="2"/>
      <c r="F18" s="2"/>
      <c r="H18" s="2"/>
      <c r="I18" s="2"/>
      <c r="J18" s="2"/>
      <c r="K18" s="2"/>
      <c r="L18" s="2">
        <f t="shared" si="0"/>
        <v>0</v>
      </c>
    </row>
    <row r="19" spans="1:12" x14ac:dyDescent="0.2">
      <c r="A19" s="183" t="s">
        <v>1067</v>
      </c>
      <c r="B19" s="2"/>
      <c r="C19" s="11"/>
      <c r="D19" s="2">
        <f>SUM(D17:D18)</f>
        <v>3260.6</v>
      </c>
      <c r="E19" s="2"/>
      <c r="F19" s="2"/>
      <c r="H19" s="2"/>
      <c r="I19" s="2"/>
      <c r="J19" s="2"/>
      <c r="K19" s="2"/>
      <c r="L19" s="2">
        <f t="shared" si="0"/>
        <v>0</v>
      </c>
    </row>
    <row r="20" spans="1:12" x14ac:dyDescent="0.2">
      <c r="B20" s="2"/>
      <c r="C20" s="11"/>
      <c r="D20" s="2"/>
      <c r="E20" s="2"/>
      <c r="F20" s="2"/>
      <c r="H20" s="2"/>
      <c r="I20" s="2"/>
      <c r="J20" s="2"/>
      <c r="K20" s="2"/>
      <c r="L20" s="2">
        <f t="shared" si="0"/>
        <v>0</v>
      </c>
    </row>
    <row r="21" spans="1:12" ht="13.5" x14ac:dyDescent="0.25">
      <c r="A21" s="185" t="s">
        <v>1753</v>
      </c>
      <c r="B21" s="2"/>
      <c r="C21" s="11"/>
      <c r="D21" s="2">
        <v>0</v>
      </c>
      <c r="E21" s="2">
        <v>910</v>
      </c>
      <c r="F21" s="2">
        <v>0</v>
      </c>
      <c r="G21" s="2">
        <v>0</v>
      </c>
      <c r="H21" s="2">
        <v>0</v>
      </c>
      <c r="I21" s="2">
        <v>0</v>
      </c>
      <c r="J21" s="2">
        <v>0</v>
      </c>
      <c r="K21" s="2">
        <v>0</v>
      </c>
      <c r="L21" s="2">
        <f t="shared" si="0"/>
        <v>0</v>
      </c>
    </row>
    <row r="22" spans="1:12" x14ac:dyDescent="0.2">
      <c r="B22" s="2"/>
      <c r="C22" s="11"/>
      <c r="D22" s="2"/>
      <c r="E22" s="2"/>
      <c r="F22" s="2"/>
      <c r="H22" s="2"/>
      <c r="I22" s="2"/>
      <c r="J22" s="2"/>
      <c r="K22" s="2"/>
      <c r="L22" s="2">
        <f t="shared" si="0"/>
        <v>0</v>
      </c>
    </row>
    <row r="23" spans="1:12" ht="13.5" x14ac:dyDescent="0.25">
      <c r="A23" s="185" t="s">
        <v>639</v>
      </c>
      <c r="D23" s="2"/>
      <c r="E23" s="2">
        <v>11527</v>
      </c>
      <c r="F23" s="2">
        <v>12798</v>
      </c>
      <c r="G23" s="2">
        <v>12804</v>
      </c>
      <c r="H23" s="2">
        <v>12804</v>
      </c>
      <c r="I23" s="2">
        <v>13249</v>
      </c>
      <c r="J23" s="2">
        <v>13249</v>
      </c>
      <c r="K23" s="2">
        <v>12496</v>
      </c>
      <c r="L23" s="2">
        <f t="shared" si="0"/>
        <v>308</v>
      </c>
    </row>
    <row r="24" spans="1:12" hidden="1" x14ac:dyDescent="0.2">
      <c r="A24" s="12" t="s">
        <v>1264</v>
      </c>
      <c r="B24" s="2">
        <f>+D9</f>
        <v>76584</v>
      </c>
      <c r="C24" s="13">
        <v>7.6499999999999999E-2</v>
      </c>
      <c r="D24" s="2">
        <f>ROUND(B24*C24,0)</f>
        <v>5859</v>
      </c>
      <c r="E24" s="2"/>
      <c r="F24" s="2"/>
      <c r="H24" s="2"/>
      <c r="I24" s="2"/>
      <c r="J24" s="2"/>
      <c r="K24" s="2"/>
      <c r="L24" s="2">
        <f t="shared" si="0"/>
        <v>0</v>
      </c>
    </row>
    <row r="25" spans="1:12" hidden="1" x14ac:dyDescent="0.2">
      <c r="A25" s="12" t="s">
        <v>683</v>
      </c>
      <c r="B25" s="2">
        <f>+D14</f>
        <v>93340</v>
      </c>
      <c r="C25" s="13">
        <v>7.6499999999999999E-2</v>
      </c>
      <c r="D25" s="2">
        <f>ROUND(B25*C25,0)</f>
        <v>7141</v>
      </c>
      <c r="E25" s="2"/>
      <c r="F25" s="2"/>
      <c r="H25" s="2"/>
      <c r="I25" s="2"/>
      <c r="J25" s="2"/>
      <c r="K25" s="2"/>
      <c r="L25" s="2">
        <f t="shared" si="0"/>
        <v>0</v>
      </c>
    </row>
    <row r="26" spans="1:12" ht="15" hidden="1" x14ac:dyDescent="0.35">
      <c r="A26" s="12" t="s">
        <v>153</v>
      </c>
      <c r="B26" s="2">
        <f>+D19</f>
        <v>3260.6</v>
      </c>
      <c r="C26" s="13">
        <v>7.6499999999999999E-2</v>
      </c>
      <c r="D26" s="10">
        <f>ROUND(B26*C26,0)</f>
        <v>249</v>
      </c>
      <c r="E26" s="2"/>
      <c r="F26" s="2"/>
      <c r="H26" s="2"/>
      <c r="I26" s="2"/>
      <c r="J26" s="2"/>
      <c r="K26" s="2"/>
      <c r="L26" s="2">
        <f t="shared" si="0"/>
        <v>0</v>
      </c>
    </row>
    <row r="27" spans="1:12" hidden="1" x14ac:dyDescent="0.2">
      <c r="A27" s="183" t="s">
        <v>358</v>
      </c>
      <c r="B27" s="2" t="s">
        <v>338</v>
      </c>
      <c r="D27" s="2">
        <f>SUM(D24:D26)</f>
        <v>13249</v>
      </c>
      <c r="E27" s="2"/>
      <c r="F27" s="2"/>
      <c r="H27" s="2"/>
      <c r="I27" s="2"/>
      <c r="J27" s="2"/>
      <c r="K27" s="2"/>
      <c r="L27" s="2">
        <f t="shared" si="0"/>
        <v>0</v>
      </c>
    </row>
    <row r="28" spans="1:12" x14ac:dyDescent="0.2">
      <c r="D28" s="2"/>
      <c r="E28" s="2"/>
      <c r="F28" s="2"/>
      <c r="H28" s="2"/>
      <c r="I28" s="2"/>
      <c r="J28" s="2"/>
      <c r="K28" s="2"/>
      <c r="L28" s="2">
        <f t="shared" si="0"/>
        <v>0</v>
      </c>
    </row>
    <row r="29" spans="1:12" ht="13.5" x14ac:dyDescent="0.25">
      <c r="A29" s="14" t="s">
        <v>1290</v>
      </c>
      <c r="D29" s="2"/>
      <c r="E29" s="2">
        <v>17469</v>
      </c>
      <c r="F29" s="2">
        <v>23079</v>
      </c>
      <c r="G29" s="2">
        <v>22219</v>
      </c>
      <c r="H29" s="2">
        <v>22219</v>
      </c>
      <c r="I29" s="2">
        <v>22991</v>
      </c>
      <c r="J29" s="2">
        <v>22991</v>
      </c>
      <c r="K29" s="2">
        <v>22523</v>
      </c>
      <c r="L29" s="2">
        <f t="shared" si="0"/>
        <v>-304</v>
      </c>
    </row>
    <row r="30" spans="1:12" hidden="1" x14ac:dyDescent="0.2">
      <c r="A30" s="283" t="s">
        <v>358</v>
      </c>
      <c r="B30" s="2">
        <f>+D9+D14</f>
        <v>169924</v>
      </c>
      <c r="C30" s="299">
        <v>0.1353</v>
      </c>
      <c r="D30" s="2">
        <f>ROUND(B30*C30,0)</f>
        <v>22991</v>
      </c>
      <c r="E30" s="2"/>
      <c r="F30" s="2"/>
      <c r="H30" s="2"/>
      <c r="I30" s="2"/>
      <c r="J30" s="2"/>
      <c r="K30" s="2"/>
      <c r="L30" s="2">
        <f t="shared" si="0"/>
        <v>0</v>
      </c>
    </row>
    <row r="31" spans="1:12" x14ac:dyDescent="0.2">
      <c r="A31" s="283"/>
      <c r="B31" s="283"/>
      <c r="C31" s="283"/>
      <c r="D31" s="2"/>
      <c r="E31" s="2"/>
      <c r="F31" s="2"/>
      <c r="H31" s="2"/>
      <c r="I31" s="2"/>
      <c r="J31" s="2"/>
      <c r="K31" s="2"/>
      <c r="L31" s="2">
        <f t="shared" si="0"/>
        <v>0</v>
      </c>
    </row>
    <row r="32" spans="1:12" ht="13.5" x14ac:dyDescent="0.25">
      <c r="A32" s="286" t="s">
        <v>1291</v>
      </c>
      <c r="B32" s="283"/>
      <c r="C32" s="283"/>
      <c r="D32" s="2"/>
      <c r="E32" s="2">
        <v>37818</v>
      </c>
      <c r="F32" s="2">
        <v>57000</v>
      </c>
      <c r="G32" s="2">
        <v>60750</v>
      </c>
      <c r="H32" s="2">
        <v>60750</v>
      </c>
      <c r="I32" s="2">
        <v>60750</v>
      </c>
      <c r="J32" s="2">
        <v>60750</v>
      </c>
      <c r="K32" s="2">
        <v>58500</v>
      </c>
      <c r="L32" s="2">
        <f t="shared" si="0"/>
        <v>2250</v>
      </c>
    </row>
    <row r="33" spans="1:12" hidden="1" x14ac:dyDescent="0.2">
      <c r="A33" s="283" t="s">
        <v>358</v>
      </c>
      <c r="B33" s="2">
        <v>3</v>
      </c>
      <c r="C33" s="2">
        <v>20250</v>
      </c>
      <c r="D33" s="2">
        <f>ROUND(B33*C33,0)</f>
        <v>60750</v>
      </c>
      <c r="E33" s="2"/>
      <c r="F33" s="2"/>
      <c r="H33" s="2"/>
      <c r="I33" s="2"/>
      <c r="J33" s="2"/>
      <c r="K33" s="2"/>
      <c r="L33" s="2">
        <f t="shared" si="0"/>
        <v>0</v>
      </c>
    </row>
    <row r="34" spans="1:12" x14ac:dyDescent="0.2">
      <c r="A34" s="283"/>
      <c r="B34" s="283"/>
      <c r="C34" s="283"/>
      <c r="D34" s="2"/>
      <c r="E34" s="2"/>
      <c r="F34" s="2"/>
      <c r="H34" s="2"/>
      <c r="I34" s="2"/>
      <c r="J34" s="2"/>
      <c r="K34" s="2"/>
      <c r="L34" s="2">
        <f t="shared" si="0"/>
        <v>0</v>
      </c>
    </row>
    <row r="35" spans="1:12" ht="13.5" x14ac:dyDescent="0.25">
      <c r="A35" s="286" t="s">
        <v>1292</v>
      </c>
      <c r="B35" s="283"/>
      <c r="C35" s="283"/>
      <c r="D35" s="2"/>
      <c r="E35" s="2">
        <v>2490</v>
      </c>
      <c r="F35" s="2">
        <v>3713</v>
      </c>
      <c r="G35" s="2">
        <v>3713</v>
      </c>
      <c r="H35" s="2">
        <v>3713</v>
      </c>
      <c r="I35" s="2">
        <v>3713</v>
      </c>
      <c r="J35" s="2">
        <v>3713</v>
      </c>
      <c r="K35" s="2">
        <v>3713</v>
      </c>
      <c r="L35" s="2">
        <f t="shared" si="0"/>
        <v>0</v>
      </c>
    </row>
    <row r="36" spans="1:12" hidden="1" x14ac:dyDescent="0.2">
      <c r="A36" s="283" t="s">
        <v>358</v>
      </c>
      <c r="B36" s="2">
        <v>3</v>
      </c>
      <c r="C36" s="2">
        <v>1375</v>
      </c>
      <c r="D36" s="2">
        <f>ROUND(B36*C36,0)</f>
        <v>4125</v>
      </c>
      <c r="E36" s="2"/>
      <c r="F36" s="2"/>
      <c r="H36" s="2"/>
      <c r="I36" s="2"/>
      <c r="J36" s="2"/>
      <c r="K36" s="2"/>
      <c r="L36" s="2">
        <f t="shared" si="0"/>
        <v>0</v>
      </c>
    </row>
    <row r="37" spans="1:12" ht="15" hidden="1" x14ac:dyDescent="0.35">
      <c r="A37" s="283" t="s">
        <v>193</v>
      </c>
      <c r="B37" s="2"/>
      <c r="C37" s="2"/>
      <c r="D37" s="10">
        <f>+C36*0.1*-B36</f>
        <v>-412.5</v>
      </c>
      <c r="E37" s="2"/>
      <c r="F37" s="2"/>
      <c r="H37" s="2"/>
      <c r="I37" s="2"/>
      <c r="J37" s="2"/>
      <c r="K37" s="2"/>
      <c r="L37" s="2">
        <f t="shared" si="0"/>
        <v>0</v>
      </c>
    </row>
    <row r="38" spans="1:12" hidden="1" x14ac:dyDescent="0.2">
      <c r="A38" s="283" t="s">
        <v>678</v>
      </c>
      <c r="B38" s="2"/>
      <c r="C38" s="2"/>
      <c r="D38" s="2">
        <f>SUM(D36:D37)</f>
        <v>3712.5</v>
      </c>
      <c r="E38" s="2"/>
      <c r="F38" s="2"/>
      <c r="H38" s="2"/>
      <c r="I38" s="2"/>
      <c r="J38" s="2"/>
      <c r="K38" s="2"/>
      <c r="L38" s="2">
        <f t="shared" si="0"/>
        <v>0</v>
      </c>
    </row>
    <row r="39" spans="1:12" x14ac:dyDescent="0.2">
      <c r="A39" s="283"/>
      <c r="B39" s="283"/>
      <c r="C39" s="283"/>
      <c r="D39" s="2"/>
      <c r="E39" s="2"/>
      <c r="F39" s="2"/>
      <c r="H39" s="2"/>
      <c r="I39" s="2"/>
      <c r="J39" s="2"/>
      <c r="K39" s="2"/>
      <c r="L39" s="2">
        <f t="shared" si="0"/>
        <v>0</v>
      </c>
    </row>
    <row r="40" spans="1:12" ht="13.5" x14ac:dyDescent="0.25">
      <c r="A40" s="286" t="s">
        <v>1293</v>
      </c>
      <c r="B40" s="283"/>
      <c r="C40" s="283"/>
      <c r="D40" s="2"/>
      <c r="E40" s="2">
        <v>264</v>
      </c>
      <c r="F40" s="2">
        <v>405</v>
      </c>
      <c r="G40" s="2">
        <v>435</v>
      </c>
      <c r="H40" s="2">
        <v>435</v>
      </c>
      <c r="I40" s="2">
        <v>435</v>
      </c>
      <c r="J40" s="2">
        <v>435</v>
      </c>
      <c r="K40" s="2">
        <v>405</v>
      </c>
      <c r="L40" s="2">
        <f t="shared" si="0"/>
        <v>30</v>
      </c>
    </row>
    <row r="41" spans="1:12" hidden="1" x14ac:dyDescent="0.2">
      <c r="A41" s="283" t="s">
        <v>358</v>
      </c>
      <c r="B41" s="2">
        <v>3</v>
      </c>
      <c r="C41" s="2">
        <v>145</v>
      </c>
      <c r="D41" s="2">
        <f>ROUND(B41*C41,0)</f>
        <v>435</v>
      </c>
      <c r="E41" s="2"/>
      <c r="F41" s="2"/>
      <c r="H41" s="2"/>
      <c r="I41" s="2"/>
      <c r="J41" s="2"/>
      <c r="K41" s="2"/>
      <c r="L41" s="2">
        <f t="shared" si="0"/>
        <v>0</v>
      </c>
    </row>
    <row r="42" spans="1:12" x14ac:dyDescent="0.2">
      <c r="A42" s="283"/>
      <c r="B42" s="283"/>
      <c r="C42" s="283"/>
      <c r="D42" s="2"/>
      <c r="E42" s="2"/>
      <c r="F42" s="2"/>
      <c r="H42" s="2"/>
      <c r="I42" s="2"/>
      <c r="J42" s="2"/>
      <c r="K42" s="2"/>
      <c r="L42" s="2">
        <f t="shared" si="0"/>
        <v>0</v>
      </c>
    </row>
    <row r="43" spans="1:12" ht="13.5" x14ac:dyDescent="0.25">
      <c r="A43" s="286" t="s">
        <v>1220</v>
      </c>
      <c r="B43" s="283"/>
      <c r="C43" s="283"/>
      <c r="D43" s="2"/>
      <c r="E43" s="2">
        <v>1231</v>
      </c>
      <c r="F43" s="2">
        <v>1575</v>
      </c>
      <c r="G43" s="2">
        <v>1695</v>
      </c>
      <c r="H43" s="2">
        <v>1695</v>
      </c>
      <c r="I43" s="2">
        <v>1695</v>
      </c>
      <c r="J43" s="2">
        <v>1695</v>
      </c>
      <c r="K43" s="2">
        <v>1575</v>
      </c>
      <c r="L43" s="2">
        <f t="shared" si="0"/>
        <v>120</v>
      </c>
    </row>
    <row r="44" spans="1:12" hidden="1" x14ac:dyDescent="0.2">
      <c r="A44" s="283" t="s">
        <v>358</v>
      </c>
      <c r="B44" s="2">
        <v>3</v>
      </c>
      <c r="C44" s="2">
        <v>565</v>
      </c>
      <c r="D44" s="2">
        <f>ROUND(B44*C44,0)</f>
        <v>1695</v>
      </c>
      <c r="E44" s="2"/>
      <c r="F44" s="2"/>
      <c r="H44" s="2"/>
      <c r="I44" s="2"/>
      <c r="J44" s="2"/>
      <c r="K44" s="2"/>
      <c r="L44" s="2">
        <f t="shared" si="0"/>
        <v>0</v>
      </c>
    </row>
    <row r="45" spans="1:12" x14ac:dyDescent="0.2">
      <c r="A45" s="283"/>
      <c r="B45" s="283"/>
      <c r="C45" s="283"/>
      <c r="D45" s="2"/>
      <c r="E45" s="2"/>
      <c r="F45" s="2"/>
      <c r="H45" s="2"/>
      <c r="I45" s="2"/>
      <c r="J45" s="2"/>
      <c r="K45" s="2"/>
      <c r="L45" s="2">
        <f t="shared" si="0"/>
        <v>0</v>
      </c>
    </row>
    <row r="46" spans="1:12" ht="13.5" x14ac:dyDescent="0.25">
      <c r="A46" s="286" t="s">
        <v>128</v>
      </c>
      <c r="B46" s="283"/>
      <c r="C46" s="283"/>
      <c r="D46" s="2"/>
      <c r="E46" s="2">
        <v>1058</v>
      </c>
      <c r="F46" s="2">
        <v>1354</v>
      </c>
      <c r="G46" s="2">
        <v>1355</v>
      </c>
      <c r="H46" s="2">
        <v>1355</v>
      </c>
      <c r="I46" s="2">
        <v>1401</v>
      </c>
      <c r="J46" s="2">
        <v>1401</v>
      </c>
      <c r="K46" s="2">
        <v>1322</v>
      </c>
      <c r="L46" s="2">
        <f t="shared" si="0"/>
        <v>33</v>
      </c>
    </row>
    <row r="47" spans="1:12" hidden="1" x14ac:dyDescent="0.2">
      <c r="A47" s="12" t="s">
        <v>1264</v>
      </c>
      <c r="B47" s="2">
        <f>+D9</f>
        <v>76584</v>
      </c>
      <c r="C47" s="13">
        <v>8.0999999999999996E-3</v>
      </c>
      <c r="D47" s="2">
        <f>ROUND(B47*C47,0)-1</f>
        <v>619</v>
      </c>
      <c r="E47" s="2"/>
      <c r="F47" s="2"/>
      <c r="H47" s="2"/>
      <c r="I47" s="2"/>
      <c r="J47" s="2"/>
      <c r="K47" s="2"/>
      <c r="L47" s="2">
        <f t="shared" si="0"/>
        <v>0</v>
      </c>
    </row>
    <row r="48" spans="1:12" hidden="1" x14ac:dyDescent="0.2">
      <c r="A48" s="12" t="s">
        <v>683</v>
      </c>
      <c r="B48" s="2">
        <f>+D14</f>
        <v>93340</v>
      </c>
      <c r="C48" s="13">
        <v>8.0999999999999996E-3</v>
      </c>
      <c r="D48" s="2">
        <f>ROUND(B48*C48,0)</f>
        <v>756</v>
      </c>
      <c r="E48" s="2"/>
      <c r="F48" s="2"/>
      <c r="H48" s="2"/>
      <c r="I48" s="2"/>
      <c r="J48" s="2"/>
      <c r="K48" s="2"/>
      <c r="L48" s="2">
        <f t="shared" si="0"/>
        <v>0</v>
      </c>
    </row>
    <row r="49" spans="1:12" ht="15" hidden="1" x14ac:dyDescent="0.35">
      <c r="A49" s="12" t="s">
        <v>153</v>
      </c>
      <c r="B49" s="2">
        <f>+B26</f>
        <v>3260.6</v>
      </c>
      <c r="C49" s="13">
        <v>8.0999999999999996E-3</v>
      </c>
      <c r="D49" s="10">
        <f>ROUND(B49*C49,0)</f>
        <v>26</v>
      </c>
      <c r="E49" s="2"/>
      <c r="F49" s="2"/>
      <c r="H49" s="2"/>
      <c r="I49" s="2"/>
      <c r="J49" s="2"/>
      <c r="K49" s="2"/>
      <c r="L49" s="2">
        <f t="shared" si="0"/>
        <v>0</v>
      </c>
    </row>
    <row r="50" spans="1:12" hidden="1" x14ac:dyDescent="0.2">
      <c r="A50" s="283" t="s">
        <v>1067</v>
      </c>
      <c r="B50" s="283"/>
      <c r="C50" s="283"/>
      <c r="D50" s="2">
        <f>SUM(D47:D49)</f>
        <v>1401</v>
      </c>
      <c r="E50" s="2"/>
      <c r="F50" s="2"/>
      <c r="H50" s="2"/>
      <c r="I50" s="2"/>
      <c r="J50" s="2"/>
      <c r="K50" s="2"/>
      <c r="L50" s="2">
        <f t="shared" si="0"/>
        <v>0</v>
      </c>
    </row>
    <row r="51" spans="1:12" x14ac:dyDescent="0.2">
      <c r="A51" s="283"/>
      <c r="B51" s="283"/>
      <c r="C51" s="283"/>
      <c r="D51" s="2"/>
      <c r="E51" s="2"/>
      <c r="F51" s="2"/>
      <c r="H51" s="2"/>
      <c r="I51" s="2"/>
      <c r="J51" s="2"/>
      <c r="K51" s="2"/>
      <c r="L51" s="2">
        <f t="shared" si="0"/>
        <v>0</v>
      </c>
    </row>
    <row r="52" spans="1:12" ht="13.5" x14ac:dyDescent="0.25">
      <c r="A52" s="286" t="s">
        <v>129</v>
      </c>
      <c r="B52" s="283"/>
      <c r="C52" s="283"/>
      <c r="D52" s="2"/>
      <c r="E52" s="2">
        <v>35</v>
      </c>
      <c r="F52" s="2">
        <v>64</v>
      </c>
      <c r="G52" s="2">
        <v>64</v>
      </c>
      <c r="H52" s="2">
        <v>64</v>
      </c>
      <c r="I52" s="2">
        <v>65</v>
      </c>
      <c r="J52" s="2">
        <v>65</v>
      </c>
      <c r="K52" s="2">
        <v>64</v>
      </c>
      <c r="L52" s="2">
        <f t="shared" si="0"/>
        <v>0</v>
      </c>
    </row>
    <row r="53" spans="1:12" hidden="1" x14ac:dyDescent="0.2">
      <c r="A53" s="12" t="s">
        <v>1264</v>
      </c>
      <c r="B53" s="2">
        <v>1</v>
      </c>
      <c r="C53" s="2">
        <v>20</v>
      </c>
      <c r="D53" s="2">
        <f>ROUND(B53*C53,0)</f>
        <v>20</v>
      </c>
      <c r="E53" s="2"/>
      <c r="F53" s="2"/>
      <c r="H53" s="2"/>
      <c r="I53" s="2"/>
      <c r="J53" s="2"/>
    </row>
    <row r="54" spans="1:12" hidden="1" x14ac:dyDescent="0.2">
      <c r="A54" s="12" t="s">
        <v>683</v>
      </c>
      <c r="B54" s="2">
        <v>2</v>
      </c>
      <c r="C54" s="2">
        <v>20</v>
      </c>
      <c r="D54" s="2">
        <f>ROUND(B54*C54,0)</f>
        <v>40</v>
      </c>
      <c r="E54" s="2"/>
      <c r="F54" s="2"/>
      <c r="H54" s="2"/>
      <c r="I54" s="2"/>
      <c r="J54" s="2"/>
    </row>
    <row r="55" spans="1:12" hidden="1" x14ac:dyDescent="0.2">
      <c r="A55" s="283" t="s">
        <v>1259</v>
      </c>
      <c r="B55" s="2">
        <f>+D18</f>
        <v>3260.6</v>
      </c>
      <c r="C55" s="13">
        <v>1.4E-3</v>
      </c>
      <c r="D55" s="2">
        <f>ROUND(B55*C55,0)</f>
        <v>5</v>
      </c>
      <c r="E55" s="2"/>
      <c r="F55" s="2"/>
      <c r="H55" s="2"/>
      <c r="I55" s="2"/>
      <c r="J55" s="2"/>
    </row>
    <row r="56" spans="1:12" hidden="1" x14ac:dyDescent="0.2">
      <c r="A56" s="12" t="s">
        <v>153</v>
      </c>
      <c r="B56" s="2">
        <v>0</v>
      </c>
      <c r="C56" s="2">
        <v>20</v>
      </c>
      <c r="D56" s="17">
        <f>ROUND(B56*C56,0)</f>
        <v>0</v>
      </c>
      <c r="E56" s="2"/>
      <c r="F56" s="2"/>
      <c r="H56" s="2"/>
      <c r="I56" s="2"/>
      <c r="J56" s="2"/>
    </row>
    <row r="57" spans="1:12" hidden="1" x14ac:dyDescent="0.2">
      <c r="A57" s="283" t="s">
        <v>1067</v>
      </c>
      <c r="B57" s="283"/>
      <c r="C57" s="283"/>
      <c r="D57" s="2">
        <f>SUM(D53:D56)</f>
        <v>65</v>
      </c>
      <c r="E57" s="2"/>
      <c r="F57" s="2"/>
      <c r="H57" s="2"/>
      <c r="I57" s="2"/>
      <c r="J57" s="2"/>
    </row>
    <row r="58" spans="1:12" x14ac:dyDescent="0.2">
      <c r="A58" s="283"/>
      <c r="B58" s="283"/>
      <c r="C58" s="283"/>
      <c r="D58" s="2"/>
      <c r="E58" s="2"/>
      <c r="F58" s="2"/>
      <c r="H58" s="2"/>
      <c r="I58" s="2"/>
      <c r="J58" s="2"/>
    </row>
    <row r="59" spans="1:12" ht="13.5" x14ac:dyDescent="0.25">
      <c r="A59" s="44" t="s">
        <v>1587</v>
      </c>
      <c r="B59" s="283"/>
      <c r="C59" s="283"/>
      <c r="D59" s="2">
        <v>0</v>
      </c>
      <c r="E59" s="2">
        <v>0</v>
      </c>
      <c r="F59" s="2">
        <v>0</v>
      </c>
      <c r="G59" s="2">
        <v>0</v>
      </c>
      <c r="H59" s="2">
        <v>0</v>
      </c>
      <c r="I59" s="2">
        <v>0</v>
      </c>
      <c r="J59" s="2">
        <v>0</v>
      </c>
    </row>
    <row r="60" spans="1:12" s="219" customFormat="1" ht="13.5" x14ac:dyDescent="0.25">
      <c r="A60" s="44"/>
      <c r="B60" s="283"/>
      <c r="C60" s="283"/>
      <c r="D60" s="2"/>
      <c r="E60" s="2"/>
      <c r="F60" s="2"/>
      <c r="G60" s="2"/>
      <c r="H60" s="2"/>
      <c r="I60" s="2"/>
      <c r="J60" s="2"/>
    </row>
    <row r="61" spans="1:12" x14ac:dyDescent="0.2">
      <c r="A61" s="285" t="s">
        <v>130</v>
      </c>
      <c r="B61" s="49"/>
      <c r="C61" s="49"/>
      <c r="D61" s="3"/>
      <c r="E61" s="3">
        <v>0</v>
      </c>
      <c r="F61" s="3">
        <v>2500</v>
      </c>
      <c r="G61" s="3">
        <v>2500</v>
      </c>
      <c r="H61" s="3">
        <v>2500</v>
      </c>
      <c r="I61" s="3">
        <v>2500</v>
      </c>
      <c r="J61" s="3">
        <v>2500</v>
      </c>
    </row>
    <row r="62" spans="1:12" x14ac:dyDescent="0.2">
      <c r="A62" s="49"/>
      <c r="B62" s="49"/>
      <c r="C62" s="3"/>
      <c r="D62" s="3"/>
      <c r="E62" s="3"/>
      <c r="F62" s="3"/>
      <c r="G62" s="3"/>
      <c r="H62" s="3"/>
      <c r="I62" s="3"/>
      <c r="J62" s="3"/>
    </row>
    <row r="63" spans="1:12" x14ac:dyDescent="0.2">
      <c r="A63" s="285" t="s">
        <v>1055</v>
      </c>
      <c r="B63" s="49"/>
      <c r="C63" s="3"/>
      <c r="D63" s="3">
        <v>0</v>
      </c>
      <c r="E63" s="3">
        <v>0</v>
      </c>
      <c r="F63" s="3">
        <v>0</v>
      </c>
      <c r="G63" s="3">
        <v>0</v>
      </c>
      <c r="H63" s="3">
        <v>0</v>
      </c>
      <c r="I63" s="3">
        <v>0</v>
      </c>
      <c r="J63" s="3">
        <v>0</v>
      </c>
    </row>
    <row r="64" spans="1:12" x14ac:dyDescent="0.2">
      <c r="A64" s="49"/>
      <c r="B64" s="49"/>
      <c r="C64" s="3"/>
      <c r="D64" s="3"/>
      <c r="E64" s="3"/>
      <c r="F64" s="3"/>
      <c r="G64" s="3"/>
      <c r="H64" s="3"/>
      <c r="I64" s="3"/>
      <c r="J64" s="3"/>
    </row>
    <row r="65" spans="1:10" x14ac:dyDescent="0.2">
      <c r="A65" s="285" t="s">
        <v>1056</v>
      </c>
      <c r="B65" s="3"/>
      <c r="C65" s="60" t="s">
        <v>338</v>
      </c>
      <c r="D65" s="60"/>
      <c r="E65" s="3">
        <v>6219</v>
      </c>
      <c r="F65" s="3">
        <v>6340</v>
      </c>
      <c r="G65" s="3">
        <v>6340</v>
      </c>
      <c r="H65" s="3">
        <v>6340</v>
      </c>
      <c r="I65" s="3">
        <v>6340</v>
      </c>
      <c r="J65" s="3">
        <v>6340</v>
      </c>
    </row>
    <row r="66" spans="1:10" x14ac:dyDescent="0.2">
      <c r="A66" s="283" t="s">
        <v>805</v>
      </c>
      <c r="B66" s="2"/>
      <c r="C66" s="283"/>
      <c r="D66" s="2">
        <v>800</v>
      </c>
      <c r="E66" s="3"/>
      <c r="F66" s="3"/>
      <c r="G66" s="3"/>
      <c r="H66" s="3"/>
      <c r="I66" s="3"/>
      <c r="J66" s="3"/>
    </row>
    <row r="67" spans="1:10" x14ac:dyDescent="0.2">
      <c r="A67" s="283" t="s">
        <v>1826</v>
      </c>
      <c r="B67" s="2"/>
      <c r="C67" s="283"/>
      <c r="D67" s="2">
        <v>500</v>
      </c>
      <c r="E67" s="3"/>
      <c r="F67" s="3"/>
      <c r="G67" s="3"/>
      <c r="H67" s="3"/>
      <c r="I67" s="3"/>
      <c r="J67" s="3"/>
    </row>
    <row r="68" spans="1:10" x14ac:dyDescent="0.2">
      <c r="A68" s="283" t="s">
        <v>1681</v>
      </c>
      <c r="B68" s="2"/>
      <c r="C68" s="283"/>
      <c r="D68" s="2">
        <v>3000</v>
      </c>
      <c r="E68" s="3"/>
      <c r="F68" s="3"/>
      <c r="G68" s="3"/>
      <c r="H68" s="3"/>
      <c r="I68" s="3"/>
      <c r="J68" s="3"/>
    </row>
    <row r="69" spans="1:10" ht="15" x14ac:dyDescent="0.35">
      <c r="A69" s="283" t="s">
        <v>181</v>
      </c>
      <c r="B69" s="2"/>
      <c r="C69" s="283"/>
      <c r="D69" s="10">
        <f>(85*12)+(85*12)</f>
        <v>2040</v>
      </c>
      <c r="E69" s="3"/>
      <c r="F69" s="3"/>
      <c r="G69" s="3"/>
      <c r="H69" s="3"/>
      <c r="I69" s="3"/>
      <c r="J69" s="3"/>
    </row>
    <row r="70" spans="1:10" x14ac:dyDescent="0.2">
      <c r="A70" s="283" t="s">
        <v>1067</v>
      </c>
      <c r="B70" s="2"/>
      <c r="C70" s="283"/>
      <c r="D70" s="2">
        <f>SUM(D66:D69)</f>
        <v>6340</v>
      </c>
      <c r="E70" s="3"/>
      <c r="F70" s="3"/>
      <c r="G70" s="3"/>
      <c r="H70" s="3"/>
      <c r="I70" s="3"/>
      <c r="J70" s="3"/>
    </row>
    <row r="71" spans="1:10" x14ac:dyDescent="0.2">
      <c r="A71" s="49"/>
      <c r="B71" s="49"/>
      <c r="C71" s="3"/>
      <c r="D71" s="3"/>
      <c r="E71" s="3"/>
      <c r="F71" s="3"/>
      <c r="G71" s="3"/>
      <c r="H71" s="3"/>
      <c r="I71" s="3"/>
      <c r="J71" s="3"/>
    </row>
    <row r="72" spans="1:10" x14ac:dyDescent="0.2">
      <c r="A72" s="285" t="s">
        <v>1057</v>
      </c>
      <c r="B72" s="49"/>
      <c r="C72" s="3"/>
      <c r="D72" s="3"/>
      <c r="E72" s="3">
        <v>1032</v>
      </c>
      <c r="F72" s="3">
        <v>3500</v>
      </c>
      <c r="G72" s="3">
        <v>3500</v>
      </c>
      <c r="H72" s="3">
        <v>3500</v>
      </c>
      <c r="I72" s="3">
        <v>3500</v>
      </c>
      <c r="J72" s="3">
        <v>3500</v>
      </c>
    </row>
    <row r="73" spans="1:10" x14ac:dyDescent="0.2">
      <c r="A73" s="49"/>
      <c r="B73" s="49"/>
      <c r="C73" s="3"/>
      <c r="D73" s="3"/>
      <c r="E73" s="3"/>
      <c r="F73" s="3"/>
      <c r="G73" s="3"/>
      <c r="H73" s="3"/>
      <c r="I73" s="3"/>
      <c r="J73" s="3"/>
    </row>
    <row r="74" spans="1:10" x14ac:dyDescent="0.2">
      <c r="A74" s="285" t="s">
        <v>1150</v>
      </c>
      <c r="B74" s="49"/>
      <c r="C74" s="3"/>
      <c r="D74" s="3">
        <v>0</v>
      </c>
      <c r="E74" s="3">
        <v>0</v>
      </c>
      <c r="F74" s="3">
        <v>10000</v>
      </c>
      <c r="G74" s="3">
        <v>10000</v>
      </c>
      <c r="H74" s="3">
        <v>3000</v>
      </c>
      <c r="I74" s="3">
        <v>3000</v>
      </c>
      <c r="J74" s="3">
        <v>3000</v>
      </c>
    </row>
    <row r="75" spans="1:10" s="197" customFormat="1" x14ac:dyDescent="0.2">
      <c r="A75" s="126" t="s">
        <v>1979</v>
      </c>
      <c r="B75" s="49"/>
      <c r="C75" s="3">
        <v>3000</v>
      </c>
      <c r="D75" s="3"/>
      <c r="E75" s="3"/>
      <c r="F75" s="3"/>
      <c r="G75" s="3"/>
      <c r="H75" s="3"/>
      <c r="I75" s="3"/>
      <c r="J75" s="3"/>
    </row>
    <row r="76" spans="1:10" x14ac:dyDescent="0.2">
      <c r="A76" s="49"/>
      <c r="B76" s="49"/>
      <c r="C76" s="3"/>
      <c r="D76" s="3"/>
      <c r="E76" s="3"/>
      <c r="F76" s="3"/>
      <c r="G76" s="3"/>
      <c r="H76" s="3"/>
      <c r="I76" s="3"/>
      <c r="J76" s="3"/>
    </row>
    <row r="77" spans="1:10" x14ac:dyDescent="0.2">
      <c r="A77" s="66" t="s">
        <v>1058</v>
      </c>
      <c r="B77" s="49"/>
      <c r="C77" s="3"/>
      <c r="D77" s="3"/>
      <c r="E77" s="3">
        <v>1684</v>
      </c>
      <c r="F77" s="3">
        <v>1987</v>
      </c>
      <c r="G77" s="3">
        <v>2086</v>
      </c>
      <c r="H77" s="3">
        <v>2086</v>
      </c>
      <c r="I77" s="3">
        <v>2086</v>
      </c>
      <c r="J77" s="3">
        <v>2086</v>
      </c>
    </row>
    <row r="78" spans="1:10" x14ac:dyDescent="0.2">
      <c r="A78" s="49" t="s">
        <v>1682</v>
      </c>
      <c r="B78" s="49"/>
      <c r="C78" s="3"/>
      <c r="D78" s="263">
        <v>2086</v>
      </c>
      <c r="E78" s="3"/>
      <c r="F78" s="3"/>
      <c r="G78" s="3"/>
      <c r="H78" s="3"/>
      <c r="I78" s="3"/>
      <c r="J78" s="3"/>
    </row>
    <row r="79" spans="1:10" x14ac:dyDescent="0.2">
      <c r="A79" s="49"/>
      <c r="B79" s="49"/>
      <c r="C79" s="3"/>
      <c r="D79" s="3"/>
      <c r="E79" s="3"/>
      <c r="F79" s="3"/>
      <c r="G79" s="3"/>
      <c r="H79" s="3"/>
      <c r="I79" s="3"/>
      <c r="J79" s="3"/>
    </row>
    <row r="80" spans="1:10" x14ac:dyDescent="0.2">
      <c r="A80" s="285" t="s">
        <v>1059</v>
      </c>
      <c r="B80" s="49"/>
      <c r="C80" s="60" t="s">
        <v>338</v>
      </c>
      <c r="D80" s="60"/>
      <c r="E80" s="3">
        <v>275</v>
      </c>
      <c r="F80" s="3">
        <v>1500</v>
      </c>
      <c r="G80" s="3">
        <v>1500</v>
      </c>
      <c r="H80" s="3">
        <v>1500</v>
      </c>
      <c r="I80" s="3">
        <v>1500</v>
      </c>
      <c r="J80" s="3">
        <v>1500</v>
      </c>
    </row>
    <row r="81" spans="1:10" x14ac:dyDescent="0.2">
      <c r="A81" s="49"/>
      <c r="B81" s="49"/>
      <c r="C81" s="3"/>
      <c r="D81" s="3"/>
      <c r="E81" s="3"/>
      <c r="F81" s="3"/>
      <c r="G81" s="3"/>
      <c r="H81" s="3"/>
      <c r="I81" s="3"/>
      <c r="J81" s="3"/>
    </row>
    <row r="82" spans="1:10" x14ac:dyDescent="0.2">
      <c r="A82" s="285" t="s">
        <v>1060</v>
      </c>
      <c r="B82" s="49"/>
      <c r="C82" s="3"/>
      <c r="D82" s="3"/>
      <c r="E82" s="3">
        <v>315</v>
      </c>
      <c r="F82" s="3">
        <v>2000</v>
      </c>
      <c r="G82" s="3">
        <v>2000</v>
      </c>
      <c r="H82" s="3">
        <v>2000</v>
      </c>
      <c r="I82" s="3">
        <v>2000</v>
      </c>
      <c r="J82" s="3">
        <v>2000</v>
      </c>
    </row>
    <row r="83" spans="1:10" x14ac:dyDescent="0.2">
      <c r="A83" s="49"/>
      <c r="B83" s="49"/>
      <c r="C83" s="3"/>
      <c r="D83" s="3"/>
      <c r="E83" s="3"/>
      <c r="F83" s="3"/>
      <c r="G83" s="3"/>
      <c r="H83" s="3"/>
      <c r="I83" s="3"/>
      <c r="J83" s="3"/>
    </row>
    <row r="84" spans="1:10" x14ac:dyDescent="0.2">
      <c r="A84" s="285" t="s">
        <v>599</v>
      </c>
      <c r="B84" s="49"/>
      <c r="C84" s="3"/>
      <c r="D84" s="3"/>
      <c r="E84" s="3">
        <v>0</v>
      </c>
      <c r="F84" s="3">
        <v>5000</v>
      </c>
      <c r="G84" s="3">
        <v>5000</v>
      </c>
      <c r="H84" s="3">
        <v>5000</v>
      </c>
      <c r="I84" s="3">
        <v>5000</v>
      </c>
      <c r="J84" s="3">
        <v>5000</v>
      </c>
    </row>
    <row r="85" spans="1:10" x14ac:dyDescent="0.2">
      <c r="A85" s="49"/>
      <c r="B85" s="49"/>
      <c r="C85" s="3"/>
      <c r="D85" s="3"/>
      <c r="E85" s="3"/>
      <c r="F85" s="3"/>
      <c r="G85" s="3"/>
      <c r="H85" s="3"/>
      <c r="I85" s="3"/>
      <c r="J85" s="3"/>
    </row>
    <row r="86" spans="1:10" x14ac:dyDescent="0.2">
      <c r="A86" s="285" t="s">
        <v>1061</v>
      </c>
      <c r="B86" s="49"/>
      <c r="C86" s="3"/>
      <c r="D86" s="3"/>
      <c r="E86" s="3">
        <v>800</v>
      </c>
      <c r="F86" s="3">
        <v>3000</v>
      </c>
      <c r="G86" s="3">
        <v>3000</v>
      </c>
      <c r="H86" s="3">
        <v>3000</v>
      </c>
      <c r="I86" s="3">
        <v>3000</v>
      </c>
      <c r="J86" s="3">
        <v>3000</v>
      </c>
    </row>
    <row r="87" spans="1:10" x14ac:dyDescent="0.2">
      <c r="A87" s="49"/>
      <c r="B87" s="49"/>
      <c r="C87" s="3"/>
      <c r="D87" s="3"/>
      <c r="E87" s="3"/>
      <c r="F87" s="3"/>
      <c r="G87" s="3"/>
      <c r="H87" s="3"/>
      <c r="I87" s="3"/>
      <c r="J87" s="3"/>
    </row>
    <row r="88" spans="1:10" x14ac:dyDescent="0.2">
      <c r="A88" s="285" t="s">
        <v>131</v>
      </c>
      <c r="B88" s="49"/>
      <c r="C88" s="3"/>
      <c r="D88" s="3"/>
      <c r="E88" s="3">
        <v>23295</v>
      </c>
      <c r="F88" s="2">
        <v>23806</v>
      </c>
      <c r="G88" s="2">
        <v>24915</v>
      </c>
      <c r="H88" s="2">
        <v>24915</v>
      </c>
      <c r="I88" s="2">
        <v>24915</v>
      </c>
      <c r="J88" s="2">
        <v>24915</v>
      </c>
    </row>
    <row r="89" spans="1:10" x14ac:dyDescent="0.2">
      <c r="A89" s="36" t="s">
        <v>1149</v>
      </c>
      <c r="B89" s="49"/>
      <c r="C89" s="3"/>
      <c r="D89" s="3">
        <v>22915</v>
      </c>
      <c r="E89" s="3"/>
      <c r="F89" s="3"/>
      <c r="G89" s="3"/>
      <c r="H89" s="3"/>
      <c r="I89" s="3"/>
      <c r="J89" s="3"/>
    </row>
    <row r="90" spans="1:10" ht="15" x14ac:dyDescent="0.35">
      <c r="A90" s="36" t="s">
        <v>1152</v>
      </c>
      <c r="B90" s="49"/>
      <c r="C90" s="3"/>
      <c r="D90" s="28">
        <v>2000</v>
      </c>
      <c r="E90" s="3"/>
      <c r="F90" s="3"/>
      <c r="G90" s="3"/>
      <c r="H90" s="3"/>
      <c r="I90" s="3"/>
      <c r="J90" s="3"/>
    </row>
    <row r="91" spans="1:10" x14ac:dyDescent="0.2">
      <c r="A91" s="36"/>
      <c r="B91" s="49"/>
      <c r="C91" s="3"/>
      <c r="D91" s="3">
        <f>SUM(D89:D90)</f>
        <v>24915</v>
      </c>
      <c r="E91" s="3"/>
      <c r="F91" s="3"/>
      <c r="G91" s="3"/>
      <c r="H91" s="3"/>
      <c r="I91" s="3"/>
      <c r="J91" s="3"/>
    </row>
    <row r="92" spans="1:10" x14ac:dyDescent="0.2">
      <c r="A92" s="49"/>
      <c r="B92" s="49"/>
      <c r="C92" s="3"/>
      <c r="D92" s="3"/>
      <c r="E92" s="3"/>
      <c r="F92" s="3"/>
      <c r="G92" s="3"/>
      <c r="H92" s="3"/>
      <c r="I92" s="3"/>
      <c r="J92" s="3"/>
    </row>
    <row r="93" spans="1:10" x14ac:dyDescent="0.2">
      <c r="A93" s="285" t="s">
        <v>132</v>
      </c>
      <c r="B93" s="49"/>
      <c r="C93" s="3"/>
      <c r="D93" s="3"/>
      <c r="E93" s="3">
        <v>0</v>
      </c>
      <c r="F93" s="3">
        <v>250</v>
      </c>
      <c r="G93" s="3">
        <v>250</v>
      </c>
      <c r="H93" s="3">
        <v>250</v>
      </c>
      <c r="I93" s="3">
        <v>250</v>
      </c>
      <c r="J93" s="3">
        <v>250</v>
      </c>
    </row>
    <row r="94" spans="1:10" x14ac:dyDescent="0.2">
      <c r="A94" s="49"/>
      <c r="B94" s="49"/>
      <c r="C94" s="3"/>
      <c r="D94" s="3"/>
      <c r="E94" s="3"/>
      <c r="F94" s="3"/>
      <c r="G94" s="3"/>
      <c r="H94" s="3"/>
      <c r="I94" s="3"/>
      <c r="J94" s="3"/>
    </row>
    <row r="95" spans="1:10" x14ac:dyDescent="0.2">
      <c r="A95" s="285" t="s">
        <v>1151</v>
      </c>
      <c r="B95" s="49"/>
      <c r="C95" s="3"/>
      <c r="D95" s="3"/>
      <c r="E95" s="3">
        <v>100</v>
      </c>
      <c r="F95" s="3">
        <v>100</v>
      </c>
      <c r="G95" s="3">
        <v>100</v>
      </c>
      <c r="H95" s="3">
        <v>100</v>
      </c>
      <c r="I95" s="3">
        <v>100</v>
      </c>
      <c r="J95" s="3">
        <v>100</v>
      </c>
    </row>
    <row r="96" spans="1:10" x14ac:dyDescent="0.2">
      <c r="A96" s="49"/>
      <c r="B96" s="49"/>
      <c r="C96" s="3"/>
      <c r="D96" s="3"/>
      <c r="E96" s="3"/>
      <c r="F96" s="3"/>
      <c r="G96" s="3"/>
      <c r="H96" s="3"/>
      <c r="I96" s="3"/>
      <c r="J96" s="3"/>
    </row>
    <row r="97" spans="1:10" x14ac:dyDescent="0.2">
      <c r="A97" s="285" t="s">
        <v>1595</v>
      </c>
      <c r="B97" s="49"/>
      <c r="C97" s="3"/>
      <c r="D97" s="3"/>
      <c r="E97" s="3">
        <v>0</v>
      </c>
      <c r="F97" s="3">
        <v>0</v>
      </c>
      <c r="G97" s="3">
        <v>0</v>
      </c>
      <c r="H97" s="3">
        <v>0</v>
      </c>
      <c r="I97" s="3">
        <v>0</v>
      </c>
      <c r="J97" s="3">
        <v>0</v>
      </c>
    </row>
    <row r="98" spans="1:10" x14ac:dyDescent="0.2">
      <c r="A98" s="49"/>
      <c r="B98" s="49"/>
      <c r="C98" s="3"/>
      <c r="D98" s="3"/>
      <c r="E98" s="3"/>
      <c r="F98" s="3"/>
      <c r="G98" s="3"/>
      <c r="H98" s="3"/>
      <c r="I98" s="3"/>
      <c r="J98" s="3"/>
    </row>
    <row r="99" spans="1:10" ht="15" x14ac:dyDescent="0.35">
      <c r="A99" s="285" t="s">
        <v>133</v>
      </c>
      <c r="B99" s="284" t="s">
        <v>1825</v>
      </c>
      <c r="C99" s="284" t="s">
        <v>1947</v>
      </c>
      <c r="D99" s="284" t="s">
        <v>2039</v>
      </c>
      <c r="E99" s="28">
        <v>68262</v>
      </c>
      <c r="F99" s="28">
        <v>55000</v>
      </c>
      <c r="G99" s="28">
        <v>55000</v>
      </c>
      <c r="H99" s="28">
        <v>55000</v>
      </c>
      <c r="I99" s="28">
        <v>55000</v>
      </c>
      <c r="J99" s="28">
        <v>55000</v>
      </c>
    </row>
    <row r="100" spans="1:10" x14ac:dyDescent="0.2">
      <c r="A100" s="67" t="s">
        <v>962</v>
      </c>
      <c r="B100" s="76">
        <v>10000</v>
      </c>
      <c r="C100" s="76">
        <v>10000</v>
      </c>
      <c r="D100" s="76">
        <v>10000</v>
      </c>
      <c r="F100" s="2"/>
      <c r="H100" s="2"/>
      <c r="I100" s="2"/>
      <c r="J100" s="2"/>
    </row>
    <row r="101" spans="1:10" x14ac:dyDescent="0.2">
      <c r="A101" s="67" t="s">
        <v>1732</v>
      </c>
      <c r="B101" s="76">
        <v>5000</v>
      </c>
      <c r="C101" s="76">
        <v>5000</v>
      </c>
      <c r="D101" s="76">
        <v>5000</v>
      </c>
      <c r="G101" s="183"/>
      <c r="H101" s="267"/>
      <c r="I101" s="227"/>
      <c r="J101" s="228"/>
    </row>
    <row r="102" spans="1:10" x14ac:dyDescent="0.2">
      <c r="A102" s="283" t="s">
        <v>1797</v>
      </c>
      <c r="B102" s="76"/>
      <c r="C102" s="76">
        <v>20000</v>
      </c>
      <c r="D102" s="76">
        <v>40000</v>
      </c>
      <c r="G102" s="183"/>
      <c r="H102" s="267"/>
      <c r="I102" s="227"/>
      <c r="J102" s="228"/>
    </row>
    <row r="103" spans="1:10" x14ac:dyDescent="0.2">
      <c r="A103" s="67" t="s">
        <v>1733</v>
      </c>
      <c r="B103" s="76"/>
      <c r="C103" s="76"/>
      <c r="D103" s="76"/>
      <c r="G103" s="183"/>
      <c r="H103" s="267"/>
      <c r="I103" s="227"/>
      <c r="J103" s="228"/>
    </row>
    <row r="104" spans="1:10" x14ac:dyDescent="0.2">
      <c r="A104" s="67" t="s">
        <v>1784</v>
      </c>
      <c r="B104" s="76"/>
      <c r="C104" s="76"/>
      <c r="D104" s="76"/>
      <c r="G104" s="183"/>
      <c r="H104" s="267"/>
      <c r="I104" s="227"/>
      <c r="J104" s="228"/>
    </row>
    <row r="105" spans="1:10" x14ac:dyDescent="0.2">
      <c r="A105" s="67" t="s">
        <v>1668</v>
      </c>
      <c r="B105" s="76">
        <v>25000</v>
      </c>
      <c r="C105" s="76"/>
      <c r="D105" s="76"/>
      <c r="G105" s="183"/>
      <c r="H105" s="267"/>
      <c r="I105" s="227"/>
      <c r="J105" s="228"/>
    </row>
    <row r="106" spans="1:10" x14ac:dyDescent="0.2">
      <c r="A106" s="67" t="s">
        <v>1980</v>
      </c>
      <c r="B106" s="76"/>
      <c r="C106" s="76">
        <v>20000</v>
      </c>
      <c r="D106" s="76"/>
      <c r="G106" s="183"/>
      <c r="H106" s="267"/>
      <c r="I106" s="227"/>
      <c r="J106" s="228"/>
    </row>
    <row r="107" spans="1:10" x14ac:dyDescent="0.2">
      <c r="A107" s="67" t="s">
        <v>1855</v>
      </c>
      <c r="B107" s="77">
        <v>15000</v>
      </c>
      <c r="C107" s="77">
        <v>0</v>
      </c>
      <c r="D107" s="77">
        <v>0</v>
      </c>
      <c r="F107" s="2"/>
      <c r="H107" s="2"/>
      <c r="I107" s="2"/>
      <c r="J107" s="2"/>
    </row>
    <row r="108" spans="1:10" x14ac:dyDescent="0.2">
      <c r="A108" s="283"/>
      <c r="B108" s="41">
        <f>SUM(B100:B107)</f>
        <v>55000</v>
      </c>
      <c r="C108" s="41">
        <f>SUM(C100:C107)</f>
        <v>55000</v>
      </c>
      <c r="D108" s="41">
        <f>SUM(D100:D107)</f>
        <v>55000</v>
      </c>
      <c r="F108" s="2"/>
      <c r="H108" s="2"/>
      <c r="I108" s="2"/>
      <c r="J108" s="2"/>
    </row>
    <row r="109" spans="1:10" x14ac:dyDescent="0.2">
      <c r="A109" s="283"/>
      <c r="B109" s="283"/>
      <c r="C109" s="283"/>
      <c r="D109" s="283"/>
      <c r="F109" s="2"/>
      <c r="H109" s="2"/>
      <c r="I109" s="2"/>
      <c r="J109" s="2"/>
    </row>
    <row r="110" spans="1:10" x14ac:dyDescent="0.2">
      <c r="A110" s="19" t="s">
        <v>1144</v>
      </c>
      <c r="B110" s="283"/>
      <c r="C110" s="283"/>
      <c r="D110" s="2"/>
      <c r="E110" s="2">
        <f>SUM(E6:E99)</f>
        <v>326108</v>
      </c>
      <c r="F110" s="2">
        <f t="shared" ref="F110:J110" si="1">SUM(F6:F99)</f>
        <v>382268</v>
      </c>
      <c r="G110" s="2">
        <f t="shared" si="1"/>
        <v>386596</v>
      </c>
      <c r="H110" s="2">
        <f t="shared" ref="H110" si="2">SUM(H6:H99)</f>
        <v>379596</v>
      </c>
      <c r="I110" s="2">
        <f t="shared" si="1"/>
        <v>386675</v>
      </c>
      <c r="J110" s="2">
        <f t="shared" si="1"/>
        <v>386675</v>
      </c>
    </row>
    <row r="111" spans="1:10" x14ac:dyDescent="0.2">
      <c r="A111" s="283"/>
      <c r="B111" s="283"/>
      <c r="C111" s="283"/>
      <c r="D111" s="283"/>
      <c r="G111" s="183"/>
      <c r="H111" s="267"/>
      <c r="I111" s="227"/>
    </row>
    <row r="112" spans="1:10" x14ac:dyDescent="0.2">
      <c r="A112" s="283" t="s">
        <v>511</v>
      </c>
      <c r="B112" s="283"/>
      <c r="C112" s="283"/>
      <c r="D112" s="283"/>
      <c r="E112" s="2">
        <f>SUM(E6:E59)</f>
        <v>224126</v>
      </c>
      <c r="F112" s="2">
        <f>SUM(F6:F59)</f>
        <v>267285</v>
      </c>
      <c r="G112" s="2">
        <f>SUM(G6:G60)</f>
        <v>270405</v>
      </c>
      <c r="H112" s="2">
        <f>SUM(H6:H60)</f>
        <v>270405</v>
      </c>
      <c r="I112" s="2">
        <f>SUM(I6:I59)</f>
        <v>277484</v>
      </c>
      <c r="J112" s="2">
        <f>SUM(J6:J59)</f>
        <v>277484</v>
      </c>
    </row>
    <row r="113" spans="1:10" x14ac:dyDescent="0.2">
      <c r="A113" s="283" t="s">
        <v>803</v>
      </c>
      <c r="B113" s="283"/>
      <c r="C113" s="283"/>
      <c r="D113" s="283"/>
      <c r="E113" s="2">
        <f t="shared" ref="E113:J113" si="3">SUM(E61:E95)</f>
        <v>33720</v>
      </c>
      <c r="F113" s="2">
        <f t="shared" si="3"/>
        <v>59983</v>
      </c>
      <c r="G113" s="2">
        <f t="shared" si="3"/>
        <v>61191</v>
      </c>
      <c r="H113" s="2">
        <f t="shared" ref="H113" si="4">SUM(H61:H95)</f>
        <v>54191</v>
      </c>
      <c r="I113" s="2">
        <f>SUM(I61:I95)</f>
        <v>54191</v>
      </c>
      <c r="J113" s="2">
        <f t="shared" si="3"/>
        <v>54191</v>
      </c>
    </row>
    <row r="114" spans="1:10" ht="15" x14ac:dyDescent="0.35">
      <c r="A114" s="283" t="s">
        <v>804</v>
      </c>
      <c r="B114" s="283"/>
      <c r="C114" s="283"/>
      <c r="D114" s="283"/>
      <c r="E114" s="10">
        <f t="shared" ref="E114:J114" si="5">SUM(E97:E108)</f>
        <v>68262</v>
      </c>
      <c r="F114" s="10">
        <f t="shared" si="5"/>
        <v>55000</v>
      </c>
      <c r="G114" s="10">
        <f t="shared" si="5"/>
        <v>55000</v>
      </c>
      <c r="H114" s="10">
        <f t="shared" ref="H114" si="6">SUM(H97:H108)</f>
        <v>55000</v>
      </c>
      <c r="I114" s="10">
        <f>SUM(I97:I108)</f>
        <v>55000</v>
      </c>
      <c r="J114" s="10">
        <f t="shared" si="5"/>
        <v>55000</v>
      </c>
    </row>
    <row r="115" spans="1:10" x14ac:dyDescent="0.2">
      <c r="A115" s="283" t="s">
        <v>1067</v>
      </c>
      <c r="B115" s="283"/>
      <c r="C115" s="283"/>
      <c r="D115" s="283"/>
      <c r="E115" s="2">
        <f t="shared" ref="E115:J115" si="7">SUM(E112:E114)</f>
        <v>326108</v>
      </c>
      <c r="F115" s="2">
        <f t="shared" si="7"/>
        <v>382268</v>
      </c>
      <c r="G115" s="2">
        <f t="shared" si="7"/>
        <v>386596</v>
      </c>
      <c r="H115" s="2">
        <f t="shared" ref="H115" si="8">SUM(H112:H114)</f>
        <v>379596</v>
      </c>
      <c r="I115" s="2">
        <f>SUM(I112:I114)</f>
        <v>386675</v>
      </c>
      <c r="J115" s="2">
        <f t="shared" si="7"/>
        <v>386675</v>
      </c>
    </row>
    <row r="116" spans="1:10" x14ac:dyDescent="0.2">
      <c r="A116" s="49"/>
      <c r="B116" s="283"/>
      <c r="C116" s="283"/>
      <c r="D116" s="283"/>
      <c r="E116" s="2"/>
      <c r="F116" s="2"/>
      <c r="H116" s="2"/>
      <c r="I116" s="2"/>
      <c r="J116" s="2"/>
    </row>
    <row r="117" spans="1:10" x14ac:dyDescent="0.2">
      <c r="A117" s="49"/>
      <c r="B117" s="283"/>
      <c r="C117" s="283"/>
      <c r="D117" s="283"/>
      <c r="F117" s="2"/>
      <c r="H117" s="2"/>
      <c r="I117" s="2"/>
      <c r="J117" s="2">
        <v>7079</v>
      </c>
    </row>
    <row r="118" spans="1:10" x14ac:dyDescent="0.2">
      <c r="A118" s="49"/>
      <c r="B118" s="283"/>
      <c r="C118" s="283"/>
      <c r="D118" s="283"/>
      <c r="F118" s="2"/>
      <c r="H118" s="2"/>
      <c r="I118" s="2">
        <f>+I115-H115</f>
        <v>7079</v>
      </c>
      <c r="J118" s="2">
        <f>+J115-H115</f>
        <v>7079</v>
      </c>
    </row>
    <row r="119" spans="1:10" x14ac:dyDescent="0.2">
      <c r="A119" s="49"/>
      <c r="B119" s="283"/>
      <c r="C119" s="283"/>
      <c r="D119" s="283"/>
      <c r="F119" s="2"/>
      <c r="H119" s="2"/>
      <c r="I119" s="2"/>
      <c r="J119" s="2">
        <f>J117-J118</f>
        <v>0</v>
      </c>
    </row>
    <row r="120" spans="1:10" ht="15.75" x14ac:dyDescent="0.2">
      <c r="A120" s="135"/>
      <c r="B120" s="283"/>
      <c r="C120" s="283"/>
      <c r="D120" s="283"/>
      <c r="F120" s="2"/>
      <c r="H120" s="2"/>
      <c r="I120" s="2"/>
      <c r="J120" s="2"/>
    </row>
    <row r="121" spans="1:10" ht="15.75" x14ac:dyDescent="0.2">
      <c r="A121" s="135"/>
      <c r="B121" s="283"/>
      <c r="C121" s="283"/>
      <c r="D121" s="283"/>
      <c r="F121" s="2"/>
      <c r="H121" s="2"/>
      <c r="I121" s="2"/>
      <c r="J121" s="2"/>
    </row>
    <row r="122" spans="1:10" ht="15.75" x14ac:dyDescent="0.2">
      <c r="A122" s="135"/>
      <c r="B122" s="283"/>
      <c r="C122" s="283"/>
      <c r="D122" s="283"/>
      <c r="F122" s="2"/>
      <c r="H122" s="2"/>
      <c r="I122" s="2"/>
      <c r="J122" s="2"/>
    </row>
    <row r="123" spans="1:10" ht="15.75" x14ac:dyDescent="0.2">
      <c r="A123" s="135"/>
      <c r="B123" s="283"/>
      <c r="C123" s="283"/>
      <c r="D123" s="283"/>
      <c r="F123" s="2"/>
      <c r="H123" s="2"/>
      <c r="I123" s="2"/>
      <c r="J123" s="2"/>
    </row>
    <row r="124" spans="1:10" ht="15.75" x14ac:dyDescent="0.2">
      <c r="A124" s="135"/>
      <c r="B124" s="283"/>
      <c r="C124" s="283"/>
      <c r="D124" s="283"/>
      <c r="F124" s="2"/>
      <c r="H124" s="2"/>
      <c r="I124" s="2"/>
      <c r="J124" s="2"/>
    </row>
    <row r="125" spans="1:10" ht="15.75" x14ac:dyDescent="0.2">
      <c r="A125" s="135"/>
      <c r="B125" s="283"/>
      <c r="C125" s="283"/>
      <c r="D125" s="283"/>
      <c r="F125" s="2"/>
      <c r="H125" s="2"/>
      <c r="I125" s="2"/>
      <c r="J125" s="2"/>
    </row>
    <row r="126" spans="1:10" x14ac:dyDescent="0.2">
      <c r="A126" s="283"/>
      <c r="B126" s="283"/>
      <c r="C126" s="283"/>
      <c r="D126" s="283"/>
      <c r="F126" s="2"/>
      <c r="H126" s="2"/>
      <c r="I126" s="2"/>
      <c r="J126" s="2"/>
    </row>
    <row r="127" spans="1:10" x14ac:dyDescent="0.2">
      <c r="A127" s="283"/>
      <c r="B127" s="283"/>
      <c r="C127" s="283"/>
      <c r="D127" s="283"/>
      <c r="F127" s="2"/>
      <c r="H127" s="2"/>
      <c r="I127" s="2"/>
      <c r="J127" s="2"/>
    </row>
    <row r="128" spans="1:10" x14ac:dyDescent="0.2">
      <c r="A128" s="283"/>
      <c r="B128" s="283"/>
      <c r="C128" s="283"/>
      <c r="D128" s="283"/>
      <c r="F128" s="2"/>
      <c r="H128" s="2"/>
      <c r="I128" s="2"/>
      <c r="J128" s="2"/>
    </row>
    <row r="129" spans="1:10" x14ac:dyDescent="0.2">
      <c r="A129" s="283"/>
      <c r="B129" s="283"/>
      <c r="C129" s="283"/>
      <c r="D129" s="283"/>
      <c r="F129" s="2"/>
      <c r="H129" s="2"/>
      <c r="I129" s="2"/>
      <c r="J129" s="2"/>
    </row>
    <row r="130" spans="1:10" x14ac:dyDescent="0.2">
      <c r="A130" s="283"/>
      <c r="B130" s="283"/>
      <c r="C130" s="283"/>
      <c r="D130" s="283"/>
      <c r="F130" s="2"/>
      <c r="H130" s="2"/>
      <c r="I130" s="2"/>
      <c r="J130" s="2"/>
    </row>
    <row r="131" spans="1:10" x14ac:dyDescent="0.2">
      <c r="A131" s="283"/>
      <c r="B131" s="283"/>
      <c r="C131" s="283"/>
      <c r="D131" s="283"/>
      <c r="F131" s="2"/>
      <c r="H131" s="2"/>
      <c r="I131" s="2"/>
      <c r="J131" s="2"/>
    </row>
    <row r="132" spans="1:10" x14ac:dyDescent="0.2">
      <c r="A132" s="283"/>
      <c r="B132" s="283"/>
      <c r="C132" s="283"/>
      <c r="D132" s="283"/>
      <c r="F132" s="2"/>
      <c r="H132" s="2"/>
      <c r="I132" s="2"/>
      <c r="J132" s="2"/>
    </row>
    <row r="133" spans="1:10" x14ac:dyDescent="0.2">
      <c r="A133" s="283"/>
      <c r="B133" s="283"/>
      <c r="C133" s="283"/>
      <c r="D133" s="283"/>
      <c r="F133" s="2"/>
      <c r="H133" s="2"/>
      <c r="I133" s="2"/>
      <c r="J133" s="2"/>
    </row>
    <row r="134" spans="1:10" x14ac:dyDescent="0.2">
      <c r="F134" s="2"/>
      <c r="H134" s="2"/>
      <c r="I134" s="2"/>
      <c r="J134" s="2"/>
    </row>
    <row r="135" spans="1:10" x14ac:dyDescent="0.2">
      <c r="F135" s="2"/>
      <c r="H135" s="2"/>
      <c r="I135" s="2"/>
      <c r="J135" s="2"/>
    </row>
    <row r="136" spans="1:10" x14ac:dyDescent="0.2">
      <c r="F136" s="2"/>
      <c r="H136" s="2"/>
      <c r="I136" s="2"/>
      <c r="J136" s="2"/>
    </row>
    <row r="137" spans="1:10" x14ac:dyDescent="0.2">
      <c r="F137" s="2"/>
      <c r="H137" s="2"/>
      <c r="I137" s="2"/>
      <c r="J137" s="2"/>
    </row>
    <row r="138" spans="1:10" x14ac:dyDescent="0.2">
      <c r="F138" s="2"/>
      <c r="H138" s="2"/>
      <c r="I138" s="2"/>
      <c r="J138" s="2"/>
    </row>
    <row r="139" spans="1:10" x14ac:dyDescent="0.2">
      <c r="F139" s="2"/>
      <c r="H139" s="2"/>
      <c r="I139" s="2"/>
      <c r="J139" s="2"/>
    </row>
    <row r="140" spans="1:10" x14ac:dyDescent="0.2">
      <c r="F140" s="2"/>
      <c r="H140" s="2"/>
      <c r="I140" s="2"/>
      <c r="J140" s="2"/>
    </row>
    <row r="141" spans="1:10" x14ac:dyDescent="0.2">
      <c r="F141" s="2"/>
      <c r="H141" s="2"/>
      <c r="I141" s="2"/>
      <c r="J141" s="2"/>
    </row>
    <row r="142" spans="1:10" x14ac:dyDescent="0.2">
      <c r="F142" s="2"/>
      <c r="H142" s="2"/>
      <c r="I142" s="2"/>
      <c r="J142" s="2"/>
    </row>
    <row r="143" spans="1:10" x14ac:dyDescent="0.2">
      <c r="F143" s="2"/>
      <c r="H143" s="2"/>
      <c r="I143" s="2"/>
      <c r="J143" s="2"/>
    </row>
    <row r="144" spans="1:10" x14ac:dyDescent="0.2">
      <c r="F144" s="2"/>
      <c r="H144" s="2"/>
      <c r="I144" s="2"/>
      <c r="J144" s="2"/>
    </row>
    <row r="145" spans="6:10" x14ac:dyDescent="0.2">
      <c r="F145" s="2"/>
      <c r="H145" s="2"/>
      <c r="I145" s="2"/>
      <c r="J145" s="2"/>
    </row>
    <row r="146" spans="6:10" x14ac:dyDescent="0.2">
      <c r="F146" s="2"/>
      <c r="H146" s="2"/>
      <c r="I146" s="2"/>
      <c r="J146" s="2"/>
    </row>
    <row r="147" spans="6:10" x14ac:dyDescent="0.2">
      <c r="F147" s="2"/>
      <c r="H147" s="2"/>
      <c r="I147" s="2"/>
      <c r="J147" s="2"/>
    </row>
    <row r="148" spans="6:10" x14ac:dyDescent="0.2">
      <c r="F148" s="2"/>
      <c r="H148" s="2"/>
      <c r="I148" s="2"/>
      <c r="J148" s="2"/>
    </row>
    <row r="149" spans="6:10" x14ac:dyDescent="0.2">
      <c r="H149" s="2"/>
      <c r="I149" s="2"/>
    </row>
    <row r="150" spans="6:10" x14ac:dyDescent="0.2">
      <c r="H150" s="2"/>
      <c r="I150" s="2"/>
    </row>
    <row r="151" spans="6:10" x14ac:dyDescent="0.2">
      <c r="H151" s="2"/>
      <c r="I151" s="2"/>
    </row>
    <row r="152" spans="6:10" x14ac:dyDescent="0.2">
      <c r="H152" s="2"/>
      <c r="I152" s="2"/>
    </row>
    <row r="153" spans="6:10" x14ac:dyDescent="0.2">
      <c r="H153" s="2"/>
      <c r="I153" s="2"/>
    </row>
    <row r="154" spans="6:10" x14ac:dyDescent="0.2">
      <c r="H154" s="2"/>
      <c r="I154" s="2"/>
    </row>
    <row r="155" spans="6:10" x14ac:dyDescent="0.2">
      <c r="H155" s="2"/>
      <c r="I155" s="2"/>
    </row>
    <row r="156" spans="6:10" x14ac:dyDescent="0.2">
      <c r="H156" s="2"/>
      <c r="I156" s="2"/>
    </row>
    <row r="157" spans="6:10" x14ac:dyDescent="0.2">
      <c r="H157" s="2"/>
      <c r="I157" s="2"/>
    </row>
    <row r="158" spans="6:10" x14ac:dyDescent="0.2">
      <c r="H158" s="2"/>
      <c r="I158" s="2"/>
    </row>
    <row r="159" spans="6:10" x14ac:dyDescent="0.2">
      <c r="H159" s="2"/>
      <c r="I159" s="2"/>
    </row>
    <row r="160" spans="6:10" x14ac:dyDescent="0.2">
      <c r="H160" s="2"/>
      <c r="I160" s="2"/>
    </row>
    <row r="161" spans="8:9" x14ac:dyDescent="0.2">
      <c r="H161" s="2"/>
      <c r="I161" s="2"/>
    </row>
    <row r="162" spans="8:9" x14ac:dyDescent="0.2">
      <c r="I162" s="227"/>
    </row>
    <row r="163" spans="8:9" x14ac:dyDescent="0.2">
      <c r="I163" s="227"/>
    </row>
    <row r="164" spans="8:9" x14ac:dyDescent="0.2">
      <c r="I164" s="227"/>
    </row>
    <row r="165" spans="8:9" x14ac:dyDescent="0.2">
      <c r="I165" s="227"/>
    </row>
    <row r="166" spans="8:9" x14ac:dyDescent="0.2">
      <c r="I166" s="227"/>
    </row>
    <row r="167" spans="8:9" x14ac:dyDescent="0.2">
      <c r="I167" s="227"/>
    </row>
    <row r="168" spans="8:9" x14ac:dyDescent="0.2">
      <c r="I168" s="227"/>
    </row>
    <row r="169" spans="8:9" x14ac:dyDescent="0.2">
      <c r="I169" s="227"/>
    </row>
    <row r="170" spans="8:9" x14ac:dyDescent="0.2">
      <c r="I170" s="227"/>
    </row>
    <row r="171" spans="8:9" x14ac:dyDescent="0.2">
      <c r="I171" s="227"/>
    </row>
    <row r="172" spans="8:9" x14ac:dyDescent="0.2">
      <c r="I172" s="227"/>
    </row>
    <row r="173" spans="8:9" x14ac:dyDescent="0.2">
      <c r="I173" s="227"/>
    </row>
    <row r="174" spans="8:9" x14ac:dyDescent="0.2">
      <c r="I174" s="227"/>
    </row>
    <row r="175" spans="8:9" x14ac:dyDescent="0.2">
      <c r="I175" s="227"/>
    </row>
    <row r="176" spans="8:9" x14ac:dyDescent="0.2">
      <c r="I176" s="227"/>
    </row>
    <row r="177" spans="9:9" x14ac:dyDescent="0.2">
      <c r="I177" s="227"/>
    </row>
    <row r="178" spans="9:9" x14ac:dyDescent="0.2">
      <c r="I178" s="227"/>
    </row>
    <row r="179" spans="9:9" x14ac:dyDescent="0.2">
      <c r="I179" s="227"/>
    </row>
    <row r="180" spans="9:9" x14ac:dyDescent="0.2">
      <c r="I180" s="227"/>
    </row>
    <row r="181" spans="9:9" x14ac:dyDescent="0.2">
      <c r="I181" s="227"/>
    </row>
    <row r="182" spans="9:9" x14ac:dyDescent="0.2">
      <c r="I182" s="227"/>
    </row>
    <row r="183" spans="9:9" x14ac:dyDescent="0.2">
      <c r="I183" s="227"/>
    </row>
    <row r="184" spans="9:9" x14ac:dyDescent="0.2">
      <c r="I184" s="227"/>
    </row>
    <row r="185" spans="9:9" x14ac:dyDescent="0.2">
      <c r="I185" s="227"/>
    </row>
    <row r="186" spans="9:9" x14ac:dyDescent="0.2">
      <c r="I186" s="227"/>
    </row>
    <row r="187" spans="9:9" x14ac:dyDescent="0.2">
      <c r="I187" s="227"/>
    </row>
    <row r="188" spans="9:9" x14ac:dyDescent="0.2">
      <c r="I188" s="227"/>
    </row>
    <row r="189" spans="9:9" x14ac:dyDescent="0.2">
      <c r="I189" s="227"/>
    </row>
    <row r="190" spans="9:9" x14ac:dyDescent="0.2">
      <c r="I190" s="227"/>
    </row>
    <row r="191" spans="9:9" x14ac:dyDescent="0.2">
      <c r="I191" s="227"/>
    </row>
    <row r="192" spans="9:9" x14ac:dyDescent="0.2">
      <c r="I192" s="227"/>
    </row>
    <row r="193" spans="9:9" x14ac:dyDescent="0.2">
      <c r="I193" s="227"/>
    </row>
    <row r="194" spans="9:9" x14ac:dyDescent="0.2">
      <c r="I194" s="227"/>
    </row>
    <row r="195" spans="9:9" x14ac:dyDescent="0.2">
      <c r="I195" s="227"/>
    </row>
    <row r="196" spans="9:9" x14ac:dyDescent="0.2">
      <c r="I196" s="227"/>
    </row>
    <row r="197" spans="9:9" x14ac:dyDescent="0.2">
      <c r="I197" s="227"/>
    </row>
    <row r="198" spans="9:9" x14ac:dyDescent="0.2">
      <c r="I198" s="227"/>
    </row>
    <row r="199" spans="9:9" x14ac:dyDescent="0.2">
      <c r="I199" s="227"/>
    </row>
    <row r="200" spans="9:9" x14ac:dyDescent="0.2">
      <c r="I200" s="227"/>
    </row>
    <row r="201" spans="9:9" x14ac:dyDescent="0.2">
      <c r="I201" s="227"/>
    </row>
    <row r="202" spans="9:9" x14ac:dyDescent="0.2">
      <c r="I202" s="227"/>
    </row>
    <row r="203" spans="9:9" x14ac:dyDescent="0.2">
      <c r="I203" s="227"/>
    </row>
    <row r="204" spans="9:9" x14ac:dyDescent="0.2">
      <c r="I204" s="227"/>
    </row>
    <row r="205" spans="9:9" x14ac:dyDescent="0.2">
      <c r="I205" s="227"/>
    </row>
    <row r="206" spans="9:9" x14ac:dyDescent="0.2">
      <c r="I206" s="227"/>
    </row>
    <row r="207" spans="9:9" x14ac:dyDescent="0.2">
      <c r="I207" s="227"/>
    </row>
    <row r="208" spans="9:9" x14ac:dyDescent="0.2">
      <c r="I208" s="227"/>
    </row>
    <row r="209" spans="9:9" x14ac:dyDescent="0.2">
      <c r="I209" s="227"/>
    </row>
    <row r="210" spans="9:9" x14ac:dyDescent="0.2">
      <c r="I210" s="227"/>
    </row>
    <row r="211" spans="9:9" x14ac:dyDescent="0.2">
      <c r="I211" s="227"/>
    </row>
    <row r="212" spans="9:9" x14ac:dyDescent="0.2">
      <c r="I212" s="227"/>
    </row>
    <row r="213" spans="9:9" x14ac:dyDescent="0.2">
      <c r="I213" s="227"/>
    </row>
    <row r="214" spans="9:9" x14ac:dyDescent="0.2">
      <c r="I214" s="227"/>
    </row>
    <row r="215" spans="9:9" x14ac:dyDescent="0.2">
      <c r="I215" s="227"/>
    </row>
    <row r="216" spans="9:9" x14ac:dyDescent="0.2">
      <c r="I216" s="227"/>
    </row>
    <row r="217" spans="9:9" x14ac:dyDescent="0.2">
      <c r="I217" s="227"/>
    </row>
    <row r="218" spans="9:9" x14ac:dyDescent="0.2">
      <c r="I218" s="227"/>
    </row>
    <row r="219" spans="9:9" x14ac:dyDescent="0.2">
      <c r="I219" s="227"/>
    </row>
    <row r="220" spans="9:9" x14ac:dyDescent="0.2">
      <c r="I220" s="227"/>
    </row>
    <row r="221" spans="9:9" x14ac:dyDescent="0.2">
      <c r="I221" s="227"/>
    </row>
    <row r="222" spans="9:9" x14ac:dyDescent="0.2">
      <c r="I222" s="227"/>
    </row>
    <row r="223" spans="9:9" x14ac:dyDescent="0.2">
      <c r="I223" s="227"/>
    </row>
    <row r="224" spans="9:9" x14ac:dyDescent="0.2">
      <c r="I224" s="227"/>
    </row>
    <row r="225" spans="9:9" x14ac:dyDescent="0.2">
      <c r="I225" s="227"/>
    </row>
    <row r="226" spans="9:9" x14ac:dyDescent="0.2">
      <c r="I226" s="227"/>
    </row>
    <row r="227" spans="9:9" x14ac:dyDescent="0.2">
      <c r="I227" s="227"/>
    </row>
    <row r="228" spans="9:9" x14ac:dyDescent="0.2">
      <c r="I228" s="227"/>
    </row>
    <row r="229" spans="9:9" x14ac:dyDescent="0.2">
      <c r="I229" s="227"/>
    </row>
    <row r="230" spans="9:9" x14ac:dyDescent="0.2">
      <c r="I230" s="227"/>
    </row>
    <row r="231" spans="9:9" x14ac:dyDescent="0.2">
      <c r="I231" s="227"/>
    </row>
    <row r="232" spans="9:9" x14ac:dyDescent="0.2">
      <c r="I232" s="227"/>
    </row>
    <row r="233" spans="9:9" x14ac:dyDescent="0.2">
      <c r="I233" s="227"/>
    </row>
    <row r="234" spans="9:9" x14ac:dyDescent="0.2">
      <c r="I234" s="227"/>
    </row>
    <row r="235" spans="9:9" x14ac:dyDescent="0.2">
      <c r="I235" s="227"/>
    </row>
    <row r="236" spans="9:9" x14ac:dyDescent="0.2">
      <c r="I236" s="227"/>
    </row>
    <row r="237" spans="9:9" x14ac:dyDescent="0.2">
      <c r="I237" s="227"/>
    </row>
    <row r="238" spans="9:9" x14ac:dyDescent="0.2">
      <c r="I238" s="227"/>
    </row>
    <row r="239" spans="9:9" x14ac:dyDescent="0.2">
      <c r="I239" s="227"/>
    </row>
    <row r="240" spans="9:9" x14ac:dyDescent="0.2">
      <c r="I240" s="227"/>
    </row>
    <row r="241" spans="9:9" x14ac:dyDescent="0.2">
      <c r="I241" s="227"/>
    </row>
    <row r="242" spans="9:9" x14ac:dyDescent="0.2">
      <c r="I242" s="227"/>
    </row>
    <row r="243" spans="9:9" x14ac:dyDescent="0.2">
      <c r="I243" s="227"/>
    </row>
    <row r="244" spans="9:9" x14ac:dyDescent="0.2">
      <c r="I244" s="227"/>
    </row>
    <row r="245" spans="9:9" x14ac:dyDescent="0.2">
      <c r="I245" s="227"/>
    </row>
  </sheetData>
  <mergeCells count="1">
    <mergeCell ref="A1:J1"/>
  </mergeCells>
  <phoneticPr fontId="0" type="noConversion"/>
  <printOptions gridLines="1"/>
  <pageMargins left="0.75" right="0.16" top="0.51" bottom="0.22" header="0.5" footer="0"/>
  <pageSetup scale="77" fitToHeight="1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130"/>
  <sheetViews>
    <sheetView view="pageBreakPreview" zoomScaleNormal="100" zoomScaleSheetLayoutView="100" workbookViewId="0">
      <pane ySplit="5" topLeftCell="A6" activePane="bottomLeft" state="frozen"/>
      <selection activeCell="D43" sqref="D43"/>
      <selection pane="bottomLeft" sqref="A1:J1"/>
    </sheetView>
  </sheetViews>
  <sheetFormatPr defaultColWidth="8.85546875" defaultRowHeight="12.75" x14ac:dyDescent="0.2"/>
  <cols>
    <col min="1" max="1" width="57.140625" style="283" bestFit="1" customWidth="1"/>
    <col min="2" max="3" width="8.85546875" style="283" customWidth="1"/>
    <col min="4" max="4" width="11.140625" style="283" bestFit="1" customWidth="1"/>
    <col min="5" max="5" width="11.42578125" style="283" bestFit="1" customWidth="1"/>
    <col min="6" max="6" width="9.140625" style="283" bestFit="1" customWidth="1"/>
    <col min="7" max="7" width="11" style="283" bestFit="1" customWidth="1"/>
    <col min="8" max="8" width="12.7109375" style="283" customWidth="1"/>
    <col min="9" max="9" width="9.42578125" style="283" bestFit="1" customWidth="1"/>
    <col min="10" max="10" width="9.140625" style="283" bestFit="1" customWidth="1"/>
    <col min="11" max="16384" width="8.85546875" style="283"/>
  </cols>
  <sheetData>
    <row r="1" spans="1:10" x14ac:dyDescent="0.2">
      <c r="A1" s="319" t="s">
        <v>2038</v>
      </c>
      <c r="B1" s="320"/>
      <c r="C1" s="320"/>
      <c r="D1" s="320"/>
      <c r="E1" s="320"/>
      <c r="F1" s="320"/>
      <c r="G1" s="320"/>
      <c r="H1" s="320"/>
      <c r="I1" s="320"/>
      <c r="J1" s="320"/>
    </row>
    <row r="2" spans="1:10" ht="18.75" x14ac:dyDescent="0.3">
      <c r="A2" s="95" t="s">
        <v>1561</v>
      </c>
      <c r="B2" s="95"/>
      <c r="C2" s="95"/>
      <c r="D2" s="95"/>
      <c r="E2" s="95"/>
      <c r="F2" s="95"/>
    </row>
    <row r="3" spans="1:10" x14ac:dyDescent="0.2">
      <c r="B3" s="2"/>
      <c r="C3" s="2"/>
      <c r="D3" s="2"/>
      <c r="E3" s="2"/>
      <c r="F3" s="2"/>
    </row>
    <row r="4" spans="1:10" x14ac:dyDescent="0.2">
      <c r="B4" s="2"/>
      <c r="C4" s="2"/>
      <c r="D4" s="2"/>
      <c r="E4" s="15" t="s">
        <v>199</v>
      </c>
      <c r="F4" s="15" t="s">
        <v>200</v>
      </c>
      <c r="G4" s="15" t="s">
        <v>60</v>
      </c>
      <c r="H4" s="15" t="s">
        <v>351</v>
      </c>
      <c r="I4" s="15" t="s">
        <v>264</v>
      </c>
      <c r="J4" s="15" t="s">
        <v>295</v>
      </c>
    </row>
    <row r="5" spans="1:10" ht="15" x14ac:dyDescent="0.35">
      <c r="B5" s="2"/>
      <c r="C5" s="2"/>
      <c r="D5" s="2"/>
      <c r="E5" s="284" t="s">
        <v>1825</v>
      </c>
      <c r="F5" s="284" t="s">
        <v>1947</v>
      </c>
      <c r="G5" s="284" t="s">
        <v>2039</v>
      </c>
      <c r="H5" s="284" t="s">
        <v>2039</v>
      </c>
      <c r="I5" s="284" t="s">
        <v>2039</v>
      </c>
      <c r="J5" s="284" t="s">
        <v>2039</v>
      </c>
    </row>
    <row r="6" spans="1:10" ht="13.5" x14ac:dyDescent="0.25">
      <c r="A6" s="286" t="s">
        <v>1317</v>
      </c>
      <c r="B6" s="2"/>
      <c r="C6" s="2"/>
      <c r="D6" s="2"/>
      <c r="E6" s="2">
        <v>53456</v>
      </c>
      <c r="F6" s="2">
        <v>60632</v>
      </c>
      <c r="G6" s="2">
        <v>69160</v>
      </c>
      <c r="H6" s="2">
        <v>69160</v>
      </c>
      <c r="I6" s="2">
        <v>71604</v>
      </c>
      <c r="J6" s="2">
        <v>71604</v>
      </c>
    </row>
    <row r="7" spans="1:10" x14ac:dyDescent="0.2">
      <c r="A7" s="283" t="s">
        <v>1251</v>
      </c>
      <c r="B7" s="2">
        <v>52</v>
      </c>
      <c r="C7" s="2">
        <v>1377</v>
      </c>
      <c r="D7" s="2">
        <f>ROUND(B7*C7,0)</f>
        <v>71604</v>
      </c>
      <c r="E7" s="2"/>
      <c r="F7" s="2"/>
      <c r="G7" s="2"/>
      <c r="H7" s="2"/>
      <c r="I7" s="2"/>
      <c r="J7" s="2"/>
    </row>
    <row r="8" spans="1:10" ht="15" x14ac:dyDescent="0.35">
      <c r="A8" s="2" t="s">
        <v>818</v>
      </c>
      <c r="B8" s="2"/>
      <c r="C8" s="2"/>
      <c r="D8" s="10">
        <v>0</v>
      </c>
      <c r="E8" s="2"/>
      <c r="F8" s="2"/>
      <c r="G8" s="2"/>
      <c r="H8" s="2"/>
      <c r="I8" s="2"/>
      <c r="J8" s="2"/>
    </row>
    <row r="9" spans="1:10" x14ac:dyDescent="0.2">
      <c r="B9" s="2"/>
      <c r="C9" s="2"/>
      <c r="D9" s="2">
        <f>SUM(D7:D8)</f>
        <v>71604</v>
      </c>
      <c r="E9" s="2"/>
      <c r="F9" s="2"/>
      <c r="G9" s="2"/>
      <c r="H9" s="2"/>
      <c r="I9" s="2"/>
      <c r="J9" s="2"/>
    </row>
    <row r="10" spans="1:10" x14ac:dyDescent="0.2">
      <c r="B10" s="2"/>
      <c r="C10" s="2"/>
      <c r="D10" s="2"/>
      <c r="E10" s="2"/>
      <c r="F10" s="2"/>
      <c r="G10" s="2"/>
      <c r="H10" s="2"/>
      <c r="I10" s="2"/>
      <c r="J10" s="2"/>
    </row>
    <row r="11" spans="1:10" ht="13.5" x14ac:dyDescent="0.25">
      <c r="A11" s="286" t="s">
        <v>263</v>
      </c>
      <c r="B11" s="2"/>
      <c r="C11" s="2"/>
      <c r="D11" s="2"/>
      <c r="E11" s="2">
        <v>111219</v>
      </c>
      <c r="F11" s="2">
        <v>114088</v>
      </c>
      <c r="G11" s="2">
        <v>114067</v>
      </c>
      <c r="H11" s="2">
        <v>114067</v>
      </c>
      <c r="I11" s="2">
        <v>118028</v>
      </c>
      <c r="J11" s="2">
        <v>118028</v>
      </c>
    </row>
    <row r="12" spans="1:10" x14ac:dyDescent="0.2">
      <c r="A12" s="283" t="s">
        <v>275</v>
      </c>
      <c r="B12" s="2">
        <v>52</v>
      </c>
      <c r="C12" s="2">
        <v>1342.76</v>
      </c>
      <c r="D12" s="2">
        <f>ROUND(B12*C12,0)</f>
        <v>69824</v>
      </c>
      <c r="E12" s="2"/>
      <c r="F12" s="2"/>
      <c r="G12" s="2"/>
      <c r="H12" s="2"/>
      <c r="I12" s="2"/>
      <c r="J12" s="2"/>
    </row>
    <row r="13" spans="1:10" ht="15" x14ac:dyDescent="0.35">
      <c r="A13" s="283" t="s">
        <v>1318</v>
      </c>
      <c r="B13" s="2">
        <v>52</v>
      </c>
      <c r="C13" s="2">
        <v>927</v>
      </c>
      <c r="D13" s="10">
        <f>ROUND(B13*C13,0)</f>
        <v>48204</v>
      </c>
      <c r="E13" s="2"/>
      <c r="F13" s="10"/>
      <c r="G13" s="10"/>
      <c r="H13" s="10"/>
      <c r="I13" s="10"/>
      <c r="J13" s="10"/>
    </row>
    <row r="14" spans="1:10" x14ac:dyDescent="0.2">
      <c r="A14" s="283" t="s">
        <v>1067</v>
      </c>
      <c r="B14" s="2"/>
      <c r="C14" s="2"/>
      <c r="D14" s="2">
        <f>SUM(D12:D13)</f>
        <v>118028</v>
      </c>
      <c r="E14" s="2"/>
      <c r="F14" s="2"/>
      <c r="G14" s="2"/>
      <c r="H14" s="2"/>
      <c r="I14" s="2"/>
      <c r="J14" s="2"/>
    </row>
    <row r="15" spans="1:10" x14ac:dyDescent="0.2">
      <c r="B15" s="2"/>
      <c r="C15" s="2"/>
      <c r="D15" s="2"/>
      <c r="E15" s="2"/>
      <c r="F15" s="2"/>
      <c r="G15" s="2"/>
      <c r="H15" s="2"/>
      <c r="I15" s="2"/>
      <c r="J15" s="2"/>
    </row>
    <row r="16" spans="1:10" ht="13.5" x14ac:dyDescent="0.25">
      <c r="A16" s="286" t="s">
        <v>1818</v>
      </c>
      <c r="B16" s="2"/>
      <c r="C16" s="11"/>
      <c r="D16" s="2"/>
      <c r="E16" s="2">
        <v>534</v>
      </c>
      <c r="F16" s="2">
        <v>1050</v>
      </c>
      <c r="G16" s="2">
        <v>1101</v>
      </c>
      <c r="H16" s="2">
        <v>1101</v>
      </c>
      <c r="I16" s="2">
        <v>1101</v>
      </c>
      <c r="J16" s="2">
        <v>1101</v>
      </c>
    </row>
    <row r="17" spans="1:10" x14ac:dyDescent="0.2">
      <c r="A17" s="283" t="s">
        <v>1750</v>
      </c>
      <c r="B17" s="2">
        <v>25</v>
      </c>
      <c r="C17" s="11">
        <f>AVERAGE(C7,C12,C13)/40*1.5</f>
        <v>45.584500000000006</v>
      </c>
      <c r="D17" s="2">
        <f>+C17*B17</f>
        <v>1139.6125000000002</v>
      </c>
      <c r="I17" s="316"/>
      <c r="J17" s="316"/>
    </row>
    <row r="18" spans="1:10" x14ac:dyDescent="0.2">
      <c r="B18" s="2"/>
      <c r="C18" s="2"/>
      <c r="D18" s="2"/>
      <c r="E18" s="2"/>
      <c r="F18" s="2"/>
      <c r="G18" s="2"/>
      <c r="H18" s="2"/>
      <c r="I18" s="2"/>
      <c r="J18" s="2"/>
    </row>
    <row r="19" spans="1:10" x14ac:dyDescent="0.2">
      <c r="B19" s="2"/>
      <c r="C19" s="2"/>
      <c r="D19" s="2"/>
      <c r="E19" s="2"/>
      <c r="F19" s="2"/>
      <c r="G19" s="2"/>
      <c r="H19" s="2"/>
      <c r="I19" s="2"/>
      <c r="J19" s="2"/>
    </row>
    <row r="20" spans="1:10" ht="13.5" x14ac:dyDescent="0.25">
      <c r="A20" s="286" t="s">
        <v>109</v>
      </c>
      <c r="D20" s="2"/>
      <c r="E20" s="2">
        <v>12319</v>
      </c>
      <c r="F20" s="2">
        <v>13446</v>
      </c>
      <c r="G20" s="2">
        <v>14101</v>
      </c>
      <c r="H20" s="2">
        <v>14101</v>
      </c>
      <c r="I20" s="2">
        <v>14594</v>
      </c>
      <c r="J20" s="2">
        <v>14594</v>
      </c>
    </row>
    <row r="21" spans="1:10" hidden="1" x14ac:dyDescent="0.2">
      <c r="A21" s="12" t="s">
        <v>1264</v>
      </c>
      <c r="B21" s="2">
        <f>+D9</f>
        <v>71604</v>
      </c>
      <c r="C21" s="13">
        <v>7.6499999999999999E-2</v>
      </c>
      <c r="D21" s="2">
        <f>ROUND(B21*C21,0)</f>
        <v>5478</v>
      </c>
      <c r="E21" s="2"/>
      <c r="I21" s="316"/>
      <c r="J21" s="316"/>
    </row>
    <row r="22" spans="1:10" hidden="1" x14ac:dyDescent="0.2">
      <c r="A22" s="12" t="s">
        <v>683</v>
      </c>
      <c r="B22" s="2">
        <f>+D14</f>
        <v>118028</v>
      </c>
      <c r="C22" s="13">
        <v>7.6499999999999999E-2</v>
      </c>
      <c r="D22" s="2">
        <f>ROUND(B22*C22,0)</f>
        <v>9029</v>
      </c>
      <c r="E22" s="2"/>
      <c r="I22" s="316"/>
      <c r="J22" s="316"/>
    </row>
    <row r="23" spans="1:10" ht="15" hidden="1" x14ac:dyDescent="0.35">
      <c r="A23" s="12" t="s">
        <v>154</v>
      </c>
      <c r="B23" s="2">
        <f>+D17</f>
        <v>1139.6125000000002</v>
      </c>
      <c r="C23" s="13">
        <v>7.6499999999999999E-2</v>
      </c>
      <c r="D23" s="10">
        <f>ROUND(B23*C23,0)</f>
        <v>87</v>
      </c>
      <c r="E23" s="10"/>
      <c r="F23" s="10"/>
      <c r="G23" s="10"/>
      <c r="H23" s="10"/>
      <c r="I23" s="10"/>
      <c r="J23" s="10"/>
    </row>
    <row r="24" spans="1:10" hidden="1" x14ac:dyDescent="0.2">
      <c r="A24" s="283" t="s">
        <v>1067</v>
      </c>
      <c r="B24" s="2"/>
      <c r="D24" s="2">
        <f>SUM(D21:D23)</f>
        <v>14594</v>
      </c>
      <c r="E24" s="2"/>
      <c r="F24" s="2"/>
      <c r="G24" s="2"/>
      <c r="H24" s="2"/>
      <c r="I24" s="2"/>
      <c r="J24" s="2"/>
    </row>
    <row r="25" spans="1:10" x14ac:dyDescent="0.2">
      <c r="B25" s="2"/>
      <c r="D25" s="2"/>
      <c r="E25" s="2"/>
      <c r="F25" s="2"/>
      <c r="G25" s="2"/>
      <c r="H25" s="2"/>
      <c r="I25" s="2"/>
      <c r="J25" s="2"/>
    </row>
    <row r="26" spans="1:10" ht="13.5" x14ac:dyDescent="0.25">
      <c r="A26" s="14" t="s">
        <v>1214</v>
      </c>
      <c r="B26" s="2"/>
      <c r="D26" s="2"/>
      <c r="E26" s="2">
        <v>23265</v>
      </c>
      <c r="F26" s="2">
        <v>24714</v>
      </c>
      <c r="G26" s="2">
        <v>24939</v>
      </c>
      <c r="H26" s="2">
        <v>24939</v>
      </c>
      <c r="I26" s="2">
        <v>25811</v>
      </c>
      <c r="J26" s="2">
        <v>25811</v>
      </c>
    </row>
    <row r="27" spans="1:10" hidden="1" x14ac:dyDescent="0.2">
      <c r="A27" s="12" t="s">
        <v>1264</v>
      </c>
      <c r="B27" s="2">
        <f>+B21</f>
        <v>71604</v>
      </c>
      <c r="C27" s="287">
        <v>0.1353</v>
      </c>
      <c r="D27" s="2">
        <f>ROUND(B27*C27,0)</f>
        <v>9688</v>
      </c>
      <c r="E27" s="2"/>
      <c r="F27" s="2"/>
      <c r="G27" s="2"/>
      <c r="H27" s="2"/>
      <c r="I27" s="2"/>
      <c r="J27" s="2"/>
    </row>
    <row r="28" spans="1:10" ht="15" hidden="1" x14ac:dyDescent="0.35">
      <c r="A28" s="12" t="s">
        <v>683</v>
      </c>
      <c r="B28" s="2">
        <f>+D14</f>
        <v>118028</v>
      </c>
      <c r="C28" s="287">
        <v>0.1353</v>
      </c>
      <c r="D28" s="2">
        <f>ROUND(B28*C28,0)</f>
        <v>15969</v>
      </c>
      <c r="E28" s="10"/>
      <c r="F28" s="10"/>
      <c r="G28" s="10"/>
      <c r="H28" s="10"/>
      <c r="I28" s="10"/>
      <c r="J28" s="10"/>
    </row>
    <row r="29" spans="1:10" ht="15" hidden="1" x14ac:dyDescent="0.35">
      <c r="A29" s="12" t="s">
        <v>154</v>
      </c>
      <c r="B29" s="2">
        <f>+B23</f>
        <v>1139.6125000000002</v>
      </c>
      <c r="C29" s="287">
        <v>0.1353</v>
      </c>
      <c r="D29" s="10">
        <f>ROUND(B29*C29,0)</f>
        <v>154</v>
      </c>
      <c r="E29" s="10"/>
      <c r="F29" s="10"/>
      <c r="G29" s="10"/>
      <c r="H29" s="10"/>
      <c r="I29" s="10"/>
      <c r="J29" s="10"/>
    </row>
    <row r="30" spans="1:10" hidden="1" x14ac:dyDescent="0.2">
      <c r="A30" s="283" t="s">
        <v>1067</v>
      </c>
      <c r="D30" s="2">
        <f>SUM(D27:D29)</f>
        <v>25811</v>
      </c>
      <c r="E30" s="2"/>
      <c r="F30" s="2"/>
      <c r="G30" s="2"/>
      <c r="H30" s="2"/>
      <c r="I30" s="2"/>
      <c r="J30" s="2"/>
    </row>
    <row r="31" spans="1:10" x14ac:dyDescent="0.2">
      <c r="D31" s="2"/>
      <c r="E31" s="2"/>
      <c r="F31" s="2"/>
      <c r="G31" s="2"/>
      <c r="H31" s="2"/>
      <c r="I31" s="2"/>
      <c r="J31" s="2"/>
    </row>
    <row r="32" spans="1:10" ht="13.5" x14ac:dyDescent="0.25">
      <c r="A32" s="286" t="s">
        <v>1305</v>
      </c>
      <c r="D32" s="2"/>
      <c r="E32" s="2">
        <v>55154</v>
      </c>
      <c r="F32" s="2">
        <v>57000</v>
      </c>
      <c r="G32" s="2">
        <v>60750</v>
      </c>
      <c r="H32" s="2">
        <v>60750</v>
      </c>
      <c r="I32" s="2">
        <v>60750</v>
      </c>
      <c r="J32" s="2">
        <v>60750</v>
      </c>
    </row>
    <row r="33" spans="1:10" x14ac:dyDescent="0.2">
      <c r="A33" s="283" t="s">
        <v>358</v>
      </c>
      <c r="B33" s="2">
        <v>3</v>
      </c>
      <c r="C33" s="2">
        <v>20250</v>
      </c>
      <c r="D33" s="2">
        <f>ROUND(B33*C33,0)</f>
        <v>60750</v>
      </c>
      <c r="E33" s="2"/>
      <c r="F33" s="2"/>
      <c r="G33" s="2"/>
      <c r="H33" s="2"/>
      <c r="I33" s="2"/>
      <c r="J33" s="2"/>
    </row>
    <row r="34" spans="1:10" x14ac:dyDescent="0.2">
      <c r="D34" s="2"/>
      <c r="E34" s="2"/>
      <c r="F34" s="2"/>
      <c r="G34" s="2"/>
      <c r="H34" s="2"/>
      <c r="I34" s="2"/>
      <c r="J34" s="2"/>
    </row>
    <row r="35" spans="1:10" ht="13.5" x14ac:dyDescent="0.25">
      <c r="A35" s="286" t="s">
        <v>284</v>
      </c>
      <c r="D35" s="2"/>
      <c r="E35" s="2">
        <v>3632</v>
      </c>
      <c r="F35" s="2">
        <v>3713</v>
      </c>
      <c r="G35" s="2">
        <v>3713</v>
      </c>
      <c r="H35" s="2">
        <v>3713</v>
      </c>
      <c r="I35" s="2">
        <v>3713</v>
      </c>
      <c r="J35" s="2">
        <v>3713</v>
      </c>
    </row>
    <row r="36" spans="1:10" x14ac:dyDescent="0.2">
      <c r="A36" s="2" t="s">
        <v>358</v>
      </c>
      <c r="B36" s="2">
        <v>3</v>
      </c>
      <c r="C36" s="2">
        <v>1375</v>
      </c>
      <c r="D36" s="2">
        <f>ROUND(B36*C36,0)</f>
        <v>4125</v>
      </c>
      <c r="E36" s="2"/>
      <c r="F36" s="2"/>
      <c r="G36" s="2"/>
      <c r="H36" s="2"/>
      <c r="I36" s="2"/>
      <c r="J36" s="2"/>
    </row>
    <row r="37" spans="1:10" ht="15" x14ac:dyDescent="0.35">
      <c r="A37" s="2" t="s">
        <v>193</v>
      </c>
      <c r="B37" s="2"/>
      <c r="C37" s="2"/>
      <c r="D37" s="10">
        <f>-C36*0.1*B36</f>
        <v>-412.5</v>
      </c>
      <c r="E37" s="2"/>
      <c r="F37" s="2"/>
      <c r="G37" s="2"/>
      <c r="H37" s="2"/>
      <c r="I37" s="2"/>
      <c r="J37" s="2"/>
    </row>
    <row r="38" spans="1:10" x14ac:dyDescent="0.2">
      <c r="A38" s="283" t="s">
        <v>678</v>
      </c>
      <c r="D38" s="2">
        <f>SUM(D36:D37)</f>
        <v>3712.5</v>
      </c>
      <c r="E38" s="2"/>
      <c r="F38" s="2"/>
      <c r="G38" s="2"/>
      <c r="H38" s="2"/>
      <c r="I38" s="2"/>
      <c r="J38" s="2"/>
    </row>
    <row r="39" spans="1:10" x14ac:dyDescent="0.2">
      <c r="D39" s="2"/>
      <c r="E39" s="2"/>
      <c r="F39" s="2"/>
      <c r="G39" s="2"/>
      <c r="H39" s="2"/>
      <c r="I39" s="2"/>
      <c r="J39" s="2"/>
    </row>
    <row r="40" spans="1:10" ht="13.5" x14ac:dyDescent="0.25">
      <c r="A40" s="286" t="s">
        <v>1127</v>
      </c>
      <c r="D40" s="2"/>
      <c r="E40" s="2">
        <v>372</v>
      </c>
      <c r="F40" s="2">
        <v>405</v>
      </c>
      <c r="G40" s="2">
        <v>435</v>
      </c>
      <c r="H40" s="2">
        <v>435</v>
      </c>
      <c r="I40" s="2">
        <v>435</v>
      </c>
      <c r="J40" s="2">
        <v>435</v>
      </c>
    </row>
    <row r="41" spans="1:10" x14ac:dyDescent="0.2">
      <c r="A41" s="283" t="s">
        <v>1211</v>
      </c>
      <c r="B41" s="2">
        <v>3</v>
      </c>
      <c r="C41" s="2">
        <v>145</v>
      </c>
      <c r="D41" s="2">
        <f>ROUND(B41*C41,0)</f>
        <v>435</v>
      </c>
      <c r="E41" s="2"/>
      <c r="F41" s="2"/>
      <c r="G41" s="2"/>
      <c r="H41" s="2"/>
      <c r="I41" s="2"/>
      <c r="J41" s="2"/>
    </row>
    <row r="42" spans="1:10" x14ac:dyDescent="0.2">
      <c r="D42" s="2"/>
      <c r="E42" s="2"/>
      <c r="F42" s="2"/>
      <c r="G42" s="2"/>
      <c r="H42" s="2"/>
      <c r="I42" s="2"/>
      <c r="J42" s="2"/>
    </row>
    <row r="43" spans="1:10" ht="13.5" x14ac:dyDescent="0.25">
      <c r="A43" s="286" t="s">
        <v>1128</v>
      </c>
      <c r="D43" s="2"/>
      <c r="E43" s="2">
        <v>1676</v>
      </c>
      <c r="F43" s="2">
        <v>1575</v>
      </c>
      <c r="G43" s="2">
        <v>1695</v>
      </c>
      <c r="H43" s="2">
        <v>1695</v>
      </c>
      <c r="I43" s="2">
        <v>1695</v>
      </c>
      <c r="J43" s="2">
        <v>1695</v>
      </c>
    </row>
    <row r="44" spans="1:10" x14ac:dyDescent="0.2">
      <c r="A44" s="283" t="s">
        <v>699</v>
      </c>
      <c r="B44" s="2">
        <v>3</v>
      </c>
      <c r="C44" s="2">
        <v>565</v>
      </c>
      <c r="D44" s="2">
        <f>ROUND(B44*C44,0)</f>
        <v>1695</v>
      </c>
      <c r="E44" s="2"/>
      <c r="F44" s="2"/>
      <c r="G44" s="2"/>
      <c r="H44" s="2"/>
      <c r="I44" s="2"/>
      <c r="J44" s="2"/>
    </row>
    <row r="45" spans="1:10" x14ac:dyDescent="0.2">
      <c r="D45" s="2"/>
      <c r="E45" s="2"/>
      <c r="F45" s="2"/>
      <c r="G45" s="2"/>
      <c r="H45" s="2"/>
      <c r="I45" s="2"/>
      <c r="J45" s="2"/>
    </row>
    <row r="46" spans="1:10" ht="13.5" x14ac:dyDescent="0.25">
      <c r="A46" s="286" t="s">
        <v>1129</v>
      </c>
      <c r="D46" s="2"/>
      <c r="E46" s="2">
        <v>1987</v>
      </c>
      <c r="F46" s="2">
        <v>2560</v>
      </c>
      <c r="G46" s="2">
        <v>2551</v>
      </c>
      <c r="H46" s="2">
        <v>2551</v>
      </c>
      <c r="I46" s="2">
        <v>2641</v>
      </c>
      <c r="J46" s="2">
        <v>2641</v>
      </c>
    </row>
    <row r="47" spans="1:10" hidden="1" x14ac:dyDescent="0.2">
      <c r="A47" s="12" t="s">
        <v>1264</v>
      </c>
      <c r="B47" s="2">
        <f>+D9</f>
        <v>71604</v>
      </c>
      <c r="C47" s="13">
        <v>3.3739999999999999E-2</v>
      </c>
      <c r="D47" s="2">
        <f>ROUND(B47*C47,0)</f>
        <v>2416</v>
      </c>
      <c r="E47" s="2"/>
      <c r="F47" s="2"/>
      <c r="G47" s="2"/>
      <c r="H47" s="2"/>
      <c r="I47" s="2"/>
      <c r="J47" s="2"/>
    </row>
    <row r="48" spans="1:10" ht="15" hidden="1" x14ac:dyDescent="0.35">
      <c r="A48" s="12" t="s">
        <v>683</v>
      </c>
      <c r="B48" s="2">
        <f>+D14</f>
        <v>118028</v>
      </c>
      <c r="C48" s="13">
        <v>1.89E-3</v>
      </c>
      <c r="D48" s="2">
        <f>ROUND(B48*C48,0)</f>
        <v>223</v>
      </c>
      <c r="E48" s="10"/>
      <c r="F48" s="10"/>
      <c r="G48" s="10"/>
      <c r="H48" s="10"/>
      <c r="I48" s="10"/>
      <c r="J48" s="10"/>
    </row>
    <row r="49" spans="1:10" ht="15" hidden="1" x14ac:dyDescent="0.35">
      <c r="A49" s="12" t="s">
        <v>154</v>
      </c>
      <c r="B49" s="2">
        <f>+B29</f>
        <v>1139.6125000000002</v>
      </c>
      <c r="C49" s="13">
        <v>1.89E-3</v>
      </c>
      <c r="D49" s="10">
        <f>ROUND(B49*C49,0)</f>
        <v>2</v>
      </c>
      <c r="E49" s="10"/>
      <c r="F49" s="10"/>
      <c r="G49" s="10"/>
      <c r="H49" s="10"/>
      <c r="I49" s="10"/>
      <c r="J49" s="10"/>
    </row>
    <row r="50" spans="1:10" hidden="1" x14ac:dyDescent="0.2">
      <c r="A50" s="283" t="s">
        <v>1067</v>
      </c>
      <c r="D50" s="2">
        <f>SUM(D47:D49)</f>
        <v>2641</v>
      </c>
      <c r="E50" s="2"/>
      <c r="F50" s="2"/>
      <c r="G50" s="2"/>
      <c r="H50" s="2"/>
      <c r="I50" s="2"/>
      <c r="J50" s="2"/>
    </row>
    <row r="51" spans="1:10" x14ac:dyDescent="0.2">
      <c r="D51" s="2"/>
      <c r="E51" s="2"/>
      <c r="F51" s="2"/>
      <c r="G51" s="2"/>
      <c r="H51" s="2"/>
      <c r="I51" s="2"/>
      <c r="J51" s="2"/>
    </row>
    <row r="52" spans="1:10" ht="13.5" x14ac:dyDescent="0.25">
      <c r="A52" s="286" t="s">
        <v>10</v>
      </c>
      <c r="D52" s="2"/>
      <c r="E52" s="2">
        <v>31</v>
      </c>
      <c r="F52" s="2">
        <v>60</v>
      </c>
      <c r="G52" s="2">
        <v>60</v>
      </c>
      <c r="H52" s="2">
        <v>60</v>
      </c>
      <c r="I52" s="2">
        <v>60</v>
      </c>
      <c r="J52" s="2">
        <v>60</v>
      </c>
    </row>
    <row r="53" spans="1:10" hidden="1" x14ac:dyDescent="0.2">
      <c r="A53" s="12" t="s">
        <v>1264</v>
      </c>
      <c r="B53" s="2">
        <v>1</v>
      </c>
      <c r="C53" s="2">
        <v>20</v>
      </c>
      <c r="D53" s="2">
        <f>ROUND(B53*C53,0)</f>
        <v>20</v>
      </c>
      <c r="E53" s="2"/>
      <c r="F53" s="2"/>
      <c r="G53" s="2"/>
      <c r="H53" s="2"/>
      <c r="I53" s="2"/>
      <c r="J53" s="2"/>
    </row>
    <row r="54" spans="1:10" ht="15" hidden="1" x14ac:dyDescent="0.35">
      <c r="A54" s="12" t="s">
        <v>683</v>
      </c>
      <c r="B54" s="2">
        <v>2</v>
      </c>
      <c r="C54" s="2">
        <v>20</v>
      </c>
      <c r="D54" s="10">
        <f>ROUND(B54*C54,0)</f>
        <v>40</v>
      </c>
      <c r="E54" s="10"/>
      <c r="F54" s="10"/>
      <c r="G54" s="10"/>
      <c r="H54" s="10"/>
      <c r="I54" s="10"/>
      <c r="J54" s="10"/>
    </row>
    <row r="55" spans="1:10" hidden="1" x14ac:dyDescent="0.2">
      <c r="A55" s="283" t="s">
        <v>1067</v>
      </c>
      <c r="D55" s="2">
        <f>SUM(D53:D54)</f>
        <v>60</v>
      </c>
      <c r="E55" s="2"/>
      <c r="F55" s="2"/>
      <c r="G55" s="2"/>
      <c r="H55" s="2"/>
      <c r="I55" s="2"/>
      <c r="J55" s="2"/>
    </row>
    <row r="56" spans="1:10" x14ac:dyDescent="0.2">
      <c r="D56" s="2"/>
      <c r="E56" s="2"/>
      <c r="F56" s="2"/>
      <c r="G56" s="2"/>
      <c r="H56" s="2"/>
      <c r="I56" s="2"/>
      <c r="J56" s="2"/>
    </row>
    <row r="57" spans="1:10" ht="13.5" x14ac:dyDescent="0.25">
      <c r="A57" s="286" t="s">
        <v>1036</v>
      </c>
      <c r="D57" s="2"/>
      <c r="E57" s="2">
        <v>1923</v>
      </c>
      <c r="F57" s="2">
        <v>2000</v>
      </c>
      <c r="G57" s="2">
        <v>2200</v>
      </c>
      <c r="H57" s="2">
        <v>2200</v>
      </c>
      <c r="I57" s="2">
        <v>2200</v>
      </c>
      <c r="J57" s="2">
        <v>2200</v>
      </c>
    </row>
    <row r="58" spans="1:10" x14ac:dyDescent="0.2">
      <c r="A58" s="283" t="s">
        <v>1037</v>
      </c>
      <c r="C58" s="2"/>
      <c r="D58" s="2">
        <v>2200</v>
      </c>
      <c r="E58" s="2"/>
      <c r="F58" s="2"/>
      <c r="G58" s="2"/>
      <c r="H58" s="2"/>
      <c r="I58" s="2"/>
      <c r="J58" s="2"/>
    </row>
    <row r="59" spans="1:10" x14ac:dyDescent="0.2">
      <c r="C59" s="2"/>
      <c r="D59" s="2"/>
      <c r="E59" s="2"/>
      <c r="F59" s="2"/>
      <c r="G59" s="2"/>
      <c r="H59" s="2"/>
      <c r="I59" s="2"/>
      <c r="J59" s="2"/>
    </row>
    <row r="60" spans="1:10" ht="13.5" x14ac:dyDescent="0.25">
      <c r="A60" s="286" t="s">
        <v>11</v>
      </c>
      <c r="C60" s="7"/>
      <c r="D60" s="7" t="s">
        <v>338</v>
      </c>
      <c r="E60" s="2">
        <v>88</v>
      </c>
      <c r="F60" s="2">
        <v>1000</v>
      </c>
      <c r="G60" s="2">
        <v>1000</v>
      </c>
      <c r="H60" s="2">
        <v>1000</v>
      </c>
      <c r="I60" s="2">
        <v>1000</v>
      </c>
      <c r="J60" s="2">
        <v>1000</v>
      </c>
    </row>
    <row r="61" spans="1:10" x14ac:dyDescent="0.2">
      <c r="A61" s="5" t="s">
        <v>1231</v>
      </c>
      <c r="B61" s="5"/>
      <c r="C61" s="2"/>
      <c r="D61" s="2">
        <v>1000</v>
      </c>
      <c r="E61" s="2"/>
      <c r="F61" s="2"/>
      <c r="G61" s="2"/>
      <c r="H61" s="2"/>
      <c r="I61" s="2"/>
      <c r="J61" s="2"/>
    </row>
    <row r="62" spans="1:10" ht="15" x14ac:dyDescent="0.35">
      <c r="C62" s="2"/>
      <c r="D62" s="2"/>
      <c r="E62" s="2"/>
      <c r="F62" s="10"/>
      <c r="G62" s="10"/>
      <c r="H62" s="10"/>
      <c r="I62" s="10"/>
      <c r="J62" s="10"/>
    </row>
    <row r="63" spans="1:10" ht="13.5" x14ac:dyDescent="0.25">
      <c r="A63" s="286" t="s">
        <v>12</v>
      </c>
      <c r="C63" s="2"/>
      <c r="D63" s="2">
        <v>450</v>
      </c>
      <c r="E63" s="2">
        <v>294</v>
      </c>
      <c r="F63" s="2">
        <v>450</v>
      </c>
      <c r="G63" s="2">
        <v>450</v>
      </c>
      <c r="H63" s="2">
        <v>450</v>
      </c>
      <c r="I63" s="2">
        <v>450</v>
      </c>
      <c r="J63" s="2">
        <v>450</v>
      </c>
    </row>
    <row r="64" spans="1:10" x14ac:dyDescent="0.2">
      <c r="A64" s="283" t="s">
        <v>969</v>
      </c>
      <c r="C64" s="2"/>
      <c r="D64" s="2"/>
      <c r="E64" s="2"/>
      <c r="F64" s="2"/>
      <c r="G64" s="2"/>
      <c r="H64" s="2"/>
      <c r="I64" s="2"/>
      <c r="J64" s="2"/>
    </row>
    <row r="65" spans="1:10" x14ac:dyDescent="0.2">
      <c r="C65" s="2"/>
      <c r="D65" s="2"/>
      <c r="E65" s="2"/>
      <c r="F65" s="2"/>
      <c r="G65" s="2"/>
      <c r="H65" s="2"/>
      <c r="I65" s="2"/>
      <c r="J65" s="2"/>
    </row>
    <row r="66" spans="1:10" ht="13.5" x14ac:dyDescent="0.25">
      <c r="A66" s="286" t="s">
        <v>1286</v>
      </c>
      <c r="C66" s="2"/>
      <c r="D66" s="2"/>
      <c r="E66" s="2">
        <v>566</v>
      </c>
      <c r="F66" s="2">
        <v>700</v>
      </c>
      <c r="G66" s="2">
        <v>700</v>
      </c>
      <c r="H66" s="2">
        <v>700</v>
      </c>
      <c r="I66" s="2">
        <v>700</v>
      </c>
      <c r="J66" s="2">
        <v>700</v>
      </c>
    </row>
    <row r="67" spans="1:10" x14ac:dyDescent="0.2">
      <c r="A67" s="283" t="s">
        <v>1774</v>
      </c>
      <c r="B67" s="2"/>
      <c r="C67" s="2"/>
      <c r="D67" s="2">
        <v>700</v>
      </c>
      <c r="E67" s="2"/>
      <c r="F67" s="2"/>
      <c r="G67" s="2"/>
      <c r="H67" s="2"/>
      <c r="I67" s="2"/>
      <c r="J67" s="2"/>
    </row>
    <row r="68" spans="1:10" x14ac:dyDescent="0.2">
      <c r="B68" s="2"/>
      <c r="C68" s="2"/>
      <c r="D68" s="2"/>
      <c r="E68" s="2"/>
      <c r="F68" s="2"/>
      <c r="G68" s="2"/>
      <c r="H68" s="2"/>
      <c r="I68" s="2"/>
      <c r="J68" s="2"/>
    </row>
    <row r="69" spans="1:10" ht="13.5" x14ac:dyDescent="0.25">
      <c r="A69" s="286" t="s">
        <v>621</v>
      </c>
      <c r="B69" s="2"/>
      <c r="C69" s="2"/>
      <c r="D69" s="2"/>
      <c r="E69" s="2">
        <v>658</v>
      </c>
      <c r="F69" s="2">
        <v>314</v>
      </c>
      <c r="G69" s="2">
        <v>525</v>
      </c>
      <c r="H69" s="2">
        <v>525</v>
      </c>
      <c r="I69" s="2">
        <v>525</v>
      </c>
      <c r="J69" s="2">
        <v>525</v>
      </c>
    </row>
    <row r="70" spans="1:10" x14ac:dyDescent="0.2">
      <c r="A70" s="283" t="s">
        <v>622</v>
      </c>
      <c r="B70" s="2">
        <v>150</v>
      </c>
      <c r="C70" s="11">
        <v>3.5</v>
      </c>
      <c r="D70" s="2">
        <f>+B70*C70</f>
        <v>525</v>
      </c>
      <c r="I70" s="316"/>
      <c r="J70" s="316"/>
    </row>
    <row r="71" spans="1:10" x14ac:dyDescent="0.2">
      <c r="C71" s="2"/>
      <c r="D71" s="2"/>
      <c r="E71" s="2"/>
      <c r="F71" s="2"/>
      <c r="G71" s="2"/>
      <c r="H71" s="2"/>
      <c r="I71" s="2"/>
      <c r="J71" s="2"/>
    </row>
    <row r="72" spans="1:10" ht="13.5" x14ac:dyDescent="0.25">
      <c r="A72" s="286" t="s">
        <v>623</v>
      </c>
      <c r="C72" s="2"/>
      <c r="D72" s="2"/>
      <c r="E72" s="2">
        <v>1329</v>
      </c>
      <c r="F72" s="2">
        <v>1100</v>
      </c>
      <c r="G72" s="2">
        <v>1200</v>
      </c>
      <c r="H72" s="2">
        <v>1200</v>
      </c>
      <c r="I72" s="2">
        <v>1200</v>
      </c>
      <c r="J72" s="2">
        <v>1200</v>
      </c>
    </row>
    <row r="73" spans="1:10" ht="15" x14ac:dyDescent="0.35">
      <c r="A73" s="283" t="s">
        <v>805</v>
      </c>
      <c r="C73" s="10"/>
      <c r="D73" s="2">
        <v>1200</v>
      </c>
      <c r="E73" s="10"/>
      <c r="F73" s="10"/>
      <c r="G73" s="10"/>
      <c r="H73" s="10"/>
      <c r="I73" s="10"/>
      <c r="J73" s="10"/>
    </row>
    <row r="74" spans="1:10" x14ac:dyDescent="0.2">
      <c r="C74" s="2"/>
      <c r="D74" s="2"/>
      <c r="E74" s="2"/>
      <c r="F74" s="2"/>
      <c r="G74" s="2"/>
      <c r="H74" s="2"/>
      <c r="I74" s="2"/>
      <c r="J74" s="2"/>
    </row>
    <row r="75" spans="1:10" ht="13.5" x14ac:dyDescent="0.25">
      <c r="A75" s="286" t="s">
        <v>824</v>
      </c>
      <c r="C75" s="7"/>
      <c r="D75" s="7" t="s">
        <v>338</v>
      </c>
      <c r="E75" s="2">
        <v>285</v>
      </c>
      <c r="F75" s="2">
        <v>60</v>
      </c>
      <c r="G75" s="2">
        <v>285</v>
      </c>
      <c r="H75" s="2">
        <v>285</v>
      </c>
      <c r="I75" s="2">
        <v>285</v>
      </c>
      <c r="J75" s="2">
        <v>285</v>
      </c>
    </row>
    <row r="76" spans="1:10" x14ac:dyDescent="0.2">
      <c r="A76" s="22" t="s">
        <v>2047</v>
      </c>
      <c r="C76" s="7"/>
      <c r="D76" s="7">
        <v>225</v>
      </c>
      <c r="E76" s="2"/>
      <c r="F76" s="2"/>
      <c r="G76" s="2"/>
      <c r="H76" s="2"/>
      <c r="I76" s="2"/>
      <c r="J76" s="2"/>
    </row>
    <row r="77" spans="1:10" ht="15" x14ac:dyDescent="0.35">
      <c r="A77" s="283" t="s">
        <v>1029</v>
      </c>
      <c r="B77" s="2"/>
      <c r="C77" s="2"/>
      <c r="D77" s="10">
        <v>60</v>
      </c>
      <c r="E77" s="2"/>
      <c r="F77" s="2"/>
      <c r="G77" s="2"/>
      <c r="H77" s="2"/>
      <c r="I77" s="2"/>
      <c r="J77" s="2"/>
    </row>
    <row r="78" spans="1:10" ht="15" x14ac:dyDescent="0.35">
      <c r="C78" s="10"/>
      <c r="E78" s="10"/>
      <c r="F78" s="10"/>
      <c r="G78" s="10"/>
      <c r="H78" s="10"/>
      <c r="I78" s="10"/>
      <c r="J78" s="10"/>
    </row>
    <row r="79" spans="1:10" x14ac:dyDescent="0.2">
      <c r="A79" s="283" t="s">
        <v>1067</v>
      </c>
      <c r="C79" s="2"/>
      <c r="D79" s="2">
        <f>SUM(D76:D77)</f>
        <v>285</v>
      </c>
      <c r="E79" s="2"/>
      <c r="F79" s="2"/>
      <c r="G79" s="2"/>
      <c r="H79" s="2"/>
      <c r="I79" s="2"/>
      <c r="J79" s="2"/>
    </row>
    <row r="80" spans="1:10" x14ac:dyDescent="0.2">
      <c r="C80" s="2"/>
      <c r="D80" s="2"/>
      <c r="E80" s="2"/>
      <c r="F80" s="2"/>
      <c r="G80" s="2"/>
      <c r="H80" s="2"/>
      <c r="I80" s="2"/>
      <c r="J80" s="2"/>
    </row>
    <row r="81" spans="1:10" ht="13.5" x14ac:dyDescent="0.25">
      <c r="A81" s="16" t="s">
        <v>825</v>
      </c>
      <c r="C81" s="2"/>
      <c r="D81" s="2"/>
      <c r="E81" s="2">
        <v>1877</v>
      </c>
      <c r="F81" s="2">
        <v>2292</v>
      </c>
      <c r="G81" s="2">
        <v>2407</v>
      </c>
      <c r="H81" s="2">
        <v>2407</v>
      </c>
      <c r="I81" s="2">
        <v>2407</v>
      </c>
      <c r="J81" s="2">
        <v>2407</v>
      </c>
    </row>
    <row r="82" spans="1:10" x14ac:dyDescent="0.2">
      <c r="A82" s="283" t="s">
        <v>624</v>
      </c>
      <c r="C82" s="2"/>
      <c r="D82" s="2">
        <v>2407</v>
      </c>
      <c r="E82" s="2"/>
      <c r="F82" s="2"/>
      <c r="G82" s="2"/>
      <c r="H82" s="2"/>
      <c r="I82" s="2"/>
      <c r="J82" s="2"/>
    </row>
    <row r="83" spans="1:10" x14ac:dyDescent="0.2">
      <c r="C83" s="2"/>
      <c r="D83" s="2"/>
      <c r="E83" s="2"/>
      <c r="F83" s="2"/>
      <c r="G83" s="2"/>
      <c r="H83" s="2"/>
      <c r="I83" s="2"/>
      <c r="J83" s="2"/>
    </row>
    <row r="84" spans="1:10" ht="13.5" x14ac:dyDescent="0.25">
      <c r="A84" s="286" t="s">
        <v>504</v>
      </c>
      <c r="C84" s="2"/>
      <c r="D84" s="2"/>
      <c r="E84" s="2">
        <v>0</v>
      </c>
      <c r="F84" s="2">
        <v>150</v>
      </c>
      <c r="G84" s="2">
        <v>150</v>
      </c>
      <c r="H84" s="2">
        <v>150</v>
      </c>
      <c r="I84" s="2">
        <v>150</v>
      </c>
      <c r="J84" s="2">
        <v>150</v>
      </c>
    </row>
    <row r="85" spans="1:10" x14ac:dyDescent="0.2">
      <c r="A85" s="283" t="s">
        <v>1370</v>
      </c>
      <c r="C85" s="2"/>
      <c r="D85" s="2" t="s">
        <v>338</v>
      </c>
      <c r="E85" s="2"/>
      <c r="F85" s="2"/>
      <c r="G85" s="2"/>
      <c r="H85" s="2"/>
      <c r="I85" s="2"/>
      <c r="J85" s="2"/>
    </row>
    <row r="86" spans="1:10" x14ac:dyDescent="0.2">
      <c r="A86" s="283" t="s">
        <v>1228</v>
      </c>
      <c r="C86" s="2"/>
      <c r="D86" s="2">
        <v>150</v>
      </c>
      <c r="E86" s="2"/>
      <c r="F86" s="2"/>
      <c r="G86" s="2"/>
      <c r="H86" s="2"/>
      <c r="I86" s="2"/>
      <c r="J86" s="2"/>
    </row>
    <row r="87" spans="1:10" x14ac:dyDescent="0.2">
      <c r="C87" s="2"/>
      <c r="D87" s="2"/>
      <c r="E87" s="2"/>
      <c r="F87" s="2"/>
      <c r="G87" s="2"/>
      <c r="H87" s="2"/>
      <c r="I87" s="2"/>
      <c r="J87" s="2"/>
    </row>
    <row r="88" spans="1:10" ht="13.5" x14ac:dyDescent="0.25">
      <c r="A88" s="286" t="s">
        <v>1260</v>
      </c>
      <c r="C88" s="2"/>
      <c r="D88" s="2"/>
      <c r="E88" s="2">
        <v>280</v>
      </c>
      <c r="F88" s="2">
        <v>250</v>
      </c>
      <c r="G88" s="2">
        <v>300</v>
      </c>
      <c r="H88" s="2">
        <v>300</v>
      </c>
      <c r="I88" s="2">
        <v>300</v>
      </c>
      <c r="J88" s="2">
        <v>300</v>
      </c>
    </row>
    <row r="89" spans="1:10" x14ac:dyDescent="0.2">
      <c r="A89" s="283" t="s">
        <v>634</v>
      </c>
      <c r="C89" s="2"/>
      <c r="D89" s="2">
        <v>300</v>
      </c>
      <c r="E89" s="2"/>
      <c r="F89" s="2"/>
      <c r="G89" s="2"/>
      <c r="H89" s="2"/>
      <c r="I89" s="2"/>
      <c r="J89" s="2"/>
    </row>
    <row r="90" spans="1:10" x14ac:dyDescent="0.2">
      <c r="C90" s="2"/>
      <c r="D90" s="2"/>
      <c r="E90" s="2"/>
      <c r="F90" s="2"/>
      <c r="G90" s="2"/>
      <c r="H90" s="2"/>
      <c r="I90" s="2"/>
      <c r="J90" s="2"/>
    </row>
    <row r="91" spans="1:10" ht="15" x14ac:dyDescent="0.35">
      <c r="A91" s="286" t="s">
        <v>724</v>
      </c>
      <c r="B91" s="284" t="s">
        <v>1825</v>
      </c>
      <c r="C91" s="284" t="s">
        <v>1947</v>
      </c>
      <c r="D91" s="284" t="s">
        <v>2039</v>
      </c>
      <c r="E91" s="2">
        <v>11515</v>
      </c>
      <c r="F91" s="2">
        <v>12210</v>
      </c>
      <c r="G91" s="2">
        <v>12459</v>
      </c>
      <c r="H91" s="2">
        <v>12459</v>
      </c>
      <c r="I91" s="2">
        <v>12459</v>
      </c>
      <c r="J91" s="2">
        <v>12459</v>
      </c>
    </row>
    <row r="92" spans="1:10" x14ac:dyDescent="0.2">
      <c r="A92" s="283" t="s">
        <v>970</v>
      </c>
      <c r="B92" s="2">
        <v>300</v>
      </c>
      <c r="C92" s="2">
        <v>300</v>
      </c>
      <c r="D92" s="2">
        <v>300</v>
      </c>
      <c r="E92" s="2"/>
      <c r="F92" s="2"/>
      <c r="G92" s="2"/>
      <c r="H92" s="2"/>
      <c r="I92" s="2"/>
      <c r="J92" s="2"/>
    </row>
    <row r="93" spans="1:10" x14ac:dyDescent="0.2">
      <c r="A93" s="283" t="s">
        <v>725</v>
      </c>
      <c r="B93" s="2">
        <v>110</v>
      </c>
      <c r="C93" s="2">
        <v>110</v>
      </c>
      <c r="D93" s="2">
        <v>110</v>
      </c>
      <c r="E93" s="2"/>
      <c r="F93" s="2"/>
      <c r="G93" s="2"/>
      <c r="H93" s="2"/>
      <c r="I93" s="2"/>
      <c r="J93" s="2"/>
    </row>
    <row r="94" spans="1:10" x14ac:dyDescent="0.2">
      <c r="A94" s="283" t="s">
        <v>1030</v>
      </c>
      <c r="B94" s="2">
        <v>11450</v>
      </c>
      <c r="C94" s="2">
        <v>11800</v>
      </c>
      <c r="D94" s="2">
        <v>12049</v>
      </c>
      <c r="E94" s="2"/>
      <c r="F94" s="2"/>
      <c r="G94" s="2"/>
      <c r="H94" s="2"/>
      <c r="I94" s="2"/>
      <c r="J94" s="2"/>
    </row>
    <row r="95" spans="1:10" ht="15" x14ac:dyDescent="0.35">
      <c r="A95" s="283" t="s">
        <v>726</v>
      </c>
      <c r="B95" s="10">
        <v>0</v>
      </c>
      <c r="C95" s="10">
        <v>0</v>
      </c>
      <c r="D95" s="10">
        <v>0</v>
      </c>
      <c r="E95" s="2"/>
      <c r="F95" s="10"/>
      <c r="G95" s="10"/>
      <c r="H95" s="10"/>
      <c r="I95" s="10"/>
      <c r="J95" s="10"/>
    </row>
    <row r="96" spans="1:10" x14ac:dyDescent="0.2">
      <c r="A96" s="283" t="s">
        <v>1067</v>
      </c>
      <c r="B96" s="2">
        <f>SUM(B92:B95)</f>
        <v>11860</v>
      </c>
      <c r="C96" s="2">
        <f>SUM(C92:C95)</f>
        <v>12210</v>
      </c>
      <c r="D96" s="2">
        <f>SUM(D92:D95)</f>
        <v>12459</v>
      </c>
      <c r="E96" s="2"/>
      <c r="F96" s="2"/>
      <c r="G96" s="2"/>
      <c r="H96" s="2"/>
      <c r="I96" s="2"/>
      <c r="J96" s="2"/>
    </row>
    <row r="97" spans="1:10" x14ac:dyDescent="0.2">
      <c r="B97" s="2"/>
      <c r="C97" s="2"/>
      <c r="D97" s="2"/>
      <c r="E97" s="2"/>
      <c r="I97" s="316"/>
      <c r="J97" s="316"/>
    </row>
    <row r="98" spans="1:10" ht="15" x14ac:dyDescent="0.35">
      <c r="A98" s="286" t="s">
        <v>727</v>
      </c>
      <c r="B98" s="284" t="s">
        <v>1825</v>
      </c>
      <c r="C98" s="284" t="s">
        <v>1947</v>
      </c>
      <c r="D98" s="284" t="s">
        <v>2039</v>
      </c>
      <c r="E98" s="2">
        <v>0</v>
      </c>
      <c r="F98" s="2">
        <v>1150</v>
      </c>
      <c r="G98" s="2">
        <v>1150</v>
      </c>
      <c r="H98" s="2">
        <v>1150</v>
      </c>
      <c r="I98" s="2">
        <v>1150</v>
      </c>
      <c r="J98" s="2">
        <v>1150</v>
      </c>
    </row>
    <row r="99" spans="1:10" x14ac:dyDescent="0.2">
      <c r="B99" s="2"/>
      <c r="C99" s="2"/>
      <c r="D99" s="2"/>
      <c r="I99" s="316"/>
      <c r="J99" s="316"/>
    </row>
    <row r="100" spans="1:10" x14ac:dyDescent="0.2">
      <c r="A100" s="283" t="s">
        <v>1367</v>
      </c>
      <c r="B100" s="2">
        <v>0</v>
      </c>
      <c r="C100" s="2">
        <v>0</v>
      </c>
      <c r="D100" s="2">
        <v>0</v>
      </c>
      <c r="I100" s="316"/>
      <c r="J100" s="316"/>
    </row>
    <row r="101" spans="1:10" x14ac:dyDescent="0.2">
      <c r="A101" s="283" t="s">
        <v>1319</v>
      </c>
      <c r="B101" s="2">
        <v>200</v>
      </c>
      <c r="C101" s="2">
        <v>200</v>
      </c>
      <c r="D101" s="2">
        <v>200</v>
      </c>
      <c r="I101" s="316"/>
      <c r="J101" s="316"/>
    </row>
    <row r="102" spans="1:10" ht="15" x14ac:dyDescent="0.35">
      <c r="A102" s="283" t="s">
        <v>1015</v>
      </c>
      <c r="B102" s="10">
        <v>950</v>
      </c>
      <c r="C102" s="10">
        <v>950</v>
      </c>
      <c r="D102" s="10">
        <v>950</v>
      </c>
      <c r="I102" s="316"/>
      <c r="J102" s="316"/>
    </row>
    <row r="103" spans="1:10" x14ac:dyDescent="0.2">
      <c r="A103" s="283" t="s">
        <v>1067</v>
      </c>
      <c r="B103" s="2">
        <f>SUM(B99:B102)</f>
        <v>1150</v>
      </c>
      <c r="C103" s="2">
        <f>SUM(C99:C102)</f>
        <v>1150</v>
      </c>
      <c r="D103" s="2">
        <f>SUM(D99:D102)</f>
        <v>1150</v>
      </c>
      <c r="F103" s="2"/>
      <c r="G103" s="2"/>
      <c r="H103" s="2"/>
      <c r="I103" s="2"/>
      <c r="J103" s="2"/>
    </row>
    <row r="104" spans="1:10" x14ac:dyDescent="0.2">
      <c r="B104" s="2"/>
      <c r="C104" s="2"/>
      <c r="D104" s="2"/>
      <c r="E104" s="2"/>
      <c r="I104" s="316"/>
      <c r="J104" s="316"/>
    </row>
    <row r="105" spans="1:10" ht="15" x14ac:dyDescent="0.35">
      <c r="A105" s="286" t="s">
        <v>305</v>
      </c>
      <c r="B105" s="284" t="s">
        <v>1825</v>
      </c>
      <c r="C105" s="284" t="s">
        <v>1947</v>
      </c>
      <c r="D105" s="284" t="s">
        <v>2039</v>
      </c>
      <c r="E105" s="2">
        <v>59159</v>
      </c>
      <c r="F105" s="2">
        <v>40000</v>
      </c>
      <c r="G105" s="2">
        <v>44400</v>
      </c>
      <c r="H105" s="2">
        <v>44400</v>
      </c>
      <c r="I105" s="2">
        <v>44400</v>
      </c>
      <c r="J105" s="2">
        <v>44400</v>
      </c>
    </row>
    <row r="106" spans="1:10" x14ac:dyDescent="0.2">
      <c r="A106" s="283" t="s">
        <v>306</v>
      </c>
      <c r="B106" s="2">
        <v>3000</v>
      </c>
      <c r="C106" s="2">
        <v>3000</v>
      </c>
      <c r="D106" s="2">
        <v>3000</v>
      </c>
      <c r="E106" s="3"/>
      <c r="F106" s="2"/>
      <c r="G106" s="2"/>
      <c r="H106" s="2"/>
      <c r="I106" s="2"/>
      <c r="J106" s="2"/>
    </row>
    <row r="107" spans="1:10" ht="15" x14ac:dyDescent="0.35">
      <c r="A107" s="283" t="s">
        <v>307</v>
      </c>
      <c r="B107" s="10">
        <v>37000</v>
      </c>
      <c r="C107" s="10">
        <v>37000</v>
      </c>
      <c r="D107" s="10">
        <v>41400</v>
      </c>
      <c r="E107" s="2"/>
      <c r="F107" s="2"/>
      <c r="G107" s="2"/>
      <c r="H107" s="2"/>
      <c r="I107" s="2"/>
      <c r="J107" s="2"/>
    </row>
    <row r="108" spans="1:10" x14ac:dyDescent="0.2">
      <c r="A108" s="283" t="s">
        <v>1067</v>
      </c>
      <c r="B108" s="2">
        <f>SUM(B106:B107)</f>
        <v>40000</v>
      </c>
      <c r="C108" s="2">
        <f>SUM(C106:C107)</f>
        <v>40000</v>
      </c>
      <c r="D108" s="2">
        <f>SUM(D106:D107)</f>
        <v>44400</v>
      </c>
      <c r="E108" s="2"/>
      <c r="F108" s="2"/>
      <c r="G108" s="2"/>
      <c r="H108" s="2"/>
      <c r="I108" s="2"/>
      <c r="J108" s="2"/>
    </row>
    <row r="109" spans="1:10" x14ac:dyDescent="0.2">
      <c r="C109" s="2"/>
      <c r="D109" s="2"/>
      <c r="E109" s="2"/>
      <c r="F109" s="2"/>
      <c r="G109" s="2"/>
      <c r="H109" s="2"/>
      <c r="I109" s="2"/>
      <c r="J109" s="2"/>
    </row>
    <row r="110" spans="1:10" ht="13.5" x14ac:dyDescent="0.25">
      <c r="A110" s="286" t="s">
        <v>1003</v>
      </c>
      <c r="C110" s="2"/>
      <c r="D110" s="2"/>
      <c r="E110" s="2"/>
      <c r="F110" s="2"/>
      <c r="G110" s="2"/>
      <c r="H110" s="2"/>
      <c r="I110" s="2"/>
      <c r="J110" s="2"/>
    </row>
    <row r="111" spans="1:10" x14ac:dyDescent="0.2">
      <c r="A111" s="283" t="s">
        <v>184</v>
      </c>
      <c r="C111" s="2"/>
      <c r="D111" s="2">
        <v>0</v>
      </c>
      <c r="E111" s="2"/>
      <c r="F111" s="2"/>
      <c r="G111" s="2"/>
      <c r="H111" s="2"/>
      <c r="I111" s="2"/>
      <c r="J111" s="2"/>
    </row>
    <row r="112" spans="1:10" x14ac:dyDescent="0.2">
      <c r="C112" s="2"/>
      <c r="D112" s="2"/>
      <c r="E112" s="2"/>
      <c r="F112" s="2"/>
      <c r="G112" s="2"/>
      <c r="H112" s="2"/>
      <c r="I112" s="2"/>
      <c r="J112" s="2"/>
    </row>
    <row r="113" spans="1:10" ht="13.5" x14ac:dyDescent="0.25">
      <c r="A113" s="286" t="s">
        <v>1004</v>
      </c>
      <c r="C113" s="2"/>
      <c r="D113" s="2"/>
      <c r="E113" s="2">
        <v>0</v>
      </c>
      <c r="F113" s="2">
        <v>3000</v>
      </c>
      <c r="G113" s="2">
        <v>3000</v>
      </c>
      <c r="H113" s="2">
        <v>3000</v>
      </c>
      <c r="I113" s="2">
        <v>3000</v>
      </c>
      <c r="J113" s="2">
        <v>3000</v>
      </c>
    </row>
    <row r="114" spans="1:10" x14ac:dyDescent="0.2">
      <c r="A114" s="5" t="s">
        <v>1775</v>
      </c>
      <c r="C114" s="2"/>
      <c r="D114" s="2">
        <v>3000</v>
      </c>
      <c r="I114" s="316"/>
      <c r="J114" s="316"/>
    </row>
    <row r="115" spans="1:10" x14ac:dyDescent="0.2">
      <c r="A115" s="5"/>
      <c r="C115" s="2"/>
      <c r="D115" s="2"/>
      <c r="I115" s="316"/>
      <c r="J115" s="316"/>
    </row>
    <row r="116" spans="1:10" x14ac:dyDescent="0.2">
      <c r="A116" s="5"/>
      <c r="C116" s="2"/>
      <c r="D116" s="2"/>
      <c r="I116" s="316"/>
      <c r="J116" s="316"/>
    </row>
    <row r="117" spans="1:10" ht="13.5" x14ac:dyDescent="0.25">
      <c r="A117" s="44" t="s">
        <v>1031</v>
      </c>
      <c r="C117" s="2"/>
      <c r="D117" s="2"/>
      <c r="I117" s="316"/>
      <c r="J117" s="316"/>
    </row>
    <row r="118" spans="1:10" x14ac:dyDescent="0.2">
      <c r="A118" s="5" t="s">
        <v>91</v>
      </c>
      <c r="C118" s="2"/>
      <c r="D118" s="2">
        <v>17250</v>
      </c>
      <c r="E118" s="111">
        <v>15000</v>
      </c>
      <c r="F118" s="2">
        <v>17250</v>
      </c>
      <c r="G118" s="2">
        <v>17250</v>
      </c>
      <c r="H118" s="2">
        <v>17250</v>
      </c>
      <c r="I118" s="2">
        <v>17250</v>
      </c>
      <c r="J118" s="2">
        <v>17250</v>
      </c>
    </row>
    <row r="119" spans="1:10" x14ac:dyDescent="0.2">
      <c r="D119" s="2"/>
      <c r="E119" s="2"/>
      <c r="F119" s="2"/>
      <c r="G119" s="2"/>
      <c r="H119" s="2"/>
      <c r="I119" s="2"/>
      <c r="J119" s="2"/>
    </row>
    <row r="120" spans="1:10" x14ac:dyDescent="0.2">
      <c r="A120" s="283" t="s">
        <v>1144</v>
      </c>
      <c r="D120" s="2"/>
      <c r="E120" s="2">
        <f>SUM(E6:E119)</f>
        <v>356619</v>
      </c>
      <c r="F120" s="2">
        <f>SUM(F6:F119)</f>
        <v>361169</v>
      </c>
      <c r="G120" s="2">
        <f>SUM(G6:G119)</f>
        <v>380048</v>
      </c>
      <c r="H120" s="2">
        <f>SUM(H6:H119)</f>
        <v>380048</v>
      </c>
      <c r="I120" s="2">
        <f>SUM(I6:I119)</f>
        <v>387908</v>
      </c>
      <c r="J120" s="2">
        <f>SUM(J6:J118)</f>
        <v>387908</v>
      </c>
    </row>
    <row r="122" spans="1:10" x14ac:dyDescent="0.2">
      <c r="A122" s="283" t="s">
        <v>511</v>
      </c>
      <c r="E122" s="2">
        <f t="shared" ref="E122:J122" si="0">SUM(E6:E55)</f>
        <v>263645</v>
      </c>
      <c r="F122" s="2">
        <f>SUM(F6:F55)</f>
        <v>279243</v>
      </c>
      <c r="G122" s="2">
        <f t="shared" si="0"/>
        <v>292572</v>
      </c>
      <c r="H122" s="2">
        <f t="shared" ref="H122" si="1">SUM(H6:H55)</f>
        <v>292572</v>
      </c>
      <c r="I122" s="2">
        <f>SUM(I6:I55)</f>
        <v>300432</v>
      </c>
      <c r="J122" s="2">
        <f t="shared" si="0"/>
        <v>300432</v>
      </c>
    </row>
    <row r="123" spans="1:10" x14ac:dyDescent="0.2">
      <c r="A123" s="283" t="s">
        <v>803</v>
      </c>
      <c r="E123" s="2">
        <f t="shared" ref="E123:J123" si="2">SUM(E57:E112)</f>
        <v>77974</v>
      </c>
      <c r="F123" s="2">
        <f t="shared" si="2"/>
        <v>61676</v>
      </c>
      <c r="G123" s="2">
        <f t="shared" si="2"/>
        <v>67226</v>
      </c>
      <c r="H123" s="2">
        <f t="shared" ref="H123" si="3">SUM(H57:H112)</f>
        <v>67226</v>
      </c>
      <c r="I123" s="2">
        <f>SUM(I57:I112)</f>
        <v>67226</v>
      </c>
      <c r="J123" s="2">
        <f t="shared" si="2"/>
        <v>67226</v>
      </c>
    </row>
    <row r="124" spans="1:10" ht="15" x14ac:dyDescent="0.35">
      <c r="A124" s="283" t="s">
        <v>804</v>
      </c>
      <c r="E124" s="10">
        <f>SUM(E113:E119)</f>
        <v>15000</v>
      </c>
      <c r="F124" s="10">
        <f>SUM(F113:F119)</f>
        <v>20250</v>
      </c>
      <c r="G124" s="10">
        <f>SUM(G113:G119)</f>
        <v>20250</v>
      </c>
      <c r="H124" s="10">
        <f>SUM(H113:H119)</f>
        <v>20250</v>
      </c>
      <c r="I124" s="10">
        <f>SUM(I113:I119)</f>
        <v>20250</v>
      </c>
      <c r="J124" s="10">
        <f>SUM(J113:J118)</f>
        <v>20250</v>
      </c>
    </row>
    <row r="125" spans="1:10" x14ac:dyDescent="0.2">
      <c r="A125" s="283" t="s">
        <v>1067</v>
      </c>
      <c r="E125" s="2">
        <f t="shared" ref="E125:J125" si="4">SUM(E122:E124)</f>
        <v>356619</v>
      </c>
      <c r="F125" s="2">
        <f t="shared" si="4"/>
        <v>361169</v>
      </c>
      <c r="G125" s="2">
        <f t="shared" si="4"/>
        <v>380048</v>
      </c>
      <c r="H125" s="2">
        <f t="shared" ref="H125" si="5">SUM(H122:H124)</f>
        <v>380048</v>
      </c>
      <c r="I125" s="2">
        <f>SUM(I122:I124)</f>
        <v>387908</v>
      </c>
      <c r="J125" s="2">
        <f t="shared" si="4"/>
        <v>387908</v>
      </c>
    </row>
    <row r="127" spans="1:10" x14ac:dyDescent="0.2">
      <c r="J127" s="2">
        <v>7860</v>
      </c>
    </row>
    <row r="128" spans="1:10" x14ac:dyDescent="0.2">
      <c r="I128" s="2">
        <f>I125-H125</f>
        <v>7860</v>
      </c>
      <c r="J128" s="2">
        <f>J125-H125</f>
        <v>7860</v>
      </c>
    </row>
    <row r="129" spans="10:10" x14ac:dyDescent="0.2">
      <c r="J129" s="2">
        <f>J127-J128</f>
        <v>0</v>
      </c>
    </row>
    <row r="130" spans="10:10" x14ac:dyDescent="0.2">
      <c r="J130" s="2"/>
    </row>
  </sheetData>
  <mergeCells count="1">
    <mergeCell ref="A1:J1"/>
  </mergeCells>
  <phoneticPr fontId="0" type="noConversion"/>
  <printOptions gridLines="1"/>
  <pageMargins left="0.75" right="0.16" top="0.51" bottom="0.22" header="0.3" footer="0.3"/>
  <pageSetup scale="85" fitToHeight="2" orientation="landscape" r:id="rId1"/>
  <headerFooter alignWithMargins="0"/>
  <rowBreaks count="1" manualBreakCount="1">
    <brk id="104" max="9"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view="pageBreakPreview" zoomScaleNormal="100" zoomScaleSheetLayoutView="100" workbookViewId="0">
      <pane ySplit="4" topLeftCell="A5" activePane="bottomLeft" state="frozen"/>
      <selection activeCell="D43" sqref="D43"/>
      <selection pane="bottomLeft" sqref="A1:J1"/>
    </sheetView>
  </sheetViews>
  <sheetFormatPr defaultColWidth="8.85546875" defaultRowHeight="12.75" x14ac:dyDescent="0.2"/>
  <cols>
    <col min="1" max="1" width="44.42578125" style="6" customWidth="1"/>
    <col min="2" max="3" width="9" style="6" bestFit="1" customWidth="1"/>
    <col min="4" max="4" width="11.7109375" style="6" bestFit="1" customWidth="1"/>
    <col min="5" max="7" width="10.85546875" style="6" customWidth="1"/>
    <col min="8" max="8" width="14.28515625" style="6" customWidth="1"/>
    <col min="9" max="10" width="10.85546875" style="6" customWidth="1"/>
    <col min="11" max="11" width="14.28515625" style="6" customWidth="1"/>
    <col min="12" max="16384" width="8.85546875" style="6"/>
  </cols>
  <sheetData>
    <row r="1" spans="1:10" x14ac:dyDescent="0.2">
      <c r="A1" s="319" t="s">
        <v>2038</v>
      </c>
      <c r="B1" s="320"/>
      <c r="C1" s="320"/>
      <c r="D1" s="320"/>
      <c r="E1" s="320"/>
      <c r="F1" s="320"/>
      <c r="G1" s="320"/>
      <c r="H1" s="320"/>
      <c r="I1" s="320"/>
      <c r="J1" s="320"/>
    </row>
    <row r="2" spans="1:10" ht="18.75" x14ac:dyDescent="0.3">
      <c r="A2" s="95" t="s">
        <v>1579</v>
      </c>
      <c r="B2" s="95"/>
      <c r="C2" s="95"/>
      <c r="D2" s="95"/>
      <c r="E2" s="95"/>
      <c r="F2" s="95"/>
    </row>
    <row r="3" spans="1:10" x14ac:dyDescent="0.2">
      <c r="B3" s="7"/>
      <c r="C3" s="7"/>
      <c r="D3" s="7"/>
      <c r="E3" s="15" t="s">
        <v>199</v>
      </c>
      <c r="F3" s="15" t="s">
        <v>200</v>
      </c>
      <c r="G3" s="15" t="s">
        <v>60</v>
      </c>
      <c r="H3" s="15" t="s">
        <v>351</v>
      </c>
      <c r="I3" s="15" t="s">
        <v>264</v>
      </c>
      <c r="J3" s="15" t="s">
        <v>295</v>
      </c>
    </row>
    <row r="4" spans="1:10" ht="15" x14ac:dyDescent="0.35">
      <c r="B4" s="8"/>
      <c r="C4" s="8"/>
      <c r="D4" s="8"/>
      <c r="E4" s="232" t="s">
        <v>1825</v>
      </c>
      <c r="F4" s="232" t="s">
        <v>1947</v>
      </c>
      <c r="G4" s="232" t="s">
        <v>2039</v>
      </c>
      <c r="H4" s="232" t="s">
        <v>2039</v>
      </c>
      <c r="I4" s="232" t="s">
        <v>2039</v>
      </c>
      <c r="J4" s="232" t="s">
        <v>2039</v>
      </c>
    </row>
    <row r="6" spans="1:10" ht="15" x14ac:dyDescent="0.35">
      <c r="A6" s="9" t="s">
        <v>1457</v>
      </c>
      <c r="B6" s="253" t="s">
        <v>1825</v>
      </c>
      <c r="C6" s="253" t="s">
        <v>1947</v>
      </c>
      <c r="D6" s="137" t="s">
        <v>2039</v>
      </c>
      <c r="E6" s="2">
        <v>111214</v>
      </c>
      <c r="F6" s="2">
        <v>107718</v>
      </c>
      <c r="G6" s="2">
        <v>112000</v>
      </c>
      <c r="H6" s="2">
        <v>112000</v>
      </c>
      <c r="I6" s="2">
        <v>112000</v>
      </c>
      <c r="J6" s="2">
        <v>112000</v>
      </c>
    </row>
    <row r="7" spans="1:10" x14ac:dyDescent="0.2">
      <c r="A7" s="6" t="s">
        <v>654</v>
      </c>
      <c r="B7" s="2" t="s">
        <v>338</v>
      </c>
      <c r="C7" s="2" t="s">
        <v>338</v>
      </c>
      <c r="D7" s="2" t="s">
        <v>338</v>
      </c>
      <c r="F7" s="110"/>
      <c r="H7" s="115"/>
      <c r="I7" s="316"/>
      <c r="J7" s="316"/>
    </row>
    <row r="8" spans="1:10" x14ac:dyDescent="0.2">
      <c r="A8" s="6" t="s">
        <v>547</v>
      </c>
      <c r="B8" s="2">
        <v>102589</v>
      </c>
      <c r="C8" s="2">
        <v>107718</v>
      </c>
      <c r="D8" s="2">
        <v>112000</v>
      </c>
      <c r="F8" s="110"/>
      <c r="H8" s="115"/>
      <c r="I8" s="316"/>
      <c r="J8" s="316"/>
    </row>
    <row r="9" spans="1:10" x14ac:dyDescent="0.2">
      <c r="F9" s="110"/>
      <c r="H9" s="115"/>
      <c r="I9" s="316"/>
      <c r="J9" s="316"/>
    </row>
    <row r="10" spans="1:10" ht="15" x14ac:dyDescent="0.35">
      <c r="E10" s="10">
        <v>0</v>
      </c>
      <c r="F10" s="10">
        <v>0</v>
      </c>
      <c r="G10" s="10">
        <v>0</v>
      </c>
      <c r="H10" s="10">
        <v>0</v>
      </c>
      <c r="I10" s="10">
        <v>0</v>
      </c>
      <c r="J10" s="10">
        <v>0</v>
      </c>
    </row>
    <row r="11" spans="1:10" x14ac:dyDescent="0.2">
      <c r="E11" s="2"/>
      <c r="H11" s="115"/>
      <c r="J11" s="136"/>
    </row>
    <row r="12" spans="1:10" x14ac:dyDescent="0.2">
      <c r="A12" s="19" t="s">
        <v>1144</v>
      </c>
      <c r="D12" s="2"/>
      <c r="E12" s="2">
        <f t="shared" ref="E12:J12" si="0">SUM(E6:E11)</f>
        <v>111214</v>
      </c>
      <c r="F12" s="2">
        <f t="shared" si="0"/>
        <v>107718</v>
      </c>
      <c r="G12" s="2">
        <f t="shared" si="0"/>
        <v>112000</v>
      </c>
      <c r="H12" s="2">
        <f t="shared" si="0"/>
        <v>112000</v>
      </c>
      <c r="I12" s="2">
        <f t="shared" si="0"/>
        <v>112000</v>
      </c>
      <c r="J12" s="2">
        <f t="shared" si="0"/>
        <v>112000</v>
      </c>
    </row>
    <row r="13" spans="1:10" x14ac:dyDescent="0.2">
      <c r="H13" s="115"/>
      <c r="J13" s="136"/>
    </row>
    <row r="14" spans="1:10" x14ac:dyDescent="0.2">
      <c r="H14" s="115"/>
      <c r="J14" s="136"/>
    </row>
    <row r="15" spans="1:10" x14ac:dyDescent="0.2">
      <c r="A15" s="6" t="s">
        <v>511</v>
      </c>
      <c r="E15" s="2">
        <v>0</v>
      </c>
      <c r="F15" s="2">
        <v>0</v>
      </c>
      <c r="G15" s="2">
        <v>0</v>
      </c>
      <c r="H15" s="2">
        <v>0</v>
      </c>
      <c r="I15" s="2">
        <v>0</v>
      </c>
      <c r="J15" s="2">
        <v>0</v>
      </c>
    </row>
    <row r="16" spans="1:10" x14ac:dyDescent="0.2">
      <c r="A16" s="6" t="s">
        <v>803</v>
      </c>
      <c r="E16" s="2">
        <f t="shared" ref="E16:J16" si="1">+E6</f>
        <v>111214</v>
      </c>
      <c r="F16" s="2">
        <f t="shared" si="1"/>
        <v>107718</v>
      </c>
      <c r="G16" s="2">
        <f t="shared" si="1"/>
        <v>112000</v>
      </c>
      <c r="H16" s="2">
        <f t="shared" si="1"/>
        <v>112000</v>
      </c>
      <c r="I16" s="2">
        <f t="shared" si="1"/>
        <v>112000</v>
      </c>
      <c r="J16" s="2">
        <f t="shared" si="1"/>
        <v>112000</v>
      </c>
    </row>
    <row r="17" spans="1:10" ht="15" x14ac:dyDescent="0.35">
      <c r="A17" s="6" t="s">
        <v>804</v>
      </c>
      <c r="E17" s="10">
        <v>0</v>
      </c>
      <c r="F17" s="10">
        <v>0</v>
      </c>
      <c r="G17" s="10">
        <v>0</v>
      </c>
      <c r="H17" s="10">
        <v>0</v>
      </c>
      <c r="I17" s="10">
        <v>0</v>
      </c>
      <c r="J17" s="10">
        <v>0</v>
      </c>
    </row>
    <row r="18" spans="1:10" x14ac:dyDescent="0.2">
      <c r="A18" s="6" t="s">
        <v>1067</v>
      </c>
      <c r="E18" s="1">
        <f t="shared" ref="E18:J18" si="2">SUM(E15:E17)</f>
        <v>111214</v>
      </c>
      <c r="F18" s="1">
        <f t="shared" si="2"/>
        <v>107718</v>
      </c>
      <c r="G18" s="1">
        <f t="shared" si="2"/>
        <v>112000</v>
      </c>
      <c r="H18" s="2">
        <f t="shared" si="2"/>
        <v>112000</v>
      </c>
      <c r="I18" s="2">
        <f t="shared" si="2"/>
        <v>112000</v>
      </c>
      <c r="J18" s="2">
        <f t="shared" si="2"/>
        <v>112000</v>
      </c>
    </row>
    <row r="22" spans="1:10" x14ac:dyDescent="0.2">
      <c r="H22" s="2"/>
    </row>
    <row r="23" spans="1:10" x14ac:dyDescent="0.2">
      <c r="H23" s="11"/>
    </row>
  </sheetData>
  <mergeCells count="1">
    <mergeCell ref="A1:J1"/>
  </mergeCells>
  <phoneticPr fontId="7" type="noConversion"/>
  <printOptions gridLines="1"/>
  <pageMargins left="0.75" right="0.16" top="0.51" bottom="0.16" header="0.5" footer="0"/>
  <pageSetup scale="8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3"/>
  <sheetViews>
    <sheetView view="pageBreakPreview" zoomScaleNormal="100" zoomScaleSheetLayoutView="100" workbookViewId="0">
      <pane ySplit="4" topLeftCell="A5" activePane="bottomLeft" state="frozen"/>
      <selection activeCell="D43" sqref="D43"/>
      <selection pane="bottomLeft" sqref="A1:J1"/>
    </sheetView>
  </sheetViews>
  <sheetFormatPr defaultColWidth="8.85546875" defaultRowHeight="12.75" x14ac:dyDescent="0.2"/>
  <cols>
    <col min="1" max="1" width="44.42578125" style="122" customWidth="1"/>
    <col min="2" max="3" width="10.28515625" style="122" bestFit="1" customWidth="1"/>
    <col min="4" max="4" width="12" style="122" bestFit="1" customWidth="1"/>
    <col min="5" max="5" width="10.85546875" style="122" customWidth="1"/>
    <col min="6" max="6" width="11.28515625" style="122" bestFit="1" customWidth="1"/>
    <col min="7" max="7" width="10.85546875" style="122" customWidth="1"/>
    <col min="8" max="8" width="14.28515625" style="122" customWidth="1"/>
    <col min="9" max="9" width="10.85546875" style="122" customWidth="1"/>
    <col min="10" max="10" width="12" style="122" bestFit="1" customWidth="1"/>
    <col min="11" max="12" width="14.28515625" style="122" customWidth="1"/>
    <col min="13" max="16384" width="8.85546875" style="122"/>
  </cols>
  <sheetData>
    <row r="1" spans="1:10" x14ac:dyDescent="0.2">
      <c r="A1" s="319" t="s">
        <v>2038</v>
      </c>
      <c r="B1" s="320"/>
      <c r="C1" s="320"/>
      <c r="D1" s="320"/>
      <c r="E1" s="320"/>
      <c r="F1" s="320"/>
      <c r="G1" s="320"/>
      <c r="H1" s="320"/>
      <c r="I1" s="320"/>
      <c r="J1" s="320"/>
    </row>
    <row r="2" spans="1:10" ht="18.75" x14ac:dyDescent="0.3">
      <c r="A2" s="95" t="s">
        <v>1742</v>
      </c>
      <c r="B2" s="95"/>
      <c r="C2" s="95"/>
      <c r="D2" s="95"/>
      <c r="E2" s="95"/>
      <c r="F2" s="95"/>
    </row>
    <row r="3" spans="1:10" x14ac:dyDescent="0.2">
      <c r="B3" s="7"/>
      <c r="C3" s="7"/>
      <c r="D3" s="7"/>
      <c r="E3" s="15" t="s">
        <v>199</v>
      </c>
      <c r="F3" s="15" t="s">
        <v>200</v>
      </c>
      <c r="G3" s="15" t="s">
        <v>60</v>
      </c>
      <c r="H3" s="15" t="s">
        <v>351</v>
      </c>
      <c r="I3" s="15" t="s">
        <v>264</v>
      </c>
      <c r="J3" s="15" t="s">
        <v>295</v>
      </c>
    </row>
    <row r="4" spans="1:10" ht="15" x14ac:dyDescent="0.35">
      <c r="B4" s="8"/>
      <c r="C4" s="8"/>
      <c r="D4" s="8"/>
      <c r="E4" s="232" t="s">
        <v>1825</v>
      </c>
      <c r="F4" s="232" t="s">
        <v>1947</v>
      </c>
      <c r="G4" s="232" t="s">
        <v>2039</v>
      </c>
      <c r="H4" s="232" t="s">
        <v>2039</v>
      </c>
      <c r="I4" s="232" t="s">
        <v>2039</v>
      </c>
      <c r="J4" s="232" t="s">
        <v>2039</v>
      </c>
    </row>
    <row r="6" spans="1:10" ht="15" x14ac:dyDescent="0.35">
      <c r="A6" s="123" t="s">
        <v>1743</v>
      </c>
      <c r="B6" s="253" t="s">
        <v>1825</v>
      </c>
      <c r="C6" s="253" t="s">
        <v>1947</v>
      </c>
      <c r="D6" s="137" t="s">
        <v>2039</v>
      </c>
      <c r="E6" s="2"/>
      <c r="F6" s="2"/>
      <c r="G6" s="2">
        <v>0</v>
      </c>
      <c r="H6" s="2">
        <v>0</v>
      </c>
      <c r="I6" s="2">
        <v>0</v>
      </c>
      <c r="J6" s="2">
        <v>0</v>
      </c>
    </row>
    <row r="7" spans="1:10" x14ac:dyDescent="0.2">
      <c r="B7" s="2" t="s">
        <v>338</v>
      </c>
      <c r="C7" s="2" t="s">
        <v>338</v>
      </c>
      <c r="D7" s="2" t="s">
        <v>338</v>
      </c>
    </row>
    <row r="8" spans="1:10" x14ac:dyDescent="0.2">
      <c r="A8" s="101" t="s">
        <v>1749</v>
      </c>
      <c r="B8" s="2">
        <v>0</v>
      </c>
      <c r="C8" s="2">
        <v>0</v>
      </c>
      <c r="D8" s="2">
        <v>0</v>
      </c>
      <c r="E8" s="111"/>
      <c r="F8" s="2"/>
      <c r="G8" s="2">
        <v>0</v>
      </c>
      <c r="H8" s="2">
        <v>0</v>
      </c>
      <c r="I8" s="2">
        <v>0</v>
      </c>
      <c r="J8" s="2">
        <v>0</v>
      </c>
    </row>
    <row r="9" spans="1:10" x14ac:dyDescent="0.2">
      <c r="A9" s="228" t="s">
        <v>2035</v>
      </c>
      <c r="B9" s="252"/>
      <c r="C9" s="111">
        <v>10102750</v>
      </c>
      <c r="D9" s="111">
        <v>10102750</v>
      </c>
      <c r="E9" s="111">
        <v>7001133</v>
      </c>
      <c r="F9" s="111">
        <v>10102750</v>
      </c>
      <c r="J9" s="111"/>
    </row>
    <row r="10" spans="1:10" ht="15" x14ac:dyDescent="0.35">
      <c r="E10" s="10">
        <v>0</v>
      </c>
      <c r="F10" s="10">
        <v>0</v>
      </c>
      <c r="G10" s="10">
        <v>0</v>
      </c>
      <c r="H10" s="10">
        <v>0</v>
      </c>
      <c r="I10" s="10">
        <v>0</v>
      </c>
      <c r="J10" s="10">
        <v>0</v>
      </c>
    </row>
    <row r="11" spans="1:10" x14ac:dyDescent="0.2">
      <c r="E11" s="2"/>
      <c r="J11" s="136"/>
    </row>
    <row r="12" spans="1:10" x14ac:dyDescent="0.2">
      <c r="A12" s="19" t="s">
        <v>1144</v>
      </c>
      <c r="D12" s="2"/>
      <c r="E12" s="2">
        <f t="shared" ref="E12:J12" si="0">SUM(E6:E11)</f>
        <v>7001133</v>
      </c>
      <c r="F12" s="2">
        <f t="shared" si="0"/>
        <v>10102750</v>
      </c>
      <c r="G12" s="2">
        <f t="shared" si="0"/>
        <v>0</v>
      </c>
      <c r="H12" s="2">
        <f t="shared" si="0"/>
        <v>0</v>
      </c>
      <c r="I12" s="2">
        <f t="shared" si="0"/>
        <v>0</v>
      </c>
      <c r="J12" s="2">
        <f t="shared" si="0"/>
        <v>0</v>
      </c>
    </row>
    <row r="15" spans="1:10" x14ac:dyDescent="0.2">
      <c r="A15" s="122" t="s">
        <v>511</v>
      </c>
      <c r="E15" s="2">
        <v>0</v>
      </c>
      <c r="F15" s="2">
        <v>0</v>
      </c>
      <c r="G15" s="2">
        <v>0</v>
      </c>
      <c r="H15" s="2">
        <v>0</v>
      </c>
      <c r="I15" s="2">
        <v>0</v>
      </c>
      <c r="J15" s="2">
        <v>0</v>
      </c>
    </row>
    <row r="16" spans="1:10" x14ac:dyDescent="0.2">
      <c r="A16" s="122" t="s">
        <v>803</v>
      </c>
      <c r="E16" s="2">
        <v>0</v>
      </c>
      <c r="F16" s="2">
        <v>0</v>
      </c>
      <c r="G16" s="2">
        <f>+G6</f>
        <v>0</v>
      </c>
      <c r="H16" s="2">
        <f>+H6</f>
        <v>0</v>
      </c>
      <c r="I16" s="2">
        <f>+I6</f>
        <v>0</v>
      </c>
      <c r="J16" s="2">
        <v>0</v>
      </c>
    </row>
    <row r="17" spans="1:10" ht="15" x14ac:dyDescent="0.35">
      <c r="A17" s="122" t="s">
        <v>804</v>
      </c>
      <c r="E17" s="10">
        <f>E12</f>
        <v>7001133</v>
      </c>
      <c r="F17" s="10">
        <f>+F12</f>
        <v>10102750</v>
      </c>
      <c r="G17" s="10">
        <f>+G12</f>
        <v>0</v>
      </c>
      <c r="H17" s="10">
        <f>+H12</f>
        <v>0</v>
      </c>
      <c r="I17" s="10">
        <v>0</v>
      </c>
      <c r="J17" s="10">
        <f>+J12</f>
        <v>0</v>
      </c>
    </row>
    <row r="18" spans="1:10" x14ac:dyDescent="0.2">
      <c r="A18" s="122" t="s">
        <v>1067</v>
      </c>
      <c r="E18" s="1">
        <f t="shared" ref="E18:J18" si="1">SUM(E15:E17)</f>
        <v>7001133</v>
      </c>
      <c r="F18" s="1">
        <f t="shared" si="1"/>
        <v>10102750</v>
      </c>
      <c r="G18" s="2">
        <f>SUM(G15:G17)</f>
        <v>0</v>
      </c>
      <c r="H18" s="2">
        <f>SUM(H15:H17)</f>
        <v>0</v>
      </c>
      <c r="I18" s="2">
        <f t="shared" si="1"/>
        <v>0</v>
      </c>
      <c r="J18" s="2">
        <f t="shared" si="1"/>
        <v>0</v>
      </c>
    </row>
    <row r="22" spans="1:10" x14ac:dyDescent="0.2">
      <c r="H22" s="2"/>
    </row>
    <row r="23" spans="1:10" x14ac:dyDescent="0.2">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23"/>
  <sheetViews>
    <sheetView view="pageBreakPreview" zoomScaleNormal="100" zoomScaleSheetLayoutView="100" workbookViewId="0">
      <pane ySplit="4" topLeftCell="A5" activePane="bottomLeft" state="frozen"/>
      <selection activeCell="D43" sqref="D43"/>
      <selection pane="bottomLeft" sqref="A1:J1"/>
    </sheetView>
  </sheetViews>
  <sheetFormatPr defaultColWidth="8.85546875" defaultRowHeight="12.75" x14ac:dyDescent="0.2"/>
  <cols>
    <col min="1" max="1" width="44.42578125" style="101" customWidth="1"/>
    <col min="2" max="3" width="10.28515625" style="101" bestFit="1" customWidth="1"/>
    <col min="4" max="4" width="11.7109375" style="101" bestFit="1" customWidth="1"/>
    <col min="5" max="7" width="10.85546875" style="101" customWidth="1"/>
    <col min="8" max="8" width="14.28515625" style="101" customWidth="1"/>
    <col min="9" max="9" width="10.85546875" style="101" customWidth="1"/>
    <col min="10" max="10" width="11.28515625" style="101" bestFit="1" customWidth="1"/>
    <col min="11" max="12" width="14.28515625" style="101" customWidth="1"/>
    <col min="13" max="16384" width="8.85546875" style="101"/>
  </cols>
  <sheetData>
    <row r="1" spans="1:10" x14ac:dyDescent="0.2">
      <c r="A1" s="319" t="s">
        <v>2038</v>
      </c>
      <c r="B1" s="320"/>
      <c r="C1" s="320"/>
      <c r="D1" s="320"/>
      <c r="E1" s="320"/>
      <c r="F1" s="320"/>
      <c r="G1" s="320"/>
      <c r="H1" s="320"/>
      <c r="I1" s="320"/>
      <c r="J1" s="320"/>
    </row>
    <row r="2" spans="1:10" ht="18.75" x14ac:dyDescent="0.3">
      <c r="A2" s="95" t="s">
        <v>1651</v>
      </c>
      <c r="B2" s="95"/>
      <c r="C2" s="95"/>
      <c r="D2" s="95"/>
      <c r="E2" s="95"/>
      <c r="F2" s="95"/>
    </row>
    <row r="3" spans="1:10" x14ac:dyDescent="0.2">
      <c r="B3" s="7"/>
      <c r="C3" s="7"/>
      <c r="D3" s="7"/>
      <c r="E3" s="15" t="s">
        <v>199</v>
      </c>
      <c r="F3" s="15" t="s">
        <v>200</v>
      </c>
      <c r="G3" s="15" t="s">
        <v>60</v>
      </c>
      <c r="H3" s="15" t="s">
        <v>351</v>
      </c>
      <c r="I3" s="15" t="s">
        <v>264</v>
      </c>
      <c r="J3" s="15" t="s">
        <v>295</v>
      </c>
    </row>
    <row r="4" spans="1:10" ht="15" x14ac:dyDescent="0.35">
      <c r="B4" s="8"/>
      <c r="C4" s="8"/>
      <c r="D4" s="8"/>
      <c r="E4" s="232" t="s">
        <v>1825</v>
      </c>
      <c r="F4" s="232" t="s">
        <v>1947</v>
      </c>
      <c r="G4" s="232" t="s">
        <v>2039</v>
      </c>
      <c r="H4" s="232" t="s">
        <v>2039</v>
      </c>
      <c r="I4" s="232" t="s">
        <v>2039</v>
      </c>
      <c r="J4" s="232" t="s">
        <v>2039</v>
      </c>
    </row>
    <row r="6" spans="1:10" ht="15" x14ac:dyDescent="0.35">
      <c r="A6" s="102" t="s">
        <v>1678</v>
      </c>
      <c r="B6" s="253" t="s">
        <v>1825</v>
      </c>
      <c r="C6" s="253" t="s">
        <v>1947</v>
      </c>
      <c r="D6" s="137" t="s">
        <v>2039</v>
      </c>
      <c r="E6" s="2"/>
    </row>
    <row r="7" spans="1:10" x14ac:dyDescent="0.2">
      <c r="B7" s="2" t="s">
        <v>338</v>
      </c>
      <c r="C7" s="2" t="s">
        <v>338</v>
      </c>
      <c r="D7" s="2" t="s">
        <v>338</v>
      </c>
      <c r="F7" s="103"/>
    </row>
    <row r="8" spans="1:10" x14ac:dyDescent="0.2">
      <c r="A8" s="122" t="s">
        <v>1590</v>
      </c>
      <c r="B8" s="2">
        <v>0</v>
      </c>
      <c r="C8" s="2">
        <v>0</v>
      </c>
      <c r="D8" s="2">
        <v>0</v>
      </c>
      <c r="E8" s="111">
        <v>0</v>
      </c>
      <c r="F8" s="2">
        <v>0</v>
      </c>
      <c r="G8" s="2">
        <v>0</v>
      </c>
      <c r="H8" s="2">
        <v>0</v>
      </c>
      <c r="I8" s="2">
        <v>0</v>
      </c>
      <c r="J8" s="2">
        <v>0</v>
      </c>
    </row>
    <row r="10" spans="1:10" ht="15" x14ac:dyDescent="0.35">
      <c r="E10" s="10">
        <v>0</v>
      </c>
      <c r="F10" s="10">
        <v>0</v>
      </c>
      <c r="G10" s="10">
        <v>0</v>
      </c>
      <c r="H10" s="10">
        <v>0</v>
      </c>
      <c r="I10" s="10">
        <v>0</v>
      </c>
      <c r="J10" s="10">
        <v>0</v>
      </c>
    </row>
    <row r="11" spans="1:10" x14ac:dyDescent="0.2">
      <c r="E11" s="2"/>
    </row>
    <row r="12" spans="1:10" x14ac:dyDescent="0.2">
      <c r="A12" s="19" t="s">
        <v>1144</v>
      </c>
      <c r="D12" s="2"/>
      <c r="E12" s="2">
        <f>SUM(E6:E11)</f>
        <v>0</v>
      </c>
      <c r="F12" s="2">
        <f>SUM(F7:F11)</f>
        <v>0</v>
      </c>
      <c r="G12" s="2">
        <f>SUM(G7:G11)</f>
        <v>0</v>
      </c>
      <c r="H12" s="2">
        <f>SUM(H7:H11)</f>
        <v>0</v>
      </c>
      <c r="I12" s="2">
        <f>SUM(I7:I11)</f>
        <v>0</v>
      </c>
      <c r="J12" s="2">
        <f>SUM(J7:J11)</f>
        <v>0</v>
      </c>
    </row>
    <row r="15" spans="1:10" x14ac:dyDescent="0.2">
      <c r="A15" s="101" t="s">
        <v>511</v>
      </c>
      <c r="E15" s="2">
        <v>0</v>
      </c>
      <c r="F15" s="2">
        <v>0</v>
      </c>
      <c r="G15" s="2">
        <v>0</v>
      </c>
      <c r="H15" s="2">
        <v>0</v>
      </c>
      <c r="I15" s="2">
        <v>0</v>
      </c>
      <c r="J15" s="2">
        <v>0</v>
      </c>
    </row>
    <row r="16" spans="1:10" x14ac:dyDescent="0.2">
      <c r="A16" s="101" t="s">
        <v>803</v>
      </c>
      <c r="E16" s="2">
        <v>0</v>
      </c>
      <c r="F16" s="2">
        <f>+F8</f>
        <v>0</v>
      </c>
      <c r="G16" s="2">
        <f>+G8</f>
        <v>0</v>
      </c>
      <c r="H16" s="2">
        <f>+H8</f>
        <v>0</v>
      </c>
      <c r="I16" s="2">
        <f>+I8</f>
        <v>0</v>
      </c>
      <c r="J16" s="2">
        <v>0</v>
      </c>
    </row>
    <row r="17" spans="1:10" ht="15" x14ac:dyDescent="0.35">
      <c r="A17" s="101" t="s">
        <v>804</v>
      </c>
      <c r="E17" s="10">
        <f>E8</f>
        <v>0</v>
      </c>
      <c r="F17" s="10">
        <v>0</v>
      </c>
      <c r="G17" s="10">
        <v>0</v>
      </c>
      <c r="H17" s="10">
        <v>0</v>
      </c>
      <c r="I17" s="10">
        <v>0</v>
      </c>
      <c r="J17" s="10">
        <f>+J12</f>
        <v>0</v>
      </c>
    </row>
    <row r="18" spans="1:10" x14ac:dyDescent="0.2">
      <c r="A18" s="101" t="s">
        <v>1067</v>
      </c>
      <c r="E18" s="2">
        <f t="shared" ref="E18:J18" si="0">SUM(E15:E17)</f>
        <v>0</v>
      </c>
      <c r="F18" s="2">
        <f t="shared" si="0"/>
        <v>0</v>
      </c>
      <c r="G18" s="2">
        <f t="shared" si="0"/>
        <v>0</v>
      </c>
      <c r="H18" s="2">
        <f t="shared" si="0"/>
        <v>0</v>
      </c>
      <c r="I18" s="2">
        <f t="shared" si="0"/>
        <v>0</v>
      </c>
      <c r="J18" s="2">
        <f t="shared" si="0"/>
        <v>0</v>
      </c>
    </row>
    <row r="22" spans="1:10" x14ac:dyDescent="0.2">
      <c r="H22" s="2"/>
    </row>
    <row r="23" spans="1:10" x14ac:dyDescent="0.2">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view="pageBreakPreview" zoomScaleNormal="100" zoomScaleSheetLayoutView="100" workbookViewId="0">
      <pane ySplit="5" topLeftCell="A6" activePane="bottomLeft" state="frozen"/>
      <selection activeCell="D43" sqref="D43"/>
      <selection pane="bottomLeft" sqref="A1:J1"/>
    </sheetView>
  </sheetViews>
  <sheetFormatPr defaultColWidth="8.85546875" defaultRowHeight="12.75" x14ac:dyDescent="0.2"/>
  <cols>
    <col min="1" max="1" width="41.42578125" style="183" bestFit="1" customWidth="1"/>
    <col min="2" max="3" width="9" style="183" bestFit="1" customWidth="1"/>
    <col min="4" max="4" width="11.7109375" style="183" bestFit="1" customWidth="1"/>
    <col min="5" max="6" width="11.28515625" style="183" bestFit="1" customWidth="1"/>
    <col min="7" max="7" width="11.7109375" style="183" bestFit="1" customWidth="1"/>
    <col min="8" max="8" width="13.5703125" style="183" bestFit="1" customWidth="1"/>
    <col min="9" max="10" width="11.28515625" style="183" bestFit="1" customWidth="1"/>
    <col min="11" max="11" width="0" style="183" hidden="1" customWidth="1"/>
    <col min="12" max="16384" width="8.85546875" style="183"/>
  </cols>
  <sheetData>
    <row r="1" spans="1:10" x14ac:dyDescent="0.2">
      <c r="A1" s="319" t="s">
        <v>2038</v>
      </c>
      <c r="B1" s="320"/>
      <c r="C1" s="320"/>
      <c r="D1" s="320"/>
      <c r="E1" s="320"/>
      <c r="F1" s="320"/>
      <c r="G1" s="320"/>
      <c r="H1" s="320"/>
      <c r="I1" s="320"/>
      <c r="J1" s="320"/>
    </row>
    <row r="2" spans="1:10" ht="18.75" x14ac:dyDescent="0.3">
      <c r="A2" s="95" t="s">
        <v>1580</v>
      </c>
      <c r="B2" s="95"/>
      <c r="C2" s="95"/>
      <c r="D2" s="95"/>
      <c r="E2" s="95"/>
      <c r="F2" s="95"/>
    </row>
    <row r="3" spans="1:10" x14ac:dyDescent="0.2">
      <c r="B3" s="7"/>
      <c r="C3" s="7"/>
      <c r="D3" s="7"/>
      <c r="E3" s="15" t="s">
        <v>199</v>
      </c>
      <c r="F3" s="15" t="s">
        <v>200</v>
      </c>
      <c r="G3" s="15" t="s">
        <v>60</v>
      </c>
      <c r="H3" s="15" t="s">
        <v>351</v>
      </c>
      <c r="I3" s="15" t="s">
        <v>264</v>
      </c>
      <c r="J3" s="15" t="s">
        <v>295</v>
      </c>
    </row>
    <row r="4" spans="1:10" ht="15" x14ac:dyDescent="0.35">
      <c r="B4" s="8"/>
      <c r="C4" s="8"/>
      <c r="D4" s="8"/>
      <c r="E4" s="232" t="s">
        <v>1825</v>
      </c>
      <c r="F4" s="232" t="s">
        <v>1947</v>
      </c>
      <c r="G4" s="232" t="s">
        <v>2039</v>
      </c>
      <c r="H4" s="232" t="s">
        <v>2039</v>
      </c>
      <c r="I4" s="232" t="s">
        <v>2039</v>
      </c>
      <c r="J4" s="232" t="s">
        <v>2039</v>
      </c>
    </row>
    <row r="5" spans="1:10" ht="13.5" x14ac:dyDescent="0.25">
      <c r="A5" s="326"/>
      <c r="B5" s="326"/>
      <c r="C5" s="326"/>
      <c r="D5" s="326"/>
      <c r="E5" s="326"/>
      <c r="F5" s="326"/>
    </row>
    <row r="9" spans="1:10" ht="13.5" x14ac:dyDescent="0.25">
      <c r="A9" s="185" t="s">
        <v>502</v>
      </c>
      <c r="B9" s="4" t="s">
        <v>514</v>
      </c>
      <c r="C9" s="4" t="s">
        <v>515</v>
      </c>
      <c r="D9" s="4" t="s">
        <v>513</v>
      </c>
      <c r="E9" s="2">
        <v>0</v>
      </c>
      <c r="F9" s="2">
        <v>12795</v>
      </c>
      <c r="G9" s="2">
        <v>12795</v>
      </c>
      <c r="H9" s="2">
        <v>12795</v>
      </c>
      <c r="I9" s="2">
        <v>12795</v>
      </c>
      <c r="J9" s="2">
        <v>12795</v>
      </c>
    </row>
    <row r="10" spans="1:10" x14ac:dyDescent="0.2">
      <c r="A10" s="183" t="s">
        <v>62</v>
      </c>
      <c r="B10" s="183">
        <v>189</v>
      </c>
      <c r="C10" s="13">
        <v>67.7</v>
      </c>
      <c r="D10" s="2">
        <f>+B10*C10</f>
        <v>12795.300000000001</v>
      </c>
      <c r="E10" s="283"/>
      <c r="F10" s="283"/>
      <c r="G10" s="283"/>
      <c r="H10" s="283"/>
      <c r="I10" s="316"/>
      <c r="J10" s="316"/>
    </row>
    <row r="11" spans="1:10" x14ac:dyDescent="0.2">
      <c r="E11" s="283"/>
      <c r="F11" s="283"/>
      <c r="G11" s="283"/>
      <c r="H11" s="283"/>
      <c r="I11" s="316"/>
      <c r="J11" s="316"/>
    </row>
    <row r="12" spans="1:10" ht="15" x14ac:dyDescent="0.35">
      <c r="A12" s="14" t="s">
        <v>503</v>
      </c>
      <c r="B12" s="8"/>
      <c r="C12" s="8"/>
      <c r="D12" s="8"/>
      <c r="E12" s="2">
        <v>433307</v>
      </c>
      <c r="F12" s="2">
        <v>487004</v>
      </c>
      <c r="G12" s="2">
        <v>486279</v>
      </c>
      <c r="H12" s="2">
        <v>486279</v>
      </c>
      <c r="I12" s="2">
        <v>486279</v>
      </c>
      <c r="J12" s="2">
        <v>486279</v>
      </c>
    </row>
    <row r="13" spans="1:10" x14ac:dyDescent="0.2">
      <c r="A13" s="183" t="s">
        <v>62</v>
      </c>
      <c r="B13" s="2">
        <v>5700</v>
      </c>
      <c r="C13" s="11">
        <v>76.31</v>
      </c>
      <c r="D13" s="2">
        <f>ROUND(B13*C13,0)</f>
        <v>434967</v>
      </c>
    </row>
    <row r="14" spans="1:10" x14ac:dyDescent="0.2">
      <c r="A14" s="183" t="s">
        <v>832</v>
      </c>
      <c r="B14" s="2"/>
      <c r="C14" s="11"/>
      <c r="D14" s="17">
        <v>51312</v>
      </c>
    </row>
    <row r="15" spans="1:10" x14ac:dyDescent="0.2">
      <c r="A15" s="183" t="s">
        <v>1108</v>
      </c>
      <c r="C15" s="11" t="s">
        <v>338</v>
      </c>
      <c r="D15" s="2">
        <f>SUM(D13:D14)</f>
        <v>486279</v>
      </c>
    </row>
    <row r="16" spans="1:10" x14ac:dyDescent="0.2">
      <c r="C16" s="11"/>
    </row>
    <row r="17" spans="1:10" ht="13.5" x14ac:dyDescent="0.25">
      <c r="A17" s="185" t="s">
        <v>1518</v>
      </c>
      <c r="C17" s="11"/>
      <c r="D17" s="2"/>
      <c r="E17" s="2"/>
      <c r="F17" s="2">
        <v>0</v>
      </c>
      <c r="G17" s="2">
        <v>0</v>
      </c>
      <c r="H17" s="2">
        <v>0</v>
      </c>
      <c r="I17" s="2">
        <v>0</v>
      </c>
      <c r="J17" s="2">
        <v>0</v>
      </c>
    </row>
    <row r="18" spans="1:10" x14ac:dyDescent="0.2">
      <c r="A18" s="2"/>
      <c r="B18" s="2"/>
      <c r="C18" s="2"/>
      <c r="D18" s="2"/>
      <c r="E18" s="2"/>
      <c r="F18" s="2"/>
      <c r="G18" s="2"/>
      <c r="H18" s="2"/>
      <c r="I18" s="2"/>
      <c r="J18" s="2"/>
    </row>
    <row r="19" spans="1:10" ht="18.75" x14ac:dyDescent="0.3">
      <c r="A19" s="100" t="s">
        <v>1583</v>
      </c>
      <c r="B19" s="2"/>
      <c r="C19" s="2"/>
      <c r="D19" s="2"/>
      <c r="E19" s="2">
        <f>+E17+E12+E9+'33-Fire Protection -other'!E12+'32-Media'!E110+'10-wastewater'!E333+'27-debt svc'!B31+'27-debt svc'!B66+'45- capital Projects fund'!E18+3500</f>
        <v>1282790</v>
      </c>
      <c r="F19" s="2">
        <f>+F17+F12+F9+'33-Fire Protection -other'!F12+'32-Media'!F110+'10-wastewater'!F333+'27-debt svc'!C31+'27-debt svc'!C66+'45- capital Projects fund'!F18+3500</f>
        <v>1404017</v>
      </c>
      <c r="G19" s="2">
        <f>+G17+G12+G9+'33-Fire Protection -other'!G12+'32-Media'!G110+'10-wastewater'!G333+'27-debt svc'!D31+'27-debt svc'!D66+'45- capital Projects fund'!G18+23000</f>
        <v>1264816</v>
      </c>
      <c r="H19" s="2">
        <f>+H17+H12+H9+'33-Fire Protection -other'!H12+'32-Media'!H110+'10-wastewater'!H333+'27-debt svc'!E31+'27-debt svc'!E66+'45- capital Projects fund'!H18+'15-library'!H248</f>
        <v>2494028</v>
      </c>
      <c r="I19" s="2">
        <f>+I17+I12+I9+'33-Fire Protection -other'!I12+'32-Media'!I110+'10-wastewater'!I333+'27-debt svc'!F31+'27-debt svc'!F66+'45- capital Projects fund'!I18+'15-library'!I248</f>
        <v>2501107</v>
      </c>
      <c r="J19" s="2">
        <f>+J17+J12+J9+'33-Fire Protection -other'!J12+'32-Media'!J110+'10-wastewater'!J333+'27-debt svc'!G31+'27-debt svc'!G66+'45- capital Projects fund'!J18+'15-library'!J248</f>
        <v>2501107</v>
      </c>
    </row>
    <row r="20" spans="1:10" x14ac:dyDescent="0.2">
      <c r="A20" s="1" t="s">
        <v>1144</v>
      </c>
      <c r="B20" s="2"/>
      <c r="C20" s="2"/>
      <c r="D20" s="2"/>
      <c r="E20" s="2">
        <f>SUM(E1:E17)</f>
        <v>433307</v>
      </c>
      <c r="F20" s="2">
        <f>SUM(F1:F18)</f>
        <v>499799</v>
      </c>
      <c r="G20" s="2">
        <f>SUM(G1:G18)</f>
        <v>499074</v>
      </c>
      <c r="H20" s="2">
        <f>SUM(H1:H18)</f>
        <v>499074</v>
      </c>
      <c r="I20" s="2">
        <f>SUM(I1:I18)</f>
        <v>499074</v>
      </c>
      <c r="J20" s="2">
        <f>SUM(J1:J18)</f>
        <v>499074</v>
      </c>
    </row>
    <row r="24" spans="1:10" x14ac:dyDescent="0.2">
      <c r="C24" s="11"/>
    </row>
    <row r="25" spans="1:10" x14ac:dyDescent="0.2">
      <c r="C25" s="11"/>
    </row>
  </sheetData>
  <mergeCells count="2">
    <mergeCell ref="A5:F5"/>
    <mergeCell ref="A1:J1"/>
  </mergeCells>
  <phoneticPr fontId="7" type="noConversion"/>
  <printOptions gridLines="1"/>
  <pageMargins left="0.75" right="0.16" top="0.51" bottom="0.22" header="0.5" footer="0"/>
  <pageSetup scale="86" fitToHeight="7" orientation="landscape" r:id="rId1"/>
  <headerFooter alignWithMargins="0"/>
  <rowBreaks count="2" manualBreakCount="2">
    <brk id="11" max="9" man="1"/>
    <brk id="15" max="9" man="1"/>
  </rowBreaks>
  <colBreaks count="1" manualBreakCount="1">
    <brk id="10" max="1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12"/>
  <sheetViews>
    <sheetView view="pageBreakPreview" zoomScaleNormal="100" zoomScaleSheetLayoutView="100" workbookViewId="0">
      <pane ySplit="5" topLeftCell="A9" activePane="bottomLeft" state="frozen"/>
      <selection activeCell="D43" sqref="D43"/>
      <selection pane="bottomLeft" activeCell="A31" sqref="A31"/>
    </sheetView>
  </sheetViews>
  <sheetFormatPr defaultColWidth="8.85546875" defaultRowHeight="12.75" x14ac:dyDescent="0.2"/>
  <cols>
    <col min="1" max="1" width="58.28515625" style="183" customWidth="1"/>
    <col min="2" max="2" width="13.140625" style="183" customWidth="1"/>
    <col min="3" max="3" width="10.28515625" style="183" bestFit="1" customWidth="1"/>
    <col min="4" max="4" width="12.7109375" style="41" customWidth="1"/>
    <col min="5" max="6" width="9" style="183" bestFit="1" customWidth="1"/>
    <col min="7" max="7" width="9.85546875" style="183" customWidth="1"/>
    <col min="8" max="8" width="12.28515625" style="183" customWidth="1"/>
    <col min="9" max="9" width="10.85546875" style="183" customWidth="1"/>
    <col min="10" max="10" width="9.7109375" style="183" customWidth="1"/>
    <col min="11" max="11" width="0" style="183" hidden="1" customWidth="1"/>
    <col min="12" max="16384" width="8.85546875" style="183"/>
  </cols>
  <sheetData>
    <row r="1" spans="1:10" x14ac:dyDescent="0.2">
      <c r="A1" s="319" t="s">
        <v>2038</v>
      </c>
      <c r="B1" s="320"/>
      <c r="C1" s="320"/>
      <c r="D1" s="320"/>
      <c r="E1" s="320"/>
      <c r="F1" s="320"/>
      <c r="G1" s="320"/>
      <c r="H1" s="320"/>
      <c r="I1" s="320"/>
      <c r="J1" s="320"/>
    </row>
    <row r="2" spans="1:10" ht="18.75" x14ac:dyDescent="0.3">
      <c r="A2" s="95" t="s">
        <v>1582</v>
      </c>
      <c r="B2" s="95"/>
      <c r="C2" s="95"/>
      <c r="D2" s="95"/>
      <c r="E2" s="95"/>
      <c r="F2" s="95"/>
      <c r="G2" s="71"/>
      <c r="H2" s="71"/>
    </row>
    <row r="3" spans="1:10" x14ac:dyDescent="0.2">
      <c r="A3" s="182"/>
      <c r="D3" s="183"/>
    </row>
    <row r="4" spans="1:10" x14ac:dyDescent="0.2">
      <c r="B4" s="7"/>
      <c r="C4" s="7"/>
      <c r="D4" s="89"/>
      <c r="E4" s="15" t="s">
        <v>199</v>
      </c>
      <c r="F4" s="15" t="s">
        <v>200</v>
      </c>
      <c r="G4" s="15" t="s">
        <v>60</v>
      </c>
      <c r="H4" s="15" t="s">
        <v>351</v>
      </c>
      <c r="I4" s="15" t="s">
        <v>264</v>
      </c>
      <c r="J4" s="15" t="s">
        <v>295</v>
      </c>
    </row>
    <row r="5" spans="1:10" ht="15" x14ac:dyDescent="0.35">
      <c r="B5" s="8"/>
      <c r="C5" s="8"/>
      <c r="D5" s="90"/>
      <c r="E5" s="232" t="s">
        <v>1825</v>
      </c>
      <c r="F5" s="232" t="s">
        <v>1947</v>
      </c>
      <c r="G5" s="232" t="s">
        <v>2039</v>
      </c>
      <c r="H5" s="232" t="s">
        <v>2039</v>
      </c>
      <c r="I5" s="232" t="s">
        <v>2039</v>
      </c>
      <c r="J5" s="232" t="s">
        <v>2039</v>
      </c>
    </row>
    <row r="6" spans="1:10" ht="13.5" x14ac:dyDescent="0.25">
      <c r="A6" s="326"/>
      <c r="B6" s="326"/>
      <c r="C6" s="326"/>
      <c r="D6" s="326"/>
      <c r="E6" s="326"/>
      <c r="F6" s="326"/>
      <c r="I6" s="227"/>
    </row>
    <row r="7" spans="1:10" x14ac:dyDescent="0.2">
      <c r="A7" s="283" t="s">
        <v>2053</v>
      </c>
      <c r="B7" s="215"/>
      <c r="C7" s="215"/>
      <c r="D7" s="2"/>
      <c r="E7" s="215"/>
      <c r="F7" s="215"/>
      <c r="G7" s="215"/>
      <c r="I7" s="227"/>
    </row>
    <row r="8" spans="1:10" x14ac:dyDescent="0.2">
      <c r="A8" s="215"/>
      <c r="B8" s="215"/>
      <c r="C8" s="215"/>
      <c r="D8" s="2"/>
      <c r="E8" s="215"/>
      <c r="F8" s="215"/>
      <c r="G8" s="215"/>
      <c r="I8" s="227"/>
    </row>
    <row r="9" spans="1:10" ht="13.5" x14ac:dyDescent="0.25">
      <c r="A9" s="216" t="s">
        <v>1511</v>
      </c>
      <c r="B9" s="215"/>
      <c r="C9" s="11"/>
      <c r="D9" s="2"/>
      <c r="E9" s="2">
        <v>249290</v>
      </c>
      <c r="F9" s="2">
        <v>294268</v>
      </c>
      <c r="G9" s="2">
        <v>348736</v>
      </c>
      <c r="H9" s="2">
        <v>348736</v>
      </c>
      <c r="I9" s="2">
        <v>348736</v>
      </c>
      <c r="J9" s="2">
        <v>348736</v>
      </c>
    </row>
    <row r="10" spans="1:10" ht="13.5" x14ac:dyDescent="0.25">
      <c r="A10" s="75" t="s">
        <v>1715</v>
      </c>
      <c r="B10" s="265"/>
      <c r="C10" s="11"/>
      <c r="D10" s="2"/>
      <c r="E10" s="2"/>
      <c r="F10" s="265"/>
      <c r="G10" s="265"/>
      <c r="H10" s="283"/>
      <c r="I10" s="316"/>
      <c r="J10" s="316"/>
    </row>
    <row r="11" spans="1:10" x14ac:dyDescent="0.2">
      <c r="A11" s="198" t="s">
        <v>2105</v>
      </c>
      <c r="B11" s="265"/>
      <c r="C11" s="11"/>
      <c r="D11" s="2"/>
      <c r="E11" s="2"/>
      <c r="F11" s="2"/>
      <c r="G11" s="2"/>
      <c r="H11" s="2"/>
      <c r="I11" s="2"/>
      <c r="J11" s="2"/>
    </row>
    <row r="12" spans="1:10" x14ac:dyDescent="0.2">
      <c r="A12" s="2" t="s">
        <v>2106</v>
      </c>
      <c r="B12" s="2">
        <v>520</v>
      </c>
      <c r="C12" s="11">
        <v>21</v>
      </c>
      <c r="D12" s="2">
        <f t="shared" ref="D12:D26" si="0">SUMPRODUCT(B12*C12)</f>
        <v>10920</v>
      </c>
      <c r="E12" s="2"/>
      <c r="F12" s="2"/>
      <c r="G12" s="2"/>
      <c r="H12" s="2"/>
      <c r="I12" s="2"/>
      <c r="J12" s="2"/>
    </row>
    <row r="13" spans="1:10" x14ac:dyDescent="0.2">
      <c r="A13" s="2" t="s">
        <v>1971</v>
      </c>
      <c r="B13" s="2">
        <v>376</v>
      </c>
      <c r="C13" s="11">
        <v>19.649999999999999</v>
      </c>
      <c r="D13" s="2">
        <f t="shared" si="0"/>
        <v>7388.4</v>
      </c>
      <c r="E13" s="2"/>
      <c r="F13" s="2"/>
      <c r="G13" s="2"/>
      <c r="H13" s="2"/>
      <c r="I13" s="2"/>
      <c r="J13" s="2"/>
    </row>
    <row r="14" spans="1:10" x14ac:dyDescent="0.2">
      <c r="A14" s="2" t="s">
        <v>2107</v>
      </c>
      <c r="B14" s="2">
        <v>376</v>
      </c>
      <c r="C14" s="11">
        <v>23.38</v>
      </c>
      <c r="D14" s="2">
        <f t="shared" si="0"/>
        <v>8790.8799999999992</v>
      </c>
      <c r="E14" s="2"/>
      <c r="F14" s="2"/>
      <c r="G14" s="2"/>
      <c r="H14" s="2"/>
      <c r="I14" s="2"/>
      <c r="J14" s="2"/>
    </row>
    <row r="15" spans="1:10" x14ac:dyDescent="0.2">
      <c r="A15" s="2" t="s">
        <v>2108</v>
      </c>
      <c r="B15" s="2">
        <v>376</v>
      </c>
      <c r="C15" s="11">
        <v>21.18</v>
      </c>
      <c r="D15" s="2">
        <f t="shared" si="0"/>
        <v>7963.68</v>
      </c>
      <c r="E15" s="2"/>
      <c r="F15" s="2"/>
      <c r="G15" s="2"/>
      <c r="H15" s="2"/>
      <c r="I15" s="2"/>
      <c r="J15" s="2"/>
    </row>
    <row r="16" spans="1:10" x14ac:dyDescent="0.2">
      <c r="A16" s="2" t="s">
        <v>2109</v>
      </c>
      <c r="B16" s="2">
        <v>376</v>
      </c>
      <c r="C16" s="11">
        <v>17.309999999999999</v>
      </c>
      <c r="D16" s="2">
        <f t="shared" si="0"/>
        <v>6508.5599999999995</v>
      </c>
      <c r="E16" s="2"/>
      <c r="F16" s="2"/>
      <c r="G16" s="2"/>
      <c r="H16" s="2"/>
      <c r="I16" s="2"/>
      <c r="J16" s="2"/>
    </row>
    <row r="17" spans="1:10" x14ac:dyDescent="0.2">
      <c r="A17" s="2" t="s">
        <v>2110</v>
      </c>
      <c r="B17" s="2">
        <v>188</v>
      </c>
      <c r="C17" s="11">
        <v>21.74</v>
      </c>
      <c r="D17" s="2">
        <f t="shared" si="0"/>
        <v>4087.12</v>
      </c>
      <c r="E17" s="2"/>
      <c r="F17" s="2"/>
      <c r="G17" s="2"/>
      <c r="H17" s="2"/>
      <c r="I17" s="2"/>
      <c r="J17" s="2"/>
    </row>
    <row r="18" spans="1:10" x14ac:dyDescent="0.2">
      <c r="A18" s="2" t="s">
        <v>2111</v>
      </c>
      <c r="B18" s="2">
        <v>752</v>
      </c>
      <c r="C18" s="11">
        <v>19</v>
      </c>
      <c r="D18" s="2">
        <f t="shared" si="0"/>
        <v>14288</v>
      </c>
      <c r="E18" s="2"/>
      <c r="F18" s="2"/>
      <c r="G18" s="2"/>
      <c r="H18" s="2"/>
      <c r="I18" s="2"/>
      <c r="J18" s="2"/>
    </row>
    <row r="19" spans="1:10" x14ac:dyDescent="0.2">
      <c r="A19" s="2" t="s">
        <v>2112</v>
      </c>
      <c r="B19" s="2">
        <v>1128</v>
      </c>
      <c r="C19" s="11">
        <v>19</v>
      </c>
      <c r="D19" s="2">
        <f t="shared" si="0"/>
        <v>21432</v>
      </c>
      <c r="E19" s="2"/>
      <c r="F19" s="2"/>
      <c r="G19" s="2"/>
      <c r="H19" s="2"/>
      <c r="I19" s="2"/>
      <c r="J19" s="2"/>
    </row>
    <row r="20" spans="1:10" x14ac:dyDescent="0.2">
      <c r="A20" s="2" t="s">
        <v>2113</v>
      </c>
      <c r="B20" s="2">
        <v>4136</v>
      </c>
      <c r="C20" s="11">
        <v>15.25</v>
      </c>
      <c r="D20" s="2">
        <f t="shared" si="0"/>
        <v>63074</v>
      </c>
      <c r="E20" s="2"/>
      <c r="F20" s="2"/>
      <c r="G20" s="2"/>
      <c r="H20" s="2"/>
      <c r="I20" s="2"/>
      <c r="J20" s="2"/>
    </row>
    <row r="21" spans="1:10" x14ac:dyDescent="0.2">
      <c r="A21" s="2" t="s">
        <v>2114</v>
      </c>
      <c r="B21" s="2">
        <v>2256</v>
      </c>
      <c r="C21" s="11">
        <v>14.25</v>
      </c>
      <c r="D21" s="2">
        <f t="shared" si="0"/>
        <v>32148</v>
      </c>
      <c r="E21" s="2"/>
      <c r="F21" s="2"/>
      <c r="G21" s="2"/>
      <c r="H21" s="2"/>
      <c r="I21" s="2"/>
      <c r="J21" s="2"/>
    </row>
    <row r="22" spans="1:10" x14ac:dyDescent="0.2">
      <c r="A22" s="2" t="s">
        <v>2115</v>
      </c>
      <c r="B22" s="2">
        <v>752</v>
      </c>
      <c r="C22" s="11">
        <v>19.5</v>
      </c>
      <c r="D22" s="2">
        <f t="shared" si="0"/>
        <v>14664</v>
      </c>
      <c r="E22" s="2"/>
      <c r="F22" s="2"/>
      <c r="G22" s="2"/>
      <c r="H22" s="2"/>
      <c r="I22" s="2"/>
      <c r="J22" s="2"/>
    </row>
    <row r="23" spans="1:10" x14ac:dyDescent="0.2">
      <c r="A23" s="2" t="s">
        <v>2116</v>
      </c>
      <c r="B23" s="2">
        <v>1504</v>
      </c>
      <c r="C23" s="11">
        <v>18.399999999999999</v>
      </c>
      <c r="D23" s="2">
        <f t="shared" si="0"/>
        <v>27673.599999999999</v>
      </c>
      <c r="E23" s="2"/>
      <c r="F23" s="2"/>
      <c r="G23" s="2"/>
      <c r="H23" s="2"/>
      <c r="I23" s="2"/>
      <c r="J23" s="2"/>
    </row>
    <row r="24" spans="1:10" x14ac:dyDescent="0.2">
      <c r="A24" s="2" t="s">
        <v>2117</v>
      </c>
      <c r="B24" s="2">
        <v>376</v>
      </c>
      <c r="C24" s="88">
        <v>16</v>
      </c>
      <c r="D24" s="2">
        <f t="shared" si="0"/>
        <v>6016</v>
      </c>
      <c r="E24" s="2"/>
      <c r="F24" s="2"/>
      <c r="G24" s="2"/>
      <c r="H24" s="2"/>
      <c r="I24" s="2"/>
      <c r="J24" s="2"/>
    </row>
    <row r="25" spans="1:10" x14ac:dyDescent="0.2">
      <c r="A25" s="2" t="s">
        <v>2118</v>
      </c>
      <c r="B25" s="2">
        <v>376</v>
      </c>
      <c r="C25" s="11">
        <v>14</v>
      </c>
      <c r="D25" s="2">
        <f t="shared" si="0"/>
        <v>5264</v>
      </c>
      <c r="E25" s="2"/>
      <c r="F25" s="2"/>
      <c r="G25" s="2"/>
      <c r="H25" s="2"/>
      <c r="I25" s="2"/>
      <c r="J25" s="2"/>
    </row>
    <row r="26" spans="1:10" ht="15" x14ac:dyDescent="0.35">
      <c r="A26" s="2" t="s">
        <v>2119</v>
      </c>
      <c r="B26" s="2">
        <v>400</v>
      </c>
      <c r="C26" s="11">
        <v>15.25</v>
      </c>
      <c r="D26" s="10">
        <f t="shared" si="0"/>
        <v>6100</v>
      </c>
      <c r="E26" s="2"/>
      <c r="F26" s="2"/>
      <c r="G26" s="2"/>
      <c r="H26" s="2"/>
      <c r="I26" s="2"/>
      <c r="J26" s="2"/>
    </row>
    <row r="27" spans="1:10" x14ac:dyDescent="0.2">
      <c r="A27" s="246" t="s">
        <v>2120</v>
      </c>
      <c r="B27" s="246"/>
      <c r="C27" s="251"/>
      <c r="D27" s="246">
        <f>SUM(D11:D26)</f>
        <v>236318.24000000002</v>
      </c>
      <c r="E27" s="2"/>
      <c r="F27" s="2"/>
      <c r="G27" s="2"/>
      <c r="H27" s="2"/>
      <c r="I27" s="2"/>
      <c r="J27" s="2"/>
    </row>
    <row r="28" spans="1:10" x14ac:dyDescent="0.2">
      <c r="A28" s="11" t="s">
        <v>548</v>
      </c>
      <c r="B28" s="11">
        <f>+D27:D27</f>
        <v>236318.24000000002</v>
      </c>
      <c r="C28" s="11">
        <v>7.6499999999999999E-2</v>
      </c>
      <c r="D28" s="11">
        <f>ROUND(B28*C28,0)</f>
        <v>18078</v>
      </c>
      <c r="E28" s="2"/>
      <c r="F28" s="2"/>
      <c r="G28" s="2"/>
      <c r="H28" s="2"/>
      <c r="I28" s="2"/>
      <c r="J28" s="2"/>
    </row>
    <row r="29" spans="1:10" x14ac:dyDescent="0.2">
      <c r="A29" s="11" t="s">
        <v>549</v>
      </c>
      <c r="B29" s="11">
        <f>+D27</f>
        <v>236318.24000000002</v>
      </c>
      <c r="C29" s="11">
        <v>2.5600000000000001E-2</v>
      </c>
      <c r="D29" s="11">
        <f>ROUND(B29*C29,0)</f>
        <v>6050</v>
      </c>
      <c r="E29" s="2"/>
      <c r="F29" s="2"/>
      <c r="G29" s="2"/>
      <c r="H29" s="2"/>
      <c r="I29" s="2"/>
      <c r="J29" s="2"/>
    </row>
    <row r="30" spans="1:10" x14ac:dyDescent="0.2">
      <c r="A30" s="11" t="s">
        <v>550</v>
      </c>
      <c r="B30" s="11">
        <f>+D27</f>
        <v>236318.24000000002</v>
      </c>
      <c r="C30" s="11">
        <v>3.3999999999999998E-3</v>
      </c>
      <c r="D30" s="11">
        <f>ROUND(B30*C30,0)</f>
        <v>803</v>
      </c>
      <c r="E30" s="2"/>
      <c r="F30" s="2"/>
      <c r="G30" s="2"/>
      <c r="H30" s="2"/>
      <c r="I30" s="2"/>
      <c r="J30" s="2"/>
    </row>
    <row r="31" spans="1:10" x14ac:dyDescent="0.2">
      <c r="A31" s="11" t="s">
        <v>1391</v>
      </c>
      <c r="B31" s="11"/>
      <c r="C31" s="11"/>
      <c r="D31" s="11">
        <v>35076.589999999997</v>
      </c>
      <c r="E31" s="2"/>
      <c r="F31" s="2"/>
      <c r="G31" s="2"/>
      <c r="H31" s="2"/>
      <c r="I31" s="2"/>
      <c r="J31" s="2"/>
    </row>
    <row r="32" spans="1:10" x14ac:dyDescent="0.2">
      <c r="A32" s="11" t="s">
        <v>2121</v>
      </c>
      <c r="B32" s="11"/>
      <c r="C32" s="268"/>
      <c r="D32" s="11">
        <v>11500</v>
      </c>
      <c r="E32" s="2"/>
      <c r="F32" s="2"/>
      <c r="G32" s="2"/>
      <c r="H32" s="2"/>
      <c r="I32" s="2"/>
      <c r="J32" s="2"/>
    </row>
    <row r="33" spans="1:10" x14ac:dyDescent="0.2">
      <c r="A33" s="11" t="s">
        <v>1771</v>
      </c>
      <c r="B33" s="11"/>
      <c r="C33" s="11"/>
      <c r="D33" s="11">
        <v>4500</v>
      </c>
      <c r="E33" s="2"/>
      <c r="F33" s="2"/>
      <c r="G33" s="2"/>
      <c r="H33" s="2"/>
      <c r="I33" s="2"/>
      <c r="J33" s="2"/>
    </row>
    <row r="34" spans="1:10" x14ac:dyDescent="0.2">
      <c r="A34" s="11" t="s">
        <v>2122</v>
      </c>
      <c r="B34" s="11"/>
      <c r="C34" s="11"/>
      <c r="D34" s="11">
        <v>2000</v>
      </c>
      <c r="E34" s="2"/>
      <c r="F34" s="2"/>
      <c r="G34" s="2"/>
      <c r="H34" s="2"/>
      <c r="I34" s="2"/>
      <c r="J34" s="2"/>
    </row>
    <row r="35" spans="1:10" x14ac:dyDescent="0.2">
      <c r="A35" s="11" t="s">
        <v>1972</v>
      </c>
      <c r="B35" s="11"/>
      <c r="C35" s="11"/>
      <c r="D35" s="11">
        <v>500</v>
      </c>
      <c r="E35" s="2"/>
      <c r="F35" s="2"/>
      <c r="G35" s="2"/>
      <c r="H35" s="2"/>
      <c r="I35" s="2"/>
      <c r="J35" s="2"/>
    </row>
    <row r="36" spans="1:10" x14ac:dyDescent="0.2">
      <c r="A36" s="11" t="s">
        <v>2123</v>
      </c>
      <c r="B36" s="11"/>
      <c r="C36" s="11"/>
      <c r="D36" s="11">
        <v>900</v>
      </c>
      <c r="E36" s="2"/>
      <c r="F36" s="2"/>
      <c r="G36" s="2"/>
      <c r="H36" s="2"/>
      <c r="I36" s="2"/>
      <c r="J36" s="2"/>
    </row>
    <row r="37" spans="1:10" x14ac:dyDescent="0.2">
      <c r="A37" s="11" t="s">
        <v>1512</v>
      </c>
      <c r="B37" s="11"/>
      <c r="C37" s="11"/>
      <c r="D37" s="11">
        <v>2000</v>
      </c>
      <c r="E37" s="2"/>
      <c r="F37" s="2"/>
      <c r="G37" s="2"/>
      <c r="H37" s="2"/>
      <c r="I37" s="2"/>
      <c r="J37" s="2"/>
    </row>
    <row r="38" spans="1:10" x14ac:dyDescent="0.2">
      <c r="A38" s="11" t="s">
        <v>706</v>
      </c>
      <c r="B38" s="11"/>
      <c r="C38" s="11"/>
      <c r="D38" s="11">
        <v>2000</v>
      </c>
      <c r="E38" s="2"/>
      <c r="F38" s="2"/>
      <c r="G38" s="2"/>
      <c r="H38" s="2"/>
      <c r="I38" s="2"/>
      <c r="J38" s="2"/>
    </row>
    <row r="39" spans="1:10" x14ac:dyDescent="0.2">
      <c r="A39" s="11" t="s">
        <v>1716</v>
      </c>
      <c r="B39" s="11"/>
      <c r="C39" s="11"/>
      <c r="D39" s="11">
        <v>3350</v>
      </c>
      <c r="E39" s="2"/>
      <c r="F39" s="2"/>
      <c r="G39" s="2"/>
      <c r="H39" s="2"/>
      <c r="I39" s="2"/>
      <c r="J39" s="2"/>
    </row>
    <row r="40" spans="1:10" x14ac:dyDescent="0.2">
      <c r="A40" s="11" t="s">
        <v>1514</v>
      </c>
      <c r="B40" s="11"/>
      <c r="C40" s="11"/>
      <c r="D40" s="11">
        <v>5000</v>
      </c>
      <c r="E40" s="2"/>
      <c r="F40" s="2"/>
      <c r="G40" s="2"/>
      <c r="H40" s="2"/>
      <c r="I40" s="2"/>
      <c r="J40" s="2"/>
    </row>
    <row r="41" spans="1:10" x14ac:dyDescent="0.2">
      <c r="A41" s="11" t="s">
        <v>1465</v>
      </c>
      <c r="B41" s="11"/>
      <c r="C41" s="11"/>
      <c r="D41" s="11">
        <v>4200</v>
      </c>
      <c r="E41" s="2"/>
      <c r="F41" s="265"/>
      <c r="G41" s="265"/>
      <c r="H41" s="283"/>
      <c r="I41" s="316"/>
      <c r="J41" s="316"/>
    </row>
    <row r="42" spans="1:10" x14ac:dyDescent="0.2">
      <c r="A42" s="11" t="s">
        <v>1772</v>
      </c>
      <c r="B42" s="11"/>
      <c r="C42" s="11"/>
      <c r="D42" s="11">
        <v>1500</v>
      </c>
      <c r="E42" s="2"/>
      <c r="F42" s="2"/>
      <c r="G42" s="2"/>
      <c r="H42" s="2"/>
      <c r="I42" s="2"/>
      <c r="J42" s="2"/>
    </row>
    <row r="43" spans="1:10" x14ac:dyDescent="0.2">
      <c r="A43" s="11" t="s">
        <v>2124</v>
      </c>
      <c r="B43" s="11"/>
      <c r="C43" s="11"/>
      <c r="D43" s="11">
        <v>3500</v>
      </c>
      <c r="E43" s="2"/>
      <c r="F43" s="127"/>
      <c r="G43" s="127"/>
      <c r="H43" s="127"/>
      <c r="I43" s="127"/>
      <c r="J43" s="127"/>
    </row>
    <row r="44" spans="1:10" x14ac:dyDescent="0.2">
      <c r="A44" s="11" t="s">
        <v>1773</v>
      </c>
      <c r="B44" s="11"/>
      <c r="C44" s="11"/>
      <c r="D44" s="11">
        <v>2251.88</v>
      </c>
      <c r="E44" s="2"/>
      <c r="F44" s="2"/>
      <c r="G44" s="2"/>
      <c r="H44" s="2"/>
      <c r="I44" s="2"/>
      <c r="J44" s="2"/>
    </row>
    <row r="45" spans="1:10" x14ac:dyDescent="0.2">
      <c r="A45" s="199" t="s">
        <v>2125</v>
      </c>
      <c r="B45" s="199"/>
      <c r="C45" s="199"/>
      <c r="D45" s="221">
        <v>1000</v>
      </c>
      <c r="E45" s="2"/>
      <c r="F45" s="2"/>
      <c r="G45" s="2"/>
      <c r="H45" s="2"/>
      <c r="I45" s="2"/>
      <c r="J45" s="2"/>
    </row>
    <row r="46" spans="1:10" x14ac:dyDescent="0.2">
      <c r="A46" s="199" t="s">
        <v>2126</v>
      </c>
      <c r="B46" s="199"/>
      <c r="C46" s="199"/>
      <c r="D46" s="269">
        <v>8208.7199999999993</v>
      </c>
      <c r="E46" s="2"/>
      <c r="F46" s="2"/>
      <c r="G46" s="2"/>
      <c r="H46" s="2"/>
      <c r="I46" s="2"/>
      <c r="J46" s="2"/>
    </row>
    <row r="47" spans="1:10" x14ac:dyDescent="0.2">
      <c r="A47" s="270" t="s">
        <v>1717</v>
      </c>
      <c r="B47" s="271"/>
      <c r="C47" s="271"/>
      <c r="D47" s="272">
        <f>SUM(D27:D46)</f>
        <v>348736.43</v>
      </c>
      <c r="E47" s="2"/>
      <c r="F47" s="2"/>
      <c r="G47" s="2"/>
      <c r="H47" s="2"/>
      <c r="I47" s="2"/>
      <c r="J47" s="2"/>
    </row>
    <row r="48" spans="1:10" x14ac:dyDescent="0.2">
      <c r="A48" s="87"/>
      <c r="B48" s="87"/>
      <c r="C48" s="256"/>
      <c r="D48" s="87"/>
      <c r="E48" s="2"/>
      <c r="F48" s="2"/>
      <c r="G48" s="2"/>
      <c r="H48" s="2"/>
      <c r="I48" s="2"/>
      <c r="J48" s="2"/>
    </row>
    <row r="49" spans="1:10" x14ac:dyDescent="0.2">
      <c r="A49" s="87"/>
      <c r="B49" s="87"/>
      <c r="C49" s="256"/>
      <c r="D49" s="87"/>
      <c r="E49" s="2"/>
      <c r="F49" s="2"/>
      <c r="G49" s="2"/>
      <c r="H49" s="2"/>
      <c r="I49" s="2"/>
      <c r="J49" s="2"/>
    </row>
    <row r="50" spans="1:10" ht="15" x14ac:dyDescent="0.35">
      <c r="A50" s="65" t="s">
        <v>2127</v>
      </c>
      <c r="B50" s="2"/>
      <c r="C50" s="2"/>
      <c r="D50" s="199"/>
      <c r="E50" s="2"/>
      <c r="F50" s="2"/>
      <c r="G50" s="2"/>
      <c r="H50" s="2"/>
      <c r="I50" s="2"/>
      <c r="J50" s="2"/>
    </row>
    <row r="51" spans="1:10" x14ac:dyDescent="0.2">
      <c r="A51" s="2" t="s">
        <v>2128</v>
      </c>
      <c r="B51" s="2">
        <v>384</v>
      </c>
      <c r="C51" s="88">
        <v>19.48</v>
      </c>
      <c r="D51" s="11">
        <f>SUMPRODUCT(B51*C51)</f>
        <v>7480.32</v>
      </c>
      <c r="E51" s="2"/>
      <c r="F51" s="2"/>
      <c r="G51" s="2"/>
      <c r="H51" s="2"/>
      <c r="I51" s="2"/>
      <c r="J51" s="2"/>
    </row>
    <row r="52" spans="1:10" ht="15" x14ac:dyDescent="0.35">
      <c r="A52" s="2" t="s">
        <v>2129</v>
      </c>
      <c r="B52" s="2">
        <v>2256</v>
      </c>
      <c r="C52" s="88">
        <v>15.25</v>
      </c>
      <c r="D52" s="35">
        <f>SUMPRODUCT(B52*C52)</f>
        <v>34404</v>
      </c>
      <c r="E52" s="2"/>
      <c r="F52" s="2"/>
      <c r="G52" s="2"/>
      <c r="H52" s="2"/>
      <c r="I52" s="2"/>
      <c r="J52" s="2"/>
    </row>
    <row r="53" spans="1:10" x14ac:dyDescent="0.2">
      <c r="A53" s="246" t="s">
        <v>1390</v>
      </c>
      <c r="B53" s="3"/>
      <c r="C53" s="3"/>
      <c r="D53" s="11">
        <f>SUM(D51:D52)</f>
        <v>41884.32</v>
      </c>
      <c r="E53" s="2"/>
      <c r="F53" s="2"/>
      <c r="G53" s="2"/>
      <c r="H53" s="2"/>
      <c r="I53" s="2"/>
      <c r="J53" s="2"/>
    </row>
    <row r="54" spans="1:10" x14ac:dyDescent="0.2">
      <c r="A54" s="2" t="s">
        <v>548</v>
      </c>
      <c r="B54" s="2">
        <f>+D53:D53</f>
        <v>41884.32</v>
      </c>
      <c r="C54" s="13">
        <v>7.6499999999999999E-2</v>
      </c>
      <c r="D54" s="11">
        <f>ROUND(B54*C54,0)</f>
        <v>3204</v>
      </c>
      <c r="E54" s="2"/>
      <c r="F54" s="2"/>
      <c r="G54" s="2"/>
      <c r="H54" s="2"/>
      <c r="I54" s="2"/>
      <c r="J54" s="2"/>
    </row>
    <row r="55" spans="1:10" x14ac:dyDescent="0.2">
      <c r="A55" s="2" t="s">
        <v>549</v>
      </c>
      <c r="B55" s="2">
        <f>+D53</f>
        <v>41884.32</v>
      </c>
      <c r="C55" s="13">
        <v>2.5600000000000001E-2</v>
      </c>
      <c r="D55" s="11">
        <f>ROUND(B55*C55,0)</f>
        <v>1072</v>
      </c>
      <c r="E55" s="2"/>
      <c r="F55" s="2"/>
      <c r="G55" s="2"/>
      <c r="H55" s="2"/>
      <c r="I55" s="2"/>
      <c r="J55" s="2"/>
    </row>
    <row r="56" spans="1:10" x14ac:dyDescent="0.2">
      <c r="A56" s="2" t="s">
        <v>550</v>
      </c>
      <c r="B56" s="2">
        <f>+D53</f>
        <v>41884.32</v>
      </c>
      <c r="C56" s="13">
        <v>3.3999999999999998E-3</v>
      </c>
      <c r="D56" s="11">
        <f>ROUND(B56*C56,0)</f>
        <v>142</v>
      </c>
      <c r="E56" s="2"/>
      <c r="F56" s="2"/>
      <c r="G56" s="2"/>
      <c r="H56" s="2"/>
      <c r="I56" s="2"/>
      <c r="J56" s="2"/>
    </row>
    <row r="57" spans="1:10" x14ac:dyDescent="0.2">
      <c r="A57" s="2" t="s">
        <v>1391</v>
      </c>
      <c r="B57" s="2"/>
      <c r="C57" s="2"/>
      <c r="D57" s="11">
        <v>10340.6</v>
      </c>
      <c r="E57" s="2"/>
      <c r="F57" s="2"/>
      <c r="G57" s="265"/>
      <c r="H57" s="283"/>
      <c r="I57" s="316"/>
      <c r="J57" s="316"/>
    </row>
    <row r="58" spans="1:10" x14ac:dyDescent="0.2">
      <c r="A58" s="2" t="s">
        <v>2130</v>
      </c>
      <c r="B58" s="2"/>
      <c r="C58" s="2"/>
      <c r="D58" s="11">
        <v>175</v>
      </c>
      <c r="E58" s="2"/>
      <c r="F58" s="2"/>
      <c r="G58" s="2"/>
      <c r="H58" s="2"/>
      <c r="I58" s="2"/>
      <c r="J58" s="2"/>
    </row>
    <row r="59" spans="1:10" x14ac:dyDescent="0.2">
      <c r="A59" s="223" t="s">
        <v>2131</v>
      </c>
      <c r="B59" s="199"/>
      <c r="C59" s="199"/>
      <c r="D59" s="11">
        <v>1000</v>
      </c>
      <c r="E59" s="2"/>
      <c r="F59" s="2"/>
      <c r="G59" s="2"/>
      <c r="H59" s="2"/>
      <c r="I59" s="2"/>
      <c r="J59" s="2"/>
    </row>
    <row r="60" spans="1:10" x14ac:dyDescent="0.2">
      <c r="A60" s="2" t="s">
        <v>1465</v>
      </c>
      <c r="B60" s="2"/>
      <c r="C60" s="2"/>
      <c r="D60" s="11">
        <v>2258</v>
      </c>
      <c r="E60" s="2"/>
      <c r="F60" s="2"/>
      <c r="G60" s="2"/>
      <c r="H60" s="2"/>
      <c r="I60" s="2"/>
      <c r="J60" s="2"/>
    </row>
    <row r="61" spans="1:10" x14ac:dyDescent="0.2">
      <c r="A61" s="2" t="s">
        <v>1773</v>
      </c>
      <c r="B61" s="2"/>
      <c r="C61" s="2"/>
      <c r="D61" s="11">
        <v>663.48</v>
      </c>
      <c r="E61" s="2"/>
      <c r="F61" s="2"/>
      <c r="G61" s="2"/>
      <c r="H61" s="2"/>
      <c r="I61" s="2"/>
      <c r="J61" s="2"/>
    </row>
    <row r="62" spans="1:10" x14ac:dyDescent="0.2">
      <c r="A62" s="11" t="s">
        <v>2132</v>
      </c>
      <c r="B62" s="11"/>
      <c r="C62" s="11"/>
      <c r="D62" s="11">
        <v>18720</v>
      </c>
      <c r="E62" s="2"/>
      <c r="F62" s="2"/>
      <c r="G62" s="2"/>
      <c r="H62" s="2"/>
      <c r="I62" s="2"/>
      <c r="J62" s="2"/>
    </row>
    <row r="63" spans="1:10" x14ac:dyDescent="0.2">
      <c r="A63" s="11" t="s">
        <v>2133</v>
      </c>
      <c r="B63" s="11"/>
      <c r="C63" s="11"/>
      <c r="D63" s="11">
        <v>19000</v>
      </c>
      <c r="E63" s="2"/>
      <c r="F63" s="2"/>
      <c r="G63" s="2"/>
      <c r="H63" s="2"/>
      <c r="I63" s="2"/>
      <c r="J63" s="2"/>
    </row>
    <row r="64" spans="1:10" x14ac:dyDescent="0.2">
      <c r="A64" s="274" t="s">
        <v>1717</v>
      </c>
      <c r="B64" s="275"/>
      <c r="C64" s="271"/>
      <c r="D64" s="272">
        <f>SUM(D53:D63)</f>
        <v>98459.4</v>
      </c>
      <c r="E64" s="2"/>
      <c r="F64" s="2"/>
      <c r="G64" s="2">
        <v>98459.4</v>
      </c>
      <c r="H64" s="2">
        <v>98459.4</v>
      </c>
      <c r="I64" s="2">
        <v>98459.4</v>
      </c>
      <c r="J64" s="2">
        <v>98459.4</v>
      </c>
    </row>
    <row r="65" spans="1:10" x14ac:dyDescent="0.2">
      <c r="A65" s="2"/>
      <c r="B65" s="2"/>
      <c r="C65" s="2"/>
      <c r="D65" s="273"/>
      <c r="E65" s="2"/>
      <c r="F65" s="2"/>
      <c r="G65" s="2"/>
      <c r="H65" s="2"/>
      <c r="I65" s="2"/>
      <c r="J65" s="2"/>
    </row>
    <row r="66" spans="1:10" x14ac:dyDescent="0.2">
      <c r="A66" s="2"/>
      <c r="B66" s="2"/>
      <c r="C66" s="2"/>
      <c r="D66" s="273"/>
      <c r="E66" s="2"/>
      <c r="F66" s="2"/>
      <c r="G66" s="2"/>
      <c r="H66" s="2"/>
      <c r="I66" s="2"/>
      <c r="J66" s="2"/>
    </row>
    <row r="67" spans="1:10" s="206" customFormat="1" ht="15" x14ac:dyDescent="0.35">
      <c r="A67" s="65" t="s">
        <v>2134</v>
      </c>
      <c r="B67" s="2"/>
      <c r="C67" s="2"/>
      <c r="D67" s="199"/>
      <c r="E67" s="2"/>
      <c r="F67" s="2"/>
      <c r="G67" s="2"/>
      <c r="H67" s="2"/>
      <c r="I67" s="2"/>
      <c r="J67" s="2"/>
    </row>
    <row r="68" spans="1:10" x14ac:dyDescent="0.2">
      <c r="A68" s="2" t="s">
        <v>2135</v>
      </c>
      <c r="B68" s="2">
        <v>50</v>
      </c>
      <c r="C68" s="88">
        <v>18.36</v>
      </c>
      <c r="D68" s="11">
        <f>SUMPRODUCT(B68*C68)</f>
        <v>918</v>
      </c>
      <c r="E68" s="2"/>
      <c r="F68" s="127"/>
      <c r="G68" s="127"/>
      <c r="H68" s="127"/>
      <c r="I68" s="127"/>
      <c r="J68" s="127"/>
    </row>
    <row r="69" spans="1:10" ht="15" x14ac:dyDescent="0.35">
      <c r="A69" s="2" t="s">
        <v>2136</v>
      </c>
      <c r="B69" s="2">
        <v>150</v>
      </c>
      <c r="C69" s="88">
        <v>15.56</v>
      </c>
      <c r="D69" s="35">
        <f>SUMPRODUCT(B69*C69)</f>
        <v>2334</v>
      </c>
      <c r="E69" s="2"/>
      <c r="F69" s="2"/>
      <c r="G69" s="2"/>
      <c r="H69" s="2"/>
      <c r="I69" s="2"/>
      <c r="J69" s="2"/>
    </row>
    <row r="70" spans="1:10" x14ac:dyDescent="0.2">
      <c r="A70" s="246" t="s">
        <v>1390</v>
      </c>
      <c r="B70" s="3"/>
      <c r="C70" s="3"/>
      <c r="D70" s="11">
        <f>SUM(D68:D69)</f>
        <v>3252</v>
      </c>
      <c r="E70" s="2"/>
      <c r="F70" s="2"/>
      <c r="G70" s="2"/>
      <c r="H70" s="2"/>
      <c r="I70" s="2"/>
      <c r="J70" s="2"/>
    </row>
    <row r="71" spans="1:10" x14ac:dyDescent="0.2">
      <c r="A71" s="2" t="s">
        <v>548</v>
      </c>
      <c r="B71" s="2">
        <f>+D70:D70</f>
        <v>3252</v>
      </c>
      <c r="C71" s="13">
        <v>7.6499999999999999E-2</v>
      </c>
      <c r="D71" s="11">
        <f>ROUND(B71*C71,0)</f>
        <v>249</v>
      </c>
      <c r="E71" s="2"/>
      <c r="F71" s="2"/>
      <c r="G71" s="2"/>
      <c r="H71" s="2"/>
      <c r="I71" s="2"/>
      <c r="J71" s="2"/>
    </row>
    <row r="72" spans="1:10" s="195" customFormat="1" x14ac:dyDescent="0.2">
      <c r="A72" s="2" t="s">
        <v>549</v>
      </c>
      <c r="B72" s="2">
        <f>+D70</f>
        <v>3252</v>
      </c>
      <c r="C72" s="13">
        <v>2.5600000000000001E-2</v>
      </c>
      <c r="D72" s="11">
        <f>ROUND(B72*C72,0)</f>
        <v>83</v>
      </c>
      <c r="E72" s="2"/>
      <c r="F72" s="2"/>
      <c r="G72" s="2"/>
      <c r="H72" s="2"/>
      <c r="I72" s="2"/>
      <c r="J72" s="2"/>
    </row>
    <row r="73" spans="1:10" s="195" customFormat="1" x14ac:dyDescent="0.2">
      <c r="A73" s="2" t="s">
        <v>550</v>
      </c>
      <c r="B73" s="2">
        <f>+D70</f>
        <v>3252</v>
      </c>
      <c r="C73" s="13">
        <v>3.3999999999999998E-3</v>
      </c>
      <c r="D73" s="11">
        <f>ROUND(B73*C73,0)</f>
        <v>11</v>
      </c>
      <c r="E73" s="109"/>
      <c r="F73" s="2"/>
      <c r="G73" s="109"/>
      <c r="H73" s="109"/>
      <c r="I73" s="109"/>
      <c r="J73" s="109"/>
    </row>
    <row r="74" spans="1:10" s="195" customFormat="1" x14ac:dyDescent="0.2">
      <c r="A74" s="2" t="s">
        <v>1391</v>
      </c>
      <c r="B74" s="2"/>
      <c r="C74" s="2"/>
      <c r="D74" s="11">
        <v>337.39</v>
      </c>
      <c r="E74" s="109"/>
      <c r="F74" s="2"/>
      <c r="G74" s="109"/>
      <c r="H74" s="109"/>
      <c r="I74" s="109"/>
      <c r="J74" s="109"/>
    </row>
    <row r="75" spans="1:10" s="195" customFormat="1" x14ac:dyDescent="0.2">
      <c r="A75" s="2" t="s">
        <v>1516</v>
      </c>
      <c r="B75" s="2"/>
      <c r="C75" s="2"/>
      <c r="D75" s="11">
        <v>100</v>
      </c>
      <c r="E75" s="2"/>
      <c r="F75" s="2"/>
      <c r="G75" s="2"/>
      <c r="H75" s="2"/>
      <c r="I75" s="2"/>
      <c r="J75" s="2"/>
    </row>
    <row r="76" spans="1:10" s="195" customFormat="1" x14ac:dyDescent="0.2">
      <c r="A76" s="223" t="s">
        <v>2131</v>
      </c>
      <c r="B76" s="199"/>
      <c r="C76" s="199"/>
      <c r="D76" s="11">
        <v>1200</v>
      </c>
      <c r="E76" s="2"/>
      <c r="F76" s="2"/>
      <c r="G76" s="2"/>
      <c r="H76" s="2"/>
      <c r="I76" s="2"/>
      <c r="J76" s="2"/>
    </row>
    <row r="77" spans="1:10" s="195" customFormat="1" x14ac:dyDescent="0.2">
      <c r="A77" s="2" t="s">
        <v>1465</v>
      </c>
      <c r="B77" s="2"/>
      <c r="C77" s="2"/>
      <c r="D77" s="11">
        <v>125</v>
      </c>
      <c r="E77" s="2"/>
      <c r="F77" s="2"/>
      <c r="G77" s="2"/>
      <c r="H77" s="2"/>
      <c r="I77" s="2"/>
      <c r="J77" s="2"/>
    </row>
    <row r="78" spans="1:10" s="195" customFormat="1" x14ac:dyDescent="0.2">
      <c r="A78" s="2" t="s">
        <v>1773</v>
      </c>
      <c r="B78" s="2"/>
      <c r="C78" s="2"/>
      <c r="D78" s="11">
        <v>21.66</v>
      </c>
      <c r="E78" s="2"/>
      <c r="F78" s="2"/>
      <c r="G78" s="2"/>
      <c r="H78" s="2"/>
      <c r="I78" s="2"/>
      <c r="J78" s="2"/>
    </row>
    <row r="79" spans="1:10" s="195" customFormat="1" x14ac:dyDescent="0.2">
      <c r="A79" s="276" t="s">
        <v>1717</v>
      </c>
      <c r="B79" s="277"/>
      <c r="C79" s="277"/>
      <c r="D79" s="272">
        <f>SUM(D70:D78)</f>
        <v>5379.0499999999993</v>
      </c>
      <c r="E79" s="2"/>
      <c r="F79" s="2">
        <v>5257</v>
      </c>
      <c r="G79" s="2">
        <v>5379</v>
      </c>
      <c r="H79" s="2">
        <v>5379</v>
      </c>
      <c r="I79" s="2">
        <v>5379</v>
      </c>
      <c r="J79" s="2">
        <v>5379</v>
      </c>
    </row>
    <row r="80" spans="1:10" s="195" customFormat="1" x14ac:dyDescent="0.2">
      <c r="A80" s="2"/>
      <c r="B80" s="2"/>
      <c r="C80" s="2"/>
      <c r="D80" s="273"/>
      <c r="E80" s="2"/>
      <c r="F80" s="2"/>
      <c r="G80" s="2"/>
      <c r="H80" s="2"/>
      <c r="I80" s="2"/>
      <c r="J80" s="2"/>
    </row>
    <row r="81" spans="1:10" s="195" customFormat="1" x14ac:dyDescent="0.2">
      <c r="A81" s="223"/>
      <c r="B81" s="199"/>
      <c r="C81" s="199"/>
      <c r="D81" s="273" t="s">
        <v>2169</v>
      </c>
      <c r="E81" s="2">
        <v>57438</v>
      </c>
      <c r="F81" s="2"/>
      <c r="G81" s="2"/>
      <c r="H81" s="2"/>
      <c r="I81" s="2"/>
      <c r="J81" s="2"/>
    </row>
    <row r="82" spans="1:10" s="195" customFormat="1" ht="15" x14ac:dyDescent="0.35">
      <c r="A82" s="65" t="s">
        <v>2137</v>
      </c>
      <c r="B82" s="2"/>
      <c r="C82" s="2"/>
      <c r="D82" s="199"/>
      <c r="F82" s="2"/>
      <c r="G82" s="2"/>
      <c r="H82" s="2"/>
      <c r="I82" s="2"/>
      <c r="J82" s="2"/>
    </row>
    <row r="83" spans="1:10" s="195" customFormat="1" x14ac:dyDescent="0.2">
      <c r="A83" s="2" t="s">
        <v>2138</v>
      </c>
      <c r="B83" s="2">
        <v>1440</v>
      </c>
      <c r="C83" s="88">
        <v>21</v>
      </c>
      <c r="D83" s="11">
        <f t="shared" ref="D83" si="1">SUMPRODUCT(B83*C83)</f>
        <v>30240</v>
      </c>
      <c r="E83" s="2"/>
      <c r="F83" s="2"/>
      <c r="G83" s="2"/>
      <c r="H83" s="2"/>
      <c r="I83" s="2"/>
      <c r="J83" s="2"/>
    </row>
    <row r="84" spans="1:10" x14ac:dyDescent="0.2">
      <c r="A84" s="43" t="s">
        <v>2139</v>
      </c>
      <c r="B84" s="2">
        <v>720</v>
      </c>
      <c r="C84" s="220">
        <v>15.25</v>
      </c>
      <c r="D84" s="11">
        <f>SUMPRODUCT(B84*C84)</f>
        <v>10980</v>
      </c>
      <c r="E84" s="2"/>
      <c r="F84" s="2"/>
      <c r="G84" s="2"/>
      <c r="H84" s="2"/>
      <c r="I84" s="2"/>
      <c r="J84" s="2"/>
    </row>
    <row r="85" spans="1:10" ht="15" x14ac:dyDescent="0.35">
      <c r="A85" s="199" t="s">
        <v>2140</v>
      </c>
      <c r="B85" s="199">
        <v>720</v>
      </c>
      <c r="C85" s="199">
        <v>14.25</v>
      </c>
      <c r="D85" s="35">
        <f>SUM(B85*C85)</f>
        <v>10260</v>
      </c>
      <c r="E85" s="2"/>
      <c r="F85" s="2"/>
      <c r="G85" s="2"/>
      <c r="H85" s="2"/>
      <c r="I85" s="2"/>
      <c r="J85" s="2"/>
    </row>
    <row r="86" spans="1:10" x14ac:dyDescent="0.2">
      <c r="A86" s="1" t="s">
        <v>1390</v>
      </c>
      <c r="B86" s="2"/>
      <c r="C86" s="2"/>
      <c r="D86" s="11">
        <f>SUM(D83:D85)</f>
        <v>51480</v>
      </c>
      <c r="E86" s="2"/>
      <c r="F86" s="2"/>
      <c r="G86" s="2"/>
      <c r="H86" s="2"/>
      <c r="I86" s="2"/>
      <c r="J86" s="2"/>
    </row>
    <row r="87" spans="1:10" x14ac:dyDescent="0.2">
      <c r="A87" s="2" t="s">
        <v>548</v>
      </c>
      <c r="B87" s="2">
        <f>+D86:D86</f>
        <v>51480</v>
      </c>
      <c r="C87" s="13">
        <v>7.6499999999999999E-2</v>
      </c>
      <c r="D87" s="11">
        <f>ROUND(B87*C87,0)</f>
        <v>3938</v>
      </c>
      <c r="E87" s="2"/>
      <c r="F87" s="2"/>
      <c r="G87" s="2"/>
      <c r="H87" s="2"/>
      <c r="I87" s="2"/>
      <c r="J87" s="2"/>
    </row>
    <row r="88" spans="1:10" x14ac:dyDescent="0.2">
      <c r="A88" s="2" t="s">
        <v>549</v>
      </c>
      <c r="B88" s="2">
        <f>+D86</f>
        <v>51480</v>
      </c>
      <c r="C88" s="13">
        <v>2.5600000000000001E-2</v>
      </c>
      <c r="D88" s="11">
        <f>ROUND(B88*C88,0)</f>
        <v>1318</v>
      </c>
      <c r="E88" s="2"/>
      <c r="F88" s="2"/>
      <c r="G88" s="2"/>
      <c r="H88" s="2"/>
      <c r="I88" s="2"/>
      <c r="J88" s="2"/>
    </row>
    <row r="89" spans="1:10" x14ac:dyDescent="0.2">
      <c r="A89" s="2" t="s">
        <v>550</v>
      </c>
      <c r="B89" s="2">
        <f>+D86</f>
        <v>51480</v>
      </c>
      <c r="C89" s="13">
        <v>3.3999999999999998E-3</v>
      </c>
      <c r="D89" s="11">
        <f>ROUND(B89*C89,0)</f>
        <v>175</v>
      </c>
      <c r="E89" s="2"/>
      <c r="F89" s="2"/>
      <c r="G89" s="2"/>
      <c r="H89" s="2"/>
      <c r="I89" s="2"/>
      <c r="J89" s="2"/>
    </row>
    <row r="90" spans="1:10" x14ac:dyDescent="0.2">
      <c r="A90" s="2" t="s">
        <v>1391</v>
      </c>
      <c r="B90" s="2"/>
      <c r="C90" s="2"/>
      <c r="D90" s="11">
        <v>10944.42</v>
      </c>
      <c r="E90" s="2"/>
      <c r="F90" s="2"/>
      <c r="G90" s="2"/>
      <c r="H90" s="2"/>
      <c r="I90" s="2"/>
      <c r="J90" s="2"/>
    </row>
    <row r="91" spans="1:10" x14ac:dyDescent="0.2">
      <c r="A91" s="2" t="s">
        <v>1516</v>
      </c>
      <c r="B91" s="2"/>
      <c r="C91" s="2"/>
      <c r="D91" s="11">
        <v>100</v>
      </c>
      <c r="E91" s="2"/>
      <c r="F91" s="2"/>
      <c r="G91" s="2"/>
      <c r="H91" s="2"/>
      <c r="I91" s="2"/>
      <c r="J91" s="2"/>
    </row>
    <row r="92" spans="1:10" x14ac:dyDescent="0.2">
      <c r="A92" s="11" t="s">
        <v>2141</v>
      </c>
      <c r="B92" s="2"/>
      <c r="C92" s="2"/>
      <c r="D92" s="11">
        <v>36000</v>
      </c>
      <c r="E92" s="2"/>
      <c r="F92" s="2"/>
      <c r="G92" s="2"/>
      <c r="H92" s="2"/>
      <c r="I92" s="2"/>
      <c r="J92" s="2"/>
    </row>
    <row r="93" spans="1:10" x14ac:dyDescent="0.2">
      <c r="A93" s="43" t="s">
        <v>2142</v>
      </c>
      <c r="B93" s="2"/>
      <c r="C93" s="2"/>
      <c r="D93" s="11">
        <v>2000</v>
      </c>
      <c r="E93" s="2"/>
      <c r="F93" s="2"/>
      <c r="G93" s="2"/>
      <c r="H93" s="2"/>
      <c r="I93" s="2"/>
      <c r="J93" s="2"/>
    </row>
    <row r="94" spans="1:10" x14ac:dyDescent="0.2">
      <c r="A94" s="199" t="s">
        <v>2143</v>
      </c>
      <c r="B94" s="199"/>
      <c r="C94" s="199"/>
      <c r="D94" s="11">
        <v>500</v>
      </c>
      <c r="E94" s="2"/>
      <c r="F94" s="2"/>
      <c r="G94" s="2"/>
      <c r="H94" s="2"/>
      <c r="I94" s="2"/>
      <c r="J94" s="2"/>
    </row>
    <row r="95" spans="1:10" x14ac:dyDescent="0.2">
      <c r="A95" s="199" t="s">
        <v>1972</v>
      </c>
      <c r="B95" s="199"/>
      <c r="C95" s="199"/>
      <c r="D95" s="11">
        <v>100</v>
      </c>
      <c r="E95" s="2"/>
      <c r="F95" s="2"/>
      <c r="G95" s="2"/>
      <c r="H95" s="2"/>
      <c r="I95" s="2"/>
      <c r="J95" s="2"/>
    </row>
    <row r="96" spans="1:10" x14ac:dyDescent="0.2">
      <c r="A96" s="199" t="s">
        <v>2144</v>
      </c>
      <c r="B96" s="199"/>
      <c r="C96" s="199"/>
      <c r="D96" s="11">
        <v>100</v>
      </c>
      <c r="E96" s="2"/>
      <c r="F96" s="2"/>
      <c r="G96" s="2"/>
      <c r="H96" s="2"/>
      <c r="I96" s="2"/>
      <c r="J96" s="2"/>
    </row>
    <row r="97" spans="1:10" x14ac:dyDescent="0.2">
      <c r="A97" s="199" t="s">
        <v>2145</v>
      </c>
      <c r="B97" s="199"/>
      <c r="C97" s="199"/>
      <c r="D97" s="11">
        <v>200</v>
      </c>
      <c r="E97" s="2"/>
      <c r="F97" s="2"/>
      <c r="G97" s="2"/>
      <c r="H97" s="2"/>
      <c r="I97" s="2"/>
      <c r="J97" s="2"/>
    </row>
    <row r="98" spans="1:10" x14ac:dyDescent="0.2">
      <c r="A98" s="199" t="s">
        <v>2146</v>
      </c>
      <c r="B98" s="199"/>
      <c r="C98" s="199"/>
      <c r="D98" s="11">
        <v>2376</v>
      </c>
      <c r="E98" s="2"/>
      <c r="F98" s="2"/>
      <c r="G98" s="2"/>
      <c r="H98" s="2"/>
      <c r="I98" s="2"/>
      <c r="J98" s="2"/>
    </row>
    <row r="99" spans="1:10" x14ac:dyDescent="0.2">
      <c r="A99" s="2" t="s">
        <v>1773</v>
      </c>
      <c r="B99" s="2"/>
      <c r="C99" s="2"/>
      <c r="D99" s="11">
        <v>702.62</v>
      </c>
      <c r="E99" s="2"/>
      <c r="F99" s="2"/>
      <c r="G99" s="2"/>
      <c r="H99" s="2"/>
      <c r="I99" s="2"/>
      <c r="J99" s="2"/>
    </row>
    <row r="100" spans="1:10" x14ac:dyDescent="0.2">
      <c r="A100" s="199" t="s">
        <v>2147</v>
      </c>
      <c r="B100" s="199"/>
      <c r="C100" s="199"/>
      <c r="D100" s="11">
        <v>22731.57</v>
      </c>
      <c r="E100" s="2"/>
      <c r="F100" s="2"/>
      <c r="G100" s="2"/>
      <c r="H100" s="2"/>
      <c r="I100" s="2"/>
      <c r="J100" s="2"/>
    </row>
    <row r="101" spans="1:10" x14ac:dyDescent="0.2">
      <c r="A101" s="278" t="s">
        <v>1717</v>
      </c>
      <c r="B101" s="279"/>
      <c r="C101" s="279"/>
      <c r="D101" s="272">
        <f>SUM(D86:D100)</f>
        <v>132665.60999999999</v>
      </c>
      <c r="E101" s="2"/>
      <c r="F101" s="2">
        <v>0</v>
      </c>
      <c r="G101" s="2">
        <v>132665.60999999999</v>
      </c>
      <c r="H101" s="2">
        <v>132665.60999999999</v>
      </c>
      <c r="I101" s="2">
        <v>132665.60999999999</v>
      </c>
      <c r="J101" s="2">
        <v>132665.60999999999</v>
      </c>
    </row>
    <row r="102" spans="1:10" x14ac:dyDescent="0.2">
      <c r="A102" s="11"/>
      <c r="B102" s="2"/>
      <c r="C102" s="2"/>
      <c r="D102" s="273"/>
      <c r="E102" s="2"/>
      <c r="F102" s="2"/>
      <c r="G102" s="2"/>
      <c r="H102" s="2"/>
      <c r="I102" s="2"/>
      <c r="J102" s="2"/>
    </row>
    <row r="103" spans="1:10" x14ac:dyDescent="0.2">
      <c r="A103" s="43"/>
      <c r="B103" s="2"/>
      <c r="C103" s="2"/>
      <c r="D103" s="273"/>
      <c r="E103" s="265"/>
      <c r="F103" s="2"/>
      <c r="G103" s="2"/>
      <c r="H103" s="2"/>
      <c r="I103" s="2"/>
      <c r="J103" s="2"/>
    </row>
    <row r="104" spans="1:10" ht="15" x14ac:dyDescent="0.35">
      <c r="A104" s="65" t="s">
        <v>1515</v>
      </c>
      <c r="B104" s="2"/>
      <c r="C104" s="2"/>
      <c r="D104" s="199"/>
      <c r="E104" s="2"/>
      <c r="F104" s="2"/>
      <c r="G104" s="2"/>
      <c r="H104" s="2"/>
      <c r="I104" s="2"/>
      <c r="J104" s="2"/>
    </row>
    <row r="105" spans="1:10" x14ac:dyDescent="0.2">
      <c r="A105" s="2" t="s">
        <v>2148</v>
      </c>
      <c r="B105" s="2">
        <v>120</v>
      </c>
      <c r="C105" s="88">
        <v>21</v>
      </c>
      <c r="D105" s="11">
        <f>SUMPRODUCT(B105*C105)</f>
        <v>2520</v>
      </c>
      <c r="E105" s="2"/>
      <c r="F105" s="2"/>
      <c r="G105" s="2"/>
      <c r="H105" s="2"/>
      <c r="I105" s="2"/>
      <c r="J105" s="2"/>
    </row>
    <row r="106" spans="1:10" x14ac:dyDescent="0.2">
      <c r="A106" s="223" t="s">
        <v>1718</v>
      </c>
      <c r="B106" s="199">
        <v>360</v>
      </c>
      <c r="C106" s="223">
        <v>15.25</v>
      </c>
      <c r="D106" s="11">
        <f>SUMPRODUCT(B106*C106)</f>
        <v>5490</v>
      </c>
      <c r="E106" s="2"/>
      <c r="F106" s="2"/>
      <c r="G106" s="2"/>
      <c r="H106" s="2"/>
      <c r="I106" s="2"/>
      <c r="J106" s="2"/>
    </row>
    <row r="107" spans="1:10" ht="15" x14ac:dyDescent="0.35">
      <c r="A107" s="223" t="s">
        <v>1719</v>
      </c>
      <c r="B107" s="199">
        <v>60</v>
      </c>
      <c r="C107" s="223">
        <v>13.98</v>
      </c>
      <c r="D107" s="35">
        <f>SUMPRODUCT(B107*C107)</f>
        <v>838.80000000000007</v>
      </c>
      <c r="E107" s="2"/>
      <c r="F107" s="2"/>
      <c r="G107" s="2"/>
      <c r="H107" s="2"/>
      <c r="I107" s="2"/>
      <c r="J107" s="2"/>
    </row>
    <row r="108" spans="1:10" x14ac:dyDescent="0.2">
      <c r="A108" s="1" t="s">
        <v>1390</v>
      </c>
      <c r="B108" s="2"/>
      <c r="C108" s="2"/>
      <c r="D108" s="11">
        <f>SUM(D105:D107)</f>
        <v>8848.7999999999993</v>
      </c>
      <c r="E108" s="2"/>
      <c r="F108" s="2"/>
      <c r="G108" s="2"/>
      <c r="H108" s="2"/>
      <c r="I108" s="2"/>
      <c r="J108" s="2"/>
    </row>
    <row r="109" spans="1:10" x14ac:dyDescent="0.2">
      <c r="A109" s="2" t="s">
        <v>548</v>
      </c>
      <c r="B109" s="2">
        <f>+D108:D108</f>
        <v>8848.7999999999993</v>
      </c>
      <c r="C109" s="13">
        <v>7.6499999999999999E-2</v>
      </c>
      <c r="D109" s="11">
        <f>ROUND(B109*C109,0)</f>
        <v>677</v>
      </c>
      <c r="E109" s="2"/>
      <c r="F109" s="2"/>
      <c r="G109" s="2"/>
      <c r="H109" s="2"/>
      <c r="I109" s="2"/>
      <c r="J109" s="2"/>
    </row>
    <row r="110" spans="1:10" x14ac:dyDescent="0.2">
      <c r="A110" s="2" t="s">
        <v>549</v>
      </c>
      <c r="B110" s="2">
        <f>+D108</f>
        <v>8848.7999999999993</v>
      </c>
      <c r="C110" s="13">
        <v>2.5600000000000001E-2</v>
      </c>
      <c r="D110" s="11">
        <f>ROUND(B110*C110,0)</f>
        <v>227</v>
      </c>
      <c r="E110" s="2"/>
      <c r="F110" s="2"/>
      <c r="G110" s="2"/>
      <c r="H110" s="2"/>
      <c r="I110" s="2"/>
      <c r="J110" s="2"/>
    </row>
    <row r="111" spans="1:10" x14ac:dyDescent="0.2">
      <c r="A111" s="2" t="s">
        <v>550</v>
      </c>
      <c r="B111" s="2">
        <f>+D108</f>
        <v>8848.7999999999993</v>
      </c>
      <c r="C111" s="13">
        <v>3.3999999999999998E-3</v>
      </c>
      <c r="D111" s="11">
        <f>ROUND(B111*C111,0)</f>
        <v>30</v>
      </c>
      <c r="E111" s="2"/>
      <c r="F111" s="2"/>
      <c r="G111" s="2"/>
      <c r="H111" s="2"/>
      <c r="I111" s="2"/>
      <c r="J111" s="2"/>
    </row>
    <row r="112" spans="1:10" x14ac:dyDescent="0.2">
      <c r="A112" s="2" t="s">
        <v>1513</v>
      </c>
      <c r="B112" s="2"/>
      <c r="C112" s="2"/>
      <c r="D112" s="11">
        <v>400</v>
      </c>
      <c r="E112" s="2"/>
      <c r="F112" s="2"/>
      <c r="G112" s="2"/>
      <c r="H112" s="2"/>
      <c r="I112" s="2"/>
      <c r="J112" s="2"/>
    </row>
    <row r="113" spans="1:10" x14ac:dyDescent="0.2">
      <c r="A113" s="2" t="s">
        <v>1623</v>
      </c>
      <c r="B113" s="2"/>
      <c r="C113" s="2"/>
      <c r="D113" s="11">
        <v>125</v>
      </c>
      <c r="E113" s="2"/>
      <c r="F113" s="2"/>
      <c r="G113" s="2"/>
      <c r="H113" s="2"/>
      <c r="I113" s="2"/>
      <c r="J113" s="2"/>
    </row>
    <row r="114" spans="1:10" x14ac:dyDescent="0.2">
      <c r="A114" s="2" t="s">
        <v>1517</v>
      </c>
      <c r="B114" s="199"/>
      <c r="C114" s="199"/>
      <c r="D114" s="11">
        <v>650</v>
      </c>
      <c r="E114" s="2"/>
      <c r="F114" s="2"/>
      <c r="G114" s="2"/>
      <c r="H114" s="2"/>
      <c r="I114" s="2"/>
      <c r="J114" s="2"/>
    </row>
    <row r="115" spans="1:10" x14ac:dyDescent="0.2">
      <c r="A115" s="2" t="s">
        <v>1512</v>
      </c>
      <c r="B115" s="2"/>
      <c r="C115" s="2"/>
      <c r="D115" s="11">
        <v>50</v>
      </c>
      <c r="E115" s="2"/>
      <c r="F115" s="2"/>
      <c r="G115" s="2"/>
      <c r="H115" s="2"/>
      <c r="I115" s="2"/>
      <c r="J115" s="2"/>
    </row>
    <row r="116" spans="1:10" x14ac:dyDescent="0.2">
      <c r="A116" s="2" t="s">
        <v>1465</v>
      </c>
      <c r="B116" s="2"/>
      <c r="C116" s="2"/>
      <c r="D116" s="11">
        <v>290</v>
      </c>
      <c r="E116" s="2"/>
      <c r="F116" s="2"/>
      <c r="G116" s="2"/>
      <c r="H116" s="2"/>
      <c r="I116" s="2"/>
      <c r="J116" s="2"/>
    </row>
    <row r="117" spans="1:10" x14ac:dyDescent="0.2">
      <c r="A117" s="2" t="s">
        <v>1391</v>
      </c>
      <c r="B117" s="199"/>
      <c r="C117" s="199"/>
      <c r="D117" s="11">
        <v>1035.8399999999999</v>
      </c>
      <c r="E117" s="2"/>
      <c r="F117" s="2"/>
      <c r="G117" s="2"/>
      <c r="H117" s="2"/>
      <c r="I117" s="2"/>
      <c r="J117" s="2"/>
    </row>
    <row r="118" spans="1:10" x14ac:dyDescent="0.2">
      <c r="A118" s="199" t="s">
        <v>2149</v>
      </c>
      <c r="B118" s="222"/>
      <c r="C118" s="222"/>
      <c r="D118" s="11">
        <v>66.88</v>
      </c>
      <c r="E118" s="2"/>
      <c r="F118" s="2"/>
      <c r="G118" s="2"/>
      <c r="H118" s="2"/>
      <c r="I118" s="2"/>
      <c r="J118" s="2"/>
    </row>
    <row r="119" spans="1:10" x14ac:dyDescent="0.2">
      <c r="A119" s="222" t="s">
        <v>2150</v>
      </c>
      <c r="B119" s="222"/>
      <c r="C119" s="222"/>
      <c r="D119" s="11">
        <v>1894.57</v>
      </c>
      <c r="E119" s="2"/>
      <c r="F119" s="2"/>
      <c r="G119" s="2"/>
      <c r="H119" s="2"/>
      <c r="I119" s="2"/>
      <c r="J119" s="2"/>
    </row>
    <row r="120" spans="1:10" x14ac:dyDescent="0.2">
      <c r="A120" s="278" t="s">
        <v>1717</v>
      </c>
      <c r="B120" s="279"/>
      <c r="C120" s="279"/>
      <c r="D120" s="272">
        <f>SUM(D108:D119)</f>
        <v>14295.089999999998</v>
      </c>
      <c r="E120" s="2"/>
      <c r="F120" s="2">
        <v>10698</v>
      </c>
      <c r="G120" s="2">
        <v>14295.09</v>
      </c>
      <c r="H120" s="2">
        <v>14295.09</v>
      </c>
      <c r="I120" s="2">
        <v>14295.09</v>
      </c>
      <c r="J120" s="2">
        <v>14295.09</v>
      </c>
    </row>
    <row r="121" spans="1:10" x14ac:dyDescent="0.2">
      <c r="A121" s="2"/>
      <c r="B121" s="2"/>
      <c r="C121" s="2"/>
      <c r="D121" s="220"/>
      <c r="E121" s="2"/>
      <c r="F121" s="2"/>
      <c r="G121" s="2"/>
      <c r="H121" s="2"/>
      <c r="I121" s="2"/>
      <c r="J121" s="2"/>
    </row>
    <row r="122" spans="1:10" x14ac:dyDescent="0.2">
      <c r="A122" s="2"/>
      <c r="B122" s="2"/>
      <c r="C122" s="2"/>
      <c r="D122" s="220"/>
      <c r="E122" s="2"/>
      <c r="F122" s="2"/>
      <c r="G122" s="2"/>
      <c r="H122" s="2"/>
      <c r="I122" s="2"/>
      <c r="J122" s="2"/>
    </row>
    <row r="123" spans="1:10" ht="15" x14ac:dyDescent="0.35">
      <c r="A123" s="65" t="s">
        <v>2151</v>
      </c>
      <c r="B123" s="2"/>
      <c r="C123" s="2"/>
      <c r="D123" s="199"/>
      <c r="E123" s="2"/>
      <c r="F123" s="2"/>
      <c r="G123" s="2"/>
      <c r="H123" s="2"/>
      <c r="I123" s="2"/>
      <c r="J123" s="2"/>
    </row>
    <row r="124" spans="1:10" x14ac:dyDescent="0.2">
      <c r="A124" s="2" t="s">
        <v>2152</v>
      </c>
      <c r="B124" s="2">
        <v>52</v>
      </c>
      <c r="C124" s="88">
        <v>21</v>
      </c>
      <c r="D124" s="11">
        <f>SUMPRODUCT(B124*C124)</f>
        <v>1092</v>
      </c>
      <c r="E124" s="2"/>
      <c r="F124" s="2"/>
      <c r="G124" s="2"/>
      <c r="H124" s="2"/>
      <c r="I124" s="2"/>
      <c r="J124" s="2"/>
    </row>
    <row r="125" spans="1:10" x14ac:dyDescent="0.2">
      <c r="A125" s="223" t="s">
        <v>2153</v>
      </c>
      <c r="B125" s="199">
        <v>26</v>
      </c>
      <c r="C125" s="223">
        <v>15.25</v>
      </c>
      <c r="D125" s="11">
        <f>SUMPRODUCT(B125*C125)</f>
        <v>396.5</v>
      </c>
      <c r="E125" s="2"/>
      <c r="F125" s="2"/>
      <c r="G125" s="2"/>
      <c r="H125" s="2"/>
      <c r="I125" s="2"/>
      <c r="J125" s="2"/>
    </row>
    <row r="126" spans="1:10" ht="15" x14ac:dyDescent="0.35">
      <c r="A126" s="223" t="s">
        <v>2154</v>
      </c>
      <c r="B126" s="199">
        <v>26</v>
      </c>
      <c r="C126" s="223">
        <v>14.25</v>
      </c>
      <c r="D126" s="35">
        <f>SUMPRODUCT(B126*C126)</f>
        <v>370.5</v>
      </c>
      <c r="E126" s="2"/>
      <c r="F126" s="2"/>
      <c r="G126" s="2"/>
      <c r="H126" s="2"/>
      <c r="I126" s="2"/>
      <c r="J126" s="2"/>
    </row>
    <row r="127" spans="1:10" x14ac:dyDescent="0.2">
      <c r="A127" s="1" t="s">
        <v>1390</v>
      </c>
      <c r="B127" s="2"/>
      <c r="C127" s="2"/>
      <c r="D127" s="11">
        <f>SUM(D124:D126)</f>
        <v>1859</v>
      </c>
      <c r="E127" s="109"/>
      <c r="F127" s="109"/>
      <c r="G127" s="109"/>
      <c r="H127" s="109"/>
      <c r="I127" s="109"/>
      <c r="J127" s="109"/>
    </row>
    <row r="128" spans="1:10" x14ac:dyDescent="0.2">
      <c r="A128" s="2" t="s">
        <v>548</v>
      </c>
      <c r="B128" s="2">
        <f>+D127:D127</f>
        <v>1859</v>
      </c>
      <c r="C128" s="13">
        <v>7.6499999999999999E-2</v>
      </c>
      <c r="D128" s="11">
        <f>ROUND(B128*C128,0)</f>
        <v>142</v>
      </c>
      <c r="E128" s="109"/>
      <c r="F128" s="109"/>
      <c r="G128" s="109"/>
      <c r="H128" s="109"/>
      <c r="I128" s="109"/>
      <c r="J128" s="109"/>
    </row>
    <row r="129" spans="1:10" x14ac:dyDescent="0.2">
      <c r="A129" s="2" t="s">
        <v>549</v>
      </c>
      <c r="B129" s="2">
        <f>+D127</f>
        <v>1859</v>
      </c>
      <c r="C129" s="13">
        <v>2.5600000000000001E-2</v>
      </c>
      <c r="D129" s="11">
        <f>ROUND(B129*C129,0)</f>
        <v>48</v>
      </c>
      <c r="E129" s="109"/>
      <c r="F129" s="109"/>
      <c r="G129" s="109"/>
      <c r="H129" s="109"/>
      <c r="I129" s="109"/>
      <c r="J129" s="109"/>
    </row>
    <row r="130" spans="1:10" x14ac:dyDescent="0.2">
      <c r="A130" s="2" t="s">
        <v>550</v>
      </c>
      <c r="B130" s="2">
        <f>+D127</f>
        <v>1859</v>
      </c>
      <c r="C130" s="13">
        <v>3.3999999999999998E-3</v>
      </c>
      <c r="D130" s="11">
        <f>ROUND(B130*C130,0)</f>
        <v>6</v>
      </c>
      <c r="E130" s="109"/>
      <c r="F130" s="109"/>
      <c r="G130" s="109"/>
      <c r="H130" s="109"/>
      <c r="I130" s="109"/>
      <c r="J130" s="109"/>
    </row>
    <row r="131" spans="1:10" x14ac:dyDescent="0.2">
      <c r="A131" s="2" t="s">
        <v>1513</v>
      </c>
      <c r="B131" s="2"/>
      <c r="C131" s="2"/>
      <c r="D131" s="11">
        <v>25</v>
      </c>
      <c r="E131" s="109"/>
      <c r="F131" s="109"/>
      <c r="G131" s="109"/>
      <c r="H131" s="109"/>
      <c r="I131" s="109"/>
      <c r="J131" s="109"/>
    </row>
    <row r="132" spans="1:10" x14ac:dyDescent="0.2">
      <c r="A132" s="2" t="s">
        <v>2155</v>
      </c>
      <c r="B132" s="2"/>
      <c r="C132" s="2"/>
      <c r="D132" s="11">
        <v>75</v>
      </c>
      <c r="E132" s="109"/>
      <c r="F132" s="109"/>
      <c r="G132" s="109"/>
      <c r="H132" s="109"/>
      <c r="I132" s="109"/>
      <c r="J132" s="109"/>
    </row>
    <row r="133" spans="1:10" x14ac:dyDescent="0.2">
      <c r="A133" s="2" t="s">
        <v>1517</v>
      </c>
      <c r="B133" s="199"/>
      <c r="C133" s="199"/>
      <c r="D133" s="11">
        <v>700</v>
      </c>
      <c r="E133" s="109"/>
      <c r="F133" s="109"/>
      <c r="G133" s="109"/>
      <c r="H133" s="109"/>
      <c r="I133" s="109"/>
      <c r="J133" s="109"/>
    </row>
    <row r="134" spans="1:10" x14ac:dyDescent="0.2">
      <c r="A134" s="2" t="s">
        <v>1465</v>
      </c>
      <c r="B134" s="2"/>
      <c r="C134" s="2"/>
      <c r="D134" s="11">
        <v>99</v>
      </c>
      <c r="E134" s="109"/>
      <c r="F134" s="109"/>
      <c r="G134" s="109"/>
      <c r="H134" s="109"/>
      <c r="I134" s="109"/>
      <c r="J134" s="109"/>
    </row>
    <row r="135" spans="1:10" x14ac:dyDescent="0.2">
      <c r="A135" s="2" t="s">
        <v>1391</v>
      </c>
      <c r="B135" s="199"/>
      <c r="C135" s="199"/>
      <c r="D135" s="11">
        <v>384.74</v>
      </c>
      <c r="E135" s="109"/>
      <c r="F135" s="109"/>
      <c r="G135" s="109"/>
      <c r="H135" s="109"/>
      <c r="I135" s="109"/>
      <c r="J135" s="109"/>
    </row>
    <row r="136" spans="1:10" x14ac:dyDescent="0.2">
      <c r="A136" s="199" t="s">
        <v>2149</v>
      </c>
      <c r="B136" s="222"/>
      <c r="C136" s="222"/>
      <c r="D136" s="11">
        <v>25.08</v>
      </c>
      <c r="E136" s="109"/>
      <c r="F136" s="109"/>
      <c r="G136" s="109"/>
      <c r="H136" s="109"/>
      <c r="I136" s="109"/>
      <c r="J136" s="109"/>
    </row>
    <row r="137" spans="1:10" x14ac:dyDescent="0.2">
      <c r="A137" s="278" t="s">
        <v>1717</v>
      </c>
      <c r="B137" s="279"/>
      <c r="C137" s="279"/>
      <c r="D137" s="272">
        <f>SUM(D126:D136)</f>
        <v>3734.3199999999997</v>
      </c>
      <c r="E137" s="109"/>
      <c r="F137" s="109">
        <v>0</v>
      </c>
      <c r="G137" s="109">
        <v>3734.32</v>
      </c>
      <c r="H137" s="109">
        <v>3734.32</v>
      </c>
      <c r="I137" s="109">
        <v>3734.32</v>
      </c>
      <c r="J137" s="109">
        <v>3734.32</v>
      </c>
    </row>
    <row r="138" spans="1:10" x14ac:dyDescent="0.2">
      <c r="A138" s="2"/>
      <c r="B138" s="2"/>
      <c r="C138" s="13"/>
      <c r="D138" s="88"/>
      <c r="E138" s="2"/>
      <c r="F138" s="2"/>
      <c r="G138" s="2"/>
      <c r="H138" s="2"/>
      <c r="I138" s="2"/>
      <c r="J138" s="2"/>
    </row>
    <row r="139" spans="1:10" x14ac:dyDescent="0.2">
      <c r="A139" s="2"/>
      <c r="B139" s="2"/>
      <c r="C139" s="2"/>
      <c r="D139" s="220"/>
      <c r="E139" s="2"/>
      <c r="F139" s="2"/>
      <c r="G139" s="2"/>
      <c r="H139" s="2"/>
      <c r="I139" s="2"/>
      <c r="J139" s="2"/>
    </row>
    <row r="140" spans="1:10" x14ac:dyDescent="0.2">
      <c r="A140" s="224" t="s">
        <v>1720</v>
      </c>
      <c r="B140" s="199"/>
      <c r="C140" s="199"/>
      <c r="D140" s="199"/>
      <c r="E140" s="2"/>
      <c r="F140" s="2"/>
      <c r="G140" s="2"/>
      <c r="H140" s="2"/>
      <c r="I140" s="2"/>
      <c r="J140" s="2"/>
    </row>
    <row r="141" spans="1:10" x14ac:dyDescent="0.2">
      <c r="A141" s="2" t="s">
        <v>2156</v>
      </c>
      <c r="B141" s="2"/>
      <c r="C141" s="88"/>
      <c r="D141" s="164"/>
      <c r="E141" s="2"/>
      <c r="F141" s="2"/>
      <c r="G141" s="2"/>
      <c r="H141" s="2"/>
      <c r="I141" s="2"/>
      <c r="J141" s="2"/>
    </row>
    <row r="142" spans="1:10" x14ac:dyDescent="0.2">
      <c r="A142" s="1" t="s">
        <v>1390</v>
      </c>
      <c r="B142" s="2"/>
      <c r="C142" s="2"/>
      <c r="D142" s="11">
        <f>SUM(D141:D141)</f>
        <v>0</v>
      </c>
      <c r="E142" s="2"/>
      <c r="F142" s="2"/>
      <c r="G142" s="2"/>
      <c r="H142" s="2"/>
      <c r="I142" s="2"/>
      <c r="J142" s="2"/>
    </row>
    <row r="143" spans="1:10" x14ac:dyDescent="0.2">
      <c r="A143" s="2" t="s">
        <v>548</v>
      </c>
      <c r="B143" s="2">
        <f>+D142:D142</f>
        <v>0</v>
      </c>
      <c r="C143" s="13">
        <v>7.6499999999999999E-2</v>
      </c>
      <c r="D143" s="11">
        <f>ROUND(B143*C143,0)</f>
        <v>0</v>
      </c>
      <c r="E143" s="2"/>
      <c r="F143" s="2"/>
      <c r="G143" s="2"/>
      <c r="H143" s="2"/>
      <c r="I143" s="2"/>
      <c r="J143" s="2"/>
    </row>
    <row r="144" spans="1:10" x14ac:dyDescent="0.2">
      <c r="A144" s="2" t="s">
        <v>549</v>
      </c>
      <c r="B144" s="2">
        <f>+D142</f>
        <v>0</v>
      </c>
      <c r="C144" s="13">
        <v>2.5600000000000001E-2</v>
      </c>
      <c r="D144" s="11">
        <f>ROUND(B144*C144,0)</f>
        <v>0</v>
      </c>
      <c r="E144" s="2"/>
      <c r="F144" s="2"/>
      <c r="G144" s="2"/>
      <c r="H144" s="2"/>
      <c r="I144" s="2"/>
      <c r="J144" s="2"/>
    </row>
    <row r="145" spans="1:10" x14ac:dyDescent="0.2">
      <c r="A145" s="2" t="s">
        <v>550</v>
      </c>
      <c r="B145" s="2">
        <f>+D142</f>
        <v>0</v>
      </c>
      <c r="C145" s="13">
        <v>3.3999999999999998E-3</v>
      </c>
      <c r="D145" s="11">
        <f>ROUND(B145*C145,0)</f>
        <v>0</v>
      </c>
      <c r="E145" s="2"/>
      <c r="F145" s="2"/>
      <c r="G145" s="2"/>
      <c r="H145" s="2"/>
      <c r="I145" s="2"/>
      <c r="J145" s="2"/>
    </row>
    <row r="146" spans="1:10" x14ac:dyDescent="0.2">
      <c r="A146" s="2" t="s">
        <v>2157</v>
      </c>
      <c r="B146" s="2"/>
      <c r="C146" s="2"/>
      <c r="D146" s="11">
        <v>650</v>
      </c>
      <c r="E146" s="2"/>
      <c r="F146" s="2"/>
      <c r="G146" s="2"/>
      <c r="H146" s="2"/>
      <c r="I146" s="2"/>
      <c r="J146" s="2"/>
    </row>
    <row r="147" spans="1:10" x14ac:dyDescent="0.2">
      <c r="A147" s="2" t="s">
        <v>2158</v>
      </c>
      <c r="B147" s="2"/>
      <c r="C147" s="2"/>
      <c r="D147" s="11">
        <v>8250</v>
      </c>
      <c r="E147" s="2"/>
      <c r="F147" s="2"/>
      <c r="G147" s="2"/>
      <c r="H147" s="2"/>
      <c r="I147" s="2"/>
      <c r="J147" s="2"/>
    </row>
    <row r="148" spans="1:10" x14ac:dyDescent="0.2">
      <c r="A148" s="2" t="s">
        <v>1465</v>
      </c>
      <c r="B148" s="2"/>
      <c r="C148" s="2"/>
      <c r="D148" s="11">
        <v>275</v>
      </c>
      <c r="E148" s="2"/>
      <c r="F148" s="265"/>
      <c r="G148" s="265"/>
      <c r="H148" s="283"/>
      <c r="I148" s="316"/>
      <c r="J148" s="316"/>
    </row>
    <row r="149" spans="1:10" x14ac:dyDescent="0.2">
      <c r="A149" s="2" t="s">
        <v>1391</v>
      </c>
      <c r="B149" s="2"/>
      <c r="C149" s="2"/>
      <c r="D149" s="11">
        <v>1071.3599999999999</v>
      </c>
      <c r="E149" s="2"/>
      <c r="F149" s="2"/>
      <c r="G149" s="2"/>
      <c r="H149" s="2"/>
      <c r="I149" s="2"/>
      <c r="J149" s="2"/>
    </row>
    <row r="150" spans="1:10" x14ac:dyDescent="0.2">
      <c r="A150" s="2" t="s">
        <v>1773</v>
      </c>
      <c r="B150" s="199"/>
      <c r="C150" s="199"/>
      <c r="D150" s="11">
        <v>68.400000000000006</v>
      </c>
      <c r="E150" s="2"/>
      <c r="F150" s="2"/>
      <c r="G150" s="2"/>
      <c r="H150" s="2"/>
      <c r="I150" s="2"/>
      <c r="J150" s="2"/>
    </row>
    <row r="151" spans="1:10" x14ac:dyDescent="0.2">
      <c r="A151" s="280" t="s">
        <v>1717</v>
      </c>
      <c r="B151" s="281"/>
      <c r="C151" s="281"/>
      <c r="D151" s="272">
        <f>SUM(D142:D150)</f>
        <v>10314.76</v>
      </c>
      <c r="E151" s="2"/>
      <c r="F151" s="2">
        <v>8082</v>
      </c>
      <c r="G151" s="2">
        <v>10314.76</v>
      </c>
      <c r="H151" s="2">
        <v>10314.76</v>
      </c>
      <c r="I151" s="2">
        <v>10314.76</v>
      </c>
      <c r="J151" s="2">
        <v>10314.76</v>
      </c>
    </row>
    <row r="152" spans="1:10" x14ac:dyDescent="0.2">
      <c r="A152" s="2" t="s">
        <v>1517</v>
      </c>
      <c r="B152" s="107"/>
      <c r="C152" s="107"/>
      <c r="D152" s="190"/>
      <c r="E152" s="2"/>
      <c r="F152" s="2"/>
      <c r="G152" s="2"/>
      <c r="H152" s="2"/>
      <c r="I152" s="2"/>
      <c r="J152" s="2"/>
    </row>
    <row r="153" spans="1:10" x14ac:dyDescent="0.2">
      <c r="A153" s="2" t="s">
        <v>1512</v>
      </c>
      <c r="B153" s="2"/>
      <c r="C153" s="2"/>
      <c r="D153" s="190"/>
      <c r="E153" s="2"/>
      <c r="F153" s="2"/>
      <c r="G153" s="2"/>
      <c r="H153" s="2"/>
      <c r="I153" s="2"/>
      <c r="J153" s="2"/>
    </row>
    <row r="154" spans="1:10" x14ac:dyDescent="0.2">
      <c r="A154" s="2" t="s">
        <v>1465</v>
      </c>
      <c r="B154" s="2"/>
      <c r="C154" s="2"/>
      <c r="D154" s="191"/>
      <c r="E154" s="2"/>
      <c r="F154" s="2"/>
      <c r="G154" s="2"/>
      <c r="H154" s="2"/>
      <c r="I154" s="2"/>
      <c r="J154" s="2"/>
    </row>
    <row r="155" spans="1:10" ht="15" x14ac:dyDescent="0.25">
      <c r="A155" s="189" t="s">
        <v>1332</v>
      </c>
      <c r="B155" s="107"/>
      <c r="C155" s="107"/>
      <c r="D155" s="2"/>
      <c r="E155" s="2"/>
      <c r="F155" s="2">
        <v>0</v>
      </c>
      <c r="G155" s="2">
        <v>0</v>
      </c>
      <c r="H155" s="2">
        <v>0</v>
      </c>
      <c r="I155" s="2">
        <v>0</v>
      </c>
      <c r="J155" s="2">
        <v>0</v>
      </c>
    </row>
    <row r="156" spans="1:10" s="265" customFormat="1" ht="15" x14ac:dyDescent="0.25">
      <c r="A156" s="189"/>
      <c r="B156" s="107"/>
      <c r="C156" s="107"/>
      <c r="D156" s="2"/>
      <c r="E156" s="2"/>
      <c r="F156" s="2"/>
      <c r="G156" s="2"/>
      <c r="H156" s="2"/>
      <c r="I156" s="2"/>
      <c r="J156" s="2"/>
    </row>
    <row r="157" spans="1:10" s="265" customFormat="1" ht="15" x14ac:dyDescent="0.25">
      <c r="A157" s="189" t="s">
        <v>2168</v>
      </c>
      <c r="F157" s="111">
        <v>2580</v>
      </c>
      <c r="G157" s="2">
        <v>0</v>
      </c>
      <c r="H157" s="2">
        <v>0</v>
      </c>
      <c r="I157" s="2">
        <v>0</v>
      </c>
      <c r="J157" s="2">
        <v>0</v>
      </c>
    </row>
    <row r="158" spans="1:10" s="265" customFormat="1" x14ac:dyDescent="0.2">
      <c r="I158" s="316"/>
      <c r="J158" s="316"/>
    </row>
    <row r="159" spans="1:10" s="265" customFormat="1" ht="15" x14ac:dyDescent="0.25">
      <c r="A159" s="189" t="s">
        <v>2166</v>
      </c>
      <c r="B159" s="107"/>
      <c r="C159" s="107"/>
      <c r="D159" s="2"/>
      <c r="E159" s="2"/>
      <c r="F159" s="2">
        <v>2418</v>
      </c>
      <c r="G159" s="2">
        <v>0</v>
      </c>
      <c r="H159" s="2">
        <v>0</v>
      </c>
      <c r="I159" s="2">
        <v>0</v>
      </c>
      <c r="J159" s="2">
        <v>0</v>
      </c>
    </row>
    <row r="160" spans="1:10" s="265" customFormat="1" ht="15" x14ac:dyDescent="0.25">
      <c r="A160" s="189"/>
      <c r="B160" s="107"/>
      <c r="C160" s="107"/>
      <c r="D160" s="2"/>
      <c r="E160" s="2"/>
      <c r="F160" s="2"/>
      <c r="G160" s="2"/>
      <c r="H160" s="2"/>
      <c r="I160" s="2"/>
      <c r="J160" s="2"/>
    </row>
    <row r="161" spans="1:10" s="265" customFormat="1" ht="15" x14ac:dyDescent="0.25">
      <c r="A161" s="189" t="s">
        <v>2167</v>
      </c>
      <c r="B161" s="107"/>
      <c r="C161" s="107"/>
      <c r="D161" s="2"/>
      <c r="E161" s="2"/>
      <c r="F161" s="2">
        <v>5827</v>
      </c>
      <c r="G161" s="2">
        <v>0</v>
      </c>
      <c r="H161" s="2">
        <v>0</v>
      </c>
      <c r="I161" s="2">
        <v>0</v>
      </c>
      <c r="J161" s="2">
        <v>0</v>
      </c>
    </row>
    <row r="162" spans="1:10" s="265" customFormat="1" ht="15" x14ac:dyDescent="0.25">
      <c r="A162" s="189"/>
      <c r="B162" s="254"/>
      <c r="C162" s="257"/>
      <c r="D162" s="2"/>
      <c r="E162" s="2"/>
      <c r="F162" s="2"/>
      <c r="G162" s="2"/>
      <c r="H162" s="2"/>
      <c r="I162" s="2"/>
      <c r="J162" s="2"/>
    </row>
    <row r="163" spans="1:10" s="265" customFormat="1" ht="15" x14ac:dyDescent="0.25">
      <c r="A163" s="189"/>
      <c r="B163" s="257"/>
      <c r="C163" s="107"/>
      <c r="D163" s="2"/>
      <c r="E163" s="31"/>
      <c r="F163" s="31"/>
      <c r="G163" s="31"/>
      <c r="H163" s="31"/>
      <c r="I163" s="31"/>
      <c r="J163" s="31"/>
    </row>
    <row r="164" spans="1:10" s="265" customFormat="1" x14ac:dyDescent="0.2">
      <c r="A164" s="2" t="s">
        <v>1519</v>
      </c>
      <c r="B164" s="255"/>
      <c r="C164" s="107"/>
      <c r="D164" s="2"/>
      <c r="E164" s="1">
        <f>SUM(E9:E163)</f>
        <v>306728</v>
      </c>
      <c r="F164" s="1">
        <f t="shared" ref="F164:H164" si="2">SUM(F9:F163)</f>
        <v>329130</v>
      </c>
      <c r="G164" s="1">
        <f t="shared" si="2"/>
        <v>613584.17999999993</v>
      </c>
      <c r="H164" s="1">
        <f t="shared" si="2"/>
        <v>613584.17999999993</v>
      </c>
      <c r="I164" s="1">
        <f t="shared" ref="I164:J164" si="3">SUM(I9:I163)</f>
        <v>613584.17999999993</v>
      </c>
      <c r="J164" s="1">
        <f t="shared" si="3"/>
        <v>613584.17999999993</v>
      </c>
    </row>
    <row r="165" spans="1:10" x14ac:dyDescent="0.2">
      <c r="I165" s="2">
        <f>SUM(I9:I164)</f>
        <v>1227168.3599999999</v>
      </c>
      <c r="J165" s="2">
        <f>SUM(J9:J164)</f>
        <v>1227168.3599999999</v>
      </c>
    </row>
    <row r="166" spans="1:10" x14ac:dyDescent="0.2">
      <c r="D166" s="2"/>
      <c r="E166" s="2"/>
      <c r="F166" s="2"/>
      <c r="G166" s="2"/>
      <c r="H166" s="2"/>
      <c r="I166" s="2"/>
      <c r="J166" s="2"/>
    </row>
    <row r="167" spans="1:10" x14ac:dyDescent="0.2">
      <c r="D167" s="2"/>
      <c r="I167" s="227"/>
    </row>
    <row r="168" spans="1:10" x14ac:dyDescent="0.2">
      <c r="D168" s="2"/>
      <c r="I168" s="227"/>
    </row>
    <row r="169" spans="1:10" x14ac:dyDescent="0.2">
      <c r="D169" s="2"/>
      <c r="I169" s="227"/>
    </row>
    <row r="170" spans="1:10" x14ac:dyDescent="0.2">
      <c r="D170" s="2"/>
      <c r="I170" s="227"/>
    </row>
    <row r="171" spans="1:10" x14ac:dyDescent="0.2">
      <c r="D171" s="2"/>
      <c r="I171" s="227"/>
    </row>
    <row r="172" spans="1:10" x14ac:dyDescent="0.2">
      <c r="D172" s="2"/>
      <c r="I172" s="227"/>
    </row>
    <row r="173" spans="1:10" x14ac:dyDescent="0.2">
      <c r="D173" s="2"/>
      <c r="I173" s="227"/>
    </row>
    <row r="174" spans="1:10" x14ac:dyDescent="0.2">
      <c r="D174" s="2"/>
      <c r="I174" s="227"/>
    </row>
    <row r="175" spans="1:10" x14ac:dyDescent="0.2">
      <c r="D175" s="2"/>
      <c r="I175" s="227"/>
    </row>
    <row r="176" spans="1:10" x14ac:dyDescent="0.2">
      <c r="D176" s="2"/>
      <c r="I176" s="227"/>
    </row>
    <row r="177" spans="4:9" x14ac:dyDescent="0.2">
      <c r="D177" s="2"/>
      <c r="I177" s="227"/>
    </row>
    <row r="178" spans="4:9" x14ac:dyDescent="0.2">
      <c r="D178" s="2"/>
      <c r="I178" s="227"/>
    </row>
    <row r="179" spans="4:9" x14ac:dyDescent="0.2">
      <c r="D179" s="2"/>
      <c r="I179" s="227"/>
    </row>
    <row r="180" spans="4:9" x14ac:dyDescent="0.2">
      <c r="D180" s="2"/>
      <c r="I180" s="227"/>
    </row>
    <row r="181" spans="4:9" x14ac:dyDescent="0.2">
      <c r="D181" s="2"/>
      <c r="I181" s="227"/>
    </row>
    <row r="182" spans="4:9" x14ac:dyDescent="0.2">
      <c r="D182" s="2"/>
      <c r="I182" s="227"/>
    </row>
    <row r="183" spans="4:9" x14ac:dyDescent="0.2">
      <c r="D183" s="2"/>
      <c r="I183" s="227"/>
    </row>
    <row r="184" spans="4:9" x14ac:dyDescent="0.2">
      <c r="D184" s="2"/>
      <c r="I184" s="227"/>
    </row>
    <row r="185" spans="4:9" x14ac:dyDescent="0.2">
      <c r="D185" s="2"/>
      <c r="I185" s="227"/>
    </row>
    <row r="186" spans="4:9" x14ac:dyDescent="0.2">
      <c r="D186" s="2"/>
      <c r="I186" s="227"/>
    </row>
    <row r="187" spans="4:9" x14ac:dyDescent="0.2">
      <c r="D187" s="2"/>
      <c r="I187" s="227"/>
    </row>
    <row r="188" spans="4:9" x14ac:dyDescent="0.2">
      <c r="D188" s="2"/>
      <c r="I188" s="227"/>
    </row>
    <row r="189" spans="4:9" x14ac:dyDescent="0.2">
      <c r="D189" s="2"/>
      <c r="I189" s="227"/>
    </row>
    <row r="190" spans="4:9" x14ac:dyDescent="0.2">
      <c r="D190" s="2"/>
      <c r="I190" s="227"/>
    </row>
    <row r="191" spans="4:9" x14ac:dyDescent="0.2">
      <c r="D191" s="2"/>
      <c r="I191" s="227"/>
    </row>
    <row r="192" spans="4:9" x14ac:dyDescent="0.2">
      <c r="I192" s="227"/>
    </row>
    <row r="193" spans="9:9" x14ac:dyDescent="0.2">
      <c r="I193" s="227"/>
    </row>
    <row r="194" spans="9:9" x14ac:dyDescent="0.2">
      <c r="I194" s="227"/>
    </row>
    <row r="195" spans="9:9" x14ac:dyDescent="0.2">
      <c r="I195" s="227"/>
    </row>
    <row r="196" spans="9:9" x14ac:dyDescent="0.2">
      <c r="I196" s="227"/>
    </row>
    <row r="197" spans="9:9" x14ac:dyDescent="0.2">
      <c r="I197" s="227"/>
    </row>
    <row r="198" spans="9:9" x14ac:dyDescent="0.2">
      <c r="I198" s="227"/>
    </row>
    <row r="199" spans="9:9" x14ac:dyDescent="0.2">
      <c r="I199" s="227"/>
    </row>
    <row r="200" spans="9:9" x14ac:dyDescent="0.2">
      <c r="I200" s="227"/>
    </row>
    <row r="201" spans="9:9" x14ac:dyDescent="0.2">
      <c r="I201" s="227"/>
    </row>
    <row r="202" spans="9:9" x14ac:dyDescent="0.2">
      <c r="I202" s="227"/>
    </row>
    <row r="203" spans="9:9" x14ac:dyDescent="0.2">
      <c r="I203" s="227"/>
    </row>
    <row r="204" spans="9:9" x14ac:dyDescent="0.2">
      <c r="I204" s="227"/>
    </row>
    <row r="205" spans="9:9" x14ac:dyDescent="0.2">
      <c r="I205" s="227"/>
    </row>
    <row r="206" spans="9:9" x14ac:dyDescent="0.2">
      <c r="I206" s="227"/>
    </row>
    <row r="207" spans="9:9" x14ac:dyDescent="0.2">
      <c r="I207" s="227"/>
    </row>
    <row r="208" spans="9:9" x14ac:dyDescent="0.2">
      <c r="I208" s="227"/>
    </row>
    <row r="209" spans="9:9" x14ac:dyDescent="0.2">
      <c r="I209" s="227"/>
    </row>
    <row r="210" spans="9:9" x14ac:dyDescent="0.2">
      <c r="I210" s="227"/>
    </row>
    <row r="211" spans="9:9" x14ac:dyDescent="0.2">
      <c r="I211" s="227"/>
    </row>
    <row r="212" spans="9:9" x14ac:dyDescent="0.2">
      <c r="I212" s="227"/>
    </row>
  </sheetData>
  <mergeCells count="2">
    <mergeCell ref="A6:F6"/>
    <mergeCell ref="A1:J1"/>
  </mergeCells>
  <printOptions gridLines="1"/>
  <pageMargins left="0.75" right="0.16" top="0.51" bottom="0.22" header="0.5" footer="0"/>
  <pageSetup scale="84" fitToHeight="7" orientation="landscape" r:id="rId1"/>
  <headerFooter alignWithMargins="0"/>
  <rowBreaks count="3" manualBreakCount="3">
    <brk id="49" max="9" man="1"/>
    <brk id="80" max="9" man="1"/>
    <brk id="122"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430"/>
  <sheetViews>
    <sheetView view="pageBreakPreview" zoomScaleNormal="100" zoomScaleSheetLayoutView="100" workbookViewId="0">
      <pane ySplit="5" topLeftCell="A360" activePane="bottomLeft" state="frozen"/>
      <selection activeCell="D43" sqref="D43"/>
      <selection pane="bottomLeft" sqref="A1:J1"/>
    </sheetView>
  </sheetViews>
  <sheetFormatPr defaultColWidth="44.5703125" defaultRowHeight="12.75" x14ac:dyDescent="0.2"/>
  <cols>
    <col min="1" max="1" width="56" style="2" customWidth="1"/>
    <col min="2" max="2" width="9.85546875" style="2" customWidth="1"/>
    <col min="3" max="3" width="10.42578125" style="2" bestFit="1" customWidth="1"/>
    <col min="4" max="4" width="10.85546875" style="2" customWidth="1"/>
    <col min="5" max="5" width="10.42578125" style="2" bestFit="1" customWidth="1"/>
    <col min="6" max="6" width="9.7109375" style="2" customWidth="1"/>
    <col min="7" max="7" width="10.28515625" style="2" customWidth="1"/>
    <col min="8" max="8" width="11.85546875" style="2" customWidth="1"/>
    <col min="9" max="9" width="10.85546875" style="2" bestFit="1" customWidth="1"/>
    <col min="10" max="10" width="10.42578125" style="2" bestFit="1" customWidth="1"/>
    <col min="11" max="16384" width="44.5703125" style="2"/>
  </cols>
  <sheetData>
    <row r="1" spans="1:11" x14ac:dyDescent="0.2">
      <c r="A1" s="319" t="s">
        <v>2038</v>
      </c>
      <c r="B1" s="320"/>
      <c r="C1" s="320"/>
      <c r="D1" s="320"/>
      <c r="E1" s="320"/>
      <c r="F1" s="320"/>
      <c r="G1" s="320"/>
      <c r="H1" s="320"/>
      <c r="I1" s="320"/>
      <c r="J1" s="320"/>
    </row>
    <row r="2" spans="1:11" ht="18.75" x14ac:dyDescent="0.3">
      <c r="A2" s="97" t="s">
        <v>1562</v>
      </c>
      <c r="B2" s="97"/>
      <c r="C2" s="97"/>
      <c r="D2" s="97"/>
      <c r="E2" s="97"/>
      <c r="F2" s="97"/>
    </row>
    <row r="4" spans="1:11" x14ac:dyDescent="0.2">
      <c r="B4" s="4"/>
      <c r="C4" s="4"/>
      <c r="D4" s="4"/>
      <c r="E4" s="15" t="s">
        <v>199</v>
      </c>
      <c r="F4" s="15" t="s">
        <v>200</v>
      </c>
      <c r="G4" s="15" t="s">
        <v>60</v>
      </c>
      <c r="H4" s="15" t="s">
        <v>351</v>
      </c>
      <c r="I4" s="15" t="s">
        <v>264</v>
      </c>
      <c r="J4" s="15" t="s">
        <v>295</v>
      </c>
    </row>
    <row r="5" spans="1:11" ht="15" x14ac:dyDescent="0.35">
      <c r="E5" s="232" t="s">
        <v>1825</v>
      </c>
      <c r="F5" s="232" t="s">
        <v>1947</v>
      </c>
      <c r="G5" s="232" t="s">
        <v>2039</v>
      </c>
      <c r="H5" s="232" t="s">
        <v>2039</v>
      </c>
      <c r="I5" s="232" t="s">
        <v>2039</v>
      </c>
      <c r="J5" s="232" t="s">
        <v>2039</v>
      </c>
    </row>
    <row r="6" spans="1:11" ht="13.5" x14ac:dyDescent="0.25">
      <c r="A6" s="44" t="s">
        <v>1005</v>
      </c>
      <c r="E6" s="2">
        <v>48188</v>
      </c>
      <c r="F6" s="3">
        <v>48464</v>
      </c>
      <c r="G6" s="3">
        <v>48464</v>
      </c>
      <c r="H6" s="3">
        <v>48464</v>
      </c>
      <c r="I6" s="3">
        <v>50180</v>
      </c>
      <c r="J6" s="3">
        <v>50180</v>
      </c>
      <c r="K6" s="2">
        <f>+H6-I6</f>
        <v>-1716</v>
      </c>
    </row>
    <row r="7" spans="1:11" ht="12" customHeight="1" x14ac:dyDescent="0.2">
      <c r="A7" s="2" t="s">
        <v>384</v>
      </c>
      <c r="B7" s="91">
        <v>52</v>
      </c>
      <c r="C7" s="2">
        <v>965</v>
      </c>
      <c r="D7" s="2">
        <f>+B7*C7</f>
        <v>50180</v>
      </c>
      <c r="F7" s="3"/>
      <c r="G7" s="3"/>
      <c r="H7" s="3"/>
      <c r="I7" s="3"/>
      <c r="J7" s="3"/>
      <c r="K7" s="2">
        <f t="shared" ref="K7:K30" si="0">+H7-I7</f>
        <v>0</v>
      </c>
    </row>
    <row r="8" spans="1:11" ht="15" x14ac:dyDescent="0.35">
      <c r="A8" s="2" t="s">
        <v>818</v>
      </c>
      <c r="D8" s="10">
        <v>0</v>
      </c>
      <c r="F8" s="3"/>
      <c r="G8" s="3"/>
      <c r="H8" s="3"/>
      <c r="I8" s="3"/>
      <c r="J8" s="3"/>
      <c r="K8" s="2">
        <f t="shared" si="0"/>
        <v>0</v>
      </c>
    </row>
    <row r="9" spans="1:11" x14ac:dyDescent="0.2">
      <c r="A9" s="2" t="s">
        <v>1067</v>
      </c>
      <c r="D9" s="2">
        <f>SUM(D7:D8)</f>
        <v>50180</v>
      </c>
      <c r="F9" s="3"/>
      <c r="G9" s="3"/>
      <c r="H9" s="3"/>
      <c r="I9" s="3"/>
      <c r="J9" s="3"/>
      <c r="K9" s="2">
        <f t="shared" si="0"/>
        <v>0</v>
      </c>
    </row>
    <row r="10" spans="1:11" x14ac:dyDescent="0.2">
      <c r="A10" s="2">
        <v>501</v>
      </c>
      <c r="F10" s="3"/>
      <c r="G10" s="3"/>
      <c r="H10" s="3"/>
      <c r="I10" s="3"/>
      <c r="J10" s="3"/>
      <c r="K10" s="2">
        <f t="shared" si="0"/>
        <v>0</v>
      </c>
    </row>
    <row r="11" spans="1:11" ht="13.5" x14ac:dyDescent="0.25">
      <c r="A11" s="44" t="s">
        <v>385</v>
      </c>
      <c r="E11" s="2">
        <v>1032918</v>
      </c>
      <c r="F11" s="3">
        <v>1116196</v>
      </c>
      <c r="G11" s="3">
        <v>1109893</v>
      </c>
      <c r="H11" s="3">
        <v>1109893</v>
      </c>
      <c r="I11" s="3">
        <v>1120725</v>
      </c>
      <c r="J11" s="3">
        <v>1181378</v>
      </c>
      <c r="K11" s="2">
        <f t="shared" si="0"/>
        <v>-10832</v>
      </c>
    </row>
    <row r="12" spans="1:11" x14ac:dyDescent="0.2">
      <c r="A12" s="2" t="s">
        <v>1923</v>
      </c>
      <c r="B12" s="2">
        <v>52</v>
      </c>
      <c r="C12" s="2">
        <v>2539</v>
      </c>
      <c r="D12" s="2">
        <f>+C12*B12</f>
        <v>132028</v>
      </c>
      <c r="F12" s="3"/>
      <c r="G12" s="3"/>
      <c r="H12" s="3"/>
      <c r="I12" s="3"/>
      <c r="J12" s="3"/>
      <c r="K12" s="2">
        <f t="shared" si="0"/>
        <v>0</v>
      </c>
    </row>
    <row r="13" spans="1:11" x14ac:dyDescent="0.2">
      <c r="A13" s="2" t="s">
        <v>386</v>
      </c>
      <c r="B13" s="2">
        <v>52</v>
      </c>
      <c r="C13" s="2">
        <v>2020</v>
      </c>
      <c r="D13" s="2">
        <f>109824+3553</f>
        <v>113377</v>
      </c>
      <c r="F13" s="3"/>
      <c r="G13" s="3"/>
      <c r="H13" s="3"/>
      <c r="I13" s="3"/>
      <c r="J13" s="3"/>
      <c r="K13" s="2">
        <f t="shared" si="0"/>
        <v>0</v>
      </c>
    </row>
    <row r="14" spans="1:11" x14ac:dyDescent="0.2">
      <c r="A14" s="2" t="s">
        <v>1383</v>
      </c>
      <c r="B14" s="2">
        <v>52</v>
      </c>
      <c r="C14" s="2">
        <v>2090</v>
      </c>
      <c r="D14" s="2">
        <f>102440+3675</f>
        <v>106115</v>
      </c>
      <c r="F14" s="3"/>
      <c r="G14" s="3"/>
      <c r="H14" s="3"/>
      <c r="I14" s="3"/>
      <c r="J14" s="3"/>
      <c r="K14" s="2">
        <f t="shared" si="0"/>
        <v>0</v>
      </c>
    </row>
    <row r="15" spans="1:11" x14ac:dyDescent="0.2">
      <c r="A15" s="2" t="s">
        <v>1053</v>
      </c>
      <c r="B15" s="2">
        <v>52</v>
      </c>
      <c r="C15" s="2">
        <f>40.95*40</f>
        <v>1638</v>
      </c>
      <c r="D15" s="2">
        <f t="shared" ref="D15:D22" si="1">+C15*B15</f>
        <v>85176</v>
      </c>
      <c r="F15" s="3"/>
      <c r="G15" s="3"/>
      <c r="H15" s="3"/>
      <c r="I15" s="3"/>
      <c r="J15" s="3"/>
      <c r="K15" s="2">
        <f t="shared" si="0"/>
        <v>0</v>
      </c>
    </row>
    <row r="16" spans="1:11" x14ac:dyDescent="0.2">
      <c r="A16" s="2" t="s">
        <v>387</v>
      </c>
      <c r="B16" s="2">
        <v>52</v>
      </c>
      <c r="C16" s="2">
        <f>41.71*42</f>
        <v>1751.82</v>
      </c>
      <c r="D16" s="2">
        <f t="shared" si="1"/>
        <v>91094.64</v>
      </c>
      <c r="F16" s="52"/>
      <c r="G16" s="52"/>
      <c r="H16" s="52"/>
      <c r="I16" s="52"/>
      <c r="J16" s="52"/>
      <c r="K16" s="2">
        <f t="shared" si="0"/>
        <v>0</v>
      </c>
    </row>
    <row r="17" spans="1:11" x14ac:dyDescent="0.2">
      <c r="A17" s="2" t="s">
        <v>387</v>
      </c>
      <c r="B17" s="2">
        <v>52</v>
      </c>
      <c r="C17" s="111">
        <f>41.85*42</f>
        <v>1757.7</v>
      </c>
      <c r="D17" s="2">
        <f>+C17*B17</f>
        <v>91400.400000000009</v>
      </c>
      <c r="F17" s="3"/>
      <c r="G17" s="3"/>
      <c r="H17" s="3"/>
      <c r="I17" s="3"/>
      <c r="J17" s="3"/>
      <c r="K17" s="2">
        <f t="shared" si="0"/>
        <v>0</v>
      </c>
    </row>
    <row r="18" spans="1:11" x14ac:dyDescent="0.2">
      <c r="A18" s="2" t="s">
        <v>387</v>
      </c>
      <c r="B18" s="2">
        <v>52</v>
      </c>
      <c r="C18" s="2">
        <f>41.87*42</f>
        <v>1758.54</v>
      </c>
      <c r="D18" s="2">
        <f>+C18*B18</f>
        <v>91444.08</v>
      </c>
      <c r="F18" s="3"/>
      <c r="G18" s="3"/>
      <c r="H18" s="3"/>
      <c r="I18" s="3"/>
      <c r="J18" s="3"/>
      <c r="K18" s="2">
        <f t="shared" si="0"/>
        <v>0</v>
      </c>
    </row>
    <row r="19" spans="1:11" x14ac:dyDescent="0.2">
      <c r="A19" s="2" t="s">
        <v>387</v>
      </c>
      <c r="B19" s="2">
        <v>52</v>
      </c>
      <c r="C19" s="2">
        <f>41.53*42</f>
        <v>1744.26</v>
      </c>
      <c r="D19" s="2">
        <f t="shared" si="1"/>
        <v>90701.52</v>
      </c>
      <c r="F19" s="3"/>
      <c r="G19" s="3"/>
      <c r="H19" s="3"/>
      <c r="I19" s="3"/>
      <c r="J19" s="3"/>
      <c r="K19" s="2">
        <f t="shared" si="0"/>
        <v>0</v>
      </c>
    </row>
    <row r="20" spans="1:11" x14ac:dyDescent="0.2">
      <c r="A20" s="2" t="s">
        <v>388</v>
      </c>
      <c r="B20" s="2">
        <v>52</v>
      </c>
      <c r="C20" s="2">
        <f>37.8*42</f>
        <v>1587.6</v>
      </c>
      <c r="D20" s="2">
        <f>+C20*B20</f>
        <v>82555.199999999997</v>
      </c>
      <c r="F20" s="52"/>
      <c r="G20" s="52"/>
      <c r="H20" s="52"/>
      <c r="I20" s="52"/>
      <c r="J20" s="52"/>
      <c r="K20" s="2">
        <f t="shared" si="0"/>
        <v>0</v>
      </c>
    </row>
    <row r="21" spans="1:11" x14ac:dyDescent="0.2">
      <c r="A21" s="2" t="s">
        <v>388</v>
      </c>
      <c r="B21" s="2">
        <v>52</v>
      </c>
      <c r="C21" s="2">
        <f>38.03*42</f>
        <v>1597.26</v>
      </c>
      <c r="D21" s="2">
        <f t="shared" si="1"/>
        <v>83057.52</v>
      </c>
      <c r="F21" s="3"/>
      <c r="G21" s="3"/>
      <c r="H21" s="3"/>
      <c r="I21" s="3"/>
      <c r="J21" s="3"/>
      <c r="K21" s="2">
        <f t="shared" si="0"/>
        <v>0</v>
      </c>
    </row>
    <row r="22" spans="1:11" x14ac:dyDescent="0.2">
      <c r="A22" s="2" t="s">
        <v>388</v>
      </c>
      <c r="B22" s="2">
        <v>52</v>
      </c>
      <c r="C22" s="2">
        <f>39.08*42</f>
        <v>1641.36</v>
      </c>
      <c r="D22" s="2">
        <f t="shared" si="1"/>
        <v>85350.720000000001</v>
      </c>
      <c r="F22" s="3"/>
      <c r="G22" s="3"/>
      <c r="H22" s="3"/>
      <c r="I22" s="3"/>
      <c r="J22" s="3"/>
      <c r="K22" s="2">
        <f t="shared" si="0"/>
        <v>0</v>
      </c>
    </row>
    <row r="23" spans="1:11" x14ac:dyDescent="0.2">
      <c r="A23" s="2" t="s">
        <v>388</v>
      </c>
      <c r="B23" s="2">
        <v>52</v>
      </c>
      <c r="C23" s="2">
        <f>38.14*42</f>
        <v>1601.88</v>
      </c>
      <c r="D23" s="2">
        <f>+C23*B23</f>
        <v>83297.760000000009</v>
      </c>
      <c r="F23" s="3"/>
      <c r="G23" s="3"/>
      <c r="H23" s="3"/>
      <c r="I23" s="3"/>
      <c r="J23" s="3"/>
      <c r="K23" s="2">
        <f t="shared" si="0"/>
        <v>0</v>
      </c>
    </row>
    <row r="24" spans="1:11" x14ac:dyDescent="0.2">
      <c r="A24" s="2" t="s">
        <v>1745</v>
      </c>
      <c r="F24" s="3"/>
      <c r="G24" s="3"/>
      <c r="H24" s="3"/>
      <c r="I24" s="3"/>
      <c r="J24" s="3"/>
      <c r="K24" s="2">
        <f t="shared" si="0"/>
        <v>0</v>
      </c>
    </row>
    <row r="25" spans="1:11" x14ac:dyDescent="0.2">
      <c r="A25" s="2" t="s">
        <v>1612</v>
      </c>
      <c r="F25" s="3"/>
      <c r="G25" s="3"/>
      <c r="H25" s="3"/>
      <c r="I25" s="3"/>
      <c r="J25" s="3"/>
      <c r="K25" s="2">
        <f t="shared" si="0"/>
        <v>0</v>
      </c>
    </row>
    <row r="26" spans="1:11" x14ac:dyDescent="0.2">
      <c r="A26" s="2" t="s">
        <v>1652</v>
      </c>
      <c r="B26" s="2">
        <v>900</v>
      </c>
      <c r="C26" s="11">
        <f>ROUND(((SUM(D15:D23))/2184)/9,2)</f>
        <v>39.89</v>
      </c>
      <c r="D26" s="2">
        <f>+C26*B26</f>
        <v>35901</v>
      </c>
      <c r="F26" s="3"/>
      <c r="G26" s="3"/>
      <c r="H26" s="3"/>
      <c r="I26" s="3"/>
      <c r="J26" s="3"/>
      <c r="K26" s="2">
        <f t="shared" si="0"/>
        <v>0</v>
      </c>
    </row>
    <row r="27" spans="1:11" ht="15" x14ac:dyDescent="0.35">
      <c r="A27" s="2" t="s">
        <v>818</v>
      </c>
      <c r="D27" s="10">
        <f>12421-2541.5</f>
        <v>9879.5</v>
      </c>
      <c r="F27" s="3"/>
      <c r="G27" s="3"/>
      <c r="H27" s="3"/>
      <c r="I27" s="3"/>
      <c r="J27" s="3"/>
      <c r="K27" s="2">
        <f t="shared" si="0"/>
        <v>0</v>
      </c>
    </row>
    <row r="28" spans="1:11" x14ac:dyDescent="0.2">
      <c r="A28" s="2" t="s">
        <v>1067</v>
      </c>
      <c r="D28" s="2">
        <f>SUM(D12:D27)</f>
        <v>1181378.3400000001</v>
      </c>
      <c r="F28" s="3"/>
      <c r="G28" s="3"/>
      <c r="H28" s="3"/>
      <c r="I28" s="3"/>
      <c r="J28" s="3"/>
      <c r="K28" s="2">
        <f t="shared" si="0"/>
        <v>0</v>
      </c>
    </row>
    <row r="29" spans="1:11" x14ac:dyDescent="0.2">
      <c r="F29" s="3"/>
      <c r="G29" s="3"/>
      <c r="H29" s="3"/>
      <c r="I29" s="3"/>
      <c r="J29" s="3"/>
      <c r="K29" s="2">
        <f t="shared" si="0"/>
        <v>0</v>
      </c>
    </row>
    <row r="30" spans="1:11" x14ac:dyDescent="0.2">
      <c r="F30" s="3"/>
      <c r="G30" s="3"/>
      <c r="H30" s="3"/>
      <c r="I30" s="3"/>
      <c r="J30" s="3"/>
      <c r="K30" s="2">
        <f t="shared" si="0"/>
        <v>0</v>
      </c>
    </row>
    <row r="31" spans="1:11" ht="13.5" x14ac:dyDescent="0.25">
      <c r="A31" s="44" t="s">
        <v>956</v>
      </c>
      <c r="E31" s="2">
        <v>1792355</v>
      </c>
      <c r="F31" s="3">
        <v>2374979</v>
      </c>
      <c r="G31" s="3">
        <v>2379424</v>
      </c>
      <c r="H31" s="3">
        <v>2374651</v>
      </c>
      <c r="I31" s="3">
        <v>2374651</v>
      </c>
      <c r="J31" s="3">
        <v>2476913</v>
      </c>
      <c r="K31" s="2">
        <f>J31-I31</f>
        <v>102262</v>
      </c>
    </row>
    <row r="32" spans="1:11" x14ac:dyDescent="0.2">
      <c r="A32" s="283" t="s">
        <v>2161</v>
      </c>
      <c r="B32" s="2">
        <v>52</v>
      </c>
      <c r="C32" s="56">
        <f>27.69*42</f>
        <v>1162.98</v>
      </c>
      <c r="D32" s="2">
        <f t="shared" ref="D32:D44" si="2">+C32*B32</f>
        <v>60474.96</v>
      </c>
      <c r="E32" s="295"/>
      <c r="F32" s="130"/>
      <c r="G32" s="130"/>
      <c r="H32" s="130"/>
      <c r="I32" s="130"/>
      <c r="J32" s="130"/>
      <c r="K32" s="2">
        <f>+H54-I32</f>
        <v>0</v>
      </c>
    </row>
    <row r="33" spans="1:11" x14ac:dyDescent="0.2">
      <c r="A33" s="283" t="s">
        <v>2161</v>
      </c>
      <c r="B33" s="2">
        <v>52</v>
      </c>
      <c r="C33" s="56">
        <f>27.69*42</f>
        <v>1162.98</v>
      </c>
      <c r="D33" s="2">
        <f t="shared" si="2"/>
        <v>60474.96</v>
      </c>
      <c r="E33" s="295"/>
      <c r="F33" s="130"/>
      <c r="G33" s="130"/>
      <c r="H33" s="130"/>
      <c r="I33" s="130"/>
      <c r="J33" s="130"/>
      <c r="K33" s="2">
        <f>+H50-I33</f>
        <v>0</v>
      </c>
    </row>
    <row r="34" spans="1:11" ht="15" x14ac:dyDescent="0.25">
      <c r="A34" s="283" t="s">
        <v>2161</v>
      </c>
      <c r="B34" s="2">
        <v>52</v>
      </c>
      <c r="C34" s="56">
        <f>27.69*42</f>
        <v>1162.98</v>
      </c>
      <c r="D34" s="2">
        <f t="shared" si="2"/>
        <v>60474.96</v>
      </c>
      <c r="E34" s="85"/>
      <c r="F34" s="130"/>
      <c r="G34" s="130"/>
      <c r="H34" s="130"/>
      <c r="I34" s="130"/>
      <c r="J34" s="130"/>
      <c r="K34" s="2">
        <f>+H32-I34</f>
        <v>0</v>
      </c>
    </row>
    <row r="35" spans="1:11" ht="15" x14ac:dyDescent="0.25">
      <c r="A35" s="283" t="s">
        <v>2161</v>
      </c>
      <c r="B35" s="2">
        <v>52</v>
      </c>
      <c r="C35" s="56">
        <f>27.69*42</f>
        <v>1162.98</v>
      </c>
      <c r="D35" s="2">
        <f t="shared" si="2"/>
        <v>60474.96</v>
      </c>
      <c r="E35" s="85"/>
      <c r="F35" s="130"/>
      <c r="G35" s="130"/>
      <c r="H35" s="130"/>
      <c r="I35" s="130"/>
      <c r="J35" s="130"/>
      <c r="K35" s="2">
        <f>+H33-I35</f>
        <v>0</v>
      </c>
    </row>
    <row r="36" spans="1:11" x14ac:dyDescent="0.2">
      <c r="A36" s="283" t="s">
        <v>2161</v>
      </c>
      <c r="B36" s="2">
        <v>52</v>
      </c>
      <c r="C36" s="56">
        <f>28*42</f>
        <v>1176</v>
      </c>
      <c r="D36" s="2">
        <f t="shared" si="2"/>
        <v>61152</v>
      </c>
      <c r="E36" s="295"/>
      <c r="F36" s="130"/>
      <c r="G36" s="130"/>
      <c r="H36" s="130"/>
      <c r="I36" s="130"/>
      <c r="J36" s="130"/>
      <c r="K36" s="2">
        <f>+H34-I36</f>
        <v>0</v>
      </c>
    </row>
    <row r="37" spans="1:11" x14ac:dyDescent="0.2">
      <c r="A37" s="283" t="s">
        <v>2161</v>
      </c>
      <c r="B37" s="2">
        <v>52</v>
      </c>
      <c r="C37" s="56">
        <f>27.69*42</f>
        <v>1162.98</v>
      </c>
      <c r="D37" s="2">
        <f t="shared" si="2"/>
        <v>60474.96</v>
      </c>
      <c r="E37" s="295"/>
      <c r="F37" s="130"/>
      <c r="G37" s="130"/>
      <c r="H37" s="130"/>
      <c r="I37" s="130"/>
      <c r="J37" s="130"/>
      <c r="K37" s="2">
        <f>+H47-I37</f>
        <v>0</v>
      </c>
    </row>
    <row r="38" spans="1:11" ht="15" x14ac:dyDescent="0.25">
      <c r="A38" s="283" t="s">
        <v>2161</v>
      </c>
      <c r="B38" s="2">
        <v>52</v>
      </c>
      <c r="C38" s="56">
        <f>27.69*42</f>
        <v>1162.98</v>
      </c>
      <c r="D38" s="2">
        <f t="shared" si="2"/>
        <v>60474.96</v>
      </c>
      <c r="E38" s="85"/>
      <c r="F38" s="130"/>
      <c r="G38" s="130"/>
      <c r="H38" s="130"/>
      <c r="I38" s="130"/>
      <c r="J38" s="130"/>
      <c r="K38" s="2">
        <f>+H35-I38</f>
        <v>0</v>
      </c>
    </row>
    <row r="39" spans="1:11" ht="15" x14ac:dyDescent="0.25">
      <c r="A39" s="283" t="s">
        <v>2161</v>
      </c>
      <c r="B39" s="2">
        <v>52</v>
      </c>
      <c r="C39" s="56">
        <f>28.3*42</f>
        <v>1188.6000000000001</v>
      </c>
      <c r="D39" s="2">
        <f t="shared" si="2"/>
        <v>61807.200000000004</v>
      </c>
      <c r="E39" s="85"/>
      <c r="F39" s="130"/>
      <c r="G39" s="130"/>
      <c r="H39" s="130"/>
      <c r="I39" s="130"/>
      <c r="J39" s="130"/>
      <c r="K39" s="2">
        <f>+H36-I39</f>
        <v>0</v>
      </c>
    </row>
    <row r="40" spans="1:11" ht="15" x14ac:dyDescent="0.25">
      <c r="A40" s="283" t="s">
        <v>2161</v>
      </c>
      <c r="B40" s="2">
        <v>52</v>
      </c>
      <c r="C40" s="56">
        <f>28.3*42</f>
        <v>1188.6000000000001</v>
      </c>
      <c r="D40" s="2">
        <f t="shared" si="2"/>
        <v>61807.200000000004</v>
      </c>
      <c r="E40" s="85"/>
      <c r="F40" s="130"/>
      <c r="G40" s="130"/>
      <c r="H40" s="130"/>
      <c r="I40" s="130"/>
      <c r="J40" s="130"/>
      <c r="K40" s="2">
        <f>+H37-I40</f>
        <v>0</v>
      </c>
    </row>
    <row r="41" spans="1:11" x14ac:dyDescent="0.2">
      <c r="A41" s="283" t="s">
        <v>2161</v>
      </c>
      <c r="B41" s="2">
        <v>52</v>
      </c>
      <c r="C41" s="56">
        <f>27.69*42</f>
        <v>1162.98</v>
      </c>
      <c r="D41" s="2">
        <f t="shared" si="2"/>
        <v>60474.96</v>
      </c>
      <c r="E41" s="295"/>
      <c r="F41" s="130"/>
      <c r="G41" s="130"/>
      <c r="H41" s="130"/>
      <c r="I41" s="130"/>
      <c r="J41" s="130"/>
      <c r="K41" s="2">
        <f>+H51-I41</f>
        <v>0</v>
      </c>
    </row>
    <row r="42" spans="1:11" x14ac:dyDescent="0.2">
      <c r="A42" s="283" t="s">
        <v>2161</v>
      </c>
      <c r="B42" s="2">
        <v>52</v>
      </c>
      <c r="C42" s="56">
        <f>27.69*42</f>
        <v>1162.98</v>
      </c>
      <c r="D42" s="2">
        <f t="shared" si="2"/>
        <v>60474.96</v>
      </c>
      <c r="E42" s="295"/>
      <c r="F42" s="130"/>
      <c r="G42" s="130"/>
      <c r="H42" s="130"/>
      <c r="I42" s="130"/>
      <c r="J42" s="130"/>
      <c r="K42" s="2">
        <f>+H38-I42</f>
        <v>0</v>
      </c>
    </row>
    <row r="43" spans="1:11" x14ac:dyDescent="0.2">
      <c r="A43" s="283" t="s">
        <v>2161</v>
      </c>
      <c r="B43" s="2">
        <v>52</v>
      </c>
      <c r="C43" s="56">
        <f>28.3*42</f>
        <v>1188.6000000000001</v>
      </c>
      <c r="D43" s="2">
        <f t="shared" si="2"/>
        <v>61807.200000000004</v>
      </c>
      <c r="E43" s="295"/>
      <c r="F43" s="130"/>
      <c r="G43" s="130"/>
      <c r="H43" s="130"/>
      <c r="I43" s="130"/>
      <c r="J43" s="130"/>
      <c r="K43" s="2">
        <f>+H39-I43</f>
        <v>0</v>
      </c>
    </row>
    <row r="44" spans="1:11" ht="15" x14ac:dyDescent="0.25">
      <c r="A44" s="283" t="s">
        <v>2161</v>
      </c>
      <c r="B44" s="2">
        <v>52</v>
      </c>
      <c r="C44" s="56">
        <f>28.3*42</f>
        <v>1188.6000000000001</v>
      </c>
      <c r="D44" s="2">
        <f t="shared" si="2"/>
        <v>61807.200000000004</v>
      </c>
      <c r="E44" s="85"/>
      <c r="F44" s="130"/>
      <c r="G44" s="130"/>
      <c r="H44" s="130"/>
      <c r="I44" s="130"/>
      <c r="J44" s="130"/>
      <c r="K44" s="2">
        <f>+H52-I44</f>
        <v>0</v>
      </c>
    </row>
    <row r="45" spans="1:11" x14ac:dyDescent="0.2">
      <c r="A45" s="283" t="s">
        <v>2161</v>
      </c>
      <c r="B45" s="2">
        <v>52</v>
      </c>
      <c r="C45" s="56">
        <f>27.69*42</f>
        <v>1162.98</v>
      </c>
      <c r="D45" s="2">
        <f t="shared" ref="D45" si="3">+C45*B45</f>
        <v>60474.96</v>
      </c>
      <c r="E45" s="295"/>
      <c r="F45" s="130"/>
      <c r="G45" s="130"/>
      <c r="H45" s="130"/>
      <c r="I45" s="130"/>
      <c r="J45" s="130"/>
      <c r="K45" s="2">
        <f>+H45-I45</f>
        <v>0</v>
      </c>
    </row>
    <row r="46" spans="1:11" x14ac:dyDescent="0.2">
      <c r="A46" s="283" t="s">
        <v>2161</v>
      </c>
      <c r="B46" s="2">
        <v>52</v>
      </c>
      <c r="C46" s="56">
        <f>28.3*42</f>
        <v>1188.6000000000001</v>
      </c>
      <c r="D46" s="2">
        <f>+C46*B46</f>
        <v>61807.200000000004</v>
      </c>
      <c r="E46" s="295"/>
      <c r="F46" s="60"/>
      <c r="G46" s="60"/>
      <c r="H46" s="60"/>
      <c r="I46" s="60"/>
      <c r="J46" s="60"/>
      <c r="K46" s="2">
        <f>+H46-I46</f>
        <v>0</v>
      </c>
    </row>
    <row r="47" spans="1:11" ht="15" x14ac:dyDescent="0.25">
      <c r="A47" s="283" t="s">
        <v>2163</v>
      </c>
      <c r="B47" s="2">
        <v>52</v>
      </c>
      <c r="C47" s="56">
        <f>29.41*42</f>
        <v>1235.22</v>
      </c>
      <c r="D47" s="2">
        <f>+C47*B47</f>
        <v>64231.44</v>
      </c>
      <c r="E47" s="85"/>
      <c r="F47" s="60"/>
      <c r="G47" s="60"/>
      <c r="H47" s="60"/>
      <c r="I47" s="60"/>
      <c r="J47" s="60"/>
      <c r="K47" s="2">
        <f>+H42-I47</f>
        <v>0</v>
      </c>
    </row>
    <row r="48" spans="1:11" ht="15" x14ac:dyDescent="0.25">
      <c r="A48" s="283" t="s">
        <v>2163</v>
      </c>
      <c r="B48" s="2">
        <v>52</v>
      </c>
      <c r="C48" s="56">
        <f>29.2*42</f>
        <v>1226.3999999999999</v>
      </c>
      <c r="D48" s="2">
        <f>+C48*B48</f>
        <v>63772.799999999996</v>
      </c>
      <c r="E48" s="85"/>
      <c r="F48" s="130"/>
      <c r="G48" s="130"/>
      <c r="H48" s="130"/>
      <c r="I48" s="130"/>
      <c r="J48" s="130"/>
      <c r="K48" s="2">
        <f>+H48-I48</f>
        <v>0</v>
      </c>
    </row>
    <row r="49" spans="1:11" x14ac:dyDescent="0.2">
      <c r="A49" s="283" t="s">
        <v>2163</v>
      </c>
      <c r="B49" s="2">
        <v>52</v>
      </c>
      <c r="C49" s="56">
        <f>29.41*42</f>
        <v>1235.22</v>
      </c>
      <c r="D49" s="2">
        <f>+C49*B49</f>
        <v>64231.44</v>
      </c>
      <c r="E49" s="295"/>
      <c r="F49" s="130"/>
      <c r="G49" s="130"/>
      <c r="H49" s="130"/>
      <c r="I49" s="130"/>
      <c r="J49" s="130"/>
      <c r="K49" s="2">
        <f>+H49-I49</f>
        <v>0</v>
      </c>
    </row>
    <row r="50" spans="1:11" x14ac:dyDescent="0.2">
      <c r="A50" s="283" t="s">
        <v>2160</v>
      </c>
      <c r="B50" s="2">
        <v>52</v>
      </c>
      <c r="C50" s="296">
        <f>(30.52+0.23)*42</f>
        <v>1291.5</v>
      </c>
      <c r="D50" s="2">
        <f t="shared" ref="D50:D68" si="4">+C50*B50</f>
        <v>67158</v>
      </c>
      <c r="E50" s="295"/>
      <c r="F50" s="130"/>
      <c r="G50" s="130"/>
      <c r="H50" s="130"/>
      <c r="I50" s="130"/>
      <c r="J50" s="130"/>
      <c r="K50" s="2">
        <f>+H41-I50</f>
        <v>0</v>
      </c>
    </row>
    <row r="51" spans="1:11" ht="15" x14ac:dyDescent="0.25">
      <c r="A51" s="283" t="s">
        <v>2160</v>
      </c>
      <c r="B51" s="2">
        <v>52</v>
      </c>
      <c r="C51" s="56">
        <f>(30.52+0.23)*42</f>
        <v>1291.5</v>
      </c>
      <c r="D51" s="2">
        <f t="shared" si="4"/>
        <v>67158</v>
      </c>
      <c r="E51" s="85"/>
      <c r="F51" s="130"/>
      <c r="G51" s="130"/>
      <c r="H51" s="130"/>
      <c r="I51" s="130"/>
      <c r="J51" s="130"/>
      <c r="K51" s="2">
        <f>+H43-I51</f>
        <v>0</v>
      </c>
    </row>
    <row r="52" spans="1:11" x14ac:dyDescent="0.2">
      <c r="A52" s="283" t="s">
        <v>2160</v>
      </c>
      <c r="B52" s="2">
        <v>52</v>
      </c>
      <c r="C52" s="56">
        <f>(30.52+0.23)*42</f>
        <v>1291.5</v>
      </c>
      <c r="D52" s="2">
        <f t="shared" si="4"/>
        <v>67158</v>
      </c>
      <c r="E52" s="295"/>
      <c r="F52" s="130"/>
      <c r="G52" s="130"/>
      <c r="H52" s="130"/>
      <c r="I52" s="130"/>
      <c r="J52" s="130"/>
      <c r="K52" s="2">
        <f>+H44-I52</f>
        <v>0</v>
      </c>
    </row>
    <row r="53" spans="1:11" x14ac:dyDescent="0.2">
      <c r="A53" s="283" t="s">
        <v>2162</v>
      </c>
      <c r="B53" s="2">
        <v>52</v>
      </c>
      <c r="C53" s="56">
        <f>(32.66+0.23)*42</f>
        <v>1381.3799999999997</v>
      </c>
      <c r="D53" s="2">
        <f t="shared" si="4"/>
        <v>71831.75999999998</v>
      </c>
      <c r="E53" s="295"/>
      <c r="F53" s="130"/>
      <c r="G53" s="130"/>
      <c r="H53" s="130"/>
      <c r="I53" s="130"/>
      <c r="J53" s="130"/>
      <c r="K53" s="2">
        <f>+H53-I53</f>
        <v>0</v>
      </c>
    </row>
    <row r="54" spans="1:11" x14ac:dyDescent="0.2">
      <c r="A54" s="283" t="s">
        <v>2162</v>
      </c>
      <c r="B54" s="2">
        <v>52</v>
      </c>
      <c r="C54" s="56">
        <f>(31.62+0.23)*42</f>
        <v>1337.7</v>
      </c>
      <c r="D54" s="2">
        <f>+C54*B54</f>
        <v>69560.400000000009</v>
      </c>
      <c r="E54" s="295"/>
      <c r="F54" s="130"/>
      <c r="G54" s="130"/>
      <c r="H54" s="130"/>
      <c r="I54" s="130"/>
      <c r="J54" s="130"/>
      <c r="K54" s="2">
        <f>+H40-I54</f>
        <v>0</v>
      </c>
    </row>
    <row r="55" spans="1:11" x14ac:dyDescent="0.2">
      <c r="A55" s="283" t="s">
        <v>2162</v>
      </c>
      <c r="B55" s="2">
        <v>52</v>
      </c>
      <c r="C55" s="56">
        <f>(31.62+0.23)*42</f>
        <v>1337.7</v>
      </c>
      <c r="D55" s="2">
        <f t="shared" si="4"/>
        <v>69560.400000000009</v>
      </c>
      <c r="E55" s="295"/>
      <c r="F55" s="130"/>
      <c r="G55" s="130"/>
      <c r="H55" s="130"/>
      <c r="I55" s="130"/>
      <c r="J55" s="130"/>
      <c r="K55" s="2">
        <f t="shared" ref="K55:K86" si="5">+H55-I55</f>
        <v>0</v>
      </c>
    </row>
    <row r="56" spans="1:11" x14ac:dyDescent="0.2">
      <c r="A56" s="283" t="s">
        <v>2162</v>
      </c>
      <c r="B56" s="2">
        <v>52</v>
      </c>
      <c r="C56" s="56">
        <f>29.41*42</f>
        <v>1235.22</v>
      </c>
      <c r="D56" s="2">
        <f t="shared" si="4"/>
        <v>64231.44</v>
      </c>
      <c r="E56" s="295"/>
      <c r="F56" s="130"/>
      <c r="G56" s="130"/>
      <c r="H56" s="130"/>
      <c r="I56" s="130"/>
      <c r="J56" s="130"/>
      <c r="K56" s="2">
        <f t="shared" si="5"/>
        <v>0</v>
      </c>
    </row>
    <row r="57" spans="1:11" ht="15" x14ac:dyDescent="0.25">
      <c r="A57" s="283" t="s">
        <v>1375</v>
      </c>
      <c r="B57" s="2">
        <v>52</v>
      </c>
      <c r="C57" s="56">
        <f>(39.04+0.57)*42</f>
        <v>1663.62</v>
      </c>
      <c r="D57" s="2">
        <f t="shared" si="4"/>
        <v>86508.239999999991</v>
      </c>
      <c r="E57" s="85"/>
      <c r="F57" s="130"/>
      <c r="G57" s="130"/>
      <c r="H57" s="130"/>
      <c r="I57" s="130"/>
      <c r="J57" s="130"/>
      <c r="K57" s="2">
        <f t="shared" si="5"/>
        <v>0</v>
      </c>
    </row>
    <row r="58" spans="1:11" ht="15" x14ac:dyDescent="0.25">
      <c r="A58" s="283" t="s">
        <v>1375</v>
      </c>
      <c r="B58" s="2">
        <v>52</v>
      </c>
      <c r="C58" s="56">
        <f>(31.56+0.23)*42</f>
        <v>1335.18</v>
      </c>
      <c r="D58" s="2">
        <f t="shared" si="4"/>
        <v>69429.36</v>
      </c>
      <c r="E58" s="85"/>
      <c r="F58" s="130"/>
      <c r="G58" s="130"/>
      <c r="H58" s="130"/>
      <c r="I58" s="130"/>
      <c r="J58" s="130"/>
      <c r="K58" s="2">
        <f t="shared" si="5"/>
        <v>0</v>
      </c>
    </row>
    <row r="59" spans="1:11" ht="15" x14ac:dyDescent="0.25">
      <c r="A59" s="283" t="s">
        <v>1375</v>
      </c>
      <c r="B59" s="2">
        <v>52</v>
      </c>
      <c r="C59" s="56">
        <f>(31.56+0.23)*42</f>
        <v>1335.18</v>
      </c>
      <c r="D59" s="2">
        <f t="shared" si="4"/>
        <v>69429.36</v>
      </c>
      <c r="E59" s="85"/>
      <c r="F59" s="60"/>
      <c r="G59" s="60"/>
      <c r="H59" s="60"/>
      <c r="I59" s="60"/>
      <c r="J59" s="60"/>
      <c r="K59" s="2">
        <f t="shared" si="5"/>
        <v>0</v>
      </c>
    </row>
    <row r="60" spans="1:11" ht="15" x14ac:dyDescent="0.25">
      <c r="A60" s="283" t="s">
        <v>1375</v>
      </c>
      <c r="B60" s="2">
        <v>52</v>
      </c>
      <c r="C60" s="56">
        <f>(31.56+0.51)*42</f>
        <v>1346.94</v>
      </c>
      <c r="D60" s="2">
        <f t="shared" si="4"/>
        <v>70040.88</v>
      </c>
      <c r="E60" s="85"/>
      <c r="F60" s="60"/>
      <c r="G60" s="60"/>
      <c r="H60" s="60"/>
      <c r="I60" s="60"/>
      <c r="J60" s="60"/>
      <c r="K60" s="2">
        <f t="shared" si="5"/>
        <v>0</v>
      </c>
    </row>
    <row r="61" spans="1:11" ht="15" x14ac:dyDescent="0.25">
      <c r="A61" s="283" t="s">
        <v>1375</v>
      </c>
      <c r="B61" s="2">
        <v>52</v>
      </c>
      <c r="C61" s="56">
        <f>(30.94+0.32)*42</f>
        <v>1312.92</v>
      </c>
      <c r="D61" s="2">
        <f t="shared" si="4"/>
        <v>68271.839999999997</v>
      </c>
      <c r="E61" s="85"/>
      <c r="F61" s="130"/>
      <c r="G61" s="130"/>
      <c r="H61" s="130"/>
      <c r="I61" s="130"/>
      <c r="J61" s="130"/>
      <c r="K61" s="2">
        <f t="shared" si="5"/>
        <v>0</v>
      </c>
    </row>
    <row r="62" spans="1:11" ht="15" x14ac:dyDescent="0.25">
      <c r="A62" s="283" t="s">
        <v>1375</v>
      </c>
      <c r="B62" s="2">
        <v>52</v>
      </c>
      <c r="C62" s="56">
        <f>(30.94+0.51)*42</f>
        <v>1320.9</v>
      </c>
      <c r="D62" s="2">
        <f t="shared" si="4"/>
        <v>68686.8</v>
      </c>
      <c r="E62" s="85"/>
      <c r="F62" s="130"/>
      <c r="G62" s="130"/>
      <c r="H62" s="130"/>
      <c r="I62" s="130"/>
      <c r="J62" s="130"/>
      <c r="K62" s="2">
        <f t="shared" si="5"/>
        <v>0</v>
      </c>
    </row>
    <row r="63" spans="1:11" ht="15" x14ac:dyDescent="0.25">
      <c r="A63" s="283" t="s">
        <v>1375</v>
      </c>
      <c r="B63" s="2">
        <v>52</v>
      </c>
      <c r="C63" s="56">
        <f>(31.26+0.51)*42</f>
        <v>1334.3400000000001</v>
      </c>
      <c r="D63" s="2">
        <f t="shared" si="4"/>
        <v>69385.680000000008</v>
      </c>
      <c r="E63" s="85"/>
      <c r="F63" s="60"/>
      <c r="G63" s="60"/>
      <c r="H63" s="60"/>
      <c r="I63" s="60"/>
      <c r="J63" s="60"/>
      <c r="K63" s="2">
        <f t="shared" si="5"/>
        <v>0</v>
      </c>
    </row>
    <row r="64" spans="1:11" ht="15" x14ac:dyDescent="0.25">
      <c r="A64" s="283" t="s">
        <v>1375</v>
      </c>
      <c r="B64" s="2">
        <v>52</v>
      </c>
      <c r="C64" s="56">
        <f>(31.56+0.32)*42</f>
        <v>1338.96</v>
      </c>
      <c r="D64" s="2">
        <f t="shared" si="4"/>
        <v>69625.919999999998</v>
      </c>
      <c r="E64" s="85"/>
      <c r="F64" s="130"/>
      <c r="G64" s="130"/>
      <c r="H64" s="130"/>
      <c r="I64" s="130"/>
      <c r="J64" s="130"/>
      <c r="K64" s="2">
        <f t="shared" si="5"/>
        <v>0</v>
      </c>
    </row>
    <row r="65" spans="1:11" x14ac:dyDescent="0.2">
      <c r="A65" s="283" t="s">
        <v>1375</v>
      </c>
      <c r="B65" s="2">
        <v>52</v>
      </c>
      <c r="C65" s="56">
        <f>(30.52+0.23)*42</f>
        <v>1291.5</v>
      </c>
      <c r="D65" s="2">
        <f t="shared" si="4"/>
        <v>67158</v>
      </c>
      <c r="E65" s="295"/>
      <c r="F65" s="130"/>
      <c r="G65" s="130"/>
      <c r="H65" s="130"/>
      <c r="I65" s="130"/>
      <c r="J65" s="130"/>
      <c r="K65" s="2">
        <f t="shared" si="5"/>
        <v>0</v>
      </c>
    </row>
    <row r="66" spans="1:11" ht="15" x14ac:dyDescent="0.25">
      <c r="A66" s="283" t="s">
        <v>2164</v>
      </c>
      <c r="B66" s="2">
        <v>52</v>
      </c>
      <c r="C66" s="56">
        <f>(32.13+0.23)*42</f>
        <v>1359.12</v>
      </c>
      <c r="D66" s="2">
        <f t="shared" si="4"/>
        <v>70674.239999999991</v>
      </c>
      <c r="E66" s="85"/>
      <c r="F66" s="130"/>
      <c r="G66" s="130"/>
      <c r="H66" s="130"/>
      <c r="I66" s="130"/>
      <c r="J66" s="130"/>
      <c r="K66" s="2">
        <f t="shared" si="5"/>
        <v>0</v>
      </c>
    </row>
    <row r="67" spans="1:11" ht="15" x14ac:dyDescent="0.25">
      <c r="A67" s="283" t="s">
        <v>2164</v>
      </c>
      <c r="B67" s="2">
        <v>52</v>
      </c>
      <c r="C67" s="56">
        <f>(32.65+0.23)*42</f>
        <v>1380.9599999999998</v>
      </c>
      <c r="D67" s="2">
        <f t="shared" si="4"/>
        <v>71809.919999999984</v>
      </c>
      <c r="E67" s="85"/>
      <c r="F67" s="130"/>
      <c r="G67" s="130"/>
      <c r="H67" s="130"/>
      <c r="I67" s="130"/>
      <c r="J67" s="130"/>
      <c r="K67" s="2">
        <f t="shared" si="5"/>
        <v>0</v>
      </c>
    </row>
    <row r="68" spans="1:11" x14ac:dyDescent="0.2">
      <c r="A68" s="2" t="s">
        <v>2022</v>
      </c>
      <c r="B68" s="2">
        <v>3600</v>
      </c>
      <c r="C68" s="11">
        <f>(AVERAGE(D32:D67))/2184</f>
        <v>30.071944444444437</v>
      </c>
      <c r="D68" s="2">
        <f t="shared" si="4"/>
        <v>108258.99999999997</v>
      </c>
      <c r="F68" s="3"/>
      <c r="G68" s="3"/>
      <c r="H68" s="3"/>
      <c r="I68" s="3"/>
      <c r="J68" s="3"/>
      <c r="K68" s="2">
        <f t="shared" si="5"/>
        <v>0</v>
      </c>
    </row>
    <row r="69" spans="1:11" ht="15" x14ac:dyDescent="0.35">
      <c r="A69" s="2" t="s">
        <v>818</v>
      </c>
      <c r="D69" s="10">
        <f>2991+1286</f>
        <v>4277</v>
      </c>
      <c r="F69" s="3"/>
      <c r="G69" s="3"/>
      <c r="H69" s="3"/>
      <c r="I69" s="3"/>
      <c r="J69" s="3"/>
      <c r="K69" s="2">
        <f t="shared" si="5"/>
        <v>0</v>
      </c>
    </row>
    <row r="70" spans="1:11" x14ac:dyDescent="0.2">
      <c r="A70" s="2" t="s">
        <v>1067</v>
      </c>
      <c r="C70" s="11"/>
      <c r="D70" s="2">
        <f>SUM(D32:D69)</f>
        <v>2476912.5599999996</v>
      </c>
      <c r="F70" s="3"/>
      <c r="G70" s="3"/>
      <c r="H70" s="3"/>
      <c r="I70" s="3"/>
      <c r="J70" s="3"/>
      <c r="K70" s="2">
        <f t="shared" si="5"/>
        <v>0</v>
      </c>
    </row>
    <row r="71" spans="1:11" x14ac:dyDescent="0.2">
      <c r="C71" s="11"/>
      <c r="F71" s="3"/>
      <c r="G71" s="3"/>
      <c r="H71" s="3"/>
      <c r="I71" s="3"/>
      <c r="J71" s="3"/>
      <c r="K71" s="2">
        <f t="shared" si="5"/>
        <v>0</v>
      </c>
    </row>
    <row r="72" spans="1:11" x14ac:dyDescent="0.2">
      <c r="C72" s="11"/>
      <c r="F72" s="3"/>
      <c r="G72" s="3"/>
      <c r="H72" s="3"/>
      <c r="I72" s="3"/>
      <c r="J72" s="3"/>
      <c r="K72" s="2">
        <f t="shared" si="5"/>
        <v>0</v>
      </c>
    </row>
    <row r="73" spans="1:11" ht="13.5" x14ac:dyDescent="0.25">
      <c r="A73" s="50" t="s">
        <v>817</v>
      </c>
      <c r="B73" s="2" t="s">
        <v>514</v>
      </c>
      <c r="C73" s="11" t="s">
        <v>515</v>
      </c>
      <c r="D73" s="2" t="s">
        <v>513</v>
      </c>
      <c r="E73" s="2">
        <v>272489</v>
      </c>
      <c r="F73" s="3">
        <v>226167</v>
      </c>
      <c r="G73" s="3">
        <v>225394</v>
      </c>
      <c r="H73" s="3">
        <v>225394</v>
      </c>
      <c r="I73" s="3">
        <v>225394</v>
      </c>
      <c r="J73" s="3">
        <v>228006</v>
      </c>
      <c r="K73" s="2">
        <f t="shared" si="5"/>
        <v>0</v>
      </c>
    </row>
    <row r="74" spans="1:11" x14ac:dyDescent="0.2">
      <c r="A74" s="2" t="s">
        <v>1385</v>
      </c>
      <c r="B74" s="2">
        <v>800</v>
      </c>
      <c r="C74" s="11">
        <f>+SUM(D15:D23)/2184/9*1.5</f>
        <v>59.835000000000008</v>
      </c>
      <c r="D74" s="2">
        <f>C74*B74</f>
        <v>47868.000000000007</v>
      </c>
      <c r="F74" s="3"/>
      <c r="G74" s="3"/>
      <c r="H74" s="3"/>
      <c r="I74" s="3"/>
      <c r="J74" s="3"/>
      <c r="K74" s="2">
        <f t="shared" si="5"/>
        <v>0</v>
      </c>
    </row>
    <row r="75" spans="1:11" x14ac:dyDescent="0.2">
      <c r="A75" s="2" t="s">
        <v>1472</v>
      </c>
      <c r="B75" s="2">
        <v>2230.58</v>
      </c>
      <c r="C75" s="11">
        <f>+C74</f>
        <v>59.835000000000008</v>
      </c>
      <c r="D75" s="2">
        <f>C75*B75</f>
        <v>133466.7543</v>
      </c>
      <c r="F75" s="3"/>
      <c r="G75" s="3"/>
      <c r="H75" s="3"/>
      <c r="I75" s="3"/>
      <c r="J75" s="3"/>
      <c r="K75" s="2">
        <f t="shared" si="5"/>
        <v>0</v>
      </c>
    </row>
    <row r="76" spans="1:11" x14ac:dyDescent="0.2">
      <c r="A76" s="2" t="s">
        <v>1869</v>
      </c>
      <c r="B76" s="2">
        <v>200</v>
      </c>
      <c r="C76" s="11">
        <f>+C75</f>
        <v>59.835000000000008</v>
      </c>
      <c r="D76" s="2">
        <f>C76*B76</f>
        <v>11967.000000000002</v>
      </c>
      <c r="F76" s="3"/>
      <c r="G76" s="3"/>
      <c r="H76" s="3"/>
      <c r="I76" s="3"/>
      <c r="J76" s="3"/>
      <c r="K76" s="2">
        <f t="shared" si="5"/>
        <v>0</v>
      </c>
    </row>
    <row r="77" spans="1:11" x14ac:dyDescent="0.2">
      <c r="A77" s="2" t="s">
        <v>1386</v>
      </c>
      <c r="B77" s="2">
        <v>480</v>
      </c>
      <c r="C77" s="11">
        <f>+C74</f>
        <v>59.835000000000008</v>
      </c>
      <c r="D77" s="2">
        <f>+B77*C77</f>
        <v>28720.800000000003</v>
      </c>
      <c r="F77" s="3"/>
      <c r="G77" s="3"/>
      <c r="H77" s="3"/>
      <c r="I77" s="3"/>
      <c r="J77" s="3"/>
      <c r="K77" s="2">
        <f t="shared" si="5"/>
        <v>0</v>
      </c>
    </row>
    <row r="78" spans="1:11" ht="15" x14ac:dyDescent="0.35">
      <c r="A78" s="2" t="s">
        <v>1870</v>
      </c>
      <c r="B78" s="2">
        <v>100</v>
      </c>
      <c r="C78" s="11">
        <f>+C74</f>
        <v>59.835000000000008</v>
      </c>
      <c r="D78" s="10">
        <f>+B78*C78</f>
        <v>5983.5000000000009</v>
      </c>
      <c r="F78" s="3"/>
      <c r="G78" s="3"/>
      <c r="H78" s="3"/>
      <c r="I78" s="3"/>
      <c r="J78" s="3"/>
      <c r="K78" s="2">
        <f t="shared" si="5"/>
        <v>0</v>
      </c>
    </row>
    <row r="79" spans="1:11" x14ac:dyDescent="0.2">
      <c r="A79" s="2" t="s">
        <v>1067</v>
      </c>
      <c r="C79" s="11"/>
      <c r="D79" s="2">
        <f>SUM(D74:D78)</f>
        <v>228006.05430000002</v>
      </c>
      <c r="F79" s="3"/>
      <c r="G79" s="3"/>
      <c r="H79" s="3"/>
      <c r="I79" s="3"/>
      <c r="J79" s="3"/>
      <c r="K79" s="2">
        <f t="shared" si="5"/>
        <v>0</v>
      </c>
    </row>
    <row r="80" spans="1:11" x14ac:dyDescent="0.2">
      <c r="C80" s="11"/>
      <c r="F80" s="3"/>
      <c r="G80" s="3"/>
      <c r="H80" s="3"/>
      <c r="I80" s="3"/>
      <c r="J80" s="3"/>
      <c r="K80" s="2">
        <f t="shared" si="5"/>
        <v>0</v>
      </c>
    </row>
    <row r="81" spans="1:11" ht="13.5" x14ac:dyDescent="0.25">
      <c r="A81" s="50" t="s">
        <v>426</v>
      </c>
      <c r="B81" s="2" t="s">
        <v>514</v>
      </c>
      <c r="C81" s="11" t="s">
        <v>515</v>
      </c>
      <c r="D81" s="2" t="s">
        <v>513</v>
      </c>
      <c r="E81" s="2">
        <v>77737</v>
      </c>
      <c r="F81" s="3">
        <v>100368</v>
      </c>
      <c r="G81" s="3">
        <v>98295</v>
      </c>
      <c r="H81" s="3">
        <v>98295</v>
      </c>
      <c r="I81" s="3">
        <v>99668</v>
      </c>
      <c r="J81" s="3">
        <v>99668</v>
      </c>
      <c r="K81" s="2">
        <f t="shared" si="5"/>
        <v>-1373</v>
      </c>
    </row>
    <row r="82" spans="1:11" x14ac:dyDescent="0.2">
      <c r="A82" s="266" t="s">
        <v>1725</v>
      </c>
      <c r="C82" s="11"/>
      <c r="F82" s="3"/>
      <c r="G82" s="3"/>
      <c r="H82" s="3"/>
      <c r="I82" s="3"/>
      <c r="J82" s="3"/>
      <c r="K82" s="2">
        <f t="shared" si="5"/>
        <v>0</v>
      </c>
    </row>
    <row r="83" spans="1:11" x14ac:dyDescent="0.2">
      <c r="A83" s="36" t="s">
        <v>1726</v>
      </c>
      <c r="B83" s="2">
        <v>1248</v>
      </c>
      <c r="C83" s="11">
        <v>21</v>
      </c>
      <c r="D83" s="2">
        <f>C83*B83</f>
        <v>26208</v>
      </c>
      <c r="F83" s="3"/>
      <c r="G83" s="3"/>
      <c r="H83" s="3"/>
      <c r="I83" s="3"/>
      <c r="J83" s="3"/>
      <c r="K83" s="2">
        <f t="shared" si="5"/>
        <v>0</v>
      </c>
    </row>
    <row r="84" spans="1:11" x14ac:dyDescent="0.2">
      <c r="A84" s="36" t="s">
        <v>1727</v>
      </c>
      <c r="B84" s="2">
        <v>1500</v>
      </c>
      <c r="C84" s="11">
        <v>19</v>
      </c>
      <c r="D84" s="2">
        <f>C84*B84</f>
        <v>28500</v>
      </c>
      <c r="F84" s="3"/>
      <c r="G84" s="3"/>
      <c r="H84" s="3"/>
      <c r="I84" s="3"/>
      <c r="J84" s="3"/>
      <c r="K84" s="2">
        <f t="shared" si="5"/>
        <v>0</v>
      </c>
    </row>
    <row r="85" spans="1:11" ht="15" x14ac:dyDescent="0.35">
      <c r="A85" s="36" t="s">
        <v>1728</v>
      </c>
      <c r="B85" s="10">
        <v>100</v>
      </c>
      <c r="C85" s="11">
        <v>16</v>
      </c>
      <c r="D85" s="10">
        <f>C85*B85</f>
        <v>1600</v>
      </c>
      <c r="F85" s="3"/>
      <c r="G85" s="3"/>
      <c r="H85" s="3"/>
      <c r="I85" s="3"/>
      <c r="J85" s="3"/>
      <c r="K85" s="2">
        <f t="shared" si="5"/>
        <v>0</v>
      </c>
    </row>
    <row r="86" spans="1:11" x14ac:dyDescent="0.2">
      <c r="B86" s="2">
        <f>SUM(B83:B85)</f>
        <v>2848</v>
      </c>
      <c r="D86" s="2">
        <f>SUM(D83:D85)</f>
        <v>56308</v>
      </c>
      <c r="F86" s="3"/>
      <c r="G86" s="3"/>
      <c r="H86" s="3"/>
      <c r="I86" s="3"/>
      <c r="J86" s="3"/>
      <c r="K86" s="2">
        <f t="shared" si="5"/>
        <v>0</v>
      </c>
    </row>
    <row r="87" spans="1:11" x14ac:dyDescent="0.2">
      <c r="A87" s="118" t="s">
        <v>1729</v>
      </c>
      <c r="F87" s="3"/>
      <c r="G87" s="3"/>
      <c r="H87" s="3"/>
      <c r="I87" s="3"/>
      <c r="J87" s="3"/>
      <c r="K87" s="2">
        <f t="shared" ref="K87:K118" si="6">+H87-I87</f>
        <v>0</v>
      </c>
    </row>
    <row r="88" spans="1:11" x14ac:dyDescent="0.2">
      <c r="A88" s="2" t="s">
        <v>1871</v>
      </c>
      <c r="B88" s="2">
        <v>1248</v>
      </c>
      <c r="C88" s="21">
        <v>32.4</v>
      </c>
      <c r="D88" s="2">
        <f>+B88*C88</f>
        <v>40435.199999999997</v>
      </c>
      <c r="F88" s="3"/>
      <c r="G88" s="3"/>
      <c r="H88" s="3"/>
      <c r="I88" s="3"/>
      <c r="J88" s="3"/>
      <c r="K88" s="2">
        <f t="shared" si="6"/>
        <v>0</v>
      </c>
    </row>
    <row r="89" spans="1:11" x14ac:dyDescent="0.2">
      <c r="C89" s="21"/>
      <c r="F89" s="3"/>
      <c r="G89" s="3"/>
      <c r="H89" s="3"/>
      <c r="I89" s="3"/>
      <c r="J89" s="3"/>
      <c r="K89" s="2">
        <f t="shared" si="6"/>
        <v>0</v>
      </c>
    </row>
    <row r="90" spans="1:11" x14ac:dyDescent="0.2">
      <c r="A90" s="4" t="s">
        <v>1730</v>
      </c>
      <c r="B90" s="15"/>
      <c r="C90" s="34"/>
      <c r="F90" s="3"/>
      <c r="G90" s="3"/>
      <c r="H90" s="3"/>
      <c r="I90" s="3"/>
      <c r="J90" s="3"/>
      <c r="K90" s="2">
        <f t="shared" si="6"/>
        <v>0</v>
      </c>
    </row>
    <row r="91" spans="1:11" x14ac:dyDescent="0.2">
      <c r="A91" s="2" t="s">
        <v>1731</v>
      </c>
      <c r="B91" s="2">
        <v>100</v>
      </c>
      <c r="C91" s="21">
        <v>11.7</v>
      </c>
      <c r="D91" s="2">
        <f>+B91*C91</f>
        <v>1170</v>
      </c>
      <c r="F91" s="3"/>
      <c r="G91" s="3"/>
      <c r="H91" s="3"/>
      <c r="I91" s="3"/>
      <c r="J91" s="3"/>
      <c r="K91" s="2">
        <f t="shared" si="6"/>
        <v>0</v>
      </c>
    </row>
    <row r="92" spans="1:11" ht="15" x14ac:dyDescent="0.35">
      <c r="A92" s="43" t="s">
        <v>524</v>
      </c>
      <c r="B92" s="2">
        <v>100</v>
      </c>
      <c r="C92" s="21">
        <v>17.55</v>
      </c>
      <c r="D92" s="10">
        <f>+B92*C92</f>
        <v>1755</v>
      </c>
      <c r="F92" s="3"/>
      <c r="G92" s="3"/>
      <c r="H92" s="3"/>
      <c r="I92" s="3"/>
      <c r="J92" s="3"/>
      <c r="K92" s="2">
        <f t="shared" si="6"/>
        <v>0</v>
      </c>
    </row>
    <row r="93" spans="1:11" ht="15" x14ac:dyDescent="0.35">
      <c r="C93" s="11"/>
      <c r="D93" s="10">
        <f>SUM(D91:D92)</f>
        <v>2925</v>
      </c>
      <c r="F93" s="3"/>
      <c r="G93" s="3"/>
      <c r="H93" s="3"/>
      <c r="I93" s="3"/>
      <c r="J93" s="3"/>
      <c r="K93" s="2">
        <f t="shared" si="6"/>
        <v>0</v>
      </c>
    </row>
    <row r="94" spans="1:11" ht="13.5" x14ac:dyDescent="0.25">
      <c r="A94" s="45" t="s">
        <v>1067</v>
      </c>
      <c r="C94" s="11"/>
      <c r="D94" s="2">
        <f>SUM(D86,D88,D93)</f>
        <v>99668.2</v>
      </c>
      <c r="F94" s="3"/>
      <c r="G94" s="3"/>
      <c r="H94" s="3"/>
      <c r="I94" s="3"/>
      <c r="J94" s="3"/>
      <c r="K94" s="2">
        <f t="shared" si="6"/>
        <v>0</v>
      </c>
    </row>
    <row r="95" spans="1:11" x14ac:dyDescent="0.2">
      <c r="C95" s="11"/>
      <c r="F95" s="3"/>
      <c r="G95" s="3"/>
      <c r="H95" s="3"/>
      <c r="I95" s="3"/>
      <c r="J95" s="3"/>
      <c r="K95" s="2">
        <f t="shared" si="6"/>
        <v>0</v>
      </c>
    </row>
    <row r="96" spans="1:11" ht="13.5" x14ac:dyDescent="0.25">
      <c r="A96" s="50" t="s">
        <v>1299</v>
      </c>
      <c r="B96" s="2" t="s">
        <v>514</v>
      </c>
      <c r="C96" s="11" t="s">
        <v>515</v>
      </c>
      <c r="D96" s="2" t="s">
        <v>513</v>
      </c>
      <c r="E96" s="2">
        <v>686705</v>
      </c>
      <c r="F96" s="3">
        <v>469240</v>
      </c>
      <c r="G96" s="3">
        <v>496606</v>
      </c>
      <c r="H96" s="3">
        <v>492180</v>
      </c>
      <c r="I96" s="3">
        <v>492180</v>
      </c>
      <c r="J96" s="3">
        <v>502049</v>
      </c>
      <c r="K96" s="2">
        <f t="shared" si="6"/>
        <v>0</v>
      </c>
    </row>
    <row r="97" spans="1:11" x14ac:dyDescent="0.2">
      <c r="A97" s="2" t="s">
        <v>1554</v>
      </c>
      <c r="B97" s="2">
        <v>800</v>
      </c>
      <c r="C97" s="11">
        <f>+C68*1.5</f>
        <v>45.107916666666654</v>
      </c>
      <c r="D97" s="2">
        <f>ROUND(B97*C97,0)</f>
        <v>36086</v>
      </c>
      <c r="E97" s="11"/>
      <c r="F97" s="3"/>
      <c r="G97" s="3"/>
      <c r="H97" s="3"/>
      <c r="I97" s="3"/>
      <c r="J97" s="3"/>
      <c r="K97" s="2">
        <f t="shared" si="6"/>
        <v>0</v>
      </c>
    </row>
    <row r="98" spans="1:11" x14ac:dyDescent="0.2">
      <c r="A98" s="2" t="s">
        <v>1555</v>
      </c>
      <c r="B98" s="2">
        <v>6850</v>
      </c>
      <c r="C98" s="11">
        <f>+C97</f>
        <v>45.107916666666654</v>
      </c>
      <c r="D98" s="2">
        <f>ROUND(B98*C98,0)</f>
        <v>308989</v>
      </c>
      <c r="E98" s="11"/>
      <c r="F98" s="3"/>
      <c r="G98" s="3"/>
      <c r="H98" s="3"/>
      <c r="I98" s="3"/>
      <c r="J98" s="3"/>
      <c r="K98" s="2">
        <f t="shared" si="6"/>
        <v>0</v>
      </c>
    </row>
    <row r="99" spans="1:11" x14ac:dyDescent="0.2">
      <c r="A99" s="2" t="s">
        <v>2031</v>
      </c>
      <c r="B99" s="2">
        <v>2634</v>
      </c>
      <c r="C99" s="11">
        <f>+C97</f>
        <v>45.107916666666654</v>
      </c>
      <c r="D99" s="2">
        <f>+B99*C99</f>
        <v>118814.25249999997</v>
      </c>
      <c r="E99" s="11"/>
      <c r="F99" s="3"/>
      <c r="G99" s="3"/>
      <c r="H99" s="3"/>
      <c r="I99" s="3"/>
      <c r="J99" s="3"/>
      <c r="K99" s="2">
        <f t="shared" si="6"/>
        <v>0</v>
      </c>
    </row>
    <row r="100" spans="1:11" x14ac:dyDescent="0.2">
      <c r="A100" s="42" t="s">
        <v>1767</v>
      </c>
      <c r="B100" s="2">
        <v>150</v>
      </c>
      <c r="C100" s="11">
        <f t="shared" ref="C100" si="7">+C98</f>
        <v>45.107916666666654</v>
      </c>
      <c r="D100" s="2">
        <f>+B100*C100</f>
        <v>6766.1874999999982</v>
      </c>
      <c r="E100" s="11"/>
      <c r="F100" s="3"/>
      <c r="G100" s="3"/>
      <c r="H100" s="3"/>
      <c r="I100" s="3"/>
      <c r="J100" s="3"/>
      <c r="K100" s="2">
        <f t="shared" si="6"/>
        <v>0</v>
      </c>
    </row>
    <row r="101" spans="1:11" x14ac:dyDescent="0.2">
      <c r="A101" s="42" t="s">
        <v>2103</v>
      </c>
      <c r="B101" s="2">
        <v>360</v>
      </c>
      <c r="C101" s="294">
        <v>43.35</v>
      </c>
      <c r="D101" s="2">
        <f>+B101*C101</f>
        <v>15606</v>
      </c>
      <c r="E101" s="11"/>
      <c r="F101" s="3"/>
      <c r="G101" s="3"/>
      <c r="H101" s="3"/>
      <c r="I101" s="3"/>
      <c r="J101" s="3"/>
      <c r="K101" s="2">
        <f t="shared" si="6"/>
        <v>0</v>
      </c>
    </row>
    <row r="102" spans="1:11" ht="13.5" x14ac:dyDescent="0.25">
      <c r="A102" s="175" t="s">
        <v>1524</v>
      </c>
      <c r="C102" s="11"/>
      <c r="E102" s="11"/>
      <c r="F102" s="3"/>
      <c r="G102" s="3"/>
      <c r="H102" s="3"/>
      <c r="I102" s="3"/>
      <c r="J102" s="3"/>
      <c r="K102" s="2">
        <f t="shared" si="6"/>
        <v>0</v>
      </c>
    </row>
    <row r="103" spans="1:11" x14ac:dyDescent="0.2">
      <c r="A103" s="2" t="s">
        <v>1872</v>
      </c>
      <c r="B103" s="2">
        <v>200</v>
      </c>
      <c r="C103" s="11">
        <f>+C98</f>
        <v>45.107916666666654</v>
      </c>
      <c r="D103" s="2">
        <f>+B103*C103</f>
        <v>9021.5833333333303</v>
      </c>
      <c r="E103" s="11"/>
      <c r="F103" s="3"/>
      <c r="G103" s="3"/>
      <c r="H103" s="3"/>
      <c r="I103" s="3"/>
      <c r="J103" s="3"/>
      <c r="K103" s="2">
        <f t="shared" si="6"/>
        <v>0</v>
      </c>
    </row>
    <row r="104" spans="1:11" ht="15" x14ac:dyDescent="0.35">
      <c r="A104" s="43" t="s">
        <v>1384</v>
      </c>
      <c r="B104" s="43">
        <v>150</v>
      </c>
      <c r="C104" s="11">
        <f>+C98</f>
        <v>45.107916666666654</v>
      </c>
      <c r="D104" s="10">
        <f>+B104*C104</f>
        <v>6766.1874999999982</v>
      </c>
      <c r="E104" s="11"/>
      <c r="F104" s="3"/>
      <c r="G104" s="3"/>
      <c r="H104" s="3"/>
      <c r="I104" s="3"/>
      <c r="J104" s="3"/>
      <c r="K104" s="2">
        <f t="shared" si="6"/>
        <v>0</v>
      </c>
    </row>
    <row r="105" spans="1:11" x14ac:dyDescent="0.2">
      <c r="A105" s="42" t="s">
        <v>1067</v>
      </c>
      <c r="C105" s="13"/>
      <c r="D105" s="2">
        <f>SUM(D97:D104)</f>
        <v>502049.21083333326</v>
      </c>
      <c r="F105" s="3"/>
      <c r="G105" s="3"/>
      <c r="H105" s="3"/>
      <c r="I105" s="3"/>
      <c r="J105" s="3"/>
      <c r="K105" s="2">
        <f t="shared" si="6"/>
        <v>0</v>
      </c>
    </row>
    <row r="106" spans="1:11" x14ac:dyDescent="0.2">
      <c r="A106" s="42"/>
      <c r="C106" s="13"/>
      <c r="F106" s="3"/>
      <c r="G106" s="3"/>
      <c r="H106" s="3"/>
      <c r="I106" s="3"/>
      <c r="J106" s="3"/>
      <c r="K106" s="2">
        <f t="shared" si="6"/>
        <v>0</v>
      </c>
    </row>
    <row r="107" spans="1:11" ht="15" x14ac:dyDescent="0.35">
      <c r="A107" s="50" t="s">
        <v>756</v>
      </c>
      <c r="C107" s="13"/>
      <c r="D107" s="10"/>
      <c r="E107" s="2">
        <v>68054</v>
      </c>
      <c r="F107" s="3">
        <v>72163</v>
      </c>
      <c r="G107" s="3">
        <v>72291</v>
      </c>
      <c r="H107" s="3">
        <v>72158</v>
      </c>
      <c r="I107" s="3">
        <v>72551</v>
      </c>
      <c r="J107" s="3">
        <v>75094</v>
      </c>
      <c r="K107" s="2">
        <f t="shared" si="6"/>
        <v>-393</v>
      </c>
    </row>
    <row r="108" spans="1:11" hidden="1" x14ac:dyDescent="0.2">
      <c r="A108" s="2" t="s">
        <v>757</v>
      </c>
      <c r="B108" s="2">
        <f>+D9</f>
        <v>50180</v>
      </c>
      <c r="C108" s="68">
        <v>7.6499999999999999E-2</v>
      </c>
      <c r="D108" s="2">
        <f t="shared" ref="D108:D113" si="8">+C108*B108</f>
        <v>3838.77</v>
      </c>
      <c r="F108" s="3"/>
      <c r="G108" s="3"/>
      <c r="H108" s="3"/>
      <c r="I108" s="3"/>
      <c r="J108" s="3"/>
      <c r="K108" s="2">
        <f t="shared" si="6"/>
        <v>0</v>
      </c>
    </row>
    <row r="109" spans="1:11" hidden="1" x14ac:dyDescent="0.2">
      <c r="A109" s="2" t="s">
        <v>1264</v>
      </c>
      <c r="B109" s="2">
        <f>+D28</f>
        <v>1181378.3400000001</v>
      </c>
      <c r="C109" s="68">
        <v>1.4500000000000001E-2</v>
      </c>
      <c r="D109" s="2">
        <f t="shared" si="8"/>
        <v>17129.985930000003</v>
      </c>
      <c r="F109" s="3"/>
      <c r="G109" s="3"/>
      <c r="H109" s="3"/>
      <c r="I109" s="3"/>
      <c r="J109" s="3"/>
      <c r="K109" s="2">
        <f t="shared" si="6"/>
        <v>0</v>
      </c>
    </row>
    <row r="110" spans="1:11" hidden="1" x14ac:dyDescent="0.2">
      <c r="A110" s="92" t="s">
        <v>683</v>
      </c>
      <c r="B110" s="2">
        <f>+D70</f>
        <v>2476912.5599999996</v>
      </c>
      <c r="C110" s="68">
        <v>1.4500000000000001E-2</v>
      </c>
      <c r="D110" s="2">
        <f t="shared" si="8"/>
        <v>35915.232119999993</v>
      </c>
      <c r="F110" s="3"/>
      <c r="G110" s="3"/>
      <c r="H110" s="3"/>
      <c r="I110" s="3"/>
      <c r="J110" s="3"/>
      <c r="K110" s="2">
        <f t="shared" si="6"/>
        <v>0</v>
      </c>
    </row>
    <row r="111" spans="1:11" hidden="1" x14ac:dyDescent="0.2">
      <c r="A111" s="42" t="s">
        <v>758</v>
      </c>
      <c r="B111" s="2">
        <f>+D79</f>
        <v>228006.05430000002</v>
      </c>
      <c r="C111" s="68">
        <v>1.4500000000000001E-2</v>
      </c>
      <c r="D111" s="2">
        <f t="shared" si="8"/>
        <v>3306.0877873500003</v>
      </c>
      <c r="F111" s="3"/>
      <c r="G111" s="3"/>
      <c r="H111" s="3"/>
      <c r="I111" s="3"/>
      <c r="J111" s="3"/>
      <c r="K111" s="2">
        <f t="shared" si="6"/>
        <v>0</v>
      </c>
    </row>
    <row r="112" spans="1:11" hidden="1" x14ac:dyDescent="0.2">
      <c r="A112" s="42" t="s">
        <v>153</v>
      </c>
      <c r="B112" s="2">
        <f>+D94</f>
        <v>99668.2</v>
      </c>
      <c r="C112" s="68">
        <v>7.6499999999999999E-2</v>
      </c>
      <c r="D112" s="2">
        <f t="shared" si="8"/>
        <v>7624.6172999999999</v>
      </c>
      <c r="F112" s="3"/>
      <c r="G112" s="3"/>
      <c r="H112" s="3"/>
      <c r="I112" s="3"/>
      <c r="J112" s="3"/>
      <c r="K112" s="2">
        <f t="shared" si="6"/>
        <v>0</v>
      </c>
    </row>
    <row r="113" spans="1:11" ht="15" hidden="1" x14ac:dyDescent="0.35">
      <c r="A113" s="42" t="s">
        <v>154</v>
      </c>
      <c r="B113" s="2">
        <f>+D105</f>
        <v>502049.21083333326</v>
      </c>
      <c r="C113" s="68">
        <v>1.4500000000000001E-2</v>
      </c>
      <c r="D113" s="10">
        <f t="shared" si="8"/>
        <v>7279.7135570833325</v>
      </c>
      <c r="F113" s="3"/>
      <c r="G113" s="3"/>
      <c r="H113" s="3"/>
      <c r="I113" s="3"/>
      <c r="J113" s="3"/>
      <c r="K113" s="2">
        <f t="shared" si="6"/>
        <v>0</v>
      </c>
    </row>
    <row r="114" spans="1:11" hidden="1" x14ac:dyDescent="0.2">
      <c r="A114" s="42" t="s">
        <v>1067</v>
      </c>
      <c r="C114" s="68"/>
      <c r="D114" s="2">
        <f>SUM(D108:D113)</f>
        <v>75094.406694433332</v>
      </c>
      <c r="F114" s="3"/>
      <c r="G114" s="3"/>
      <c r="H114" s="3"/>
      <c r="I114" s="3"/>
      <c r="J114" s="3"/>
      <c r="K114" s="2">
        <f t="shared" si="6"/>
        <v>0</v>
      </c>
    </row>
    <row r="115" spans="1:11" x14ac:dyDescent="0.2">
      <c r="A115" s="42"/>
      <c r="C115" s="68"/>
      <c r="D115" s="17"/>
      <c r="F115" s="3"/>
      <c r="G115" s="3"/>
      <c r="H115" s="3"/>
      <c r="I115" s="3"/>
      <c r="J115" s="3"/>
      <c r="K115" s="2">
        <f t="shared" si="6"/>
        <v>0</v>
      </c>
    </row>
    <row r="116" spans="1:11" ht="13.5" x14ac:dyDescent="0.25">
      <c r="A116" s="70" t="s">
        <v>759</v>
      </c>
      <c r="C116" s="68"/>
      <c r="E116" s="2">
        <v>1305526</v>
      </c>
      <c r="F116" s="3">
        <v>1387967</v>
      </c>
      <c r="G116" s="3">
        <v>1284692</v>
      </c>
      <c r="H116" s="3">
        <v>1281900</v>
      </c>
      <c r="I116" s="3">
        <v>1285419</v>
      </c>
      <c r="J116" s="3">
        <v>1338652</v>
      </c>
      <c r="K116" s="2">
        <f t="shared" si="6"/>
        <v>-3519</v>
      </c>
    </row>
    <row r="117" spans="1:11" hidden="1" x14ac:dyDescent="0.2">
      <c r="A117" s="2" t="s">
        <v>757</v>
      </c>
      <c r="B117" s="2">
        <f>+B108</f>
        <v>50180</v>
      </c>
      <c r="C117" s="287">
        <v>0.1353</v>
      </c>
      <c r="D117" s="2">
        <f>+C117*B117</f>
        <v>6789.3540000000003</v>
      </c>
      <c r="F117" s="3"/>
      <c r="G117" s="3"/>
      <c r="H117" s="3"/>
      <c r="I117" s="3"/>
      <c r="J117" s="3"/>
      <c r="K117" s="2">
        <f t="shared" si="6"/>
        <v>0</v>
      </c>
    </row>
    <row r="118" spans="1:11" hidden="1" x14ac:dyDescent="0.2">
      <c r="A118" s="2" t="s">
        <v>760</v>
      </c>
      <c r="B118" s="2">
        <f>+B109</f>
        <v>1181378.3400000001</v>
      </c>
      <c r="C118" s="68">
        <v>0.30349999999999999</v>
      </c>
      <c r="D118" s="2">
        <f>+C118*B118</f>
        <v>358548.32618999999</v>
      </c>
      <c r="F118" s="131"/>
      <c r="G118" s="131"/>
      <c r="H118" s="131"/>
      <c r="I118" s="131"/>
      <c r="J118" s="131"/>
      <c r="K118" s="2">
        <f t="shared" si="6"/>
        <v>0</v>
      </c>
    </row>
    <row r="119" spans="1:11" hidden="1" x14ac:dyDescent="0.2">
      <c r="A119" s="2" t="s">
        <v>761</v>
      </c>
      <c r="B119" s="2">
        <f>+B110</f>
        <v>2476912.5599999996</v>
      </c>
      <c r="C119" s="68">
        <v>0.30349999999999999</v>
      </c>
      <c r="D119" s="2">
        <f>+C119*B119</f>
        <v>751742.96195999987</v>
      </c>
      <c r="F119" s="3"/>
      <c r="G119" s="3"/>
      <c r="H119" s="3"/>
      <c r="I119" s="3"/>
      <c r="J119" s="3"/>
      <c r="K119" s="2">
        <f t="shared" ref="K119:K150" si="9">+H119-I119</f>
        <v>0</v>
      </c>
    </row>
    <row r="120" spans="1:11" hidden="1" x14ac:dyDescent="0.2">
      <c r="A120" s="2" t="s">
        <v>762</v>
      </c>
      <c r="B120" s="2">
        <f>+B111</f>
        <v>228006.05430000002</v>
      </c>
      <c r="C120" s="68">
        <v>0.30349999999999999</v>
      </c>
      <c r="D120" s="2">
        <f>+C120*B120</f>
        <v>69199.837480050002</v>
      </c>
      <c r="F120" s="3"/>
      <c r="G120" s="3"/>
      <c r="H120" s="3"/>
      <c r="I120" s="3"/>
      <c r="J120" s="3"/>
      <c r="K120" s="2">
        <f t="shared" si="9"/>
        <v>0</v>
      </c>
    </row>
    <row r="121" spans="1:11" hidden="1" x14ac:dyDescent="0.2">
      <c r="A121" s="2" t="s">
        <v>444</v>
      </c>
      <c r="B121" s="2">
        <f>+B113</f>
        <v>502049.21083333326</v>
      </c>
      <c r="C121" s="68">
        <v>0.30349999999999999</v>
      </c>
      <c r="D121" s="17">
        <f>+C121*B121</f>
        <v>152371.93548791663</v>
      </c>
      <c r="F121" s="3"/>
      <c r="G121" s="3"/>
      <c r="H121" s="3"/>
      <c r="I121" s="3"/>
      <c r="J121" s="3"/>
      <c r="K121" s="2">
        <f t="shared" si="9"/>
        <v>0</v>
      </c>
    </row>
    <row r="122" spans="1:11" hidden="1" x14ac:dyDescent="0.2">
      <c r="A122" s="2" t="s">
        <v>1067</v>
      </c>
      <c r="C122" s="68"/>
      <c r="D122" s="2">
        <f>SUM(D117:D121)</f>
        <v>1338652.4151179665</v>
      </c>
      <c r="F122" s="3"/>
      <c r="G122" s="3"/>
      <c r="H122" s="3"/>
      <c r="I122" s="3"/>
      <c r="J122" s="3"/>
      <c r="K122" s="2">
        <f t="shared" si="9"/>
        <v>0</v>
      </c>
    </row>
    <row r="123" spans="1:11" x14ac:dyDescent="0.2">
      <c r="C123" s="68"/>
      <c r="F123" s="3"/>
      <c r="G123" s="3"/>
      <c r="H123" s="3"/>
      <c r="I123" s="3"/>
      <c r="J123" s="3"/>
      <c r="K123" s="2">
        <f t="shared" si="9"/>
        <v>0</v>
      </c>
    </row>
    <row r="124" spans="1:11" ht="13.5" x14ac:dyDescent="0.25">
      <c r="A124" s="44" t="s">
        <v>826</v>
      </c>
      <c r="C124" s="68"/>
      <c r="E124" s="2">
        <v>806574</v>
      </c>
      <c r="F124" s="3">
        <v>927000</v>
      </c>
      <c r="G124" s="3">
        <v>988250</v>
      </c>
      <c r="H124" s="3">
        <v>988250</v>
      </c>
      <c r="I124" s="3">
        <v>988250</v>
      </c>
      <c r="J124" s="3">
        <v>988250</v>
      </c>
      <c r="K124" s="2">
        <f t="shared" si="9"/>
        <v>0</v>
      </c>
    </row>
    <row r="125" spans="1:11" ht="12.6" hidden="1" customHeight="1" x14ac:dyDescent="0.2">
      <c r="A125" s="2" t="s">
        <v>1552</v>
      </c>
      <c r="B125" s="2">
        <f>32+4</f>
        <v>36</v>
      </c>
      <c r="C125" s="2">
        <v>20250</v>
      </c>
      <c r="D125" s="2">
        <f>+B125*C125-4000</f>
        <v>725000</v>
      </c>
      <c r="F125" s="3"/>
      <c r="G125" s="3"/>
      <c r="H125" s="3"/>
      <c r="I125" s="3"/>
      <c r="J125" s="3"/>
      <c r="K125" s="2">
        <f t="shared" si="9"/>
        <v>0</v>
      </c>
    </row>
    <row r="126" spans="1:11" ht="12.6" hidden="1" customHeight="1" x14ac:dyDescent="0.2">
      <c r="A126" s="2" t="s">
        <v>1553</v>
      </c>
      <c r="B126" s="2">
        <v>9</v>
      </c>
      <c r="C126" s="2">
        <v>20250</v>
      </c>
      <c r="D126" s="2">
        <f>+B126*C126</f>
        <v>182250</v>
      </c>
      <c r="F126" s="3"/>
      <c r="G126" s="3"/>
      <c r="H126" s="3"/>
      <c r="I126" s="3"/>
      <c r="J126" s="3"/>
      <c r="K126" s="2">
        <f t="shared" si="9"/>
        <v>0</v>
      </c>
    </row>
    <row r="127" spans="1:11" ht="12.6" hidden="1" customHeight="1" x14ac:dyDescent="0.35">
      <c r="A127" s="2" t="s">
        <v>259</v>
      </c>
      <c r="B127" s="2">
        <v>4</v>
      </c>
      <c r="C127" s="2">
        <v>20250</v>
      </c>
      <c r="D127" s="10">
        <f>+B127*C127</f>
        <v>81000</v>
      </c>
      <c r="F127" s="3"/>
      <c r="G127" s="3"/>
      <c r="H127" s="3"/>
      <c r="I127" s="3"/>
      <c r="J127" s="3"/>
      <c r="K127" s="2">
        <f t="shared" si="9"/>
        <v>0</v>
      </c>
    </row>
    <row r="128" spans="1:11" ht="12.75" hidden="1" customHeight="1" x14ac:dyDescent="0.2">
      <c r="A128" s="2" t="s">
        <v>678</v>
      </c>
      <c r="D128" s="2">
        <f>SUM(D125:D127)</f>
        <v>988250</v>
      </c>
      <c r="F128" s="3"/>
      <c r="G128" s="3"/>
      <c r="H128" s="3"/>
      <c r="I128" s="3"/>
      <c r="J128" s="3"/>
      <c r="K128" s="2">
        <f t="shared" si="9"/>
        <v>0</v>
      </c>
    </row>
    <row r="129" spans="1:11" ht="12.6" customHeight="1" x14ac:dyDescent="0.2">
      <c r="F129" s="3"/>
      <c r="G129" s="3"/>
      <c r="H129" s="3"/>
      <c r="I129" s="3"/>
      <c r="J129" s="3"/>
      <c r="K129" s="2">
        <f t="shared" si="9"/>
        <v>0</v>
      </c>
    </row>
    <row r="130" spans="1:11" ht="12.6" customHeight="1" x14ac:dyDescent="0.25">
      <c r="A130" s="44" t="s">
        <v>827</v>
      </c>
      <c r="E130" s="2">
        <v>47411</v>
      </c>
      <c r="F130" s="3">
        <v>62288</v>
      </c>
      <c r="G130" s="3">
        <v>62288</v>
      </c>
      <c r="H130" s="3">
        <v>62288</v>
      </c>
      <c r="I130" s="3">
        <v>62288</v>
      </c>
      <c r="J130" s="3">
        <v>62288</v>
      </c>
      <c r="K130" s="2">
        <f t="shared" si="9"/>
        <v>0</v>
      </c>
    </row>
    <row r="131" spans="1:11" ht="12.6" hidden="1" customHeight="1" x14ac:dyDescent="0.2">
      <c r="A131" s="2" t="s">
        <v>258</v>
      </c>
      <c r="B131" s="2">
        <f>41+4</f>
        <v>45</v>
      </c>
      <c r="C131" s="2">
        <v>1375</v>
      </c>
      <c r="D131" s="2">
        <f>+B131*C131</f>
        <v>61875</v>
      </c>
      <c r="F131" s="3"/>
      <c r="G131" s="3"/>
      <c r="H131" s="3"/>
      <c r="I131" s="3"/>
      <c r="J131" s="3"/>
      <c r="K131" s="2">
        <f t="shared" si="9"/>
        <v>0</v>
      </c>
    </row>
    <row r="132" spans="1:11" ht="12.6" hidden="1" customHeight="1" x14ac:dyDescent="0.2">
      <c r="A132" s="2" t="s">
        <v>259</v>
      </c>
      <c r="B132" s="2">
        <v>4</v>
      </c>
      <c r="C132" s="2">
        <v>1375</v>
      </c>
      <c r="D132" s="2">
        <f>+B132*C132</f>
        <v>5500</v>
      </c>
      <c r="F132" s="3"/>
      <c r="G132" s="3"/>
      <c r="H132" s="3"/>
      <c r="I132" s="3"/>
      <c r="J132" s="3"/>
      <c r="K132" s="2">
        <f t="shared" si="9"/>
        <v>0</v>
      </c>
    </row>
    <row r="133" spans="1:11" ht="12.6" hidden="1" customHeight="1" x14ac:dyDescent="0.2">
      <c r="A133" s="2" t="s">
        <v>193</v>
      </c>
      <c r="D133" s="17">
        <f>+C132*-0.1*37</f>
        <v>-5087.5</v>
      </c>
      <c r="F133" s="3"/>
      <c r="G133" s="3"/>
      <c r="H133" s="3"/>
      <c r="I133" s="3"/>
      <c r="J133" s="3"/>
      <c r="K133" s="2">
        <f t="shared" si="9"/>
        <v>0</v>
      </c>
    </row>
    <row r="134" spans="1:11" ht="12.6" hidden="1" customHeight="1" x14ac:dyDescent="0.2">
      <c r="A134" s="283" t="s">
        <v>678</v>
      </c>
      <c r="D134" s="2">
        <f>SUM(D131:D133)</f>
        <v>62287.5</v>
      </c>
      <c r="F134" s="3"/>
      <c r="G134" s="3"/>
      <c r="H134" s="3"/>
      <c r="I134" s="3"/>
      <c r="J134" s="3"/>
      <c r="K134" s="2">
        <f t="shared" si="9"/>
        <v>0</v>
      </c>
    </row>
    <row r="135" spans="1:11" x14ac:dyDescent="0.2">
      <c r="F135" s="3"/>
      <c r="G135" s="3"/>
      <c r="H135" s="3"/>
      <c r="I135" s="3"/>
      <c r="J135" s="3"/>
      <c r="K135" s="2">
        <f t="shared" si="9"/>
        <v>0</v>
      </c>
    </row>
    <row r="136" spans="1:11" ht="13.5" x14ac:dyDescent="0.25">
      <c r="A136" s="44" t="s">
        <v>828</v>
      </c>
      <c r="E136" s="2">
        <v>3252</v>
      </c>
      <c r="F136" s="3">
        <v>3015</v>
      </c>
      <c r="G136" s="3">
        <v>3145</v>
      </c>
      <c r="H136" s="3">
        <v>3145</v>
      </c>
      <c r="I136" s="3">
        <v>3145</v>
      </c>
      <c r="J136" s="3">
        <v>3145</v>
      </c>
      <c r="K136" s="2">
        <f t="shared" si="9"/>
        <v>0</v>
      </c>
    </row>
    <row r="137" spans="1:11" hidden="1" x14ac:dyDescent="0.2">
      <c r="A137" s="2" t="s">
        <v>189</v>
      </c>
      <c r="B137" s="2">
        <v>4</v>
      </c>
      <c r="C137" s="2">
        <v>145</v>
      </c>
      <c r="D137" s="2">
        <f>+C137*B137</f>
        <v>580</v>
      </c>
      <c r="F137" s="3"/>
      <c r="G137" s="3"/>
      <c r="H137" s="3"/>
      <c r="I137" s="3"/>
      <c r="J137" s="3"/>
      <c r="K137" s="2">
        <f t="shared" si="9"/>
        <v>0</v>
      </c>
    </row>
    <row r="138" spans="1:11" hidden="1" x14ac:dyDescent="0.2">
      <c r="A138" s="2" t="s">
        <v>1507</v>
      </c>
      <c r="B138" s="2">
        <v>9</v>
      </c>
      <c r="C138" s="2">
        <v>145</v>
      </c>
      <c r="D138" s="2">
        <f>+C138*B138</f>
        <v>1305</v>
      </c>
      <c r="F138" s="3"/>
      <c r="G138" s="3"/>
      <c r="H138" s="3"/>
      <c r="I138" s="3"/>
      <c r="J138" s="3"/>
      <c r="K138" s="2">
        <f t="shared" si="9"/>
        <v>0</v>
      </c>
    </row>
    <row r="139" spans="1:11" ht="15" hidden="1" x14ac:dyDescent="0.35">
      <c r="A139" s="2" t="s">
        <v>1810</v>
      </c>
      <c r="B139" s="2">
        <f>32+4</f>
        <v>36</v>
      </c>
      <c r="C139" s="2">
        <v>35</v>
      </c>
      <c r="D139" s="10">
        <f>+B139*C139</f>
        <v>1260</v>
      </c>
      <c r="F139" s="3"/>
      <c r="G139" s="3"/>
      <c r="H139" s="3"/>
      <c r="I139" s="3"/>
      <c r="J139" s="3"/>
      <c r="K139" s="2">
        <f t="shared" si="9"/>
        <v>0</v>
      </c>
    </row>
    <row r="140" spans="1:11" hidden="1" x14ac:dyDescent="0.2">
      <c r="A140" s="2" t="s">
        <v>1067</v>
      </c>
      <c r="D140" s="2">
        <f>SUM(D137:D139)</f>
        <v>3145</v>
      </c>
      <c r="F140" s="3"/>
      <c r="G140" s="3"/>
      <c r="H140" s="3"/>
      <c r="I140" s="3"/>
      <c r="J140" s="3"/>
      <c r="K140" s="2">
        <f t="shared" si="9"/>
        <v>0</v>
      </c>
    </row>
    <row r="141" spans="1:11" x14ac:dyDescent="0.2">
      <c r="F141" s="3"/>
      <c r="G141" s="3"/>
      <c r="H141" s="3"/>
      <c r="I141" s="3"/>
      <c r="J141" s="3"/>
      <c r="K141" s="2">
        <f t="shared" si="9"/>
        <v>0</v>
      </c>
    </row>
    <row r="142" spans="1:11" ht="13.5" x14ac:dyDescent="0.25">
      <c r="A142" s="44" t="s">
        <v>178</v>
      </c>
      <c r="E142" s="2">
        <v>23823</v>
      </c>
      <c r="F142" s="3">
        <v>25725</v>
      </c>
      <c r="G142" s="3">
        <v>27685</v>
      </c>
      <c r="H142" s="3">
        <v>27685</v>
      </c>
      <c r="I142" s="3">
        <v>27685</v>
      </c>
      <c r="J142" s="3">
        <v>27685</v>
      </c>
      <c r="K142" s="2">
        <f t="shared" si="9"/>
        <v>0</v>
      </c>
    </row>
    <row r="143" spans="1:11" hidden="1" x14ac:dyDescent="0.2">
      <c r="A143" s="2" t="s">
        <v>189</v>
      </c>
      <c r="B143" s="2">
        <v>4</v>
      </c>
      <c r="C143" s="2">
        <v>565</v>
      </c>
      <c r="D143" s="2">
        <f>+C143*B143</f>
        <v>2260</v>
      </c>
      <c r="F143" s="3"/>
      <c r="G143" s="3"/>
      <c r="H143" s="3"/>
      <c r="I143" s="3"/>
      <c r="J143" s="3"/>
      <c r="K143" s="2">
        <f t="shared" si="9"/>
        <v>0</v>
      </c>
    </row>
    <row r="144" spans="1:11" ht="15" hidden="1" x14ac:dyDescent="0.35">
      <c r="A144" s="2" t="s">
        <v>1213</v>
      </c>
      <c r="B144" s="2">
        <f>41+4</f>
        <v>45</v>
      </c>
      <c r="C144" s="2">
        <v>565</v>
      </c>
      <c r="D144" s="10">
        <f>+C144*B144</f>
        <v>25425</v>
      </c>
      <c r="F144" s="3"/>
      <c r="G144" s="3"/>
      <c r="H144" s="3"/>
      <c r="I144" s="3"/>
      <c r="J144" s="3"/>
      <c r="K144" s="2">
        <f t="shared" si="9"/>
        <v>0</v>
      </c>
    </row>
    <row r="145" spans="1:11" hidden="1" x14ac:dyDescent="0.2">
      <c r="A145" s="2" t="s">
        <v>1067</v>
      </c>
      <c r="D145" s="2">
        <f>SUM(D143:D144)</f>
        <v>27685</v>
      </c>
      <c r="F145" s="3"/>
      <c r="G145" s="3"/>
      <c r="H145" s="3"/>
      <c r="I145" s="3"/>
      <c r="J145" s="3"/>
      <c r="K145" s="2">
        <f t="shared" si="9"/>
        <v>0</v>
      </c>
    </row>
    <row r="146" spans="1:11" x14ac:dyDescent="0.2">
      <c r="F146" s="3"/>
      <c r="G146" s="3"/>
      <c r="H146" s="3"/>
      <c r="I146" s="3"/>
      <c r="J146" s="3"/>
      <c r="K146" s="2">
        <f t="shared" si="9"/>
        <v>0</v>
      </c>
    </row>
    <row r="147" spans="1:11" ht="13.5" x14ac:dyDescent="0.25">
      <c r="A147" s="44" t="s">
        <v>246</v>
      </c>
      <c r="E147" s="2">
        <v>228725</v>
      </c>
      <c r="F147" s="3">
        <v>276218</v>
      </c>
      <c r="G147" s="3">
        <v>252974</v>
      </c>
      <c r="H147" s="3">
        <v>252434</v>
      </c>
      <c r="I147" s="3">
        <v>253153</v>
      </c>
      <c r="J147" s="3">
        <v>263446</v>
      </c>
      <c r="K147" s="2">
        <f t="shared" si="9"/>
        <v>-719</v>
      </c>
    </row>
    <row r="148" spans="1:11" hidden="1" x14ac:dyDescent="0.2">
      <c r="A148" s="42" t="s">
        <v>757</v>
      </c>
      <c r="B148" s="2">
        <f>+D9</f>
        <v>50180</v>
      </c>
      <c r="C148" s="13">
        <v>1.89E-3</v>
      </c>
      <c r="D148" s="2">
        <f t="shared" ref="D148:D153" si="10">+C148*B148</f>
        <v>94.840199999999996</v>
      </c>
      <c r="F148" s="3"/>
      <c r="G148" s="3"/>
      <c r="H148" s="3"/>
      <c r="I148" s="3"/>
      <c r="J148" s="3"/>
      <c r="K148" s="2">
        <f t="shared" si="9"/>
        <v>0</v>
      </c>
    </row>
    <row r="149" spans="1:11" hidden="1" x14ac:dyDescent="0.2">
      <c r="A149" s="42" t="s">
        <v>1264</v>
      </c>
      <c r="B149" s="2">
        <f>+D28</f>
        <v>1181378.3400000001</v>
      </c>
      <c r="C149" s="13">
        <v>5.8680000000000003E-2</v>
      </c>
      <c r="D149" s="2">
        <f t="shared" si="10"/>
        <v>69323.280991200008</v>
      </c>
      <c r="F149" s="3"/>
      <c r="G149" s="3"/>
      <c r="H149" s="3"/>
      <c r="I149" s="3"/>
      <c r="J149" s="3"/>
      <c r="K149" s="2">
        <f t="shared" si="9"/>
        <v>0</v>
      </c>
    </row>
    <row r="150" spans="1:11" hidden="1" x14ac:dyDescent="0.2">
      <c r="A150" s="42" t="s">
        <v>683</v>
      </c>
      <c r="B150" s="2">
        <f>+D70</f>
        <v>2476912.5599999996</v>
      </c>
      <c r="C150" s="13">
        <v>5.8680000000000003E-2</v>
      </c>
      <c r="D150" s="2">
        <f t="shared" si="10"/>
        <v>145345.22902079998</v>
      </c>
      <c r="F150" s="3"/>
      <c r="G150" s="3"/>
      <c r="H150" s="3"/>
      <c r="I150" s="3"/>
      <c r="J150" s="3"/>
      <c r="K150" s="2">
        <f t="shared" si="9"/>
        <v>0</v>
      </c>
    </row>
    <row r="151" spans="1:11" hidden="1" x14ac:dyDescent="0.2">
      <c r="A151" s="42" t="s">
        <v>1596</v>
      </c>
      <c r="B151" s="2">
        <f>+B120</f>
        <v>228006.05430000002</v>
      </c>
      <c r="C151" s="13">
        <v>5.8680000000000003E-2</v>
      </c>
      <c r="D151" s="2">
        <f t="shared" si="10"/>
        <v>13379.395266324002</v>
      </c>
      <c r="F151" s="3"/>
      <c r="G151" s="3"/>
      <c r="H151" s="3"/>
      <c r="I151" s="3"/>
      <c r="J151" s="3"/>
      <c r="K151" s="2">
        <f t="shared" ref="K151:K163" si="11">+H151-I151</f>
        <v>0</v>
      </c>
    </row>
    <row r="152" spans="1:11" hidden="1" x14ac:dyDescent="0.2">
      <c r="A152" s="42" t="s">
        <v>153</v>
      </c>
      <c r="B152" s="2">
        <f>+D94</f>
        <v>99668.2</v>
      </c>
      <c r="C152" s="13">
        <v>5.8680000000000003E-2</v>
      </c>
      <c r="D152" s="2">
        <f t="shared" si="10"/>
        <v>5848.5299759999998</v>
      </c>
      <c r="F152" s="3"/>
      <c r="G152" s="3"/>
      <c r="H152" s="3"/>
      <c r="I152" s="3"/>
      <c r="J152" s="3"/>
      <c r="K152" s="2">
        <f t="shared" si="11"/>
        <v>0</v>
      </c>
    </row>
    <row r="153" spans="1:11" ht="15" hidden="1" x14ac:dyDescent="0.35">
      <c r="A153" s="42" t="s">
        <v>1597</v>
      </c>
      <c r="B153" s="2">
        <f>+B121</f>
        <v>502049.21083333326</v>
      </c>
      <c r="C153" s="13">
        <v>5.8680000000000003E-2</v>
      </c>
      <c r="D153" s="10">
        <f t="shared" si="10"/>
        <v>29460.247691699999</v>
      </c>
      <c r="F153" s="3"/>
      <c r="G153" s="3"/>
      <c r="H153" s="3"/>
      <c r="I153" s="3"/>
      <c r="J153" s="3"/>
      <c r="K153" s="2">
        <f t="shared" si="11"/>
        <v>0</v>
      </c>
    </row>
    <row r="154" spans="1:11" hidden="1" x14ac:dyDescent="0.2">
      <c r="A154" s="2" t="s">
        <v>1067</v>
      </c>
      <c r="C154" s="13"/>
      <c r="D154" s="2">
        <f>SUM(D148:D153)-6</f>
        <v>263445.52314602397</v>
      </c>
      <c r="F154" s="3"/>
      <c r="G154" s="3"/>
      <c r="H154" s="3"/>
      <c r="I154" s="3"/>
      <c r="J154" s="3"/>
      <c r="K154" s="2">
        <f t="shared" si="11"/>
        <v>0</v>
      </c>
    </row>
    <row r="155" spans="1:11" x14ac:dyDescent="0.2">
      <c r="F155" s="3"/>
      <c r="G155" s="3"/>
      <c r="H155" s="3"/>
      <c r="I155" s="3"/>
      <c r="J155" s="3"/>
      <c r="K155" s="2">
        <f t="shared" si="11"/>
        <v>0</v>
      </c>
    </row>
    <row r="156" spans="1:11" ht="13.5" x14ac:dyDescent="0.25">
      <c r="A156" s="44" t="s">
        <v>118</v>
      </c>
      <c r="E156" s="2">
        <v>792</v>
      </c>
      <c r="F156" s="3">
        <v>1200</v>
      </c>
      <c r="G156" s="3">
        <v>1196</v>
      </c>
      <c r="H156" s="3">
        <v>1196</v>
      </c>
      <c r="I156" s="3">
        <v>1198</v>
      </c>
      <c r="J156" s="3">
        <v>1198</v>
      </c>
      <c r="K156" s="2">
        <f t="shared" si="11"/>
        <v>-2</v>
      </c>
    </row>
    <row r="157" spans="1:11" hidden="1" x14ac:dyDescent="0.2">
      <c r="A157" s="42" t="s">
        <v>280</v>
      </c>
      <c r="B157" s="2">
        <v>1</v>
      </c>
      <c r="C157" s="2">
        <v>20</v>
      </c>
      <c r="D157" s="2">
        <f>ROUND(B157*C157,0)</f>
        <v>20</v>
      </c>
      <c r="F157" s="3"/>
      <c r="G157" s="3"/>
      <c r="H157" s="3"/>
      <c r="I157" s="3"/>
      <c r="J157" s="3"/>
      <c r="K157" s="2">
        <f t="shared" si="11"/>
        <v>0</v>
      </c>
    </row>
    <row r="158" spans="1:11" hidden="1" x14ac:dyDescent="0.2">
      <c r="A158" s="42" t="s">
        <v>281</v>
      </c>
      <c r="B158" s="2">
        <v>12</v>
      </c>
      <c r="C158" s="2">
        <v>20</v>
      </c>
      <c r="D158" s="2">
        <f t="shared" ref="D158:D163" si="12">ROUND(B158*C158,0)</f>
        <v>240</v>
      </c>
      <c r="F158" s="3"/>
      <c r="G158" s="3"/>
      <c r="H158" s="3"/>
      <c r="I158" s="3"/>
      <c r="J158" s="3"/>
      <c r="K158" s="2">
        <f t="shared" si="11"/>
        <v>0</v>
      </c>
    </row>
    <row r="159" spans="1:11" hidden="1" x14ac:dyDescent="0.2">
      <c r="A159" s="42" t="s">
        <v>282</v>
      </c>
      <c r="B159" s="2">
        <f>32+4</f>
        <v>36</v>
      </c>
      <c r="C159" s="2">
        <v>20</v>
      </c>
      <c r="D159" s="2">
        <f t="shared" si="12"/>
        <v>720</v>
      </c>
      <c r="F159" s="3"/>
      <c r="G159" s="3"/>
      <c r="H159" s="3"/>
      <c r="I159" s="3"/>
      <c r="J159" s="3"/>
      <c r="K159" s="2">
        <f t="shared" si="11"/>
        <v>0</v>
      </c>
    </row>
    <row r="160" spans="1:11" hidden="1" x14ac:dyDescent="0.2">
      <c r="A160" s="2" t="s">
        <v>283</v>
      </c>
      <c r="B160" s="2">
        <v>2</v>
      </c>
      <c r="C160" s="2">
        <v>20</v>
      </c>
      <c r="D160" s="2">
        <f t="shared" si="12"/>
        <v>40</v>
      </c>
      <c r="F160" s="3"/>
      <c r="G160" s="3"/>
      <c r="H160" s="3"/>
      <c r="I160" s="3"/>
      <c r="J160" s="3"/>
      <c r="K160" s="2">
        <f t="shared" si="11"/>
        <v>0</v>
      </c>
    </row>
    <row r="161" spans="1:11" hidden="1" x14ac:dyDescent="0.2">
      <c r="A161" s="2" t="s">
        <v>708</v>
      </c>
      <c r="B161" s="2">
        <v>1</v>
      </c>
      <c r="C161" s="2">
        <v>20</v>
      </c>
      <c r="D161" s="2">
        <f t="shared" si="12"/>
        <v>20</v>
      </c>
      <c r="F161" s="3"/>
      <c r="G161" s="3"/>
      <c r="H161" s="3"/>
      <c r="I161" s="3"/>
      <c r="J161" s="3"/>
      <c r="K161" s="2">
        <f t="shared" si="11"/>
        <v>0</v>
      </c>
    </row>
    <row r="162" spans="1:11" hidden="1" x14ac:dyDescent="0.2">
      <c r="A162" s="42" t="s">
        <v>83</v>
      </c>
      <c r="B162" s="2">
        <v>1</v>
      </c>
      <c r="C162" s="2">
        <v>20</v>
      </c>
      <c r="D162" s="2">
        <f t="shared" si="12"/>
        <v>20</v>
      </c>
      <c r="F162" s="3"/>
      <c r="G162" s="3"/>
      <c r="H162" s="3"/>
      <c r="I162" s="3"/>
      <c r="J162" s="3"/>
      <c r="K162" s="2">
        <f t="shared" si="11"/>
        <v>0</v>
      </c>
    </row>
    <row r="163" spans="1:11" ht="15" hidden="1" x14ac:dyDescent="0.35">
      <c r="A163" s="42" t="s">
        <v>1302</v>
      </c>
      <c r="B163" s="2">
        <f>+D94-D91</f>
        <v>98498.2</v>
      </c>
      <c r="C163" s="13">
        <v>1.4E-3</v>
      </c>
      <c r="D163" s="10">
        <f t="shared" si="12"/>
        <v>138</v>
      </c>
      <c r="F163" s="3"/>
      <c r="G163" s="3"/>
      <c r="H163" s="3"/>
      <c r="I163" s="3"/>
      <c r="J163" s="3"/>
      <c r="K163" s="2">
        <f t="shared" si="11"/>
        <v>0</v>
      </c>
    </row>
    <row r="164" spans="1:11" hidden="1" x14ac:dyDescent="0.2">
      <c r="A164" s="2" t="s">
        <v>1067</v>
      </c>
      <c r="D164" s="2">
        <f>SUM(D157:D163)</f>
        <v>1198</v>
      </c>
      <c r="F164" s="3"/>
      <c r="G164" s="3"/>
      <c r="H164" s="3"/>
      <c r="I164" s="3"/>
      <c r="J164" s="3"/>
    </row>
    <row r="165" spans="1:11" ht="12.6" customHeight="1" x14ac:dyDescent="0.2">
      <c r="F165" s="3"/>
      <c r="G165" s="3"/>
      <c r="H165" s="3"/>
      <c r="I165" s="3"/>
      <c r="J165" s="3"/>
    </row>
    <row r="166" spans="1:11" x14ac:dyDescent="0.2">
      <c r="B166" s="91"/>
    </row>
    <row r="167" spans="1:11" ht="13.5" x14ac:dyDescent="0.25">
      <c r="A167" s="44" t="s">
        <v>1303</v>
      </c>
      <c r="E167" s="2">
        <v>3929</v>
      </c>
      <c r="F167" s="3">
        <v>5300</v>
      </c>
      <c r="G167" s="3">
        <v>5300</v>
      </c>
      <c r="H167" s="3">
        <v>5300</v>
      </c>
      <c r="I167" s="3">
        <v>5300</v>
      </c>
      <c r="J167" s="3">
        <v>5300</v>
      </c>
    </row>
    <row r="168" spans="1:11" x14ac:dyDescent="0.2">
      <c r="A168" s="2" t="s">
        <v>1873</v>
      </c>
      <c r="D168" s="2">
        <v>4500</v>
      </c>
      <c r="F168" s="3"/>
      <c r="G168" s="3"/>
      <c r="H168" s="3"/>
      <c r="I168" s="3"/>
      <c r="J168" s="3"/>
    </row>
    <row r="169" spans="1:11" ht="15" x14ac:dyDescent="0.35">
      <c r="A169" s="2" t="s">
        <v>1874</v>
      </c>
      <c r="D169" s="10">
        <v>800</v>
      </c>
      <c r="F169" s="3"/>
      <c r="G169" s="3"/>
      <c r="H169" s="3"/>
      <c r="I169" s="3"/>
      <c r="J169" s="3"/>
    </row>
    <row r="170" spans="1:11" x14ac:dyDescent="0.2">
      <c r="A170" s="23" t="s">
        <v>1067</v>
      </c>
      <c r="D170" s="2">
        <f>SUM(D168:D169)</f>
        <v>5300</v>
      </c>
      <c r="F170" s="3"/>
      <c r="G170" s="3"/>
      <c r="H170" s="3"/>
      <c r="I170" s="3"/>
      <c r="J170" s="3"/>
    </row>
    <row r="171" spans="1:11" x14ac:dyDescent="0.2">
      <c r="F171" s="3"/>
      <c r="G171" s="3"/>
      <c r="H171" s="3"/>
      <c r="I171" s="3"/>
      <c r="J171" s="3"/>
    </row>
    <row r="172" spans="1:11" ht="13.5" x14ac:dyDescent="0.25">
      <c r="A172" s="44" t="s">
        <v>1224</v>
      </c>
      <c r="E172" s="2">
        <v>5906</v>
      </c>
      <c r="F172" s="3">
        <v>6800</v>
      </c>
      <c r="G172" s="293">
        <v>7300</v>
      </c>
      <c r="H172" s="293">
        <v>7300</v>
      </c>
      <c r="I172" s="293">
        <v>7300</v>
      </c>
      <c r="J172" s="293">
        <v>7300</v>
      </c>
    </row>
    <row r="173" spans="1:11" x14ac:dyDescent="0.2">
      <c r="A173" s="2" t="s">
        <v>1875</v>
      </c>
      <c r="D173" s="2">
        <v>1950</v>
      </c>
      <c r="F173" s="3"/>
      <c r="G173" s="3"/>
      <c r="H173" s="246"/>
      <c r="I173" s="246"/>
      <c r="J173" s="246"/>
    </row>
    <row r="174" spans="1:11" ht="15" x14ac:dyDescent="0.35">
      <c r="A174" s="290" t="s">
        <v>2027</v>
      </c>
      <c r="D174" s="291">
        <v>5350</v>
      </c>
      <c r="F174" s="3"/>
      <c r="G174" s="3"/>
      <c r="H174" s="246"/>
      <c r="I174" s="246"/>
      <c r="J174" s="246"/>
    </row>
    <row r="175" spans="1:11" x14ac:dyDescent="0.2">
      <c r="A175" s="290" t="s">
        <v>1067</v>
      </c>
      <c r="D175" s="292">
        <f>SUM(D173:D174)</f>
        <v>7300</v>
      </c>
      <c r="F175" s="3"/>
      <c r="G175" s="3"/>
      <c r="H175" s="246"/>
      <c r="I175" s="246"/>
      <c r="J175" s="246"/>
    </row>
    <row r="176" spans="1:11" x14ac:dyDescent="0.2">
      <c r="A176" s="233"/>
      <c r="D176" s="234"/>
      <c r="F176" s="3"/>
      <c r="G176" s="3"/>
      <c r="H176" s="3"/>
      <c r="I176" s="3"/>
      <c r="J176" s="3"/>
    </row>
    <row r="177" spans="1:10" ht="15" x14ac:dyDescent="0.35">
      <c r="A177" s="44" t="s">
        <v>183</v>
      </c>
      <c r="D177" s="10"/>
      <c r="E177" s="2">
        <v>39454</v>
      </c>
      <c r="F177" s="3">
        <v>41590</v>
      </c>
      <c r="G177" s="3">
        <v>45436</v>
      </c>
      <c r="H177" s="3">
        <v>45436</v>
      </c>
      <c r="I177" s="3">
        <v>45436</v>
      </c>
      <c r="J177" s="3">
        <v>45436</v>
      </c>
    </row>
    <row r="178" spans="1:10" x14ac:dyDescent="0.2">
      <c r="A178" s="2" t="s">
        <v>1306</v>
      </c>
      <c r="B178" s="2">
        <v>14</v>
      </c>
      <c r="C178" s="2">
        <v>1550</v>
      </c>
      <c r="D178" s="2">
        <f t="shared" ref="D178:D185" si="13">C178*B178</f>
        <v>21700</v>
      </c>
      <c r="E178" s="1"/>
      <c r="F178" s="246"/>
      <c r="G178" s="246"/>
      <c r="H178" s="246"/>
      <c r="I178" s="246"/>
      <c r="J178" s="246"/>
    </row>
    <row r="179" spans="1:10" x14ac:dyDescent="0.2">
      <c r="A179" s="176" t="s">
        <v>1721</v>
      </c>
      <c r="B179" s="176">
        <v>18</v>
      </c>
      <c r="C179" s="176">
        <v>270</v>
      </c>
      <c r="D179" s="176">
        <f t="shared" si="13"/>
        <v>4860</v>
      </c>
      <c r="E179" s="1"/>
      <c r="F179" s="246"/>
      <c r="G179" s="288"/>
      <c r="H179" s="288"/>
      <c r="I179" s="288"/>
      <c r="J179" s="288"/>
    </row>
    <row r="180" spans="1:10" x14ac:dyDescent="0.2">
      <c r="A180" s="176" t="s">
        <v>1525</v>
      </c>
      <c r="B180" s="176">
        <v>26</v>
      </c>
      <c r="C180" s="176">
        <v>131</v>
      </c>
      <c r="D180" s="176">
        <f t="shared" si="13"/>
        <v>3406</v>
      </c>
      <c r="E180" s="1"/>
      <c r="F180" s="246"/>
      <c r="G180" s="246"/>
      <c r="H180" s="246"/>
      <c r="I180" s="246"/>
      <c r="J180" s="246"/>
    </row>
    <row r="181" spans="1:10" x14ac:dyDescent="0.2">
      <c r="A181" s="176" t="s">
        <v>1526</v>
      </c>
      <c r="B181" s="176">
        <v>10</v>
      </c>
      <c r="C181" s="176">
        <v>440</v>
      </c>
      <c r="D181" s="176">
        <f t="shared" si="13"/>
        <v>4400</v>
      </c>
      <c r="F181" s="246"/>
      <c r="G181" s="246"/>
      <c r="H181" s="246"/>
      <c r="I181" s="246"/>
      <c r="J181" s="246"/>
    </row>
    <row r="182" spans="1:10" x14ac:dyDescent="0.2">
      <c r="A182" s="2" t="s">
        <v>1387</v>
      </c>
      <c r="B182" s="2">
        <v>1</v>
      </c>
      <c r="C182" s="2">
        <v>600</v>
      </c>
      <c r="D182" s="176">
        <f t="shared" si="13"/>
        <v>600</v>
      </c>
      <c r="E182" s="1"/>
      <c r="F182" s="246"/>
      <c r="G182" s="246"/>
      <c r="H182" s="246"/>
      <c r="I182" s="246"/>
      <c r="J182" s="246"/>
    </row>
    <row r="183" spans="1:10" x14ac:dyDescent="0.2">
      <c r="A183" s="2" t="s">
        <v>1722</v>
      </c>
      <c r="B183" s="2">
        <v>1</v>
      </c>
      <c r="C183" s="2">
        <v>770</v>
      </c>
      <c r="D183" s="176">
        <f t="shared" si="13"/>
        <v>770</v>
      </c>
      <c r="E183" s="1"/>
      <c r="F183" s="246"/>
      <c r="G183" s="246"/>
      <c r="H183" s="246"/>
      <c r="I183" s="246"/>
      <c r="J183" s="246"/>
    </row>
    <row r="184" spans="1:10" x14ac:dyDescent="0.2">
      <c r="A184" s="2" t="s">
        <v>1608</v>
      </c>
      <c r="B184" s="2">
        <v>10</v>
      </c>
      <c r="C184" s="2">
        <v>90</v>
      </c>
      <c r="D184" s="176">
        <f t="shared" si="13"/>
        <v>900</v>
      </c>
      <c r="E184" s="1"/>
      <c r="F184" s="246"/>
      <c r="G184" s="246"/>
      <c r="H184" s="246"/>
      <c r="I184" s="246"/>
      <c r="J184" s="246"/>
    </row>
    <row r="185" spans="1:10" x14ac:dyDescent="0.2">
      <c r="A185" s="2" t="s">
        <v>1660</v>
      </c>
      <c r="B185" s="2">
        <v>2</v>
      </c>
      <c r="C185" s="2">
        <v>450</v>
      </c>
      <c r="D185" s="176">
        <f t="shared" si="13"/>
        <v>900</v>
      </c>
      <c r="E185" s="1"/>
      <c r="F185" s="246"/>
      <c r="G185" s="246"/>
      <c r="H185" s="246"/>
      <c r="I185" s="246"/>
      <c r="J185" s="246"/>
    </row>
    <row r="186" spans="1:10" x14ac:dyDescent="0.2">
      <c r="A186" s="2" t="s">
        <v>1307</v>
      </c>
      <c r="D186" s="2">
        <v>5700</v>
      </c>
      <c r="E186" s="1"/>
      <c r="F186" s="246"/>
      <c r="G186" s="246"/>
      <c r="H186" s="246"/>
      <c r="I186" s="246"/>
      <c r="J186" s="246"/>
    </row>
    <row r="187" spans="1:10" ht="15" x14ac:dyDescent="0.35">
      <c r="A187" s="2" t="s">
        <v>1876</v>
      </c>
      <c r="C187" s="10"/>
      <c r="D187" s="31">
        <v>2200</v>
      </c>
      <c r="E187" s="1"/>
      <c r="F187" s="246"/>
      <c r="G187" s="246"/>
      <c r="H187" s="246"/>
      <c r="I187" s="246"/>
      <c r="J187" s="246"/>
    </row>
    <row r="188" spans="1:10" x14ac:dyDescent="0.2">
      <c r="A188" s="23" t="s">
        <v>1067</v>
      </c>
      <c r="D188" s="2">
        <f>SUM(D178:D187)</f>
        <v>45436</v>
      </c>
      <c r="F188" s="3"/>
      <c r="G188" s="3"/>
      <c r="H188" s="3"/>
      <c r="I188" s="3"/>
      <c r="J188" s="3"/>
    </row>
    <row r="189" spans="1:10" x14ac:dyDescent="0.2">
      <c r="F189" s="3"/>
      <c r="G189" s="3"/>
      <c r="H189" s="3"/>
      <c r="I189" s="3"/>
      <c r="J189" s="3"/>
    </row>
    <row r="190" spans="1:10" ht="13.5" x14ac:dyDescent="0.25">
      <c r="A190" s="44" t="s">
        <v>709</v>
      </c>
      <c r="E190" s="2">
        <v>111902</v>
      </c>
      <c r="F190" s="3">
        <v>108500</v>
      </c>
      <c r="G190" s="3">
        <v>111500</v>
      </c>
      <c r="H190" s="3">
        <v>111500</v>
      </c>
      <c r="I190" s="3">
        <v>111500</v>
      </c>
      <c r="J190" s="3">
        <v>111500</v>
      </c>
    </row>
    <row r="191" spans="1:10" x14ac:dyDescent="0.2">
      <c r="A191" s="2" t="s">
        <v>800</v>
      </c>
      <c r="B191" s="7" t="s">
        <v>209</v>
      </c>
      <c r="C191" s="7" t="s">
        <v>1388</v>
      </c>
      <c r="D191" s="7"/>
      <c r="F191" s="3"/>
      <c r="G191" s="3"/>
      <c r="H191" s="3"/>
      <c r="I191" s="3"/>
      <c r="J191" s="3"/>
    </row>
    <row r="192" spans="1:10" x14ac:dyDescent="0.2">
      <c r="A192" s="2" t="s">
        <v>1877</v>
      </c>
      <c r="B192" s="2">
        <v>3</v>
      </c>
      <c r="C192" s="2">
        <v>900</v>
      </c>
      <c r="D192" s="2">
        <f>C192*B192</f>
        <v>2700</v>
      </c>
      <c r="E192" s="2">
        <v>3</v>
      </c>
      <c r="F192" s="3"/>
      <c r="G192" s="3"/>
      <c r="H192" s="3"/>
      <c r="I192" s="3"/>
      <c r="J192" s="3"/>
    </row>
    <row r="193" spans="1:10" x14ac:dyDescent="0.2">
      <c r="A193" s="2" t="s">
        <v>1556</v>
      </c>
      <c r="B193" s="2">
        <v>9</v>
      </c>
      <c r="C193" s="2">
        <v>900</v>
      </c>
      <c r="D193" s="176">
        <f t="shared" ref="D193:D204" si="14">C193*B193</f>
        <v>8100</v>
      </c>
      <c r="E193" s="2">
        <v>9</v>
      </c>
      <c r="F193" s="3"/>
      <c r="G193" s="3"/>
      <c r="H193" s="3"/>
      <c r="I193" s="3"/>
      <c r="J193" s="3"/>
    </row>
    <row r="194" spans="1:10" x14ac:dyDescent="0.2">
      <c r="A194" s="2" t="s">
        <v>1614</v>
      </c>
      <c r="B194" s="2">
        <v>36</v>
      </c>
      <c r="C194" s="2">
        <v>850</v>
      </c>
      <c r="D194" s="176">
        <f t="shared" si="14"/>
        <v>30600</v>
      </c>
      <c r="E194" s="2">
        <v>28</v>
      </c>
      <c r="F194" s="3"/>
      <c r="G194" s="3"/>
      <c r="H194" s="3"/>
      <c r="I194" s="3"/>
      <c r="J194" s="3"/>
    </row>
    <row r="195" spans="1:10" x14ac:dyDescent="0.2">
      <c r="A195" s="2" t="s">
        <v>1878</v>
      </c>
      <c r="B195" s="2">
        <v>1</v>
      </c>
      <c r="C195" s="2">
        <v>300</v>
      </c>
      <c r="D195" s="176">
        <f t="shared" si="14"/>
        <v>300</v>
      </c>
      <c r="E195" s="2">
        <v>1</v>
      </c>
      <c r="F195" s="3"/>
      <c r="G195" s="3"/>
      <c r="H195" s="3"/>
      <c r="I195" s="3"/>
      <c r="J195" s="3"/>
    </row>
    <row r="196" spans="1:10" x14ac:dyDescent="0.2">
      <c r="A196" s="43" t="s">
        <v>210</v>
      </c>
      <c r="B196" s="2">
        <v>2</v>
      </c>
      <c r="C196" s="2">
        <v>250</v>
      </c>
      <c r="D196" s="176">
        <f t="shared" si="14"/>
        <v>500</v>
      </c>
      <c r="E196" s="2">
        <v>4</v>
      </c>
      <c r="F196" s="3"/>
      <c r="G196" s="3"/>
      <c r="H196" s="3"/>
      <c r="I196" s="3"/>
      <c r="J196" s="3"/>
    </row>
    <row r="197" spans="1:10" x14ac:dyDescent="0.2">
      <c r="A197" s="2" t="s">
        <v>1879</v>
      </c>
      <c r="B197" s="2">
        <v>5</v>
      </c>
      <c r="C197" s="2">
        <v>700</v>
      </c>
      <c r="D197" s="176">
        <f t="shared" si="14"/>
        <v>3500</v>
      </c>
      <c r="E197" s="2">
        <v>5</v>
      </c>
      <c r="F197" s="246"/>
      <c r="G197" s="246"/>
      <c r="H197" s="246"/>
      <c r="I197" s="246"/>
      <c r="J197" s="246"/>
    </row>
    <row r="198" spans="1:10" x14ac:dyDescent="0.2">
      <c r="A198" s="2" t="s">
        <v>1609</v>
      </c>
      <c r="B198" s="2">
        <v>12</v>
      </c>
      <c r="C198" s="2">
        <v>3400</v>
      </c>
      <c r="D198" s="176">
        <f t="shared" si="14"/>
        <v>40800</v>
      </c>
      <c r="E198" s="2">
        <v>12</v>
      </c>
      <c r="F198" s="246"/>
      <c r="G198" s="246"/>
      <c r="H198" s="246"/>
      <c r="I198" s="246"/>
      <c r="J198" s="246"/>
    </row>
    <row r="199" spans="1:10" x14ac:dyDescent="0.2">
      <c r="A199" s="2" t="s">
        <v>1880</v>
      </c>
      <c r="B199" s="2">
        <v>3</v>
      </c>
      <c r="C199" s="2">
        <v>3400</v>
      </c>
      <c r="D199" s="176">
        <f t="shared" si="14"/>
        <v>10200</v>
      </c>
      <c r="E199" s="2">
        <v>5</v>
      </c>
      <c r="G199" s="246"/>
      <c r="H199" s="246"/>
      <c r="I199" s="246"/>
      <c r="J199" s="246"/>
    </row>
    <row r="200" spans="1:10" x14ac:dyDescent="0.2">
      <c r="A200" s="176" t="s">
        <v>1881</v>
      </c>
      <c r="B200" s="176">
        <v>3</v>
      </c>
      <c r="C200" s="176">
        <v>1400</v>
      </c>
      <c r="D200" s="176">
        <f t="shared" si="14"/>
        <v>4200</v>
      </c>
      <c r="E200" s="176">
        <v>5</v>
      </c>
      <c r="F200" s="246"/>
      <c r="G200" s="246"/>
      <c r="H200" s="246"/>
      <c r="I200" s="246"/>
      <c r="J200" s="246"/>
    </row>
    <row r="201" spans="1:10" x14ac:dyDescent="0.2">
      <c r="A201" s="2" t="s">
        <v>1351</v>
      </c>
      <c r="B201" s="2">
        <v>10</v>
      </c>
      <c r="C201" s="2">
        <v>300</v>
      </c>
      <c r="D201" s="176">
        <f t="shared" si="14"/>
        <v>3000</v>
      </c>
      <c r="E201" s="2">
        <v>10</v>
      </c>
      <c r="F201" s="246"/>
      <c r="G201" s="246"/>
      <c r="H201" s="246"/>
      <c r="I201" s="246"/>
      <c r="J201" s="246"/>
    </row>
    <row r="202" spans="1:10" x14ac:dyDescent="0.2">
      <c r="A202" s="2" t="s">
        <v>1811</v>
      </c>
      <c r="B202" s="2">
        <v>1</v>
      </c>
      <c r="C202" s="2">
        <v>3000</v>
      </c>
      <c r="D202" s="176">
        <f t="shared" si="14"/>
        <v>3000</v>
      </c>
      <c r="E202" s="2">
        <v>1</v>
      </c>
      <c r="F202" s="3"/>
      <c r="G202" s="3"/>
      <c r="H202" s="3"/>
      <c r="I202" s="3"/>
      <c r="J202" s="3"/>
    </row>
    <row r="203" spans="1:10" x14ac:dyDescent="0.2">
      <c r="A203" s="2" t="s">
        <v>1882</v>
      </c>
      <c r="B203" s="2">
        <v>4</v>
      </c>
      <c r="C203" s="2">
        <v>600</v>
      </c>
      <c r="D203" s="176">
        <f t="shared" si="14"/>
        <v>2400</v>
      </c>
      <c r="E203" s="2">
        <v>4</v>
      </c>
      <c r="F203" s="3"/>
      <c r="G203" s="3"/>
      <c r="H203" s="3"/>
      <c r="I203" s="3"/>
      <c r="J203" s="3"/>
    </row>
    <row r="204" spans="1:10" ht="15" x14ac:dyDescent="0.35">
      <c r="A204" s="2" t="s">
        <v>1883</v>
      </c>
      <c r="B204" s="2">
        <v>22</v>
      </c>
      <c r="C204" s="2">
        <v>100</v>
      </c>
      <c r="D204" s="235">
        <f t="shared" si="14"/>
        <v>2200</v>
      </c>
      <c r="E204" s="2">
        <v>1</v>
      </c>
      <c r="F204" s="3"/>
      <c r="G204" s="3"/>
      <c r="H204" s="3"/>
      <c r="I204" s="3"/>
      <c r="J204" s="3"/>
    </row>
    <row r="205" spans="1:10" x14ac:dyDescent="0.2">
      <c r="A205" s="23" t="s">
        <v>1067</v>
      </c>
      <c r="D205" s="2">
        <f>SUM(D192:D204)</f>
        <v>111500</v>
      </c>
      <c r="F205" s="3"/>
      <c r="G205" s="3"/>
      <c r="H205" s="3"/>
      <c r="I205" s="3"/>
      <c r="J205" s="3"/>
    </row>
    <row r="206" spans="1:10" x14ac:dyDescent="0.2">
      <c r="F206" s="3"/>
      <c r="G206" s="3"/>
      <c r="H206" s="3"/>
      <c r="I206" s="3"/>
      <c r="J206" s="3"/>
    </row>
    <row r="207" spans="1:10" ht="13.5" x14ac:dyDescent="0.25">
      <c r="A207" s="44" t="s">
        <v>801</v>
      </c>
      <c r="E207" s="2">
        <v>242</v>
      </c>
      <c r="F207" s="3">
        <v>425</v>
      </c>
      <c r="G207" s="3">
        <v>425</v>
      </c>
      <c r="H207" s="3">
        <v>425</v>
      </c>
      <c r="I207" s="3">
        <v>425</v>
      </c>
      <c r="J207" s="3">
        <v>425</v>
      </c>
    </row>
    <row r="208" spans="1:10" x14ac:dyDescent="0.2">
      <c r="A208" s="2" t="s">
        <v>1884</v>
      </c>
      <c r="D208" s="2">
        <v>425</v>
      </c>
      <c r="F208" s="3"/>
      <c r="G208" s="3"/>
      <c r="H208" s="3"/>
      <c r="I208" s="3"/>
      <c r="J208" s="3"/>
    </row>
    <row r="209" spans="1:10" x14ac:dyDescent="0.2">
      <c r="A209" s="23"/>
      <c r="F209" s="3"/>
      <c r="G209" s="3"/>
      <c r="H209" s="3"/>
      <c r="I209" s="3"/>
      <c r="J209" s="3"/>
    </row>
    <row r="210" spans="1:10" ht="13.5" x14ac:dyDescent="0.25">
      <c r="A210" s="44" t="s">
        <v>544</v>
      </c>
      <c r="E210" s="2">
        <v>100</v>
      </c>
      <c r="F210" s="3">
        <v>300</v>
      </c>
      <c r="G210" s="3">
        <v>300</v>
      </c>
      <c r="H210" s="3">
        <v>300</v>
      </c>
      <c r="I210" s="3">
        <v>300</v>
      </c>
      <c r="J210" s="3">
        <v>300</v>
      </c>
    </row>
    <row r="211" spans="1:10" x14ac:dyDescent="0.2">
      <c r="A211" s="2" t="s">
        <v>1326</v>
      </c>
      <c r="B211" s="2" t="s">
        <v>338</v>
      </c>
      <c r="D211" s="2">
        <v>300</v>
      </c>
      <c r="F211" s="3"/>
      <c r="G211" s="3"/>
      <c r="H211" s="3"/>
      <c r="I211" s="3"/>
      <c r="J211" s="3"/>
    </row>
    <row r="212" spans="1:10" x14ac:dyDescent="0.2">
      <c r="F212" s="3"/>
      <c r="G212" s="3"/>
      <c r="H212" s="3"/>
      <c r="I212" s="3"/>
      <c r="J212" s="3"/>
    </row>
    <row r="213" spans="1:10" ht="13.5" x14ac:dyDescent="0.25">
      <c r="A213" s="44" t="s">
        <v>815</v>
      </c>
      <c r="C213" s="4"/>
      <c r="E213" s="2">
        <v>24491</v>
      </c>
      <c r="F213" s="3">
        <v>29000</v>
      </c>
      <c r="G213" s="3">
        <v>28700</v>
      </c>
      <c r="H213" s="3">
        <v>28700</v>
      </c>
      <c r="I213" s="3">
        <v>28700</v>
      </c>
      <c r="J213" s="3">
        <v>28700</v>
      </c>
    </row>
    <row r="214" spans="1:10" x14ac:dyDescent="0.2">
      <c r="A214" s="2" t="s">
        <v>312</v>
      </c>
      <c r="C214" s="11"/>
      <c r="D214" s="2">
        <v>1700</v>
      </c>
      <c r="F214" s="3"/>
      <c r="G214" s="3"/>
      <c r="H214" s="3"/>
      <c r="I214" s="3"/>
      <c r="J214" s="3"/>
    </row>
    <row r="215" spans="1:10" x14ac:dyDescent="0.2">
      <c r="A215" s="2" t="s">
        <v>86</v>
      </c>
      <c r="C215" s="11"/>
      <c r="D215" s="2">
        <v>6000</v>
      </c>
      <c r="F215" s="3"/>
      <c r="G215" s="3"/>
      <c r="H215" s="3"/>
      <c r="I215" s="3"/>
      <c r="J215" s="3"/>
    </row>
    <row r="216" spans="1:10" ht="15" x14ac:dyDescent="0.35">
      <c r="A216" s="2" t="s">
        <v>87</v>
      </c>
      <c r="B216" s="10"/>
      <c r="C216" s="11"/>
      <c r="D216" s="10">
        <v>21000</v>
      </c>
      <c r="F216" s="3"/>
      <c r="G216" s="3"/>
      <c r="H216" s="3"/>
      <c r="I216" s="3"/>
      <c r="J216" s="3"/>
    </row>
    <row r="217" spans="1:10" x14ac:dyDescent="0.2">
      <c r="A217" s="23" t="s">
        <v>1067</v>
      </c>
      <c r="B217" s="1"/>
      <c r="C217" s="11"/>
      <c r="D217" s="2">
        <f>SUM(D214:D216)</f>
        <v>28700</v>
      </c>
      <c r="F217" s="3"/>
      <c r="G217" s="3"/>
      <c r="H217" s="3"/>
      <c r="I217" s="3"/>
      <c r="J217" s="3"/>
    </row>
    <row r="218" spans="1:10" x14ac:dyDescent="0.2">
      <c r="C218" s="11"/>
      <c r="F218" s="3"/>
      <c r="G218" s="3"/>
      <c r="H218" s="3"/>
      <c r="I218" s="3"/>
      <c r="J218" s="3"/>
    </row>
    <row r="219" spans="1:10" ht="13.5" x14ac:dyDescent="0.25">
      <c r="A219" s="44" t="s">
        <v>877</v>
      </c>
      <c r="C219" s="32"/>
      <c r="E219" s="2">
        <v>15518</v>
      </c>
      <c r="F219" s="3">
        <v>15900</v>
      </c>
      <c r="G219" s="3">
        <v>15500</v>
      </c>
      <c r="H219" s="3">
        <v>15500</v>
      </c>
      <c r="I219" s="3">
        <v>15500</v>
      </c>
      <c r="J219" s="3">
        <v>15500</v>
      </c>
    </row>
    <row r="220" spans="1:10" x14ac:dyDescent="0.2">
      <c r="A220" s="2" t="s">
        <v>312</v>
      </c>
      <c r="C220" s="11"/>
      <c r="D220" s="2">
        <v>2400</v>
      </c>
      <c r="F220" s="3"/>
      <c r="G220" s="3"/>
      <c r="H220" s="3"/>
      <c r="I220" s="3"/>
      <c r="J220" s="3"/>
    </row>
    <row r="221" spans="1:10" x14ac:dyDescent="0.2">
      <c r="A221" s="2" t="s">
        <v>86</v>
      </c>
      <c r="C221" s="11"/>
      <c r="D221" s="2">
        <v>2200</v>
      </c>
      <c r="F221" s="3"/>
      <c r="G221" s="3"/>
      <c r="H221" s="3"/>
      <c r="I221" s="3"/>
      <c r="J221" s="3"/>
    </row>
    <row r="222" spans="1:10" ht="15" x14ac:dyDescent="0.35">
      <c r="A222" s="2" t="s">
        <v>87</v>
      </c>
      <c r="C222" s="11"/>
      <c r="D222" s="10">
        <v>10900</v>
      </c>
      <c r="F222" s="3"/>
      <c r="G222" s="3"/>
      <c r="H222" s="3"/>
      <c r="I222" s="3"/>
      <c r="J222" s="3"/>
    </row>
    <row r="223" spans="1:10" x14ac:dyDescent="0.2">
      <c r="A223" s="23" t="s">
        <v>1067</v>
      </c>
      <c r="D223" s="2">
        <f>SUM(D220:D222)</f>
        <v>15500</v>
      </c>
      <c r="F223" s="3"/>
      <c r="G223" s="3"/>
      <c r="H223" s="3"/>
      <c r="I223" s="3"/>
      <c r="J223" s="3"/>
    </row>
    <row r="224" spans="1:10" x14ac:dyDescent="0.2">
      <c r="C224" s="11"/>
      <c r="F224" s="3"/>
      <c r="G224" s="3"/>
      <c r="H224" s="3"/>
      <c r="I224" s="3"/>
      <c r="J224" s="3"/>
    </row>
    <row r="225" spans="1:10" ht="13.5" x14ac:dyDescent="0.25">
      <c r="A225" s="44" t="s">
        <v>1097</v>
      </c>
      <c r="C225" s="11"/>
      <c r="E225" s="2">
        <v>2669</v>
      </c>
      <c r="F225" s="3">
        <v>2700</v>
      </c>
      <c r="G225" s="3">
        <v>2750</v>
      </c>
      <c r="H225" s="3">
        <v>2750</v>
      </c>
      <c r="I225" s="3">
        <v>2750</v>
      </c>
      <c r="J225" s="3">
        <v>2750</v>
      </c>
    </row>
    <row r="226" spans="1:10" x14ac:dyDescent="0.2">
      <c r="A226" s="2" t="s">
        <v>278</v>
      </c>
      <c r="C226" s="11"/>
      <c r="D226" s="2">
        <v>2750</v>
      </c>
      <c r="F226" s="3"/>
      <c r="G226" s="3"/>
      <c r="H226" s="3"/>
      <c r="I226" s="3"/>
      <c r="J226" s="3"/>
    </row>
    <row r="227" spans="1:10" x14ac:dyDescent="0.2">
      <c r="C227" s="11"/>
      <c r="F227" s="3"/>
      <c r="G227" s="3"/>
      <c r="H227" s="3"/>
      <c r="I227" s="3"/>
      <c r="J227" s="3"/>
    </row>
    <row r="228" spans="1:10" ht="13.5" x14ac:dyDescent="0.25">
      <c r="A228" s="44" t="s">
        <v>1098</v>
      </c>
      <c r="C228" s="11"/>
      <c r="E228" s="2">
        <v>887</v>
      </c>
      <c r="F228" s="3">
        <v>912</v>
      </c>
      <c r="G228" s="3">
        <v>1020</v>
      </c>
      <c r="H228" s="3">
        <v>1020</v>
      </c>
      <c r="I228" s="3">
        <v>1020</v>
      </c>
      <c r="J228" s="3">
        <v>1020</v>
      </c>
    </row>
    <row r="229" spans="1:10" x14ac:dyDescent="0.2">
      <c r="A229" s="2" t="s">
        <v>312</v>
      </c>
      <c r="C229" s="11"/>
      <c r="D229" s="2">
        <v>340</v>
      </c>
      <c r="F229" s="3"/>
      <c r="G229" s="3"/>
      <c r="H229" s="3"/>
      <c r="I229" s="3"/>
      <c r="J229" s="3"/>
    </row>
    <row r="230" spans="1:10" x14ac:dyDescent="0.2">
      <c r="A230" s="2" t="s">
        <v>86</v>
      </c>
      <c r="C230" s="11"/>
      <c r="D230" s="2">
        <v>340</v>
      </c>
      <c r="F230" s="3"/>
      <c r="G230" s="3"/>
      <c r="H230" s="3"/>
      <c r="I230" s="3"/>
      <c r="J230" s="3"/>
    </row>
    <row r="231" spans="1:10" ht="15" x14ac:dyDescent="0.35">
      <c r="A231" s="2" t="s">
        <v>87</v>
      </c>
      <c r="C231" s="11"/>
      <c r="D231" s="10">
        <v>340</v>
      </c>
      <c r="F231" s="3"/>
      <c r="G231" s="3"/>
      <c r="H231" s="3"/>
      <c r="I231" s="3"/>
      <c r="J231" s="3"/>
    </row>
    <row r="232" spans="1:10" x14ac:dyDescent="0.2">
      <c r="A232" s="23" t="s">
        <v>1067</v>
      </c>
      <c r="C232" s="11"/>
      <c r="D232" s="2">
        <f>SUM(D229:D231)</f>
        <v>1020</v>
      </c>
      <c r="F232" s="3"/>
      <c r="G232" s="3"/>
      <c r="H232" s="3"/>
      <c r="I232" s="3"/>
      <c r="J232" s="3"/>
    </row>
    <row r="233" spans="1:10" x14ac:dyDescent="0.2">
      <c r="C233" s="11"/>
      <c r="F233" s="3"/>
      <c r="G233" s="3"/>
      <c r="H233" s="3"/>
      <c r="I233" s="3"/>
      <c r="J233" s="3"/>
    </row>
    <row r="234" spans="1:10" ht="13.5" x14ac:dyDescent="0.25">
      <c r="A234" s="44" t="s">
        <v>1099</v>
      </c>
      <c r="B234" s="4" t="s">
        <v>516</v>
      </c>
      <c r="C234" s="32" t="s">
        <v>517</v>
      </c>
      <c r="D234" s="4" t="s">
        <v>1067</v>
      </c>
      <c r="E234" s="2">
        <v>44117</v>
      </c>
      <c r="F234" s="3">
        <v>39780</v>
      </c>
      <c r="G234" s="3">
        <v>62090</v>
      </c>
      <c r="H234" s="3">
        <v>62090</v>
      </c>
      <c r="I234" s="3">
        <v>62090</v>
      </c>
      <c r="J234" s="3">
        <v>62090</v>
      </c>
    </row>
    <row r="235" spans="1:10" x14ac:dyDescent="0.2">
      <c r="A235" s="2" t="s">
        <v>1100</v>
      </c>
      <c r="B235" s="2">
        <v>12600</v>
      </c>
      <c r="C235" s="11">
        <v>4.1500000000000004</v>
      </c>
      <c r="D235" s="2">
        <f>+C235*B235</f>
        <v>52290.000000000007</v>
      </c>
      <c r="F235" s="3"/>
      <c r="G235" s="3"/>
      <c r="H235" s="3"/>
      <c r="I235" s="3"/>
      <c r="J235" s="3"/>
    </row>
    <row r="236" spans="1:10" ht="15" x14ac:dyDescent="0.35">
      <c r="A236" s="2" t="s">
        <v>279</v>
      </c>
      <c r="B236" s="2">
        <v>2800</v>
      </c>
      <c r="C236" s="11">
        <v>3.5</v>
      </c>
      <c r="D236" s="10">
        <f>+C236*B236</f>
        <v>9800</v>
      </c>
      <c r="F236" s="3"/>
      <c r="G236" s="3"/>
      <c r="H236" s="3"/>
      <c r="I236" s="3"/>
      <c r="J236" s="3"/>
    </row>
    <row r="237" spans="1:10" x14ac:dyDescent="0.2">
      <c r="A237" s="23" t="s">
        <v>1067</v>
      </c>
      <c r="C237" s="11"/>
      <c r="D237" s="2">
        <f>SUM(D235:D236)</f>
        <v>62090.000000000007</v>
      </c>
      <c r="F237" s="3"/>
      <c r="G237" s="3"/>
      <c r="H237" s="3"/>
      <c r="I237" s="3"/>
      <c r="J237" s="3"/>
    </row>
    <row r="238" spans="1:10" ht="13.5" customHeight="1" x14ac:dyDescent="0.2">
      <c r="A238" s="23"/>
      <c r="C238" s="11"/>
      <c r="F238" s="3"/>
      <c r="G238" s="3"/>
      <c r="H238" s="3"/>
      <c r="I238" s="3"/>
      <c r="J238" s="3"/>
    </row>
    <row r="239" spans="1:10" x14ac:dyDescent="0.2">
      <c r="F239" s="3"/>
      <c r="G239" s="3"/>
      <c r="H239" s="3"/>
      <c r="I239" s="3"/>
      <c r="J239" s="3"/>
    </row>
    <row r="240" spans="1:10" ht="13.5" x14ac:dyDescent="0.25">
      <c r="A240" s="44" t="s">
        <v>454</v>
      </c>
      <c r="E240" s="2">
        <v>21792</v>
      </c>
      <c r="F240" s="3">
        <v>20810</v>
      </c>
      <c r="G240" s="3">
        <v>22810</v>
      </c>
      <c r="H240" s="3">
        <v>22810</v>
      </c>
      <c r="I240" s="3">
        <v>22810</v>
      </c>
      <c r="J240" s="3">
        <v>22810</v>
      </c>
    </row>
    <row r="241" spans="1:10" x14ac:dyDescent="0.2">
      <c r="A241" s="2" t="s">
        <v>1473</v>
      </c>
      <c r="D241" s="2">
        <v>7500</v>
      </c>
      <c r="F241" s="3"/>
      <c r="G241" s="3"/>
      <c r="H241" s="3"/>
      <c r="I241" s="3"/>
      <c r="J241" s="3"/>
    </row>
    <row r="242" spans="1:10" x14ac:dyDescent="0.2">
      <c r="A242" s="2" t="s">
        <v>1389</v>
      </c>
      <c r="B242" s="2">
        <v>2</v>
      </c>
      <c r="C242" s="2">
        <v>165</v>
      </c>
      <c r="D242" s="2">
        <f t="shared" ref="D242:D247" si="15">C242*B242</f>
        <v>330</v>
      </c>
      <c r="F242" s="3"/>
      <c r="G242" s="3"/>
      <c r="H242" s="3"/>
      <c r="I242" s="3"/>
      <c r="J242" s="3"/>
    </row>
    <row r="243" spans="1:10" x14ac:dyDescent="0.2">
      <c r="A243" s="2" t="s">
        <v>1960</v>
      </c>
      <c r="B243" s="2">
        <v>1</v>
      </c>
      <c r="C243" s="2">
        <v>6400</v>
      </c>
      <c r="D243" s="2">
        <f t="shared" si="15"/>
        <v>6400</v>
      </c>
      <c r="F243" s="3"/>
      <c r="G243" s="3"/>
      <c r="H243" s="3"/>
      <c r="I243" s="3"/>
      <c r="J243" s="3"/>
    </row>
    <row r="244" spans="1:10" x14ac:dyDescent="0.2">
      <c r="A244" s="2" t="s">
        <v>1885</v>
      </c>
      <c r="B244" s="2">
        <v>3</v>
      </c>
      <c r="C244" s="2">
        <v>1020</v>
      </c>
      <c r="D244" s="2">
        <f t="shared" si="15"/>
        <v>3060</v>
      </c>
      <c r="F244" s="3"/>
      <c r="G244" s="3"/>
      <c r="H244" s="3"/>
      <c r="I244" s="3"/>
      <c r="J244" s="3"/>
    </row>
    <row r="245" spans="1:10" x14ac:dyDescent="0.2">
      <c r="A245" s="2" t="s">
        <v>1886</v>
      </c>
      <c r="B245" s="2">
        <v>2</v>
      </c>
      <c r="C245" s="2">
        <v>480</v>
      </c>
      <c r="D245" s="2">
        <f t="shared" si="15"/>
        <v>960</v>
      </c>
      <c r="F245" s="3"/>
      <c r="G245" s="3"/>
      <c r="H245" s="3"/>
      <c r="I245" s="3"/>
      <c r="J245" s="3"/>
    </row>
    <row r="246" spans="1:10" x14ac:dyDescent="0.2">
      <c r="A246" s="2" t="s">
        <v>1887</v>
      </c>
      <c r="B246" s="2">
        <v>12</v>
      </c>
      <c r="C246" s="2">
        <v>300</v>
      </c>
      <c r="D246" s="2">
        <f t="shared" si="15"/>
        <v>3600</v>
      </c>
      <c r="F246" s="3"/>
      <c r="G246" s="3"/>
      <c r="H246" s="3"/>
      <c r="I246" s="3"/>
      <c r="J246" s="3"/>
    </row>
    <row r="247" spans="1:10" ht="15" x14ac:dyDescent="0.35">
      <c r="A247" s="2" t="s">
        <v>1888</v>
      </c>
      <c r="B247" s="2">
        <v>2</v>
      </c>
      <c r="C247" s="2">
        <v>480</v>
      </c>
      <c r="D247" s="10">
        <f t="shared" si="15"/>
        <v>960</v>
      </c>
      <c r="F247" s="3"/>
      <c r="G247" s="3"/>
      <c r="H247" s="3"/>
      <c r="I247" s="3"/>
      <c r="J247" s="3"/>
    </row>
    <row r="248" spans="1:10" x14ac:dyDescent="0.2">
      <c r="A248" s="23" t="s">
        <v>1067</v>
      </c>
      <c r="D248" s="2">
        <f>SUM(D241:D247)</f>
        <v>22810</v>
      </c>
      <c r="F248" s="3"/>
      <c r="G248" s="3"/>
      <c r="H248" s="3"/>
      <c r="I248" s="3"/>
      <c r="J248" s="3"/>
    </row>
    <row r="249" spans="1:10" x14ac:dyDescent="0.2">
      <c r="F249" s="3"/>
      <c r="G249" s="3"/>
      <c r="H249" s="3"/>
      <c r="I249" s="3"/>
      <c r="J249" s="3"/>
    </row>
    <row r="250" spans="1:10" ht="13.5" x14ac:dyDescent="0.25">
      <c r="A250" s="44" t="s">
        <v>914</v>
      </c>
      <c r="B250" s="7"/>
      <c r="C250" s="7"/>
      <c r="D250" s="7"/>
      <c r="E250" s="2">
        <v>6489</v>
      </c>
      <c r="F250" s="3">
        <v>9181</v>
      </c>
      <c r="G250" s="3">
        <v>9181</v>
      </c>
      <c r="H250" s="3">
        <v>9181</v>
      </c>
      <c r="I250" s="3">
        <v>9181</v>
      </c>
      <c r="J250" s="3">
        <v>9181</v>
      </c>
    </row>
    <row r="251" spans="1:10" x14ac:dyDescent="0.2">
      <c r="A251" s="2" t="s">
        <v>1294</v>
      </c>
      <c r="B251" s="2">
        <v>55</v>
      </c>
      <c r="C251" s="2">
        <v>28</v>
      </c>
      <c r="D251" s="2">
        <f>C251*B251</f>
        <v>1540</v>
      </c>
      <c r="F251" s="3"/>
      <c r="G251" s="3"/>
      <c r="H251" s="3"/>
      <c r="I251" s="3"/>
      <c r="J251" s="3"/>
    </row>
    <row r="252" spans="1:10" x14ac:dyDescent="0.2">
      <c r="A252" s="2" t="s">
        <v>1221</v>
      </c>
      <c r="B252" s="2">
        <v>3</v>
      </c>
      <c r="C252" s="2">
        <v>300</v>
      </c>
      <c r="D252" s="2">
        <f t="shared" ref="D252:D258" si="16">C252*B252</f>
        <v>900</v>
      </c>
      <c r="F252" s="3"/>
      <c r="G252" s="3"/>
      <c r="H252" s="3"/>
      <c r="I252" s="3"/>
      <c r="J252" s="3"/>
    </row>
    <row r="253" spans="1:10" x14ac:dyDescent="0.2">
      <c r="A253" s="2" t="s">
        <v>321</v>
      </c>
      <c r="B253" s="2">
        <v>2</v>
      </c>
      <c r="C253" s="2">
        <v>100</v>
      </c>
      <c r="D253" s="2">
        <f t="shared" si="16"/>
        <v>200</v>
      </c>
      <c r="F253" s="3"/>
      <c r="G253" s="3"/>
      <c r="H253" s="3"/>
      <c r="I253" s="3"/>
      <c r="J253" s="3"/>
    </row>
    <row r="254" spans="1:10" x14ac:dyDescent="0.2">
      <c r="A254" s="2" t="s">
        <v>322</v>
      </c>
      <c r="B254" s="2">
        <v>1</v>
      </c>
      <c r="C254" s="2">
        <v>180</v>
      </c>
      <c r="D254" s="2">
        <f t="shared" si="16"/>
        <v>180</v>
      </c>
      <c r="F254" s="3"/>
      <c r="G254" s="3"/>
      <c r="H254" s="3"/>
      <c r="I254" s="3"/>
      <c r="J254" s="3"/>
    </row>
    <row r="255" spans="1:10" x14ac:dyDescent="0.2">
      <c r="A255" s="2" t="s">
        <v>1889</v>
      </c>
      <c r="B255" s="2">
        <v>1</v>
      </c>
      <c r="C255" s="2">
        <v>2300</v>
      </c>
      <c r="D255" s="2">
        <f t="shared" si="16"/>
        <v>2300</v>
      </c>
      <c r="F255" s="3"/>
      <c r="G255" s="3"/>
      <c r="H255" s="3"/>
      <c r="I255" s="3"/>
      <c r="J255" s="3"/>
    </row>
    <row r="256" spans="1:10" x14ac:dyDescent="0.2">
      <c r="A256" s="2" t="s">
        <v>1890</v>
      </c>
      <c r="B256" s="2">
        <v>1</v>
      </c>
      <c r="C256" s="2">
        <v>150</v>
      </c>
      <c r="D256" s="2">
        <f t="shared" si="16"/>
        <v>150</v>
      </c>
      <c r="F256" s="3"/>
      <c r="G256" s="3"/>
      <c r="H256" s="3"/>
      <c r="I256" s="3"/>
      <c r="J256" s="3"/>
    </row>
    <row r="257" spans="1:10" x14ac:dyDescent="0.2">
      <c r="A257" s="2" t="s">
        <v>1891</v>
      </c>
      <c r="B257" s="2">
        <v>1</v>
      </c>
      <c r="C257" s="2">
        <v>3411</v>
      </c>
      <c r="D257" s="2">
        <f t="shared" si="16"/>
        <v>3411</v>
      </c>
      <c r="F257" s="3"/>
      <c r="G257" s="3"/>
      <c r="H257" s="3"/>
      <c r="I257" s="3"/>
      <c r="J257" s="3"/>
    </row>
    <row r="258" spans="1:10" ht="15" x14ac:dyDescent="0.35">
      <c r="A258" s="2" t="s">
        <v>34</v>
      </c>
      <c r="B258" s="2">
        <v>1</v>
      </c>
      <c r="C258" s="2">
        <v>500</v>
      </c>
      <c r="D258" s="10">
        <f t="shared" si="16"/>
        <v>500</v>
      </c>
      <c r="F258" s="3"/>
      <c r="G258" s="3"/>
      <c r="H258" s="3"/>
      <c r="I258" s="3"/>
      <c r="J258" s="3"/>
    </row>
    <row r="259" spans="1:10" x14ac:dyDescent="0.2">
      <c r="A259" s="23" t="s">
        <v>1067</v>
      </c>
      <c r="D259" s="2">
        <f>SUM(D251:D258)</f>
        <v>9181</v>
      </c>
      <c r="F259" s="3"/>
      <c r="G259" s="3"/>
      <c r="H259" s="3"/>
      <c r="I259" s="3"/>
      <c r="J259" s="3"/>
    </row>
    <row r="260" spans="1:10" x14ac:dyDescent="0.2">
      <c r="F260" s="3"/>
      <c r="G260" s="3"/>
      <c r="H260" s="3"/>
      <c r="I260" s="3"/>
      <c r="J260" s="3"/>
    </row>
    <row r="261" spans="1:10" ht="13.5" x14ac:dyDescent="0.25">
      <c r="A261" s="44" t="s">
        <v>554</v>
      </c>
      <c r="E261" s="2">
        <v>47419</v>
      </c>
      <c r="F261" s="3">
        <v>53935</v>
      </c>
      <c r="G261" s="3">
        <v>57992</v>
      </c>
      <c r="H261" s="3">
        <v>57992</v>
      </c>
      <c r="I261" s="3">
        <v>57992</v>
      </c>
      <c r="J261" s="3">
        <v>57992</v>
      </c>
    </row>
    <row r="262" spans="1:10" x14ac:dyDescent="0.2">
      <c r="A262" s="2" t="s">
        <v>900</v>
      </c>
      <c r="D262" s="2">
        <v>57992</v>
      </c>
      <c r="F262" s="3"/>
      <c r="G262" s="3"/>
      <c r="H262" s="3"/>
      <c r="I262" s="3"/>
      <c r="J262" s="3"/>
    </row>
    <row r="263" spans="1:10" x14ac:dyDescent="0.2">
      <c r="F263" s="3"/>
      <c r="G263" s="3"/>
      <c r="H263" s="3"/>
      <c r="I263" s="3"/>
      <c r="J263" s="3"/>
    </row>
    <row r="264" spans="1:10" ht="13.5" x14ac:dyDescent="0.25">
      <c r="A264" s="44" t="s">
        <v>1122</v>
      </c>
      <c r="B264" s="18"/>
      <c r="C264" s="18"/>
      <c r="D264" s="18"/>
      <c r="E264" s="2">
        <v>1229</v>
      </c>
      <c r="F264" s="3">
        <v>2250</v>
      </c>
      <c r="G264" s="3">
        <v>2250</v>
      </c>
      <c r="H264" s="3">
        <v>2250</v>
      </c>
      <c r="I264" s="3">
        <v>2250</v>
      </c>
      <c r="J264" s="3">
        <v>2250</v>
      </c>
    </row>
    <row r="265" spans="1:10" x14ac:dyDescent="0.2">
      <c r="A265" s="109" t="s">
        <v>1892</v>
      </c>
      <c r="B265" s="2">
        <v>1</v>
      </c>
      <c r="C265" s="2">
        <v>250</v>
      </c>
      <c r="D265" s="2">
        <v>2250</v>
      </c>
      <c r="F265" s="3"/>
      <c r="G265" s="3"/>
      <c r="H265" s="3"/>
      <c r="I265" s="3"/>
      <c r="J265" s="3"/>
    </row>
    <row r="266" spans="1:10" x14ac:dyDescent="0.2">
      <c r="A266" s="2" t="s">
        <v>338</v>
      </c>
      <c r="F266" s="3"/>
      <c r="G266" s="3"/>
      <c r="H266" s="3"/>
      <c r="I266" s="3"/>
      <c r="J266" s="3"/>
    </row>
    <row r="267" spans="1:10" ht="13.5" x14ac:dyDescent="0.25">
      <c r="A267" s="44" t="s">
        <v>1123</v>
      </c>
      <c r="B267" s="7"/>
      <c r="C267" s="7"/>
      <c r="D267" s="7"/>
      <c r="E267" s="2">
        <v>44944</v>
      </c>
      <c r="F267" s="3">
        <v>18500</v>
      </c>
      <c r="G267" s="3">
        <v>20000</v>
      </c>
      <c r="H267" s="3">
        <v>20000</v>
      </c>
      <c r="I267" s="3">
        <v>20000</v>
      </c>
      <c r="J267" s="3">
        <v>20000</v>
      </c>
    </row>
    <row r="268" spans="1:10" x14ac:dyDescent="0.2">
      <c r="A268" s="43" t="s">
        <v>1893</v>
      </c>
      <c r="C268" s="7"/>
      <c r="D268" s="7">
        <v>20000</v>
      </c>
      <c r="F268" s="3"/>
      <c r="G268" s="3"/>
      <c r="H268" s="3"/>
      <c r="I268" s="3"/>
      <c r="J268" s="3"/>
    </row>
    <row r="269" spans="1:10" x14ac:dyDescent="0.2">
      <c r="C269" s="7"/>
      <c r="D269" s="7"/>
      <c r="F269" s="3"/>
      <c r="G269" s="3"/>
      <c r="H269" s="3"/>
      <c r="I269" s="3"/>
      <c r="J269" s="3"/>
    </row>
    <row r="270" spans="1:10" x14ac:dyDescent="0.2">
      <c r="A270" s="289" t="s">
        <v>565</v>
      </c>
      <c r="E270" s="2">
        <v>4083</v>
      </c>
      <c r="F270" s="3">
        <v>7300</v>
      </c>
      <c r="G270" s="3">
        <v>7900</v>
      </c>
      <c r="H270" s="3">
        <v>7900</v>
      </c>
      <c r="I270" s="3">
        <v>7900</v>
      </c>
      <c r="J270" s="3">
        <v>7900</v>
      </c>
    </row>
    <row r="271" spans="1:10" x14ac:dyDescent="0.2">
      <c r="A271" s="2" t="s">
        <v>1894</v>
      </c>
      <c r="D271" s="2">
        <v>7900</v>
      </c>
      <c r="F271" s="3"/>
      <c r="G271" s="3"/>
      <c r="H271" s="3"/>
      <c r="I271" s="3"/>
      <c r="J271" s="3"/>
    </row>
    <row r="272" spans="1:10" x14ac:dyDescent="0.2">
      <c r="A272" s="2" t="s">
        <v>1895</v>
      </c>
      <c r="F272" s="3"/>
      <c r="G272" s="3"/>
      <c r="H272" s="3"/>
      <c r="I272" s="3"/>
      <c r="J272" s="3"/>
    </row>
    <row r="273" spans="1:10" x14ac:dyDescent="0.2">
      <c r="F273" s="3"/>
      <c r="G273" s="3"/>
      <c r="H273" s="3"/>
      <c r="I273" s="3"/>
      <c r="J273" s="3"/>
    </row>
    <row r="274" spans="1:10" ht="13.5" x14ac:dyDescent="0.25">
      <c r="A274" s="44" t="s">
        <v>232</v>
      </c>
      <c r="D274" s="2">
        <v>100000</v>
      </c>
      <c r="E274" s="2">
        <v>85352</v>
      </c>
      <c r="F274" s="3">
        <v>100000</v>
      </c>
      <c r="G274" s="3">
        <v>100000</v>
      </c>
      <c r="H274" s="3">
        <v>100000</v>
      </c>
      <c r="I274" s="3">
        <v>100000</v>
      </c>
      <c r="J274" s="3">
        <v>100000</v>
      </c>
    </row>
    <row r="275" spans="1:10" x14ac:dyDescent="0.2">
      <c r="A275" s="2" t="s">
        <v>465</v>
      </c>
      <c r="F275" s="3"/>
      <c r="G275" s="3"/>
      <c r="H275" s="3"/>
      <c r="I275" s="3"/>
      <c r="J275" s="3"/>
    </row>
    <row r="276" spans="1:10" x14ac:dyDescent="0.2">
      <c r="A276" s="2" t="s">
        <v>80</v>
      </c>
      <c r="F276" s="3"/>
      <c r="G276" s="3"/>
      <c r="H276" s="3"/>
      <c r="I276" s="3"/>
      <c r="J276" s="3"/>
    </row>
    <row r="277" spans="1:10" x14ac:dyDescent="0.2">
      <c r="A277" s="2" t="s">
        <v>1896</v>
      </c>
      <c r="F277" s="3"/>
      <c r="G277" s="3"/>
      <c r="H277" s="3"/>
      <c r="I277" s="3"/>
      <c r="J277" s="3"/>
    </row>
    <row r="278" spans="1:10" x14ac:dyDescent="0.2">
      <c r="F278" s="3"/>
      <c r="G278" s="3"/>
      <c r="H278" s="3"/>
      <c r="I278" s="3"/>
      <c r="J278" s="3"/>
    </row>
    <row r="279" spans="1:10" ht="13.5" x14ac:dyDescent="0.25">
      <c r="A279" s="44" t="s">
        <v>233</v>
      </c>
      <c r="B279" s="18"/>
      <c r="C279" s="18"/>
      <c r="D279" s="18"/>
      <c r="E279" s="2">
        <v>8343</v>
      </c>
      <c r="F279" s="3">
        <v>6500</v>
      </c>
      <c r="G279" s="3">
        <v>6500</v>
      </c>
      <c r="H279" s="3">
        <v>6500</v>
      </c>
      <c r="I279" s="3">
        <v>6500</v>
      </c>
      <c r="J279" s="3">
        <v>6500</v>
      </c>
    </row>
    <row r="280" spans="1:10" x14ac:dyDescent="0.2">
      <c r="A280" s="2" t="s">
        <v>1157</v>
      </c>
      <c r="D280" s="2">
        <v>1500</v>
      </c>
      <c r="F280" s="3"/>
      <c r="G280" s="3"/>
      <c r="H280" s="3"/>
      <c r="I280" s="3"/>
      <c r="J280" s="3"/>
    </row>
    <row r="281" spans="1:10" x14ac:dyDescent="0.2">
      <c r="A281" s="2" t="s">
        <v>1321</v>
      </c>
      <c r="D281" s="2">
        <v>3500</v>
      </c>
      <c r="F281" s="3"/>
      <c r="G281" s="3"/>
      <c r="H281" s="3"/>
      <c r="I281" s="3"/>
      <c r="J281" s="3"/>
    </row>
    <row r="282" spans="1:10" ht="15" x14ac:dyDescent="0.35">
      <c r="A282" s="2" t="s">
        <v>1897</v>
      </c>
      <c r="C282" s="10"/>
      <c r="D282" s="10">
        <v>1500</v>
      </c>
      <c r="F282" s="3"/>
      <c r="G282" s="3"/>
      <c r="H282" s="3"/>
      <c r="I282" s="3"/>
      <c r="J282" s="3"/>
    </row>
    <row r="283" spans="1:10" x14ac:dyDescent="0.2">
      <c r="A283" s="23" t="s">
        <v>1067</v>
      </c>
      <c r="D283" s="2">
        <f>SUM(D280:D282)</f>
        <v>6500</v>
      </c>
      <c r="F283" s="3"/>
      <c r="G283" s="3"/>
      <c r="H283" s="3"/>
      <c r="I283" s="3"/>
      <c r="J283" s="3"/>
    </row>
    <row r="284" spans="1:10" x14ac:dyDescent="0.2">
      <c r="F284" s="3"/>
      <c r="G284" s="3"/>
      <c r="H284" s="3"/>
      <c r="I284" s="3"/>
      <c r="J284" s="3"/>
    </row>
    <row r="285" spans="1:10" ht="13.5" x14ac:dyDescent="0.25">
      <c r="A285" s="44" t="s">
        <v>605</v>
      </c>
      <c r="B285" s="7"/>
      <c r="C285" s="7"/>
      <c r="D285" s="7"/>
      <c r="E285" s="2">
        <v>300</v>
      </c>
      <c r="F285" s="3">
        <v>5400</v>
      </c>
      <c r="G285" s="3">
        <v>5400</v>
      </c>
      <c r="H285" s="3">
        <v>5400</v>
      </c>
      <c r="I285" s="3">
        <v>5400</v>
      </c>
      <c r="J285" s="3">
        <v>5400</v>
      </c>
    </row>
    <row r="286" spans="1:10" x14ac:dyDescent="0.2">
      <c r="A286" s="2" t="s">
        <v>1898</v>
      </c>
      <c r="F286" s="3"/>
      <c r="G286" s="3"/>
      <c r="H286" s="3"/>
      <c r="I286" s="3"/>
      <c r="J286" s="3"/>
    </row>
    <row r="287" spans="1:10" ht="15" x14ac:dyDescent="0.35">
      <c r="A287" s="2" t="s">
        <v>1899</v>
      </c>
      <c r="C287" s="10"/>
      <c r="D287" s="2">
        <v>5400</v>
      </c>
      <c r="F287" s="3"/>
      <c r="G287" s="3"/>
      <c r="H287" s="3"/>
      <c r="I287" s="3"/>
      <c r="J287" s="3"/>
    </row>
    <row r="288" spans="1:10" x14ac:dyDescent="0.2">
      <c r="A288" s="23"/>
      <c r="F288" s="3"/>
      <c r="G288" s="3"/>
      <c r="H288" s="3"/>
      <c r="I288" s="3"/>
      <c r="J288" s="3"/>
    </row>
    <row r="289" spans="1:10" ht="13.5" x14ac:dyDescent="0.25">
      <c r="A289" s="44" t="s">
        <v>234</v>
      </c>
      <c r="E289" s="2">
        <v>13379</v>
      </c>
      <c r="F289" s="3">
        <v>17920</v>
      </c>
      <c r="G289" s="3">
        <v>19950</v>
      </c>
      <c r="H289" s="3">
        <v>19950</v>
      </c>
      <c r="I289" s="3">
        <v>19950</v>
      </c>
      <c r="J289" s="3">
        <v>19950</v>
      </c>
    </row>
    <row r="290" spans="1:10" x14ac:dyDescent="0.2">
      <c r="B290" s="7"/>
      <c r="C290" s="7"/>
      <c r="D290" s="7"/>
      <c r="F290" s="3"/>
      <c r="G290" s="3"/>
      <c r="H290" s="3"/>
      <c r="I290" s="3"/>
      <c r="J290" s="3"/>
    </row>
    <row r="291" spans="1:10" x14ac:dyDescent="0.2">
      <c r="A291" s="2" t="s">
        <v>1900</v>
      </c>
      <c r="B291" s="2">
        <v>1</v>
      </c>
      <c r="C291" s="2">
        <v>7900</v>
      </c>
      <c r="D291" s="2">
        <f t="shared" ref="D291:D296" si="17">C291*B291</f>
        <v>7900</v>
      </c>
      <c r="F291" s="3"/>
      <c r="G291" s="246"/>
      <c r="H291" s="246"/>
      <c r="I291" s="246"/>
      <c r="J291" s="246"/>
    </row>
    <row r="292" spans="1:10" x14ac:dyDescent="0.2">
      <c r="A292" s="2" t="s">
        <v>1901</v>
      </c>
      <c r="B292" s="2">
        <v>0</v>
      </c>
      <c r="C292" s="2">
        <v>50</v>
      </c>
      <c r="D292" s="2">
        <f t="shared" si="17"/>
        <v>0</v>
      </c>
      <c r="F292" s="3"/>
      <c r="G292" s="246"/>
      <c r="H292" s="246"/>
      <c r="I292" s="246"/>
      <c r="J292" s="246"/>
    </row>
    <row r="293" spans="1:10" x14ac:dyDescent="0.2">
      <c r="A293" s="2" t="s">
        <v>1308</v>
      </c>
      <c r="B293" s="2">
        <v>1</v>
      </c>
      <c r="C293" s="2">
        <v>1750</v>
      </c>
      <c r="D293" s="2">
        <f t="shared" si="17"/>
        <v>1750</v>
      </c>
      <c r="F293" s="3"/>
      <c r="G293" s="246"/>
      <c r="H293" s="246"/>
      <c r="I293" s="246"/>
      <c r="J293" s="246"/>
    </row>
    <row r="294" spans="1:10" x14ac:dyDescent="0.2">
      <c r="A294" s="2" t="s">
        <v>1902</v>
      </c>
      <c r="B294" s="2">
        <v>8</v>
      </c>
      <c r="C294" s="2">
        <v>600</v>
      </c>
      <c r="D294" s="2">
        <f t="shared" si="17"/>
        <v>4800</v>
      </c>
      <c r="F294" s="3"/>
      <c r="G294" s="246"/>
      <c r="H294" s="246"/>
      <c r="I294" s="246"/>
      <c r="J294" s="246"/>
    </row>
    <row r="295" spans="1:10" x14ac:dyDescent="0.2">
      <c r="A295" s="2" t="s">
        <v>1723</v>
      </c>
      <c r="B295" s="2">
        <v>3</v>
      </c>
      <c r="C295" s="2">
        <v>250</v>
      </c>
      <c r="D295" s="2">
        <f t="shared" si="17"/>
        <v>750</v>
      </c>
      <c r="F295" s="3"/>
      <c r="G295" s="246"/>
      <c r="H295" s="246"/>
      <c r="I295" s="246"/>
      <c r="J295" s="246"/>
    </row>
    <row r="296" spans="1:10" ht="15" x14ac:dyDescent="0.35">
      <c r="A296" s="2" t="s">
        <v>1903</v>
      </c>
      <c r="B296" s="2">
        <v>1</v>
      </c>
      <c r="C296" s="2">
        <v>4750</v>
      </c>
      <c r="D296" s="10">
        <f t="shared" si="17"/>
        <v>4750</v>
      </c>
      <c r="F296" s="3"/>
      <c r="G296" s="246"/>
      <c r="H296" s="246"/>
      <c r="I296" s="246"/>
      <c r="J296" s="246"/>
    </row>
    <row r="297" spans="1:10" x14ac:dyDescent="0.2">
      <c r="A297" s="7" t="s">
        <v>1067</v>
      </c>
      <c r="D297" s="2">
        <f>SUM(D291:D296)</f>
        <v>19950</v>
      </c>
      <c r="F297" s="3"/>
      <c r="G297" s="246"/>
      <c r="H297" s="246"/>
      <c r="I297" s="246"/>
      <c r="J297" s="246"/>
    </row>
    <row r="298" spans="1:10" x14ac:dyDescent="0.2">
      <c r="F298" s="3"/>
      <c r="G298" s="3"/>
      <c r="H298" s="3"/>
      <c r="I298" s="3"/>
      <c r="J298" s="3"/>
    </row>
    <row r="299" spans="1:10" ht="13.5" x14ac:dyDescent="0.25">
      <c r="A299" s="44" t="s">
        <v>235</v>
      </c>
      <c r="B299" s="7"/>
      <c r="C299" s="7"/>
      <c r="D299" s="7"/>
      <c r="E299" s="2">
        <v>45612</v>
      </c>
      <c r="F299" s="3">
        <v>70177</v>
      </c>
      <c r="G299" s="3">
        <v>70177</v>
      </c>
      <c r="H299" s="3">
        <v>70177</v>
      </c>
      <c r="I299" s="3">
        <v>70177</v>
      </c>
      <c r="J299" s="3">
        <v>70177</v>
      </c>
    </row>
    <row r="300" spans="1:10" ht="13.5" x14ac:dyDescent="0.25">
      <c r="A300" s="45" t="s">
        <v>1322</v>
      </c>
      <c r="B300" s="7"/>
      <c r="C300" s="7"/>
      <c r="D300" s="7"/>
      <c r="F300" s="3"/>
      <c r="G300" s="3"/>
      <c r="H300" s="3"/>
      <c r="I300" s="3"/>
      <c r="J300" s="3"/>
    </row>
    <row r="301" spans="1:10" x14ac:dyDescent="0.2">
      <c r="A301" s="42" t="s">
        <v>771</v>
      </c>
      <c r="B301" s="2">
        <v>1</v>
      </c>
      <c r="C301" s="2">
        <v>12000</v>
      </c>
      <c r="D301" s="2">
        <f>B301*C301</f>
        <v>12000</v>
      </c>
      <c r="F301" s="3"/>
      <c r="G301" s="3"/>
      <c r="H301" s="3"/>
      <c r="I301" s="3"/>
      <c r="J301" s="3"/>
    </row>
    <row r="302" spans="1:10" x14ac:dyDescent="0.2">
      <c r="A302" s="42" t="s">
        <v>772</v>
      </c>
      <c r="B302" s="2">
        <v>1</v>
      </c>
      <c r="C302" s="2">
        <v>2500</v>
      </c>
      <c r="D302" s="2">
        <f>C302*B302</f>
        <v>2500</v>
      </c>
      <c r="F302" s="3"/>
      <c r="G302" s="3"/>
      <c r="H302" s="3"/>
      <c r="I302" s="3"/>
      <c r="J302" s="3"/>
    </row>
    <row r="303" spans="1:10" ht="13.5" x14ac:dyDescent="0.25">
      <c r="A303" s="45" t="s">
        <v>1309</v>
      </c>
      <c r="F303" s="3"/>
      <c r="G303" s="3"/>
      <c r="H303" s="3"/>
      <c r="I303" s="3"/>
      <c r="J303" s="3"/>
    </row>
    <row r="304" spans="1:10" x14ac:dyDescent="0.2">
      <c r="A304" s="2" t="s">
        <v>2028</v>
      </c>
      <c r="B304" s="2">
        <v>1</v>
      </c>
      <c r="C304" s="2">
        <v>17132</v>
      </c>
      <c r="D304" s="2">
        <f t="shared" ref="D304:D312" si="18">C304*B304</f>
        <v>17132</v>
      </c>
      <c r="F304" s="3"/>
      <c r="G304" s="3"/>
      <c r="H304" s="3"/>
      <c r="I304" s="3"/>
      <c r="J304" s="3"/>
    </row>
    <row r="305" spans="1:10" x14ac:dyDescent="0.2">
      <c r="A305" s="2" t="s">
        <v>1904</v>
      </c>
      <c r="B305" s="2">
        <v>14</v>
      </c>
      <c r="C305" s="2">
        <v>30</v>
      </c>
      <c r="D305" s="2">
        <f t="shared" si="18"/>
        <v>420</v>
      </c>
      <c r="F305" s="3"/>
      <c r="G305" s="3"/>
      <c r="H305" s="3"/>
      <c r="I305" s="3"/>
      <c r="J305" s="3"/>
    </row>
    <row r="306" spans="1:10" x14ac:dyDescent="0.2">
      <c r="A306" s="2" t="s">
        <v>1905</v>
      </c>
      <c r="B306" s="2">
        <v>25</v>
      </c>
      <c r="C306" s="2">
        <v>25</v>
      </c>
      <c r="D306" s="2">
        <f t="shared" si="18"/>
        <v>625</v>
      </c>
      <c r="F306" s="3"/>
      <c r="G306" s="3"/>
      <c r="H306" s="3"/>
      <c r="I306" s="3"/>
      <c r="J306" s="3"/>
    </row>
    <row r="307" spans="1:10" x14ac:dyDescent="0.2">
      <c r="A307" s="2" t="s">
        <v>1906</v>
      </c>
      <c r="B307" s="2">
        <v>20</v>
      </c>
      <c r="C307" s="2">
        <v>140</v>
      </c>
      <c r="D307" s="2">
        <f t="shared" si="18"/>
        <v>2800</v>
      </c>
      <c r="F307" s="3"/>
      <c r="G307" s="3"/>
      <c r="H307" s="3"/>
      <c r="I307" s="3"/>
      <c r="J307" s="3"/>
    </row>
    <row r="308" spans="1:10" x14ac:dyDescent="0.2">
      <c r="A308" s="2" t="s">
        <v>1610</v>
      </c>
      <c r="B308" s="2">
        <v>3</v>
      </c>
      <c r="C308" s="2">
        <v>1800</v>
      </c>
      <c r="D308" s="2">
        <f t="shared" si="18"/>
        <v>5400</v>
      </c>
      <c r="F308" s="3"/>
      <c r="G308" s="3"/>
      <c r="H308" s="3"/>
      <c r="I308" s="3"/>
      <c r="J308" s="3"/>
    </row>
    <row r="309" spans="1:10" x14ac:dyDescent="0.2">
      <c r="A309" s="43" t="s">
        <v>1613</v>
      </c>
      <c r="B309" s="2">
        <v>1</v>
      </c>
      <c r="C309" s="2">
        <v>11800</v>
      </c>
      <c r="D309" s="2">
        <f>C309*B309</f>
        <v>11800</v>
      </c>
      <c r="F309" s="3"/>
      <c r="G309" s="3"/>
      <c r="H309" s="3"/>
      <c r="I309" s="3"/>
      <c r="J309" s="3"/>
    </row>
    <row r="310" spans="1:10" ht="13.5" x14ac:dyDescent="0.25">
      <c r="A310" s="45" t="s">
        <v>1138</v>
      </c>
      <c r="D310" s="2">
        <f t="shared" si="18"/>
        <v>0</v>
      </c>
      <c r="F310" s="3"/>
      <c r="G310" s="3"/>
      <c r="H310" s="3"/>
      <c r="I310" s="3"/>
      <c r="J310" s="3"/>
    </row>
    <row r="311" spans="1:10" x14ac:dyDescent="0.2">
      <c r="A311" s="2" t="s">
        <v>1352</v>
      </c>
      <c r="B311" s="2">
        <v>28</v>
      </c>
      <c r="C311" s="2">
        <v>375</v>
      </c>
      <c r="D311" s="2">
        <f t="shared" si="18"/>
        <v>10500</v>
      </c>
      <c r="F311" s="3"/>
      <c r="G311" s="3"/>
      <c r="H311" s="3"/>
      <c r="I311" s="3"/>
      <c r="J311" s="3"/>
    </row>
    <row r="312" spans="1:10" x14ac:dyDescent="0.2">
      <c r="A312" s="2" t="s">
        <v>1907</v>
      </c>
      <c r="B312" s="2">
        <v>9</v>
      </c>
      <c r="C312" s="2">
        <v>500</v>
      </c>
      <c r="D312" s="2">
        <f t="shared" si="18"/>
        <v>4500</v>
      </c>
      <c r="F312" s="3"/>
      <c r="G312" s="3"/>
      <c r="H312" s="3"/>
      <c r="I312" s="3"/>
      <c r="J312" s="3"/>
    </row>
    <row r="313" spans="1:10" ht="13.5" x14ac:dyDescent="0.25">
      <c r="A313" s="45" t="s">
        <v>1908</v>
      </c>
      <c r="F313" s="3"/>
      <c r="G313" s="3"/>
      <c r="H313" s="3"/>
      <c r="I313" s="3"/>
      <c r="J313" s="3"/>
    </row>
    <row r="314" spans="1:10" x14ac:dyDescent="0.2">
      <c r="A314" s="2" t="s">
        <v>1909</v>
      </c>
      <c r="F314" s="3"/>
      <c r="G314" s="3"/>
      <c r="H314" s="3"/>
      <c r="I314" s="3"/>
      <c r="J314" s="3"/>
    </row>
    <row r="315" spans="1:10" ht="15" x14ac:dyDescent="0.35">
      <c r="A315" s="2" t="s">
        <v>1910</v>
      </c>
      <c r="B315" s="2">
        <v>1</v>
      </c>
      <c r="C315" s="2">
        <v>2500</v>
      </c>
      <c r="D315" s="10">
        <v>2500</v>
      </c>
      <c r="F315" s="3"/>
      <c r="G315" s="3"/>
      <c r="H315" s="3"/>
      <c r="I315" s="3"/>
      <c r="J315" s="3"/>
    </row>
    <row r="316" spans="1:10" x14ac:dyDescent="0.2">
      <c r="A316" s="23" t="s">
        <v>1067</v>
      </c>
      <c r="D316" s="2">
        <f>SUM(D301:D315)</f>
        <v>70177</v>
      </c>
      <c r="F316" s="3"/>
      <c r="G316" s="3"/>
      <c r="H316" s="3"/>
      <c r="I316" s="3"/>
      <c r="J316" s="3"/>
    </row>
    <row r="317" spans="1:10" x14ac:dyDescent="0.2">
      <c r="F317" s="3"/>
      <c r="G317" s="3"/>
      <c r="H317" s="3"/>
      <c r="I317" s="3"/>
      <c r="J317" s="3"/>
    </row>
    <row r="318" spans="1:10" ht="13.5" x14ac:dyDescent="0.25">
      <c r="A318" s="44" t="s">
        <v>1215</v>
      </c>
      <c r="E318" s="2">
        <v>3198</v>
      </c>
      <c r="F318" s="3">
        <v>6750</v>
      </c>
      <c r="G318" s="3">
        <v>6750</v>
      </c>
      <c r="H318" s="3">
        <v>6750</v>
      </c>
      <c r="I318" s="3">
        <v>6750</v>
      </c>
      <c r="J318" s="3">
        <v>6750</v>
      </c>
    </row>
    <row r="319" spans="1:10" x14ac:dyDescent="0.2">
      <c r="A319" s="2" t="s">
        <v>1911</v>
      </c>
      <c r="B319" s="2">
        <v>1</v>
      </c>
      <c r="C319" s="2">
        <v>2000</v>
      </c>
      <c r="D319" s="2">
        <f>C319*B319</f>
        <v>2000</v>
      </c>
      <c r="F319" s="3"/>
      <c r="G319" s="3"/>
      <c r="H319" s="3"/>
      <c r="I319" s="3"/>
      <c r="J319" s="3"/>
    </row>
    <row r="320" spans="1:10" x14ac:dyDescent="0.2">
      <c r="A320" s="2" t="s">
        <v>1611</v>
      </c>
      <c r="B320" s="2">
        <v>2</v>
      </c>
      <c r="C320" s="2">
        <v>750</v>
      </c>
      <c r="D320" s="2">
        <f>C320*B320</f>
        <v>1500</v>
      </c>
      <c r="F320" s="3"/>
      <c r="G320" s="3"/>
      <c r="H320" s="3"/>
      <c r="I320" s="3"/>
      <c r="J320" s="3"/>
    </row>
    <row r="321" spans="1:10" x14ac:dyDescent="0.2">
      <c r="A321" s="2" t="s">
        <v>1912</v>
      </c>
      <c r="B321" s="2">
        <v>50</v>
      </c>
      <c r="C321" s="2">
        <v>35</v>
      </c>
      <c r="D321" s="2">
        <f>C321*B321</f>
        <v>1750</v>
      </c>
      <c r="F321" s="3"/>
      <c r="G321" s="3"/>
      <c r="H321" s="3"/>
      <c r="I321" s="3"/>
      <c r="J321" s="3"/>
    </row>
    <row r="322" spans="1:10" ht="15" x14ac:dyDescent="0.35">
      <c r="A322" s="2" t="s">
        <v>1588</v>
      </c>
      <c r="D322" s="28">
        <v>1500</v>
      </c>
      <c r="F322" s="3"/>
      <c r="G322" s="3"/>
      <c r="H322" s="3"/>
      <c r="I322" s="3"/>
      <c r="J322" s="3"/>
    </row>
    <row r="323" spans="1:10" x14ac:dyDescent="0.2">
      <c r="A323" s="23" t="s">
        <v>1067</v>
      </c>
      <c r="D323" s="2">
        <f>SUM(D319:D322)</f>
        <v>6750</v>
      </c>
      <c r="F323" s="3"/>
      <c r="G323" s="3"/>
      <c r="H323" s="3"/>
      <c r="I323" s="3"/>
      <c r="J323" s="3"/>
    </row>
    <row r="324" spans="1:10" x14ac:dyDescent="0.2">
      <c r="A324" s="23"/>
      <c r="F324" s="3"/>
      <c r="G324" s="3"/>
      <c r="H324" s="3"/>
      <c r="I324" s="3"/>
      <c r="J324" s="3"/>
    </row>
    <row r="325" spans="1:10" ht="13.5" x14ac:dyDescent="0.25">
      <c r="A325" s="44" t="s">
        <v>552</v>
      </c>
      <c r="B325" s="7"/>
      <c r="C325" s="7"/>
      <c r="D325" s="7"/>
      <c r="E325" s="2">
        <v>2704</v>
      </c>
      <c r="F325" s="3">
        <v>7330</v>
      </c>
      <c r="G325" s="3">
        <v>7330</v>
      </c>
      <c r="H325" s="3">
        <v>7330</v>
      </c>
      <c r="I325" s="3">
        <v>7330</v>
      </c>
      <c r="J325" s="3">
        <v>7330</v>
      </c>
    </row>
    <row r="326" spans="1:10" x14ac:dyDescent="0.2">
      <c r="A326" s="2" t="s">
        <v>1192</v>
      </c>
      <c r="B326" s="2">
        <v>1</v>
      </c>
      <c r="C326" s="2">
        <v>430</v>
      </c>
      <c r="D326" s="2">
        <f>C326*B326</f>
        <v>430</v>
      </c>
      <c r="F326" s="3"/>
      <c r="G326" s="3"/>
      <c r="H326" s="3"/>
      <c r="I326" s="3"/>
      <c r="J326" s="3"/>
    </row>
    <row r="327" spans="1:10" x14ac:dyDescent="0.2">
      <c r="A327" s="2" t="s">
        <v>1812</v>
      </c>
      <c r="B327" s="2">
        <v>2</v>
      </c>
      <c r="C327" s="2">
        <v>200</v>
      </c>
      <c r="D327" s="2">
        <f>C327*B327</f>
        <v>400</v>
      </c>
      <c r="F327" s="3"/>
      <c r="G327" s="3"/>
      <c r="H327" s="3"/>
      <c r="I327" s="3"/>
      <c r="J327" s="3"/>
    </row>
    <row r="328" spans="1:10" x14ac:dyDescent="0.2">
      <c r="A328" s="176" t="s">
        <v>1724</v>
      </c>
      <c r="B328" s="176">
        <v>1</v>
      </c>
      <c r="C328" s="176">
        <v>2000</v>
      </c>
      <c r="D328" s="2">
        <f>C328*B328</f>
        <v>2000</v>
      </c>
      <c r="F328" s="3"/>
      <c r="G328" s="3"/>
      <c r="H328" s="3"/>
      <c r="I328" s="3"/>
      <c r="J328" s="3"/>
    </row>
    <row r="329" spans="1:10" x14ac:dyDescent="0.2">
      <c r="A329" s="2" t="s">
        <v>1813</v>
      </c>
      <c r="B329" s="1">
        <v>5</v>
      </c>
      <c r="C329" s="7">
        <v>300</v>
      </c>
      <c r="D329" s="2">
        <f>C329*B329</f>
        <v>1500</v>
      </c>
      <c r="F329" s="3"/>
      <c r="G329" s="3"/>
      <c r="H329" s="3"/>
      <c r="I329" s="3"/>
      <c r="J329" s="3"/>
    </row>
    <row r="330" spans="1:10" ht="15" x14ac:dyDescent="0.35">
      <c r="A330" s="2" t="s">
        <v>534</v>
      </c>
      <c r="B330" s="2">
        <v>1</v>
      </c>
      <c r="C330" s="2">
        <v>3000</v>
      </c>
      <c r="D330" s="10">
        <f>C330*B330</f>
        <v>3000</v>
      </c>
      <c r="F330" s="3"/>
      <c r="G330" s="3"/>
      <c r="H330" s="3"/>
      <c r="I330" s="3"/>
      <c r="J330" s="3"/>
    </row>
    <row r="331" spans="1:10" x14ac:dyDescent="0.2">
      <c r="A331" s="23" t="s">
        <v>1067</v>
      </c>
      <c r="D331" s="2">
        <f>SUM(D326:D330)</f>
        <v>7330</v>
      </c>
      <c r="F331" s="3"/>
      <c r="G331" s="3"/>
      <c r="H331" s="3"/>
      <c r="I331" s="3"/>
      <c r="J331" s="3"/>
    </row>
    <row r="332" spans="1:10" x14ac:dyDescent="0.2">
      <c r="F332" s="3"/>
      <c r="G332" s="3"/>
      <c r="H332" s="3"/>
      <c r="I332" s="3"/>
      <c r="J332" s="3"/>
    </row>
    <row r="333" spans="1:10" ht="13.5" x14ac:dyDescent="0.25">
      <c r="A333" s="44" t="s">
        <v>796</v>
      </c>
      <c r="E333" s="2">
        <v>6404</v>
      </c>
      <c r="F333" s="3">
        <v>0</v>
      </c>
      <c r="G333" s="3">
        <v>0</v>
      </c>
      <c r="H333" s="3">
        <v>0</v>
      </c>
      <c r="I333" s="3">
        <v>0</v>
      </c>
      <c r="J333" s="3">
        <v>0</v>
      </c>
    </row>
    <row r="334" spans="1:10" x14ac:dyDescent="0.2">
      <c r="A334" s="2" t="s">
        <v>1913</v>
      </c>
      <c r="B334" s="2">
        <v>0</v>
      </c>
      <c r="C334" s="2">
        <v>3800</v>
      </c>
      <c r="D334" s="2">
        <f>C334*B334</f>
        <v>0</v>
      </c>
      <c r="F334" s="3"/>
      <c r="G334" s="3"/>
      <c r="H334" s="3"/>
      <c r="I334" s="3"/>
      <c r="J334" s="3"/>
    </row>
    <row r="335" spans="1:10" x14ac:dyDescent="0.2">
      <c r="F335" s="3"/>
      <c r="G335" s="3"/>
      <c r="H335" s="3"/>
      <c r="I335" s="3"/>
      <c r="J335" s="3"/>
    </row>
    <row r="336" spans="1:10" ht="13.5" x14ac:dyDescent="0.25">
      <c r="A336" s="44" t="s">
        <v>457</v>
      </c>
      <c r="E336" s="2">
        <v>0</v>
      </c>
      <c r="F336" s="3">
        <v>700</v>
      </c>
      <c r="G336" s="3">
        <v>700</v>
      </c>
      <c r="H336" s="3">
        <v>700</v>
      </c>
      <c r="I336" s="3">
        <v>700</v>
      </c>
      <c r="J336" s="3">
        <v>700</v>
      </c>
    </row>
    <row r="337" spans="1:10" x14ac:dyDescent="0.2">
      <c r="A337" s="2" t="s">
        <v>1914</v>
      </c>
      <c r="B337" s="2">
        <v>1</v>
      </c>
      <c r="C337" s="2">
        <v>700</v>
      </c>
      <c r="D337" s="2">
        <f>C337*B337</f>
        <v>700</v>
      </c>
      <c r="F337" s="3"/>
      <c r="G337" s="3"/>
      <c r="H337" s="3"/>
      <c r="I337" s="3"/>
      <c r="J337" s="3"/>
    </row>
    <row r="338" spans="1:10" x14ac:dyDescent="0.2">
      <c r="F338" s="3"/>
      <c r="G338" s="3"/>
      <c r="H338" s="3"/>
      <c r="I338" s="3"/>
      <c r="J338" s="3"/>
    </row>
    <row r="339" spans="1:10" ht="13.5" x14ac:dyDescent="0.25">
      <c r="A339" s="44" t="s">
        <v>458</v>
      </c>
      <c r="B339" s="7"/>
      <c r="C339" s="7"/>
      <c r="D339" s="7"/>
      <c r="E339" s="2">
        <v>18872</v>
      </c>
      <c r="F339" s="3">
        <v>21665</v>
      </c>
      <c r="G339" s="3">
        <v>21665</v>
      </c>
      <c r="H339" s="3">
        <v>21665</v>
      </c>
      <c r="I339" s="3">
        <v>21665</v>
      </c>
      <c r="J339" s="3">
        <v>21665</v>
      </c>
    </row>
    <row r="340" spans="1:10" x14ac:dyDescent="0.2">
      <c r="A340" s="2" t="s">
        <v>2029</v>
      </c>
      <c r="B340" s="2">
        <v>1</v>
      </c>
      <c r="C340" s="2">
        <v>16500</v>
      </c>
      <c r="D340" s="2">
        <f>+C340*B340</f>
        <v>16500</v>
      </c>
      <c r="F340" s="3"/>
      <c r="G340" s="3"/>
      <c r="H340" s="3"/>
      <c r="I340" s="3"/>
      <c r="J340" s="3"/>
    </row>
    <row r="341" spans="1:10" x14ac:dyDescent="0.2">
      <c r="A341" s="2" t="s">
        <v>1915</v>
      </c>
      <c r="B341" s="2">
        <v>4</v>
      </c>
      <c r="C341" s="2">
        <v>650</v>
      </c>
      <c r="D341" s="2">
        <f>PRODUCT(B341,C341)</f>
        <v>2600</v>
      </c>
      <c r="F341" s="3"/>
      <c r="G341" s="3"/>
      <c r="H341" s="3"/>
      <c r="I341" s="3"/>
      <c r="J341" s="3"/>
    </row>
    <row r="342" spans="1:10" ht="15" x14ac:dyDescent="0.35">
      <c r="A342" s="2" t="s">
        <v>1916</v>
      </c>
      <c r="B342" s="2">
        <v>19</v>
      </c>
      <c r="C342" s="2">
        <v>135</v>
      </c>
      <c r="D342" s="10">
        <f>PRODUCT(B342,C342)</f>
        <v>2565</v>
      </c>
      <c r="F342" s="3"/>
      <c r="G342" s="3"/>
      <c r="H342" s="3"/>
      <c r="I342" s="3"/>
      <c r="J342" s="3"/>
    </row>
    <row r="343" spans="1:10" x14ac:dyDescent="0.2">
      <c r="A343" s="23" t="s">
        <v>1067</v>
      </c>
      <c r="D343" s="2">
        <f>SUM(D340:D342)</f>
        <v>21665</v>
      </c>
      <c r="F343" s="3"/>
      <c r="G343" s="3"/>
      <c r="H343" s="3"/>
      <c r="I343" s="3"/>
      <c r="J343" s="3"/>
    </row>
    <row r="344" spans="1:10" x14ac:dyDescent="0.2">
      <c r="F344" s="3"/>
      <c r="G344" s="3"/>
      <c r="H344" s="3"/>
      <c r="I344" s="3"/>
      <c r="J344" s="3"/>
    </row>
    <row r="345" spans="1:10" ht="13.5" x14ac:dyDescent="0.25">
      <c r="A345" s="44" t="s">
        <v>459</v>
      </c>
      <c r="B345" s="7"/>
      <c r="C345" s="7"/>
      <c r="D345" s="7"/>
      <c r="E345" s="2">
        <v>27803</v>
      </c>
      <c r="F345" s="3">
        <v>1400</v>
      </c>
      <c r="G345" s="3">
        <v>1400</v>
      </c>
      <c r="H345" s="3">
        <v>1400</v>
      </c>
      <c r="I345" s="3">
        <v>1400</v>
      </c>
      <c r="J345" s="3">
        <v>1400</v>
      </c>
    </row>
    <row r="346" spans="1:10" ht="13.5" x14ac:dyDescent="0.25">
      <c r="A346" s="44" t="s">
        <v>672</v>
      </c>
      <c r="B346" s="7"/>
      <c r="C346" s="7"/>
      <c r="D346" s="7"/>
      <c r="F346" s="3"/>
      <c r="G346" s="3"/>
      <c r="H346" s="3"/>
      <c r="I346" s="3"/>
      <c r="J346" s="3"/>
    </row>
    <row r="347" spans="1:10" ht="15" x14ac:dyDescent="0.35">
      <c r="A347" s="2" t="s">
        <v>1917</v>
      </c>
      <c r="B347" s="2">
        <v>1</v>
      </c>
      <c r="C347" s="7">
        <v>1400</v>
      </c>
      <c r="D347" s="8">
        <f>C347*B347</f>
        <v>1400</v>
      </c>
      <c r="F347" s="3"/>
      <c r="G347" s="3"/>
      <c r="H347" s="3"/>
      <c r="I347" s="3"/>
      <c r="J347" s="3"/>
    </row>
    <row r="348" spans="1:10" ht="15" x14ac:dyDescent="0.35">
      <c r="C348" s="7"/>
      <c r="D348" s="8"/>
      <c r="F348" s="3"/>
      <c r="G348" s="3"/>
      <c r="H348" s="3"/>
      <c r="I348" s="3"/>
      <c r="J348" s="3"/>
    </row>
    <row r="349" spans="1:10" ht="13.5" x14ac:dyDescent="0.25">
      <c r="A349" s="44" t="s">
        <v>1948</v>
      </c>
      <c r="B349" s="7"/>
      <c r="C349" s="7"/>
      <c r="D349" s="7"/>
      <c r="E349" s="2">
        <v>40544</v>
      </c>
      <c r="F349" s="3">
        <v>0</v>
      </c>
      <c r="G349" s="3">
        <v>0</v>
      </c>
      <c r="H349" s="3">
        <v>0</v>
      </c>
      <c r="I349" s="3">
        <v>0</v>
      </c>
      <c r="J349" s="3">
        <v>0</v>
      </c>
    </row>
    <row r="350" spans="1:10" ht="15" x14ac:dyDescent="0.35">
      <c r="C350" s="7"/>
      <c r="D350" s="8"/>
      <c r="F350" s="3"/>
      <c r="G350" s="3"/>
      <c r="H350" s="3"/>
      <c r="I350" s="3"/>
      <c r="J350" s="3"/>
    </row>
    <row r="351" spans="1:10" x14ac:dyDescent="0.2">
      <c r="A351" s="23" t="s">
        <v>1067</v>
      </c>
      <c r="C351" s="7"/>
      <c r="D351" s="7"/>
      <c r="F351" s="3"/>
      <c r="G351" s="3"/>
      <c r="H351" s="3"/>
      <c r="I351" s="3"/>
      <c r="J351" s="3"/>
    </row>
    <row r="352" spans="1:10" x14ac:dyDescent="0.2">
      <c r="A352" s="36"/>
      <c r="B352" s="39"/>
      <c r="C352" s="3"/>
      <c r="D352" s="3"/>
      <c r="F352" s="3"/>
      <c r="G352" s="3"/>
      <c r="H352" s="3"/>
      <c r="I352" s="3"/>
      <c r="J352" s="3"/>
    </row>
    <row r="353" spans="1:10" ht="13.5" x14ac:dyDescent="0.25">
      <c r="A353" s="44" t="s">
        <v>866</v>
      </c>
      <c r="B353" s="7"/>
      <c r="C353" s="7"/>
      <c r="D353" s="7"/>
      <c r="E353" s="2">
        <v>3566</v>
      </c>
      <c r="F353" s="3">
        <v>6500</v>
      </c>
      <c r="G353" s="3">
        <v>6500</v>
      </c>
      <c r="H353" s="3">
        <v>6500</v>
      </c>
      <c r="I353" s="3">
        <v>6500</v>
      </c>
      <c r="J353" s="3">
        <v>6500</v>
      </c>
    </row>
    <row r="354" spans="1:10" x14ac:dyDescent="0.2">
      <c r="A354" s="2" t="s">
        <v>1918</v>
      </c>
      <c r="B354" s="2">
        <v>2</v>
      </c>
      <c r="C354" s="2">
        <v>1250</v>
      </c>
      <c r="D354" s="2">
        <f>C354*B354</f>
        <v>2500</v>
      </c>
      <c r="F354" s="3"/>
      <c r="G354" s="3"/>
      <c r="H354" s="3"/>
      <c r="I354" s="3"/>
      <c r="J354" s="3"/>
    </row>
    <row r="355" spans="1:10" ht="15" x14ac:dyDescent="0.35">
      <c r="A355" s="2" t="s">
        <v>1919</v>
      </c>
      <c r="B355" s="2">
        <v>1</v>
      </c>
      <c r="C355" s="2">
        <v>4000</v>
      </c>
      <c r="D355" s="10">
        <v>4000</v>
      </c>
      <c r="F355" s="3"/>
      <c r="G355" s="3"/>
      <c r="H355" s="3"/>
      <c r="I355" s="3"/>
      <c r="J355" s="3"/>
    </row>
    <row r="356" spans="1:10" x14ac:dyDescent="0.2">
      <c r="A356" s="23" t="s">
        <v>1067</v>
      </c>
      <c r="D356" s="2">
        <f>SUM(D354:D355)</f>
        <v>6500</v>
      </c>
      <c r="F356" s="3"/>
      <c r="G356" s="3"/>
      <c r="H356" s="3"/>
      <c r="I356" s="3"/>
      <c r="J356" s="3"/>
    </row>
    <row r="357" spans="1:10" x14ac:dyDescent="0.2">
      <c r="A357" s="42"/>
      <c r="F357" s="3"/>
      <c r="G357" s="3"/>
      <c r="H357" s="3"/>
      <c r="I357" s="3"/>
      <c r="J357" s="3"/>
    </row>
    <row r="358" spans="1:10" ht="13.5" x14ac:dyDescent="0.25">
      <c r="A358" s="44" t="s">
        <v>867</v>
      </c>
      <c r="B358" s="7"/>
      <c r="C358" s="7"/>
      <c r="D358" s="7"/>
      <c r="E358" s="2">
        <v>148117</v>
      </c>
      <c r="F358" s="3">
        <v>54000</v>
      </c>
      <c r="G358" s="3">
        <v>54000</v>
      </c>
      <c r="H358" s="3">
        <v>54000</v>
      </c>
      <c r="I358" s="3">
        <v>54000</v>
      </c>
      <c r="J358" s="3">
        <v>54000</v>
      </c>
    </row>
    <row r="359" spans="1:10" x14ac:dyDescent="0.2">
      <c r="A359" s="2" t="s">
        <v>1920</v>
      </c>
      <c r="B359" s="2">
        <v>1</v>
      </c>
      <c r="C359" s="2">
        <v>18000</v>
      </c>
      <c r="D359" s="2">
        <v>18000</v>
      </c>
      <c r="F359" s="3"/>
      <c r="G359" s="3"/>
      <c r="H359" s="3"/>
      <c r="I359" s="3"/>
      <c r="J359" s="3"/>
    </row>
    <row r="360" spans="1:10" ht="15" x14ac:dyDescent="0.35">
      <c r="A360" s="2" t="s">
        <v>2030</v>
      </c>
      <c r="B360" s="2">
        <v>4</v>
      </c>
      <c r="C360" s="2">
        <v>9000</v>
      </c>
      <c r="D360" s="10">
        <f>C360*B360</f>
        <v>36000</v>
      </c>
      <c r="F360" s="3"/>
      <c r="G360" s="3"/>
      <c r="H360" s="3"/>
      <c r="I360" s="3"/>
      <c r="J360" s="3"/>
    </row>
    <row r="361" spans="1:10" x14ac:dyDescent="0.2">
      <c r="D361" s="2">
        <f>SUM(D359:D360)</f>
        <v>54000</v>
      </c>
      <c r="F361" s="3"/>
      <c r="G361" s="3"/>
      <c r="H361" s="3"/>
      <c r="I361" s="3"/>
      <c r="J361" s="3"/>
    </row>
    <row r="362" spans="1:10" x14ac:dyDescent="0.2">
      <c r="F362" s="3"/>
      <c r="G362" s="3"/>
      <c r="H362" s="3"/>
      <c r="I362" s="3"/>
      <c r="J362" s="3"/>
    </row>
    <row r="363" spans="1:10" ht="13.5" x14ac:dyDescent="0.25">
      <c r="A363" s="44" t="s">
        <v>1006</v>
      </c>
      <c r="B363" s="18"/>
      <c r="C363" s="18"/>
      <c r="D363" s="18"/>
      <c r="E363" s="2">
        <v>11148</v>
      </c>
      <c r="F363" s="3">
        <v>9038</v>
      </c>
      <c r="G363" s="3">
        <v>9038</v>
      </c>
      <c r="H363" s="3">
        <v>9038</v>
      </c>
      <c r="I363" s="3">
        <v>9038</v>
      </c>
      <c r="J363" s="3">
        <v>9038</v>
      </c>
    </row>
    <row r="364" spans="1:10" x14ac:dyDescent="0.2">
      <c r="A364" s="176" t="s">
        <v>1921</v>
      </c>
      <c r="B364" s="176">
        <v>0</v>
      </c>
      <c r="C364" s="177">
        <v>4100</v>
      </c>
      <c r="D364" s="177">
        <f>C364*B364</f>
        <v>0</v>
      </c>
      <c r="F364" s="3"/>
      <c r="G364" s="3"/>
      <c r="H364" s="3"/>
      <c r="I364" s="3"/>
      <c r="J364" s="3"/>
    </row>
    <row r="365" spans="1:10" x14ac:dyDescent="0.2">
      <c r="A365" s="176" t="s">
        <v>1814</v>
      </c>
      <c r="B365" s="176">
        <v>4</v>
      </c>
      <c r="C365" s="177">
        <v>1072</v>
      </c>
      <c r="D365" s="177">
        <f>C365*B365</f>
        <v>4288</v>
      </c>
      <c r="F365" s="3"/>
      <c r="G365" s="3"/>
      <c r="H365" s="3"/>
      <c r="I365" s="3"/>
      <c r="J365" s="3"/>
    </row>
    <row r="366" spans="1:10" ht="15" x14ac:dyDescent="0.35">
      <c r="A366" s="2" t="s">
        <v>1922</v>
      </c>
      <c r="B366" s="2">
        <v>1</v>
      </c>
      <c r="C366" s="7">
        <v>4750</v>
      </c>
      <c r="D366" s="8">
        <f>C366*B366</f>
        <v>4750</v>
      </c>
      <c r="F366" s="3"/>
      <c r="G366" s="3"/>
      <c r="H366" s="3"/>
      <c r="I366" s="3"/>
      <c r="J366" s="3"/>
    </row>
    <row r="367" spans="1:10" x14ac:dyDescent="0.2">
      <c r="A367" s="23" t="s">
        <v>1067</v>
      </c>
      <c r="D367" s="2">
        <f>SUM(D364:D366)</f>
        <v>9038</v>
      </c>
      <c r="F367" s="3"/>
      <c r="G367" s="3"/>
      <c r="H367" s="3"/>
      <c r="I367" s="3"/>
      <c r="J367" s="3"/>
    </row>
    <row r="369" spans="1:11" ht="13.5" x14ac:dyDescent="0.25">
      <c r="A369" s="44" t="s">
        <v>3</v>
      </c>
      <c r="B369" s="18"/>
      <c r="C369" s="18"/>
      <c r="D369" s="18"/>
      <c r="F369" s="3"/>
      <c r="G369" s="3"/>
      <c r="H369" s="3"/>
      <c r="I369" s="3"/>
      <c r="J369" s="3"/>
    </row>
    <row r="370" spans="1:11" x14ac:dyDescent="0.2">
      <c r="A370" s="2" t="s">
        <v>477</v>
      </c>
      <c r="D370" s="2">
        <v>400000</v>
      </c>
      <c r="E370" s="2">
        <v>400000</v>
      </c>
      <c r="F370" s="2">
        <v>400000</v>
      </c>
      <c r="G370" s="2">
        <v>400000</v>
      </c>
      <c r="H370" s="2">
        <v>400000</v>
      </c>
      <c r="I370" s="2">
        <v>400000</v>
      </c>
      <c r="J370" s="2">
        <v>400000</v>
      </c>
    </row>
    <row r="371" spans="1:11" ht="15" x14ac:dyDescent="0.35">
      <c r="A371" s="2" t="s">
        <v>27</v>
      </c>
      <c r="C371" s="10"/>
      <c r="D371" s="10">
        <v>115000</v>
      </c>
      <c r="E371" s="10">
        <v>100000</v>
      </c>
      <c r="F371" s="10">
        <v>115000</v>
      </c>
      <c r="G371" s="10">
        <v>115000</v>
      </c>
      <c r="H371" s="10">
        <v>115000</v>
      </c>
      <c r="I371" s="10">
        <v>115000</v>
      </c>
      <c r="J371" s="10">
        <v>115000</v>
      </c>
    </row>
    <row r="372" spans="1:11" ht="15" x14ac:dyDescent="0.35">
      <c r="A372" s="2" t="s">
        <v>1067</v>
      </c>
      <c r="D372" s="2">
        <f>SUM(D370:D371)</f>
        <v>515000</v>
      </c>
      <c r="E372" s="10">
        <f>SUM(E370:E371)</f>
        <v>500000</v>
      </c>
      <c r="F372" s="10">
        <f t="shared" ref="F372:J372" si="19">SUM(F370:F371)</f>
        <v>515000</v>
      </c>
      <c r="G372" s="10">
        <f t="shared" si="19"/>
        <v>515000</v>
      </c>
      <c r="H372" s="10">
        <f t="shared" si="19"/>
        <v>515000</v>
      </c>
      <c r="I372" s="10">
        <f t="shared" si="19"/>
        <v>515000</v>
      </c>
      <c r="J372" s="10">
        <f t="shared" si="19"/>
        <v>515000</v>
      </c>
    </row>
    <row r="373" spans="1:11" x14ac:dyDescent="0.2">
      <c r="F373" s="3"/>
      <c r="G373" s="3"/>
      <c r="H373" s="3"/>
      <c r="I373" s="3"/>
      <c r="J373" s="3"/>
    </row>
    <row r="374" spans="1:11" x14ac:dyDescent="0.2">
      <c r="G374" s="3"/>
      <c r="H374" s="3"/>
      <c r="I374" s="3"/>
      <c r="J374" s="3"/>
    </row>
    <row r="375" spans="1:11" x14ac:dyDescent="0.2">
      <c r="A375" s="1" t="s">
        <v>1144</v>
      </c>
      <c r="E375" s="2">
        <f>SUM(E6:E371)-88</f>
        <v>7685062</v>
      </c>
      <c r="F375" s="2">
        <f>SUM(F6:F371)</f>
        <v>8276553</v>
      </c>
      <c r="G375" s="2">
        <f>SUM(G6:G371)</f>
        <v>8275461</v>
      </c>
      <c r="H375" s="3">
        <f>SUM(H1:H371)</f>
        <v>8262797</v>
      </c>
      <c r="I375" s="3">
        <f>SUM(I1:I371)</f>
        <v>8281351</v>
      </c>
      <c r="J375" s="3">
        <f>SUM(J1:J371)</f>
        <v>8522816</v>
      </c>
      <c r="K375" s="1" t="s">
        <v>2045</v>
      </c>
    </row>
    <row r="376" spans="1:11" x14ac:dyDescent="0.2">
      <c r="G376" s="3"/>
      <c r="H376" s="3"/>
      <c r="I376" s="3"/>
      <c r="J376" s="3"/>
    </row>
    <row r="377" spans="1:11" x14ac:dyDescent="0.2">
      <c r="A377" s="2" t="s">
        <v>511</v>
      </c>
      <c r="E377" s="2">
        <f t="shared" ref="E377:J377" si="20">SUM(E6:E165)</f>
        <v>6394549</v>
      </c>
      <c r="F377" s="2">
        <f t="shared" si="20"/>
        <v>7090990</v>
      </c>
      <c r="G377" s="2">
        <f t="shared" si="20"/>
        <v>7050597</v>
      </c>
      <c r="H377" s="2">
        <f t="shared" si="20"/>
        <v>7037933</v>
      </c>
      <c r="I377" s="2">
        <f t="shared" si="20"/>
        <v>7056487</v>
      </c>
      <c r="J377" s="3">
        <f t="shared" si="20"/>
        <v>7297952</v>
      </c>
    </row>
    <row r="378" spans="1:11" x14ac:dyDescent="0.2">
      <c r="A378" s="2" t="s">
        <v>803</v>
      </c>
      <c r="E378" s="2">
        <f>SUM(E166:E339)-88</f>
        <v>559335</v>
      </c>
      <c r="F378" s="2">
        <f t="shared" ref="F378:J378" si="21">SUM(F166:F339)</f>
        <v>599625</v>
      </c>
      <c r="G378" s="2">
        <f t="shared" ref="G378:I378" si="22">SUM(G166:G339)</f>
        <v>638926</v>
      </c>
      <c r="H378" s="2">
        <f t="shared" si="22"/>
        <v>638926</v>
      </c>
      <c r="I378" s="2">
        <f t="shared" si="22"/>
        <v>638926</v>
      </c>
      <c r="J378" s="3">
        <f t="shared" si="21"/>
        <v>638926</v>
      </c>
    </row>
    <row r="379" spans="1:11" ht="15" x14ac:dyDescent="0.35">
      <c r="A379" s="2" t="s">
        <v>804</v>
      </c>
      <c r="E379" s="10">
        <f>SUM(E344:E371)</f>
        <v>731178</v>
      </c>
      <c r="F379" s="10">
        <f>SUM(F344:F371)</f>
        <v>585938</v>
      </c>
      <c r="G379" s="10">
        <f t="shared" ref="G379:I379" si="23">SUM(G344:G371)</f>
        <v>585938</v>
      </c>
      <c r="H379" s="10">
        <f>SUM(H344:H371)</f>
        <v>585938</v>
      </c>
      <c r="I379" s="10">
        <f t="shared" si="23"/>
        <v>585938</v>
      </c>
      <c r="J379" s="28">
        <f>SUM(J344:J371)</f>
        <v>585938</v>
      </c>
      <c r="K379" s="1"/>
    </row>
    <row r="380" spans="1:11" x14ac:dyDescent="0.2">
      <c r="A380" s="2" t="s">
        <v>1067</v>
      </c>
      <c r="E380" s="2">
        <f>SUM(E377:E379)</f>
        <v>7685062</v>
      </c>
      <c r="F380" s="2">
        <f t="shared" ref="F380:J380" si="24">SUM(F377:F379)</f>
        <v>8276553</v>
      </c>
      <c r="G380" s="2">
        <f t="shared" ref="G380:I380" si="25">SUM(G377:G379)</f>
        <v>8275461</v>
      </c>
      <c r="H380" s="2">
        <f t="shared" si="25"/>
        <v>8262797</v>
      </c>
      <c r="I380" s="2">
        <f t="shared" si="25"/>
        <v>8281351</v>
      </c>
      <c r="J380" s="3">
        <f t="shared" si="24"/>
        <v>8522816</v>
      </c>
    </row>
    <row r="381" spans="1:11" x14ac:dyDescent="0.2">
      <c r="G381" s="183"/>
      <c r="J381" s="183"/>
    </row>
    <row r="382" spans="1:11" x14ac:dyDescent="0.2">
      <c r="G382" s="183"/>
      <c r="J382" s="183"/>
    </row>
    <row r="383" spans="1:11" x14ac:dyDescent="0.2">
      <c r="E383" s="245">
        <f>E380-E375</f>
        <v>0</v>
      </c>
      <c r="J383" s="2">
        <f>87098+154367</f>
        <v>241465</v>
      </c>
    </row>
    <row r="384" spans="1:11" x14ac:dyDescent="0.2">
      <c r="G384" s="183"/>
      <c r="I384" s="2">
        <f>I380-H380</f>
        <v>18554</v>
      </c>
      <c r="J384" s="2">
        <f>J380-I380</f>
        <v>241465</v>
      </c>
    </row>
    <row r="385" spans="7:10" x14ac:dyDescent="0.2">
      <c r="G385" s="183"/>
      <c r="J385" s="2">
        <f>J383-J384</f>
        <v>0</v>
      </c>
    </row>
    <row r="386" spans="7:10" x14ac:dyDescent="0.2">
      <c r="G386" s="183"/>
      <c r="J386" s="183"/>
    </row>
    <row r="387" spans="7:10" x14ac:dyDescent="0.2">
      <c r="G387" s="183"/>
    </row>
    <row r="388" spans="7:10" x14ac:dyDescent="0.2">
      <c r="G388" s="183"/>
    </row>
    <row r="389" spans="7:10" x14ac:dyDescent="0.2">
      <c r="G389" s="183"/>
    </row>
    <row r="390" spans="7:10" x14ac:dyDescent="0.2">
      <c r="G390" s="183"/>
    </row>
    <row r="391" spans="7:10" x14ac:dyDescent="0.2">
      <c r="G391" s="183"/>
    </row>
    <row r="392" spans="7:10" x14ac:dyDescent="0.2">
      <c r="G392" s="183"/>
    </row>
    <row r="393" spans="7:10" x14ac:dyDescent="0.2">
      <c r="G393" s="183"/>
    </row>
    <row r="394" spans="7:10" x14ac:dyDescent="0.2">
      <c r="G394" s="183"/>
    </row>
    <row r="395" spans="7:10" x14ac:dyDescent="0.2">
      <c r="G395" s="183"/>
    </row>
    <row r="396" spans="7:10" x14ac:dyDescent="0.2">
      <c r="G396" s="183"/>
    </row>
    <row r="397" spans="7:10" x14ac:dyDescent="0.2">
      <c r="G397" s="183"/>
    </row>
    <row r="398" spans="7:10" x14ac:dyDescent="0.2">
      <c r="G398" s="183"/>
    </row>
    <row r="399" spans="7:10" x14ac:dyDescent="0.2">
      <c r="G399" s="183"/>
    </row>
    <row r="400" spans="7:10" x14ac:dyDescent="0.2">
      <c r="G400" s="183"/>
    </row>
    <row r="401" spans="7:7" x14ac:dyDescent="0.2">
      <c r="G401" s="183"/>
    </row>
    <row r="402" spans="7:7" x14ac:dyDescent="0.2">
      <c r="G402" s="183"/>
    </row>
    <row r="403" spans="7:7" x14ac:dyDescent="0.2">
      <c r="G403" s="183"/>
    </row>
    <row r="404" spans="7:7" x14ac:dyDescent="0.2">
      <c r="G404" s="183"/>
    </row>
    <row r="405" spans="7:7" x14ac:dyDescent="0.2">
      <c r="G405" s="183"/>
    </row>
    <row r="406" spans="7:7" x14ac:dyDescent="0.2">
      <c r="G406" s="183"/>
    </row>
    <row r="407" spans="7:7" x14ac:dyDescent="0.2">
      <c r="G407" s="183"/>
    </row>
    <row r="408" spans="7:7" x14ac:dyDescent="0.2">
      <c r="G408" s="183"/>
    </row>
    <row r="409" spans="7:7" x14ac:dyDescent="0.2">
      <c r="G409" s="183"/>
    </row>
    <row r="410" spans="7:7" x14ac:dyDescent="0.2">
      <c r="G410" s="183"/>
    </row>
    <row r="411" spans="7:7" x14ac:dyDescent="0.2">
      <c r="G411" s="183"/>
    </row>
    <row r="412" spans="7:7" x14ac:dyDescent="0.2">
      <c r="G412" s="183"/>
    </row>
    <row r="413" spans="7:7" x14ac:dyDescent="0.2">
      <c r="G413" s="183"/>
    </row>
    <row r="414" spans="7:7" x14ac:dyDescent="0.2">
      <c r="G414" s="183"/>
    </row>
    <row r="415" spans="7:7" x14ac:dyDescent="0.2">
      <c r="G415" s="183"/>
    </row>
    <row r="416" spans="7:7" x14ac:dyDescent="0.2">
      <c r="G416" s="183"/>
    </row>
    <row r="417" spans="7:7" x14ac:dyDescent="0.2">
      <c r="G417" s="183"/>
    </row>
    <row r="418" spans="7:7" x14ac:dyDescent="0.2">
      <c r="G418" s="183"/>
    </row>
    <row r="419" spans="7:7" x14ac:dyDescent="0.2">
      <c r="G419" s="183"/>
    </row>
    <row r="420" spans="7:7" x14ac:dyDescent="0.2">
      <c r="G420" s="183"/>
    </row>
    <row r="421" spans="7:7" x14ac:dyDescent="0.2">
      <c r="G421" s="183"/>
    </row>
    <row r="422" spans="7:7" x14ac:dyDescent="0.2">
      <c r="G422" s="183"/>
    </row>
    <row r="423" spans="7:7" x14ac:dyDescent="0.2">
      <c r="G423" s="183"/>
    </row>
    <row r="424" spans="7:7" x14ac:dyDescent="0.2">
      <c r="G424" s="183"/>
    </row>
    <row r="425" spans="7:7" x14ac:dyDescent="0.2">
      <c r="G425" s="183"/>
    </row>
    <row r="426" spans="7:7" x14ac:dyDescent="0.2">
      <c r="G426" s="183"/>
    </row>
    <row r="427" spans="7:7" x14ac:dyDescent="0.2">
      <c r="G427" s="183"/>
    </row>
    <row r="428" spans="7:7" x14ac:dyDescent="0.2">
      <c r="G428" s="183"/>
    </row>
    <row r="429" spans="7:7" x14ac:dyDescent="0.2">
      <c r="G429" s="183"/>
    </row>
    <row r="430" spans="7:7" x14ac:dyDescent="0.2">
      <c r="G430" s="183"/>
    </row>
  </sheetData>
  <sortState ref="A32:E63">
    <sortCondition ref="A32:A63"/>
  </sortState>
  <mergeCells count="1">
    <mergeCell ref="A1:J1"/>
  </mergeCells>
  <phoneticPr fontId="0" type="noConversion"/>
  <printOptions gridLines="1"/>
  <pageMargins left="0.75" right="0.16" top="0.51" bottom="0.22" header="0.5" footer="0.17"/>
  <pageSetup scale="85" fitToHeight="2" orientation="landscape" r:id="rId1"/>
  <headerFooter alignWithMargins="0"/>
  <rowBreaks count="6" manualBreakCount="6">
    <brk id="89" max="9" man="1"/>
    <brk id="176" max="9" man="1"/>
    <brk id="218" max="9" man="1"/>
    <brk id="262" max="9" man="1"/>
    <brk id="298" max="9" man="1"/>
    <brk id="338"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22"/>
  <sheetViews>
    <sheetView view="pageBreakPreview" zoomScale="115" zoomScaleNormal="100" zoomScaleSheetLayoutView="115" workbookViewId="0">
      <pane ySplit="5" topLeftCell="A299" activePane="bottomLeft" state="frozen"/>
      <selection activeCell="D43" sqref="D43"/>
      <selection pane="bottomLeft" sqref="A1:J1"/>
    </sheetView>
  </sheetViews>
  <sheetFormatPr defaultColWidth="9.140625" defaultRowHeight="12.75" x14ac:dyDescent="0.2"/>
  <cols>
    <col min="1" max="1" width="53.42578125" style="49" customWidth="1"/>
    <col min="2" max="2" width="10.28515625" style="49" bestFit="1" customWidth="1"/>
    <col min="3" max="3" width="11.42578125" style="49" customWidth="1"/>
    <col min="4" max="4" width="10.42578125" style="49" bestFit="1" customWidth="1"/>
    <col min="5" max="5" width="12.140625" style="49" customWidth="1"/>
    <col min="6" max="6" width="10.85546875" style="49" bestFit="1" customWidth="1"/>
    <col min="7" max="7" width="10.5703125" style="49" customWidth="1"/>
    <col min="8" max="8" width="12" style="49" customWidth="1"/>
    <col min="9" max="9" width="10.28515625" style="49" bestFit="1" customWidth="1"/>
    <col min="10" max="10" width="9.5703125" style="49" customWidth="1"/>
    <col min="11" max="11" width="9.5703125" style="49" bestFit="1" customWidth="1"/>
    <col min="12" max="16384" width="9.140625" style="49"/>
  </cols>
  <sheetData>
    <row r="1" spans="1:12" x14ac:dyDescent="0.2">
      <c r="A1" s="319" t="s">
        <v>2038</v>
      </c>
      <c r="B1" s="320"/>
      <c r="C1" s="320"/>
      <c r="D1" s="320"/>
      <c r="E1" s="320"/>
      <c r="F1" s="320"/>
      <c r="G1" s="320"/>
      <c r="H1" s="320"/>
      <c r="I1" s="320"/>
      <c r="J1" s="320"/>
    </row>
    <row r="2" spans="1:12" ht="18.75" x14ac:dyDescent="0.3">
      <c r="A2" s="98" t="s">
        <v>1563</v>
      </c>
      <c r="B2" s="98"/>
      <c r="C2" s="98"/>
      <c r="D2" s="98"/>
      <c r="E2" s="98"/>
      <c r="F2" s="98"/>
      <c r="I2" s="3"/>
    </row>
    <row r="3" spans="1:12" x14ac:dyDescent="0.2">
      <c r="B3" s="3"/>
      <c r="C3" s="3"/>
      <c r="D3" s="3"/>
      <c r="E3" s="3"/>
      <c r="F3" s="3"/>
      <c r="I3" s="3"/>
    </row>
    <row r="4" spans="1:12" x14ac:dyDescent="0.2">
      <c r="B4" s="3"/>
      <c r="C4" s="3"/>
      <c r="D4" s="3"/>
      <c r="E4" s="15" t="s">
        <v>199</v>
      </c>
      <c r="F4" s="15" t="s">
        <v>200</v>
      </c>
      <c r="G4" s="15" t="s">
        <v>60</v>
      </c>
      <c r="H4" s="15" t="s">
        <v>351</v>
      </c>
      <c r="I4" s="15" t="s">
        <v>264</v>
      </c>
      <c r="J4" s="15" t="s">
        <v>295</v>
      </c>
    </row>
    <row r="5" spans="1:12" ht="15" x14ac:dyDescent="0.35">
      <c r="B5" s="3"/>
      <c r="C5" s="3"/>
      <c r="D5" s="3"/>
      <c r="E5" s="232" t="s">
        <v>1825</v>
      </c>
      <c r="F5" s="232" t="s">
        <v>1947</v>
      </c>
      <c r="G5" s="232" t="s">
        <v>2039</v>
      </c>
      <c r="H5" s="232" t="s">
        <v>2039</v>
      </c>
      <c r="I5" s="232" t="s">
        <v>2039</v>
      </c>
      <c r="J5" s="232" t="s">
        <v>2039</v>
      </c>
    </row>
    <row r="6" spans="1:12" ht="13.5" x14ac:dyDescent="0.25">
      <c r="A6" s="50" t="s">
        <v>785</v>
      </c>
      <c r="B6" s="3"/>
      <c r="C6" s="3"/>
      <c r="D6" s="3"/>
      <c r="E6" s="3">
        <v>165467</v>
      </c>
      <c r="F6" s="3">
        <v>180231</v>
      </c>
      <c r="G6" s="3">
        <v>141710</v>
      </c>
      <c r="H6" s="3">
        <v>141710</v>
      </c>
      <c r="I6" s="3">
        <v>143574</v>
      </c>
      <c r="J6" s="3">
        <v>143574</v>
      </c>
      <c r="K6" s="3">
        <f t="shared" ref="K6:K55" si="0">+H6-F6</f>
        <v>-38521</v>
      </c>
      <c r="L6" s="105"/>
    </row>
    <row r="7" spans="1:12" ht="15" x14ac:dyDescent="0.25">
      <c r="A7" s="85" t="s">
        <v>619</v>
      </c>
      <c r="B7" s="2">
        <v>52</v>
      </c>
      <c r="C7" s="3">
        <v>1158</v>
      </c>
      <c r="D7" s="3">
        <f>ROUND(B7*C7,0)</f>
        <v>60216</v>
      </c>
      <c r="E7" s="3"/>
      <c r="F7" s="3"/>
      <c r="G7" s="3"/>
      <c r="H7" s="3"/>
      <c r="I7" s="3"/>
      <c r="J7" s="3"/>
      <c r="K7" s="3">
        <f t="shared" si="0"/>
        <v>0</v>
      </c>
    </row>
    <row r="8" spans="1:12" ht="15" x14ac:dyDescent="0.25">
      <c r="A8" s="85" t="s">
        <v>1684</v>
      </c>
      <c r="B8" s="2">
        <v>52</v>
      </c>
      <c r="C8" s="3">
        <v>0</v>
      </c>
      <c r="D8" s="3">
        <f>ROUND(B8*C8,0)</f>
        <v>0</v>
      </c>
      <c r="E8" s="3"/>
      <c r="F8" s="3"/>
      <c r="G8" s="3"/>
      <c r="H8" s="3"/>
      <c r="I8" s="3"/>
      <c r="J8" s="3"/>
      <c r="K8" s="3">
        <f t="shared" si="0"/>
        <v>0</v>
      </c>
    </row>
    <row r="9" spans="1:12" ht="15" x14ac:dyDescent="0.25">
      <c r="A9" s="85" t="s">
        <v>1765</v>
      </c>
      <c r="B9" s="2">
        <v>52</v>
      </c>
      <c r="C9" s="3">
        <f>19.52*40</f>
        <v>780.8</v>
      </c>
      <c r="D9" s="3">
        <f>ROUND(B9*C9,0)</f>
        <v>40602</v>
      </c>
      <c r="E9" s="3"/>
      <c r="F9" s="3"/>
      <c r="G9" s="3"/>
      <c r="H9" s="3"/>
      <c r="I9" s="3"/>
      <c r="J9" s="3"/>
      <c r="K9" s="3">
        <f t="shared" si="0"/>
        <v>0</v>
      </c>
    </row>
    <row r="10" spans="1:12" ht="15" x14ac:dyDescent="0.25">
      <c r="A10" s="85" t="s">
        <v>1685</v>
      </c>
      <c r="B10" s="2">
        <v>52</v>
      </c>
      <c r="C10" s="3">
        <f>20.04*40</f>
        <v>801.59999999999991</v>
      </c>
      <c r="D10" s="3">
        <f>ROUND(B10*C10,0)</f>
        <v>41683</v>
      </c>
      <c r="E10" s="3"/>
      <c r="F10" s="3"/>
      <c r="G10" s="3"/>
      <c r="H10" s="3"/>
      <c r="I10" s="3"/>
      <c r="J10" s="3"/>
      <c r="K10" s="3">
        <f t="shared" si="0"/>
        <v>0</v>
      </c>
    </row>
    <row r="11" spans="1:12" ht="15" x14ac:dyDescent="0.35">
      <c r="A11" s="49" t="s">
        <v>818</v>
      </c>
      <c r="B11" s="3"/>
      <c r="C11" s="3"/>
      <c r="D11" s="28">
        <v>1073</v>
      </c>
      <c r="E11" s="3"/>
      <c r="F11" s="3"/>
      <c r="G11" s="3"/>
      <c r="H11" s="3"/>
      <c r="I11" s="3"/>
      <c r="J11" s="3"/>
      <c r="K11" s="3">
        <f t="shared" si="0"/>
        <v>0</v>
      </c>
    </row>
    <row r="12" spans="1:12" x14ac:dyDescent="0.2">
      <c r="A12" s="49" t="s">
        <v>1067</v>
      </c>
      <c r="B12" s="3"/>
      <c r="C12" s="3"/>
      <c r="D12" s="3">
        <f>SUM(D7:D11)</f>
        <v>143574</v>
      </c>
      <c r="F12" s="3"/>
      <c r="G12" s="3"/>
      <c r="H12" s="3"/>
      <c r="I12" s="3"/>
      <c r="J12" s="3"/>
      <c r="K12" s="3">
        <f t="shared" si="0"/>
        <v>0</v>
      </c>
    </row>
    <row r="13" spans="1:12" x14ac:dyDescent="0.2">
      <c r="B13" s="3"/>
      <c r="C13" s="3"/>
      <c r="D13" s="3"/>
      <c r="E13" s="3"/>
      <c r="F13" s="3"/>
      <c r="G13" s="3"/>
      <c r="H13" s="3"/>
      <c r="I13" s="3"/>
      <c r="J13" s="3"/>
      <c r="K13" s="3">
        <f t="shared" si="0"/>
        <v>0</v>
      </c>
    </row>
    <row r="14" spans="1:12" ht="13.5" x14ac:dyDescent="0.25">
      <c r="A14" s="50" t="s">
        <v>501</v>
      </c>
      <c r="B14" s="3"/>
      <c r="C14" s="3"/>
      <c r="D14" s="3"/>
      <c r="E14" s="3">
        <v>920649</v>
      </c>
      <c r="F14" s="3">
        <v>926593</v>
      </c>
      <c r="G14" s="3">
        <v>932272</v>
      </c>
      <c r="H14" s="3">
        <v>932272</v>
      </c>
      <c r="I14" s="3">
        <v>943961</v>
      </c>
      <c r="J14" s="3">
        <v>986517</v>
      </c>
      <c r="K14" s="3">
        <f>+J14-I14</f>
        <v>42556</v>
      </c>
      <c r="L14" s="105"/>
    </row>
    <row r="15" spans="1:12" x14ac:dyDescent="0.2">
      <c r="A15" s="49" t="s">
        <v>299</v>
      </c>
      <c r="B15" s="2">
        <v>52</v>
      </c>
      <c r="C15" s="3">
        <v>2530</v>
      </c>
      <c r="D15" s="3">
        <f t="shared" ref="D15:D24" si="1">ROUND(B15*C15,0)</f>
        <v>131560</v>
      </c>
      <c r="E15" s="3"/>
      <c r="F15" s="3"/>
      <c r="G15" s="3"/>
      <c r="H15" s="3"/>
      <c r="I15" s="3"/>
      <c r="J15" s="3"/>
      <c r="K15" s="3">
        <f t="shared" si="0"/>
        <v>0</v>
      </c>
    </row>
    <row r="16" spans="1:12" x14ac:dyDescent="0.2">
      <c r="A16" s="49" t="s">
        <v>1604</v>
      </c>
      <c r="B16" s="2">
        <v>52</v>
      </c>
      <c r="C16" s="3">
        <v>2317</v>
      </c>
      <c r="D16" s="3">
        <f t="shared" si="1"/>
        <v>120484</v>
      </c>
      <c r="E16" s="3"/>
      <c r="F16" s="3"/>
      <c r="G16" s="3"/>
      <c r="H16" s="3"/>
      <c r="I16" s="3"/>
      <c r="J16" s="3"/>
      <c r="K16" s="3">
        <f t="shared" si="0"/>
        <v>0</v>
      </c>
    </row>
    <row r="17" spans="1:12" x14ac:dyDescent="0.2">
      <c r="A17" s="49" t="s">
        <v>1245</v>
      </c>
      <c r="B17" s="2">
        <v>52</v>
      </c>
      <c r="C17" s="3">
        <v>1791</v>
      </c>
      <c r="D17" s="3">
        <f t="shared" si="1"/>
        <v>93132</v>
      </c>
      <c r="E17" s="3"/>
      <c r="F17" s="3"/>
      <c r="G17" s="3"/>
      <c r="H17" s="3"/>
      <c r="I17" s="3"/>
      <c r="J17" s="3"/>
      <c r="K17" s="3">
        <f t="shared" si="0"/>
        <v>0</v>
      </c>
    </row>
    <row r="18" spans="1:12" ht="15" x14ac:dyDescent="0.25">
      <c r="A18" s="85" t="s">
        <v>387</v>
      </c>
      <c r="B18" s="2">
        <v>52</v>
      </c>
      <c r="C18" s="3">
        <f>54.2*40</f>
        <v>2168</v>
      </c>
      <c r="D18" s="3">
        <f t="shared" si="1"/>
        <v>112736</v>
      </c>
      <c r="E18" s="85"/>
      <c r="F18" s="3"/>
      <c r="G18" s="3"/>
      <c r="H18" s="3"/>
      <c r="I18" s="3"/>
      <c r="J18" s="3"/>
      <c r="K18" s="3">
        <f t="shared" si="0"/>
        <v>0</v>
      </c>
    </row>
    <row r="19" spans="1:12" ht="15" x14ac:dyDescent="0.25">
      <c r="A19" s="85" t="s">
        <v>387</v>
      </c>
      <c r="B19" s="2">
        <v>52</v>
      </c>
      <c r="C19" s="3">
        <f>54.35*40</f>
        <v>2174</v>
      </c>
      <c r="D19" s="3">
        <f t="shared" si="1"/>
        <v>113048</v>
      </c>
      <c r="E19" s="85"/>
      <c r="F19" s="3"/>
      <c r="G19" s="3"/>
      <c r="H19" s="3"/>
      <c r="I19" s="3"/>
      <c r="J19" s="3"/>
      <c r="K19" s="3">
        <f t="shared" si="0"/>
        <v>0</v>
      </c>
    </row>
    <row r="20" spans="1:12" ht="15" x14ac:dyDescent="0.25">
      <c r="A20" s="85" t="s">
        <v>388</v>
      </c>
      <c r="B20" s="2">
        <v>52</v>
      </c>
      <c r="C20" s="3">
        <f>48.41*40</f>
        <v>1936.3999999999999</v>
      </c>
      <c r="D20" s="3">
        <f t="shared" si="1"/>
        <v>100693</v>
      </c>
      <c r="E20" s="85"/>
      <c r="F20" s="3"/>
      <c r="G20" s="3"/>
      <c r="H20" s="3"/>
      <c r="I20" s="3"/>
      <c r="J20" s="3"/>
      <c r="K20" s="3">
        <f t="shared" si="0"/>
        <v>0</v>
      </c>
    </row>
    <row r="21" spans="1:12" ht="15" x14ac:dyDescent="0.25">
      <c r="A21" s="85" t="s">
        <v>388</v>
      </c>
      <c r="B21" s="2">
        <v>52</v>
      </c>
      <c r="C21" s="3">
        <f>48.04*40</f>
        <v>1921.6</v>
      </c>
      <c r="D21" s="3">
        <f t="shared" si="1"/>
        <v>99923</v>
      </c>
      <c r="E21" s="85"/>
      <c r="F21" s="3"/>
      <c r="G21" s="3"/>
      <c r="H21" s="3"/>
      <c r="I21" s="3"/>
      <c r="J21" s="3"/>
      <c r="K21" s="3">
        <f t="shared" si="0"/>
        <v>0</v>
      </c>
    </row>
    <row r="22" spans="1:12" ht="15" x14ac:dyDescent="0.25">
      <c r="A22" s="85" t="s">
        <v>388</v>
      </c>
      <c r="B22" s="2">
        <v>52</v>
      </c>
      <c r="C22" s="3">
        <f>48.28*40</f>
        <v>1931.2</v>
      </c>
      <c r="D22" s="3">
        <f t="shared" si="1"/>
        <v>100422</v>
      </c>
      <c r="E22" s="85"/>
      <c r="F22" s="3"/>
      <c r="G22" s="3"/>
      <c r="H22" s="3"/>
      <c r="I22" s="3"/>
      <c r="J22" s="3"/>
      <c r="K22" s="3">
        <f t="shared" si="0"/>
        <v>0</v>
      </c>
    </row>
    <row r="23" spans="1:12" ht="15" x14ac:dyDescent="0.25">
      <c r="A23" s="85" t="s">
        <v>388</v>
      </c>
      <c r="B23" s="2">
        <v>52</v>
      </c>
      <c r="C23" s="3">
        <f>47.93*40</f>
        <v>1917.2</v>
      </c>
      <c r="D23" s="3">
        <f t="shared" si="1"/>
        <v>99694</v>
      </c>
      <c r="E23" s="85"/>
      <c r="F23" s="3"/>
      <c r="G23" s="3"/>
      <c r="H23" s="3"/>
      <c r="I23" s="3"/>
      <c r="J23" s="3"/>
      <c r="K23" s="3">
        <f t="shared" si="0"/>
        <v>0</v>
      </c>
    </row>
    <row r="24" spans="1:12" ht="15" x14ac:dyDescent="0.25">
      <c r="A24" s="85" t="s">
        <v>1746</v>
      </c>
      <c r="B24" s="2">
        <v>52</v>
      </c>
      <c r="C24" s="3">
        <v>16</v>
      </c>
      <c r="D24" s="3">
        <f t="shared" si="1"/>
        <v>832</v>
      </c>
      <c r="E24" s="85"/>
      <c r="F24" s="3"/>
      <c r="G24" s="3"/>
      <c r="H24" s="3"/>
      <c r="I24" s="3"/>
      <c r="J24" s="3"/>
      <c r="K24" s="3">
        <f t="shared" si="0"/>
        <v>0</v>
      </c>
    </row>
    <row r="25" spans="1:12" ht="15" x14ac:dyDescent="0.35">
      <c r="A25" s="3" t="s">
        <v>818</v>
      </c>
      <c r="B25" s="3"/>
      <c r="C25" s="3"/>
      <c r="D25" s="28">
        <v>13993</v>
      </c>
      <c r="E25" s="3"/>
      <c r="F25" s="3"/>
      <c r="G25" s="3"/>
      <c r="H25" s="3"/>
      <c r="I25" s="3"/>
      <c r="J25" s="3"/>
      <c r="K25" s="3">
        <f t="shared" si="0"/>
        <v>0</v>
      </c>
    </row>
    <row r="26" spans="1:12" x14ac:dyDescent="0.2">
      <c r="A26" s="3" t="s">
        <v>1067</v>
      </c>
      <c r="B26" s="3"/>
      <c r="C26" s="3"/>
      <c r="D26" s="3">
        <f>SUM(D15:D25)</f>
        <v>986517</v>
      </c>
      <c r="F26" s="3"/>
      <c r="G26" s="3"/>
      <c r="H26" s="3"/>
      <c r="I26" s="3"/>
      <c r="J26" s="3"/>
      <c r="K26" s="3">
        <f t="shared" si="0"/>
        <v>0</v>
      </c>
    </row>
    <row r="27" spans="1:12" x14ac:dyDescent="0.2">
      <c r="A27" s="3"/>
      <c r="B27" s="3"/>
      <c r="C27" s="3"/>
      <c r="D27" s="3"/>
      <c r="E27" s="3"/>
      <c r="F27" s="3"/>
      <c r="G27" s="3"/>
      <c r="H27" s="3"/>
      <c r="I27" s="3"/>
      <c r="J27" s="3"/>
      <c r="K27" s="3">
        <f t="shared" si="0"/>
        <v>0</v>
      </c>
    </row>
    <row r="28" spans="1:12" ht="13.5" x14ac:dyDescent="0.25">
      <c r="A28" s="50" t="s">
        <v>703</v>
      </c>
      <c r="B28" s="3"/>
      <c r="C28" s="3"/>
      <c r="D28" s="3"/>
      <c r="E28" s="3">
        <v>2426277</v>
      </c>
      <c r="F28" s="3">
        <v>2712522</v>
      </c>
      <c r="G28" s="3">
        <v>2851642</v>
      </c>
      <c r="H28" s="3">
        <v>2851642</v>
      </c>
      <c r="I28" s="3">
        <v>2851642</v>
      </c>
      <c r="J28" s="3">
        <v>2851642</v>
      </c>
      <c r="K28" s="3">
        <f t="shared" si="0"/>
        <v>139120</v>
      </c>
      <c r="L28" s="105"/>
    </row>
    <row r="29" spans="1:12" x14ac:dyDescent="0.2">
      <c r="A29" s="210" t="s">
        <v>2175</v>
      </c>
      <c r="B29" s="2">
        <v>52</v>
      </c>
      <c r="C29" s="210">
        <f>38.55*40</f>
        <v>1542</v>
      </c>
      <c r="D29" s="3">
        <f t="shared" ref="D29:D65" si="2">ROUND(B29*C29,0)</f>
        <v>80184</v>
      </c>
      <c r="E29" s="3"/>
      <c r="F29" s="112"/>
      <c r="G29" s="112"/>
      <c r="H29" s="112"/>
      <c r="I29" s="112"/>
      <c r="J29" s="112"/>
      <c r="K29" s="3">
        <f t="shared" si="0"/>
        <v>0</v>
      </c>
    </row>
    <row r="30" spans="1:12" x14ac:dyDescent="0.2">
      <c r="A30" s="210" t="s">
        <v>705</v>
      </c>
      <c r="B30" s="2">
        <v>52</v>
      </c>
      <c r="C30" s="210">
        <f>37.8*40</f>
        <v>1512</v>
      </c>
      <c r="D30" s="3">
        <f t="shared" si="2"/>
        <v>78624</v>
      </c>
      <c r="E30" s="3"/>
      <c r="F30" s="106"/>
      <c r="G30" s="106"/>
      <c r="H30" s="106"/>
      <c r="I30" s="106"/>
      <c r="J30" s="106"/>
      <c r="K30" s="3">
        <f t="shared" si="0"/>
        <v>0</v>
      </c>
    </row>
    <row r="31" spans="1:12" x14ac:dyDescent="0.2">
      <c r="A31" s="210" t="s">
        <v>705</v>
      </c>
      <c r="B31" s="2">
        <v>52</v>
      </c>
      <c r="C31" s="297">
        <f>38.69*40</f>
        <v>1547.6</v>
      </c>
      <c r="D31" s="3">
        <f t="shared" si="2"/>
        <v>80475</v>
      </c>
      <c r="E31" s="3"/>
      <c r="F31" s="106"/>
      <c r="G31" s="106"/>
      <c r="H31" s="106"/>
      <c r="I31" s="106"/>
      <c r="J31" s="106"/>
      <c r="K31" s="3">
        <f t="shared" si="0"/>
        <v>0</v>
      </c>
    </row>
    <row r="32" spans="1:12" x14ac:dyDescent="0.2">
      <c r="A32" s="210" t="s">
        <v>705</v>
      </c>
      <c r="B32" s="2">
        <v>52</v>
      </c>
      <c r="C32" s="297">
        <f>38.69*40</f>
        <v>1547.6</v>
      </c>
      <c r="D32" s="3">
        <f t="shared" si="2"/>
        <v>80475</v>
      </c>
      <c r="E32" s="3"/>
      <c r="F32" s="106"/>
      <c r="G32" s="106"/>
      <c r="H32" s="106"/>
      <c r="I32" s="106"/>
      <c r="J32" s="106"/>
      <c r="K32" s="3">
        <f t="shared" si="0"/>
        <v>0</v>
      </c>
    </row>
    <row r="33" spans="1:11" x14ac:dyDescent="0.2">
      <c r="A33" s="210" t="s">
        <v>705</v>
      </c>
      <c r="B33" s="2">
        <v>52</v>
      </c>
      <c r="C33" s="298">
        <f>38.74*40</f>
        <v>1549.6000000000001</v>
      </c>
      <c r="D33" s="3">
        <f t="shared" si="2"/>
        <v>80579</v>
      </c>
      <c r="E33" s="3"/>
      <c r="F33" s="106"/>
      <c r="G33" s="106"/>
      <c r="H33" s="106"/>
      <c r="I33" s="106"/>
      <c r="J33" s="106"/>
      <c r="K33" s="3">
        <f t="shared" si="0"/>
        <v>0</v>
      </c>
    </row>
    <row r="34" spans="1:11" x14ac:dyDescent="0.2">
      <c r="A34" s="210" t="s">
        <v>75</v>
      </c>
      <c r="B34" s="2">
        <v>52</v>
      </c>
      <c r="C34" s="297">
        <f>36.31*40</f>
        <v>1452.4</v>
      </c>
      <c r="D34" s="3">
        <f t="shared" si="2"/>
        <v>75525</v>
      </c>
      <c r="E34" s="3"/>
      <c r="F34" s="106"/>
      <c r="G34" s="106"/>
      <c r="H34" s="106"/>
      <c r="I34" s="106"/>
      <c r="J34" s="106"/>
      <c r="K34" s="3">
        <f t="shared" si="0"/>
        <v>0</v>
      </c>
    </row>
    <row r="35" spans="1:11" x14ac:dyDescent="0.2">
      <c r="A35" s="210" t="s">
        <v>75</v>
      </c>
      <c r="B35" s="2">
        <v>52</v>
      </c>
      <c r="C35" s="210">
        <f>36.35*40</f>
        <v>1454</v>
      </c>
      <c r="D35" s="3">
        <f t="shared" si="2"/>
        <v>75608</v>
      </c>
      <c r="E35" s="3"/>
      <c r="F35" s="106"/>
      <c r="G35" s="106"/>
      <c r="H35" s="106"/>
      <c r="I35" s="106"/>
      <c r="J35" s="106"/>
      <c r="K35" s="3">
        <f t="shared" si="0"/>
        <v>0</v>
      </c>
    </row>
    <row r="36" spans="1:11" x14ac:dyDescent="0.2">
      <c r="A36" s="210" t="s">
        <v>75</v>
      </c>
      <c r="B36" s="2">
        <v>52</v>
      </c>
      <c r="C36" s="247">
        <f>36.06*40</f>
        <v>1442.4</v>
      </c>
      <c r="D36" s="3">
        <f t="shared" si="2"/>
        <v>75005</v>
      </c>
      <c r="E36" s="3"/>
      <c r="F36" s="106"/>
      <c r="G36" s="106"/>
      <c r="H36" s="106"/>
      <c r="I36" s="106"/>
      <c r="J36" s="106"/>
      <c r="K36" s="3">
        <f t="shared" si="0"/>
        <v>0</v>
      </c>
    </row>
    <row r="37" spans="1:11" x14ac:dyDescent="0.2">
      <c r="A37" s="210" t="s">
        <v>704</v>
      </c>
      <c r="B37" s="2">
        <v>52</v>
      </c>
      <c r="C37" s="297">
        <f>41.99*40</f>
        <v>1679.6000000000001</v>
      </c>
      <c r="D37" s="3">
        <f t="shared" si="2"/>
        <v>87339</v>
      </c>
      <c r="E37" s="3"/>
      <c r="F37" s="106"/>
      <c r="G37" s="106"/>
      <c r="H37" s="106"/>
      <c r="I37" s="106"/>
      <c r="J37" s="106"/>
      <c r="K37" s="3">
        <f t="shared" si="0"/>
        <v>0</v>
      </c>
    </row>
    <row r="38" spans="1:11" x14ac:dyDescent="0.2">
      <c r="A38" s="210" t="s">
        <v>704</v>
      </c>
      <c r="B38" s="2">
        <v>52</v>
      </c>
      <c r="C38" s="210">
        <f>41.9*40</f>
        <v>1676</v>
      </c>
      <c r="D38" s="3">
        <f t="shared" si="2"/>
        <v>87152</v>
      </c>
      <c r="E38" s="3"/>
      <c r="F38" s="106"/>
      <c r="G38" s="106"/>
      <c r="H38" s="106"/>
      <c r="I38" s="106"/>
      <c r="J38" s="106"/>
      <c r="K38" s="3">
        <f t="shared" si="0"/>
        <v>0</v>
      </c>
    </row>
    <row r="39" spans="1:11" x14ac:dyDescent="0.2">
      <c r="A39" s="210" t="s">
        <v>704</v>
      </c>
      <c r="B39" s="2">
        <v>52</v>
      </c>
      <c r="C39" s="297">
        <f>41.61*40</f>
        <v>1664.4</v>
      </c>
      <c r="D39" s="3">
        <f t="shared" si="2"/>
        <v>86549</v>
      </c>
      <c r="E39" s="3"/>
      <c r="F39" s="106"/>
      <c r="G39" s="106"/>
      <c r="H39" s="106"/>
      <c r="I39" s="106"/>
      <c r="J39" s="106"/>
      <c r="K39" s="3">
        <f t="shared" si="0"/>
        <v>0</v>
      </c>
    </row>
    <row r="40" spans="1:11" x14ac:dyDescent="0.2">
      <c r="A40" s="210" t="s">
        <v>704</v>
      </c>
      <c r="B40" s="2">
        <v>52</v>
      </c>
      <c r="C40" s="297">
        <f>41.99*40</f>
        <v>1679.6000000000001</v>
      </c>
      <c r="D40" s="3">
        <f t="shared" si="2"/>
        <v>87339</v>
      </c>
      <c r="E40" s="3"/>
      <c r="F40" s="106"/>
      <c r="G40" s="106"/>
      <c r="H40" s="106"/>
      <c r="I40" s="106"/>
      <c r="J40" s="106"/>
      <c r="K40" s="3">
        <f t="shared" si="0"/>
        <v>0</v>
      </c>
    </row>
    <row r="41" spans="1:11" x14ac:dyDescent="0.2">
      <c r="A41" s="210" t="s">
        <v>704</v>
      </c>
      <c r="B41" s="2">
        <v>52</v>
      </c>
      <c r="C41" s="210">
        <f>41.75*40</f>
        <v>1670</v>
      </c>
      <c r="D41" s="3">
        <f t="shared" si="2"/>
        <v>86840</v>
      </c>
      <c r="E41" s="3"/>
      <c r="F41" s="106"/>
      <c r="G41" s="106"/>
      <c r="H41" s="106"/>
      <c r="I41" s="106"/>
      <c r="J41" s="106"/>
      <c r="K41" s="3">
        <f t="shared" si="0"/>
        <v>0</v>
      </c>
    </row>
    <row r="42" spans="1:11" x14ac:dyDescent="0.2">
      <c r="A42" s="210" t="s">
        <v>704</v>
      </c>
      <c r="B42" s="2">
        <v>52</v>
      </c>
      <c r="C42" s="297">
        <f>41.99*40</f>
        <v>1679.6000000000001</v>
      </c>
      <c r="D42" s="3">
        <f t="shared" si="2"/>
        <v>87339</v>
      </c>
      <c r="E42" s="3"/>
      <c r="F42" s="106"/>
      <c r="G42" s="106"/>
      <c r="H42" s="106"/>
      <c r="I42" s="106"/>
      <c r="J42" s="106"/>
      <c r="K42" s="3">
        <f t="shared" si="0"/>
        <v>0</v>
      </c>
    </row>
    <row r="43" spans="1:11" x14ac:dyDescent="0.2">
      <c r="A43" s="210" t="s">
        <v>420</v>
      </c>
      <c r="B43" s="2">
        <v>52</v>
      </c>
      <c r="C43" s="297">
        <f>33.69*40</f>
        <v>1347.6</v>
      </c>
      <c r="D43" s="3">
        <f t="shared" ref="D43:D63" si="3">ROUND(B43*C43,0)</f>
        <v>70075</v>
      </c>
      <c r="E43" s="3"/>
      <c r="F43" s="106"/>
      <c r="G43" s="106"/>
      <c r="H43" s="106"/>
      <c r="I43" s="106"/>
      <c r="J43" s="106"/>
      <c r="K43" s="3">
        <f t="shared" si="0"/>
        <v>0</v>
      </c>
    </row>
    <row r="44" spans="1:11" x14ac:dyDescent="0.2">
      <c r="A44" s="210" t="s">
        <v>420</v>
      </c>
      <c r="B44" s="2">
        <v>52</v>
      </c>
      <c r="C44" s="210">
        <f>33.4*40</f>
        <v>1336</v>
      </c>
      <c r="D44" s="3">
        <f t="shared" si="3"/>
        <v>69472</v>
      </c>
      <c r="E44" s="3"/>
      <c r="F44" s="106"/>
      <c r="G44" s="106"/>
      <c r="H44" s="106"/>
      <c r="I44" s="106"/>
      <c r="J44" s="106"/>
      <c r="K44" s="3">
        <f t="shared" si="0"/>
        <v>0</v>
      </c>
    </row>
    <row r="45" spans="1:11" x14ac:dyDescent="0.2">
      <c r="A45" s="210" t="s">
        <v>420</v>
      </c>
      <c r="B45" s="2">
        <v>52</v>
      </c>
      <c r="C45" s="297">
        <f>33.69*40</f>
        <v>1347.6</v>
      </c>
      <c r="D45" s="3">
        <f t="shared" si="3"/>
        <v>70075</v>
      </c>
      <c r="E45" s="3"/>
      <c r="F45" s="106"/>
      <c r="G45" s="106"/>
      <c r="H45" s="106"/>
      <c r="I45" s="106"/>
      <c r="J45" s="106"/>
      <c r="K45" s="3">
        <f t="shared" si="0"/>
        <v>0</v>
      </c>
    </row>
    <row r="46" spans="1:11" x14ac:dyDescent="0.2">
      <c r="A46" s="210" t="s">
        <v>420</v>
      </c>
      <c r="B46" s="2">
        <v>52</v>
      </c>
      <c r="C46" s="107">
        <f>33.5*40</f>
        <v>1340</v>
      </c>
      <c r="D46" s="3">
        <f t="shared" si="3"/>
        <v>69680</v>
      </c>
      <c r="E46" s="3"/>
      <c r="F46" s="106"/>
      <c r="G46" s="106"/>
      <c r="H46" s="106"/>
      <c r="I46" s="106"/>
      <c r="J46" s="106"/>
      <c r="K46" s="3">
        <f t="shared" si="0"/>
        <v>0</v>
      </c>
    </row>
    <row r="47" spans="1:11" x14ac:dyDescent="0.2">
      <c r="A47" s="210" t="s">
        <v>420</v>
      </c>
      <c r="B47" s="2">
        <v>52</v>
      </c>
      <c r="C47" s="297">
        <f>34.12*40</f>
        <v>1364.8</v>
      </c>
      <c r="D47" s="3">
        <f t="shared" si="3"/>
        <v>70970</v>
      </c>
      <c r="E47" s="3"/>
      <c r="F47" s="106"/>
      <c r="G47" s="106"/>
      <c r="H47" s="106"/>
      <c r="I47" s="106"/>
      <c r="J47" s="106"/>
      <c r="K47" s="3">
        <f t="shared" si="0"/>
        <v>0</v>
      </c>
    </row>
    <row r="48" spans="1:11" x14ac:dyDescent="0.2">
      <c r="A48" s="210" t="s">
        <v>420</v>
      </c>
      <c r="B48" s="2">
        <v>52</v>
      </c>
      <c r="C48" s="210">
        <f>33.4*40</f>
        <v>1336</v>
      </c>
      <c r="D48" s="3">
        <f t="shared" si="3"/>
        <v>69472</v>
      </c>
      <c r="E48" s="3"/>
      <c r="F48" s="106"/>
      <c r="G48" s="106"/>
      <c r="H48" s="106"/>
      <c r="I48" s="106"/>
      <c r="J48" s="106"/>
      <c r="K48" s="3">
        <f t="shared" si="0"/>
        <v>0</v>
      </c>
    </row>
    <row r="49" spans="1:11" x14ac:dyDescent="0.2">
      <c r="A49" s="210" t="s">
        <v>1959</v>
      </c>
      <c r="B49" s="2">
        <v>52</v>
      </c>
      <c r="C49" s="297">
        <f>33.69*40</f>
        <v>1347.6</v>
      </c>
      <c r="D49" s="3">
        <f t="shared" si="3"/>
        <v>70075</v>
      </c>
      <c r="E49" s="3"/>
      <c r="F49" s="106"/>
      <c r="G49" s="106"/>
      <c r="H49" s="106"/>
      <c r="I49" s="106"/>
      <c r="J49" s="106"/>
      <c r="K49" s="3">
        <f t="shared" si="0"/>
        <v>0</v>
      </c>
    </row>
    <row r="50" spans="1:11" x14ac:dyDescent="0.2">
      <c r="A50" s="210" t="s">
        <v>1959</v>
      </c>
      <c r="B50" s="2">
        <v>52</v>
      </c>
      <c r="C50" s="297">
        <f>31.36*40</f>
        <v>1254.4000000000001</v>
      </c>
      <c r="D50" s="3">
        <f t="shared" si="3"/>
        <v>65229</v>
      </c>
      <c r="E50" s="3"/>
      <c r="F50" s="106"/>
      <c r="G50" s="106"/>
      <c r="H50" s="106"/>
      <c r="I50" s="106"/>
      <c r="J50" s="106"/>
      <c r="K50" s="3">
        <f t="shared" si="0"/>
        <v>0</v>
      </c>
    </row>
    <row r="51" spans="1:11" x14ac:dyDescent="0.2">
      <c r="A51" s="210" t="s">
        <v>2043</v>
      </c>
      <c r="B51" s="2">
        <v>52</v>
      </c>
      <c r="C51" s="210">
        <f>36.35*40</f>
        <v>1454</v>
      </c>
      <c r="D51" s="3">
        <f t="shared" si="3"/>
        <v>75608</v>
      </c>
      <c r="E51" s="249"/>
      <c r="F51" s="250"/>
      <c r="G51" s="250"/>
      <c r="H51" s="250"/>
      <c r="I51" s="250"/>
      <c r="J51" s="250"/>
      <c r="K51" s="3">
        <f t="shared" si="0"/>
        <v>0</v>
      </c>
    </row>
    <row r="52" spans="1:11" x14ac:dyDescent="0.2">
      <c r="A52" s="210" t="s">
        <v>420</v>
      </c>
      <c r="B52" s="2">
        <v>52</v>
      </c>
      <c r="C52" s="297">
        <f>33.64*40</f>
        <v>1345.6</v>
      </c>
      <c r="D52" s="3">
        <f t="shared" si="3"/>
        <v>69971</v>
      </c>
      <c r="E52" s="249"/>
      <c r="F52" s="250"/>
      <c r="G52" s="250"/>
      <c r="H52" s="250"/>
      <c r="I52" s="250"/>
      <c r="J52" s="250"/>
      <c r="K52" s="3">
        <f t="shared" si="0"/>
        <v>0</v>
      </c>
    </row>
    <row r="53" spans="1:11" x14ac:dyDescent="0.2">
      <c r="A53" s="210" t="s">
        <v>420</v>
      </c>
      <c r="B53" s="2">
        <v>52</v>
      </c>
      <c r="C53" s="210">
        <f>33.5*40</f>
        <v>1340</v>
      </c>
      <c r="D53" s="3">
        <f t="shared" si="3"/>
        <v>69680</v>
      </c>
      <c r="E53" s="249"/>
      <c r="F53" s="250"/>
      <c r="G53" s="250"/>
      <c r="H53" s="250"/>
      <c r="I53" s="250"/>
      <c r="J53" s="250"/>
      <c r="K53" s="3">
        <f t="shared" si="0"/>
        <v>0</v>
      </c>
    </row>
    <row r="54" spans="1:11" x14ac:dyDescent="0.2">
      <c r="A54" s="210" t="s">
        <v>420</v>
      </c>
      <c r="B54" s="2">
        <v>52</v>
      </c>
      <c r="C54" s="297">
        <f>33.69*40</f>
        <v>1347.6</v>
      </c>
      <c r="D54" s="3">
        <f t="shared" si="3"/>
        <v>70075</v>
      </c>
      <c r="E54" s="249"/>
      <c r="F54" s="250"/>
      <c r="G54" s="250"/>
      <c r="H54" s="250"/>
      <c r="I54" s="250"/>
      <c r="J54" s="250"/>
      <c r="K54" s="3">
        <f t="shared" si="0"/>
        <v>0</v>
      </c>
    </row>
    <row r="55" spans="1:11" x14ac:dyDescent="0.2">
      <c r="A55" s="210" t="s">
        <v>420</v>
      </c>
      <c r="B55" s="2">
        <v>52</v>
      </c>
      <c r="C55" s="297">
        <f>33.93*40</f>
        <v>1357.2</v>
      </c>
      <c r="D55" s="3">
        <f t="shared" si="3"/>
        <v>70574</v>
      </c>
      <c r="E55" s="249"/>
      <c r="F55" s="250"/>
      <c r="G55" s="250"/>
      <c r="H55" s="250"/>
      <c r="I55" s="250"/>
      <c r="J55" s="250"/>
      <c r="K55" s="3">
        <f t="shared" si="0"/>
        <v>0</v>
      </c>
    </row>
    <row r="56" spans="1:11" x14ac:dyDescent="0.2">
      <c r="A56" s="210" t="s">
        <v>420</v>
      </c>
      <c r="B56" s="2">
        <v>52</v>
      </c>
      <c r="C56" s="298">
        <f>33.69*40</f>
        <v>1347.6</v>
      </c>
      <c r="D56" s="3">
        <f t="shared" si="3"/>
        <v>70075</v>
      </c>
      <c r="E56" s="249"/>
      <c r="F56" s="250"/>
      <c r="G56" s="250"/>
      <c r="H56" s="250"/>
      <c r="I56" s="250"/>
      <c r="J56" s="250"/>
      <c r="K56" s="3">
        <f>+H56-F59</f>
        <v>0</v>
      </c>
    </row>
    <row r="57" spans="1:11" x14ac:dyDescent="0.2">
      <c r="A57" s="210" t="s">
        <v>420</v>
      </c>
      <c r="B57" s="2">
        <v>52</v>
      </c>
      <c r="C57" s="297">
        <f>31.36*40</f>
        <v>1254.4000000000001</v>
      </c>
      <c r="D57" s="3">
        <f t="shared" si="3"/>
        <v>65229</v>
      </c>
      <c r="E57" s="249"/>
      <c r="F57" s="250"/>
      <c r="G57" s="250"/>
      <c r="H57" s="250"/>
      <c r="I57" s="250"/>
      <c r="J57" s="250"/>
      <c r="K57" s="3">
        <f>+H57-F60</f>
        <v>0</v>
      </c>
    </row>
    <row r="58" spans="1:11" x14ac:dyDescent="0.2">
      <c r="A58" s="210" t="s">
        <v>420</v>
      </c>
      <c r="B58" s="2">
        <v>52</v>
      </c>
      <c r="C58" s="297">
        <f>33.69*40</f>
        <v>1347.6</v>
      </c>
      <c r="D58" s="3">
        <f t="shared" si="3"/>
        <v>70075</v>
      </c>
      <c r="E58" s="249"/>
      <c r="F58" s="250"/>
      <c r="G58" s="250"/>
      <c r="H58" s="250"/>
      <c r="I58" s="250"/>
      <c r="J58" s="250"/>
      <c r="K58" s="3">
        <f>+H58-F61</f>
        <v>0</v>
      </c>
    </row>
    <row r="59" spans="1:11" x14ac:dyDescent="0.2">
      <c r="A59" s="210" t="s">
        <v>420</v>
      </c>
      <c r="B59" s="2">
        <v>52</v>
      </c>
      <c r="C59" s="247">
        <v>1230</v>
      </c>
      <c r="D59" s="3">
        <f t="shared" si="3"/>
        <v>63960</v>
      </c>
      <c r="E59" s="249"/>
      <c r="F59" s="250"/>
      <c r="G59" s="250"/>
      <c r="H59" s="250"/>
      <c r="I59" s="250"/>
      <c r="J59" s="250"/>
      <c r="K59" s="3">
        <f>+H59-F62</f>
        <v>0</v>
      </c>
    </row>
    <row r="60" spans="1:11" x14ac:dyDescent="0.2">
      <c r="A60" s="210" t="s">
        <v>420</v>
      </c>
      <c r="B60" s="2">
        <v>52</v>
      </c>
      <c r="C60" s="210">
        <v>1230</v>
      </c>
      <c r="D60" s="3">
        <f t="shared" si="3"/>
        <v>63960</v>
      </c>
      <c r="E60" s="249"/>
      <c r="F60" s="250"/>
      <c r="G60" s="250"/>
      <c r="H60" s="250"/>
      <c r="I60" s="250"/>
      <c r="J60" s="250"/>
      <c r="K60" s="3">
        <f>+H60-F56</f>
        <v>0</v>
      </c>
    </row>
    <row r="61" spans="1:11" x14ac:dyDescent="0.2">
      <c r="A61" s="210" t="s">
        <v>420</v>
      </c>
      <c r="B61" s="2">
        <v>52</v>
      </c>
      <c r="C61" s="210">
        <v>1230</v>
      </c>
      <c r="D61" s="3">
        <f t="shared" si="3"/>
        <v>63960</v>
      </c>
      <c r="E61" s="249"/>
      <c r="F61" s="250"/>
      <c r="G61" s="250"/>
      <c r="H61" s="250"/>
      <c r="I61" s="250"/>
      <c r="J61" s="250"/>
      <c r="K61" s="3">
        <f>+H61-F57</f>
        <v>0</v>
      </c>
    </row>
    <row r="62" spans="1:11" x14ac:dyDescent="0.2">
      <c r="A62" s="210" t="s">
        <v>420</v>
      </c>
      <c r="B62" s="2">
        <v>52</v>
      </c>
      <c r="C62" s="210">
        <v>1230</v>
      </c>
      <c r="D62" s="3">
        <f t="shared" si="3"/>
        <v>63960</v>
      </c>
      <c r="E62" s="249"/>
      <c r="F62" s="250"/>
      <c r="G62" s="250"/>
      <c r="H62" s="250"/>
      <c r="I62" s="250"/>
      <c r="J62" s="250"/>
      <c r="K62" s="3">
        <f>+H62-F58</f>
        <v>0</v>
      </c>
    </row>
    <row r="63" spans="1:11" x14ac:dyDescent="0.2">
      <c r="A63" s="210" t="s">
        <v>2098</v>
      </c>
      <c r="B63" s="2">
        <v>52</v>
      </c>
      <c r="C63" s="210">
        <v>1250</v>
      </c>
      <c r="D63" s="3">
        <f t="shared" si="3"/>
        <v>65000</v>
      </c>
      <c r="E63" s="249"/>
      <c r="F63" s="250"/>
      <c r="G63" s="250"/>
      <c r="H63" s="250"/>
      <c r="I63" s="250"/>
      <c r="J63" s="250"/>
      <c r="K63" s="3"/>
    </row>
    <row r="64" spans="1:11" x14ac:dyDescent="0.2">
      <c r="A64" s="210" t="s">
        <v>76</v>
      </c>
      <c r="B64" s="2">
        <v>52</v>
      </c>
      <c r="C64" s="297">
        <f>38.84*40</f>
        <v>1553.6000000000001</v>
      </c>
      <c r="D64" s="3">
        <f t="shared" si="2"/>
        <v>80787</v>
      </c>
      <c r="E64" s="249"/>
      <c r="F64" s="250"/>
      <c r="G64" s="250"/>
      <c r="H64" s="250"/>
      <c r="I64" s="250"/>
      <c r="J64" s="250"/>
      <c r="K64" s="3">
        <f t="shared" ref="K64:K81" si="4">+H64-F64</f>
        <v>0</v>
      </c>
    </row>
    <row r="65" spans="1:11" x14ac:dyDescent="0.2">
      <c r="A65" s="210" t="s">
        <v>76</v>
      </c>
      <c r="B65" s="2">
        <v>52</v>
      </c>
      <c r="C65" s="210">
        <f>38.65*40</f>
        <v>1546</v>
      </c>
      <c r="D65" s="3">
        <f t="shared" si="2"/>
        <v>80392</v>
      </c>
      <c r="E65" s="249"/>
      <c r="F65" s="250"/>
      <c r="G65" s="250"/>
      <c r="H65" s="250"/>
      <c r="I65" s="250"/>
      <c r="J65" s="250"/>
      <c r="K65" s="3">
        <f t="shared" si="4"/>
        <v>0</v>
      </c>
    </row>
    <row r="66" spans="1:11" x14ac:dyDescent="0.2">
      <c r="A66" s="210" t="s">
        <v>1824</v>
      </c>
      <c r="B66" s="210"/>
      <c r="C66" s="210"/>
      <c r="D66" s="3">
        <v>12480</v>
      </c>
      <c r="E66" s="249"/>
      <c r="F66" s="250"/>
      <c r="G66" s="250"/>
      <c r="H66" s="250"/>
      <c r="I66" s="250"/>
      <c r="J66" s="250"/>
      <c r="K66" s="3">
        <f t="shared" si="4"/>
        <v>0</v>
      </c>
    </row>
    <row r="67" spans="1:11" x14ac:dyDescent="0.2">
      <c r="A67" s="3" t="s">
        <v>904</v>
      </c>
      <c r="B67" s="3">
        <v>2160</v>
      </c>
      <c r="C67" s="52">
        <f>SUM(C29:C65)/40/36</f>
        <v>36.690555555555548</v>
      </c>
      <c r="D67" s="3">
        <f>ROUND(B67*C67,0)</f>
        <v>79252</v>
      </c>
      <c r="E67" s="3"/>
      <c r="F67" s="106"/>
      <c r="G67" s="106"/>
      <c r="H67" s="106"/>
      <c r="I67" s="106"/>
      <c r="J67" s="106"/>
      <c r="K67" s="3">
        <f t="shared" si="4"/>
        <v>0</v>
      </c>
    </row>
    <row r="68" spans="1:11" ht="15" x14ac:dyDescent="0.35">
      <c r="A68" s="3" t="s">
        <v>818</v>
      </c>
      <c r="B68" s="3" t="s">
        <v>338</v>
      </c>
      <c r="C68" s="3" t="s">
        <v>338</v>
      </c>
      <c r="D68" s="28">
        <v>12523</v>
      </c>
      <c r="E68" s="3"/>
      <c r="F68" s="3"/>
      <c r="G68" s="3"/>
      <c r="H68" s="3"/>
      <c r="I68" s="3"/>
      <c r="J68" s="3"/>
      <c r="K68" s="3">
        <f t="shared" si="4"/>
        <v>0</v>
      </c>
    </row>
    <row r="69" spans="1:11" x14ac:dyDescent="0.2">
      <c r="A69" s="3" t="s">
        <v>1067</v>
      </c>
      <c r="B69" s="3"/>
      <c r="C69" s="3"/>
      <c r="D69" s="3">
        <f>SUM(D29:D68)</f>
        <v>2851642</v>
      </c>
      <c r="F69" s="3"/>
      <c r="G69" s="3"/>
      <c r="H69" s="3"/>
      <c r="I69" s="3"/>
      <c r="J69" s="3"/>
      <c r="K69" s="3">
        <f t="shared" si="4"/>
        <v>0</v>
      </c>
    </row>
    <row r="70" spans="1:11" x14ac:dyDescent="0.2">
      <c r="A70" s="3"/>
      <c r="B70" s="3"/>
      <c r="C70" s="3"/>
      <c r="D70" s="3"/>
      <c r="E70" s="3"/>
      <c r="F70" s="3"/>
      <c r="G70" s="3"/>
      <c r="H70" s="3"/>
      <c r="I70" s="3"/>
      <c r="J70" s="3"/>
      <c r="K70" s="3">
        <f t="shared" si="4"/>
        <v>0</v>
      </c>
    </row>
    <row r="71" spans="1:11" ht="13.5" x14ac:dyDescent="0.25">
      <c r="A71" s="50" t="s">
        <v>802</v>
      </c>
      <c r="B71" s="3"/>
      <c r="C71" s="3"/>
      <c r="D71" s="3"/>
      <c r="E71" s="3">
        <v>32676</v>
      </c>
      <c r="F71" s="3">
        <v>29191</v>
      </c>
      <c r="G71" s="3">
        <v>29242</v>
      </c>
      <c r="H71" s="3">
        <v>29242</v>
      </c>
      <c r="I71" s="3">
        <v>29242</v>
      </c>
      <c r="J71" s="3">
        <v>30829</v>
      </c>
      <c r="K71" s="3">
        <f t="shared" si="4"/>
        <v>51</v>
      </c>
    </row>
    <row r="72" spans="1:11" x14ac:dyDescent="0.2">
      <c r="A72" s="3" t="s">
        <v>795</v>
      </c>
      <c r="B72" s="3" t="s">
        <v>338</v>
      </c>
      <c r="C72" s="3" t="s">
        <v>338</v>
      </c>
      <c r="D72" s="3" t="s">
        <v>338</v>
      </c>
      <c r="E72" s="3"/>
      <c r="F72" s="3"/>
      <c r="G72" s="3"/>
      <c r="H72" s="3"/>
      <c r="I72" s="3"/>
      <c r="J72" s="3"/>
      <c r="K72" s="3">
        <f t="shared" si="4"/>
        <v>0</v>
      </c>
    </row>
    <row r="73" spans="1:11" x14ac:dyDescent="0.2">
      <c r="A73" s="3" t="s">
        <v>414</v>
      </c>
      <c r="B73" s="3">
        <v>426.72</v>
      </c>
      <c r="C73" s="52">
        <f>+SUM(C20:C23)/40*1.5/4</f>
        <v>72.247500000000002</v>
      </c>
      <c r="D73" s="3">
        <f>ROUND(B73*C73,0)</f>
        <v>30829</v>
      </c>
      <c r="E73" s="3"/>
      <c r="F73" s="3"/>
      <c r="G73" s="3"/>
      <c r="H73" s="3"/>
      <c r="I73" s="3"/>
      <c r="J73" s="3"/>
      <c r="K73" s="3">
        <f t="shared" si="4"/>
        <v>0</v>
      </c>
    </row>
    <row r="74" spans="1:11" x14ac:dyDescent="0.2">
      <c r="A74" s="3"/>
      <c r="B74" s="3"/>
      <c r="C74" s="3"/>
      <c r="D74" s="3"/>
      <c r="E74" s="3"/>
      <c r="F74" s="3"/>
      <c r="G74" s="3"/>
      <c r="H74" s="3"/>
      <c r="I74" s="3"/>
      <c r="J74" s="3"/>
      <c r="K74" s="3">
        <f t="shared" si="4"/>
        <v>0</v>
      </c>
    </row>
    <row r="75" spans="1:11" ht="13.5" x14ac:dyDescent="0.25">
      <c r="A75" s="50" t="s">
        <v>882</v>
      </c>
      <c r="B75" s="3"/>
      <c r="C75" s="3"/>
      <c r="D75" s="3"/>
      <c r="E75" s="3">
        <v>14177</v>
      </c>
      <c r="F75" s="3">
        <v>26780</v>
      </c>
      <c r="G75" s="3">
        <v>26780</v>
      </c>
      <c r="H75" s="3">
        <v>26780</v>
      </c>
      <c r="I75" s="3">
        <v>27716</v>
      </c>
      <c r="J75" s="3">
        <v>27716</v>
      </c>
      <c r="K75" s="3">
        <f t="shared" si="4"/>
        <v>0</v>
      </c>
    </row>
    <row r="76" spans="1:11" ht="15" x14ac:dyDescent="0.35">
      <c r="A76" s="3" t="s">
        <v>1484</v>
      </c>
      <c r="B76" s="3">
        <v>52</v>
      </c>
      <c r="C76" s="3">
        <v>533</v>
      </c>
      <c r="D76" s="28">
        <f>ROUND(B76*C76,0)</f>
        <v>27716</v>
      </c>
      <c r="F76" s="3"/>
      <c r="G76" s="3"/>
      <c r="H76" s="3"/>
      <c r="I76" s="3"/>
      <c r="J76" s="3"/>
      <c r="K76" s="3">
        <f t="shared" si="4"/>
        <v>0</v>
      </c>
    </row>
    <row r="77" spans="1:11" x14ac:dyDescent="0.2">
      <c r="A77" s="3" t="s">
        <v>93</v>
      </c>
      <c r="B77" s="3"/>
      <c r="C77" s="3"/>
      <c r="D77" s="3">
        <f>SUM(D76:D76)</f>
        <v>27716</v>
      </c>
      <c r="E77" s="3"/>
      <c r="F77" s="3"/>
      <c r="G77" s="3"/>
      <c r="H77" s="3"/>
      <c r="I77" s="3"/>
      <c r="J77" s="3"/>
      <c r="K77" s="3">
        <f t="shared" si="4"/>
        <v>0</v>
      </c>
    </row>
    <row r="78" spans="1:11" x14ac:dyDescent="0.2">
      <c r="A78" s="3"/>
      <c r="B78" s="3"/>
      <c r="C78" s="3"/>
      <c r="D78" s="3"/>
      <c r="E78" s="3"/>
      <c r="F78" s="3"/>
      <c r="G78" s="3"/>
      <c r="H78" s="3"/>
      <c r="I78" s="3"/>
      <c r="J78" s="3"/>
      <c r="K78" s="3">
        <f t="shared" si="4"/>
        <v>0</v>
      </c>
    </row>
    <row r="79" spans="1:11" ht="13.5" x14ac:dyDescent="0.25">
      <c r="A79" s="50" t="s">
        <v>500</v>
      </c>
      <c r="B79" s="3"/>
      <c r="C79" s="3"/>
      <c r="D79" s="3"/>
      <c r="E79" s="3">
        <v>30742</v>
      </c>
      <c r="F79" s="3">
        <v>34439</v>
      </c>
      <c r="G79" s="3">
        <v>34439</v>
      </c>
      <c r="H79" s="3">
        <v>34439</v>
      </c>
      <c r="I79" s="3">
        <v>35648</v>
      </c>
      <c r="J79" s="3">
        <v>35648</v>
      </c>
      <c r="K79" s="3">
        <f t="shared" si="4"/>
        <v>0</v>
      </c>
    </row>
    <row r="80" spans="1:11" x14ac:dyDescent="0.2">
      <c r="A80" s="3" t="s">
        <v>1665</v>
      </c>
      <c r="B80" s="3">
        <v>571</v>
      </c>
      <c r="C80" s="52">
        <v>18.29</v>
      </c>
      <c r="D80" s="3">
        <f>ROUND(B80*C80,0)</f>
        <v>10444</v>
      </c>
      <c r="E80" s="3"/>
      <c r="F80" s="3"/>
      <c r="G80" s="3"/>
      <c r="H80" s="3"/>
      <c r="I80" s="3"/>
      <c r="J80" s="3"/>
      <c r="K80" s="3">
        <f t="shared" si="4"/>
        <v>0</v>
      </c>
    </row>
    <row r="81" spans="1:11" x14ac:dyDescent="0.2">
      <c r="A81" s="3" t="s">
        <v>1206</v>
      </c>
      <c r="B81" s="3">
        <v>1378</v>
      </c>
      <c r="C81" s="52">
        <v>18.29</v>
      </c>
      <c r="D81" s="3">
        <f>ROUND(B81*C81,0)</f>
        <v>25204</v>
      </c>
      <c r="E81" s="3"/>
      <c r="F81" s="3"/>
      <c r="G81" s="3"/>
      <c r="H81" s="3"/>
      <c r="I81" s="3"/>
      <c r="J81" s="3"/>
      <c r="K81" s="3">
        <f t="shared" si="4"/>
        <v>0</v>
      </c>
    </row>
    <row r="82" spans="1:11" ht="15" x14ac:dyDescent="0.35">
      <c r="A82" s="3" t="s">
        <v>2042</v>
      </c>
      <c r="B82" s="3"/>
      <c r="C82" s="52"/>
      <c r="D82" s="28"/>
      <c r="E82" s="3"/>
      <c r="F82" s="3"/>
      <c r="G82" s="3"/>
      <c r="H82" s="3"/>
      <c r="I82" s="3"/>
      <c r="J82" s="3"/>
      <c r="K82" s="3"/>
    </row>
    <row r="83" spans="1:11" x14ac:dyDescent="0.2">
      <c r="A83" s="3" t="s">
        <v>1067</v>
      </c>
      <c r="B83" s="3"/>
      <c r="C83" s="3"/>
      <c r="D83" s="3">
        <f>SUM(D80:D81)</f>
        <v>35648</v>
      </c>
      <c r="F83" s="3"/>
      <c r="G83" s="3"/>
      <c r="H83" s="3"/>
      <c r="I83" s="3"/>
      <c r="J83" s="3"/>
      <c r="K83" s="3">
        <f t="shared" ref="K83:K146" si="5">+H83-F83</f>
        <v>0</v>
      </c>
    </row>
    <row r="84" spans="1:11" x14ac:dyDescent="0.2">
      <c r="A84" s="3"/>
      <c r="B84" s="3"/>
      <c r="C84" s="3"/>
      <c r="D84" s="3"/>
      <c r="E84" s="3"/>
      <c r="F84" s="3"/>
      <c r="G84" s="3"/>
      <c r="H84" s="3"/>
      <c r="I84" s="3"/>
      <c r="J84" s="3"/>
      <c r="K84" s="3">
        <f t="shared" si="5"/>
        <v>0</v>
      </c>
    </row>
    <row r="85" spans="1:11" ht="13.5" x14ac:dyDescent="0.25">
      <c r="A85" s="50" t="s">
        <v>1207</v>
      </c>
      <c r="B85" s="3"/>
      <c r="C85" s="3"/>
      <c r="D85" s="3"/>
      <c r="E85" s="3">
        <v>356046</v>
      </c>
      <c r="F85" s="3">
        <v>250718</v>
      </c>
      <c r="G85" s="3">
        <v>271990</v>
      </c>
      <c r="H85" s="3">
        <v>271990</v>
      </c>
      <c r="I85" s="3">
        <v>271990</v>
      </c>
      <c r="J85" s="3">
        <v>271990</v>
      </c>
      <c r="K85" s="3">
        <f t="shared" si="5"/>
        <v>21272</v>
      </c>
    </row>
    <row r="86" spans="1:11" x14ac:dyDescent="0.2">
      <c r="A86" s="3" t="s">
        <v>92</v>
      </c>
      <c r="B86" s="3">
        <v>4760</v>
      </c>
      <c r="C86" s="52">
        <f>ROUND(C67*1.5,2)</f>
        <v>55.04</v>
      </c>
      <c r="D86" s="3">
        <f>ROUND(B86*C86,0)</f>
        <v>261990</v>
      </c>
      <c r="E86" s="3"/>
      <c r="F86" s="3"/>
      <c r="G86" s="3"/>
      <c r="H86" s="3"/>
      <c r="I86" s="3"/>
      <c r="J86" s="3"/>
      <c r="K86" s="3">
        <f t="shared" si="5"/>
        <v>0</v>
      </c>
    </row>
    <row r="87" spans="1:11" ht="15" x14ac:dyDescent="0.35">
      <c r="A87" s="3" t="s">
        <v>1737</v>
      </c>
      <c r="B87" s="3"/>
      <c r="C87" s="52"/>
      <c r="D87" s="28">
        <v>10000</v>
      </c>
      <c r="E87" s="3"/>
      <c r="F87" s="3"/>
      <c r="G87" s="3"/>
      <c r="H87" s="3"/>
      <c r="I87" s="3"/>
      <c r="J87" s="3"/>
      <c r="K87" s="3">
        <f t="shared" si="5"/>
        <v>0</v>
      </c>
    </row>
    <row r="88" spans="1:11" x14ac:dyDescent="0.2">
      <c r="A88" s="3"/>
      <c r="B88" s="3"/>
      <c r="C88" s="52"/>
      <c r="D88" s="3">
        <f>SUM(D86:D87)</f>
        <v>271990</v>
      </c>
      <c r="E88" s="3"/>
      <c r="F88" s="3"/>
      <c r="G88" s="3"/>
      <c r="H88" s="3"/>
      <c r="I88" s="3"/>
      <c r="J88" s="3"/>
      <c r="K88" s="3">
        <f t="shared" si="5"/>
        <v>0</v>
      </c>
    </row>
    <row r="89" spans="1:11" x14ac:dyDescent="0.2">
      <c r="A89" s="3" t="s">
        <v>338</v>
      </c>
      <c r="B89" s="3" t="s">
        <v>338</v>
      </c>
      <c r="C89" s="3" t="s">
        <v>338</v>
      </c>
      <c r="D89" s="3" t="s">
        <v>338</v>
      </c>
      <c r="E89" s="3"/>
      <c r="F89" s="3"/>
      <c r="G89" s="3"/>
      <c r="H89" s="3"/>
      <c r="I89" s="3"/>
      <c r="J89" s="3"/>
      <c r="K89" s="3">
        <f t="shared" si="5"/>
        <v>0</v>
      </c>
    </row>
    <row r="90" spans="1:11" ht="13.5" x14ac:dyDescent="0.25">
      <c r="A90" s="50" t="s">
        <v>1208</v>
      </c>
      <c r="B90" s="3"/>
      <c r="C90" s="3"/>
      <c r="D90" s="3"/>
      <c r="E90" s="3">
        <v>78535</v>
      </c>
      <c r="F90" s="3">
        <v>80876</v>
      </c>
      <c r="G90" s="3">
        <v>80338</v>
      </c>
      <c r="H90" s="3">
        <v>80338</v>
      </c>
      <c r="I90" s="3">
        <v>81008</v>
      </c>
      <c r="J90" s="3">
        <v>81648</v>
      </c>
      <c r="K90" s="3">
        <f t="shared" si="5"/>
        <v>-538</v>
      </c>
    </row>
    <row r="91" spans="1:11" hidden="1" x14ac:dyDescent="0.2">
      <c r="A91" s="3" t="s">
        <v>757</v>
      </c>
      <c r="B91" s="3">
        <f>+D12</f>
        <v>143574</v>
      </c>
      <c r="C91" s="63">
        <v>7.6499999999999999E-2</v>
      </c>
      <c r="D91" s="3">
        <f t="shared" ref="D91:D98" si="6">ROUND(B91*C91,0)</f>
        <v>10983</v>
      </c>
      <c r="E91" s="3"/>
      <c r="F91" s="3"/>
      <c r="G91" s="3"/>
      <c r="H91" s="3"/>
      <c r="I91" s="3"/>
      <c r="J91" s="3"/>
      <c r="K91" s="3">
        <f t="shared" si="5"/>
        <v>0</v>
      </c>
    </row>
    <row r="92" spans="1:11" hidden="1" x14ac:dyDescent="0.2">
      <c r="A92" s="3" t="s">
        <v>1264</v>
      </c>
      <c r="B92" s="3">
        <f>+D26</f>
        <v>986517</v>
      </c>
      <c r="C92" s="63">
        <v>1.4500000000000001E-2</v>
      </c>
      <c r="D92" s="3">
        <f t="shared" si="6"/>
        <v>14304</v>
      </c>
      <c r="E92" s="3"/>
      <c r="F92" s="3"/>
      <c r="G92" s="3"/>
      <c r="H92" s="3"/>
      <c r="I92" s="3"/>
      <c r="J92" s="3"/>
      <c r="K92" s="3">
        <f t="shared" si="5"/>
        <v>0</v>
      </c>
    </row>
    <row r="93" spans="1:11" hidden="1" x14ac:dyDescent="0.2">
      <c r="A93" s="3" t="s">
        <v>1246</v>
      </c>
      <c r="B93" s="3">
        <f>+D17</f>
        <v>93132</v>
      </c>
      <c r="C93" s="63">
        <v>6.2E-2</v>
      </c>
      <c r="D93" s="3">
        <f t="shared" si="6"/>
        <v>5774</v>
      </c>
      <c r="E93" s="3"/>
      <c r="F93" s="3"/>
      <c r="G93" s="3"/>
      <c r="H93" s="3"/>
      <c r="I93" s="3"/>
      <c r="J93" s="3"/>
      <c r="K93" s="3">
        <f t="shared" si="5"/>
        <v>0</v>
      </c>
    </row>
    <row r="94" spans="1:11" hidden="1" x14ac:dyDescent="0.2">
      <c r="A94" s="3" t="s">
        <v>683</v>
      </c>
      <c r="B94" s="3">
        <f>+D69</f>
        <v>2851642</v>
      </c>
      <c r="C94" s="63">
        <v>1.4500000000000001E-2</v>
      </c>
      <c r="D94" s="3">
        <f t="shared" si="6"/>
        <v>41349</v>
      </c>
      <c r="E94" s="3"/>
      <c r="F94" s="3"/>
      <c r="G94" s="3"/>
      <c r="H94" s="3"/>
      <c r="I94" s="3"/>
      <c r="J94" s="3"/>
      <c r="K94" s="3">
        <f t="shared" si="5"/>
        <v>0</v>
      </c>
    </row>
    <row r="95" spans="1:11" hidden="1" x14ac:dyDescent="0.2">
      <c r="A95" s="3" t="s">
        <v>758</v>
      </c>
      <c r="B95" s="3">
        <f>+D73</f>
        <v>30829</v>
      </c>
      <c r="C95" s="63">
        <v>1.4500000000000001E-2</v>
      </c>
      <c r="D95" s="3">
        <f t="shared" si="6"/>
        <v>447</v>
      </c>
      <c r="E95" s="3"/>
      <c r="F95" s="3"/>
      <c r="G95" s="3"/>
      <c r="H95" s="3"/>
      <c r="I95" s="3"/>
      <c r="J95" s="3"/>
      <c r="K95" s="3">
        <f t="shared" si="5"/>
        <v>0</v>
      </c>
    </row>
    <row r="96" spans="1:11" hidden="1" x14ac:dyDescent="0.2">
      <c r="A96" s="3" t="s">
        <v>1209</v>
      </c>
      <c r="B96" s="3">
        <f>+D77</f>
        <v>27716</v>
      </c>
      <c r="C96" s="63">
        <v>7.6499999999999999E-2</v>
      </c>
      <c r="D96" s="3">
        <f t="shared" si="6"/>
        <v>2120</v>
      </c>
      <c r="E96" s="3"/>
      <c r="F96" s="3"/>
      <c r="G96" s="3"/>
      <c r="H96" s="3"/>
      <c r="I96" s="3"/>
      <c r="J96" s="3"/>
      <c r="K96" s="3">
        <f t="shared" si="5"/>
        <v>0</v>
      </c>
    </row>
    <row r="97" spans="1:11" hidden="1" x14ac:dyDescent="0.2">
      <c r="A97" s="3" t="s">
        <v>153</v>
      </c>
      <c r="B97" s="3">
        <f>+D83</f>
        <v>35648</v>
      </c>
      <c r="C97" s="63">
        <v>7.6499999999999999E-2</v>
      </c>
      <c r="D97" s="3">
        <f t="shared" si="6"/>
        <v>2727</v>
      </c>
      <c r="E97" s="3"/>
      <c r="F97" s="3"/>
      <c r="G97" s="3"/>
      <c r="H97" s="3"/>
      <c r="I97" s="3"/>
      <c r="J97" s="3"/>
      <c r="K97" s="3">
        <f t="shared" si="5"/>
        <v>0</v>
      </c>
    </row>
    <row r="98" spans="1:11" ht="15" hidden="1" x14ac:dyDescent="0.35">
      <c r="A98" s="3" t="s">
        <v>154</v>
      </c>
      <c r="B98" s="3">
        <f>+D88</f>
        <v>271990</v>
      </c>
      <c r="C98" s="63">
        <v>1.4500000000000001E-2</v>
      </c>
      <c r="D98" s="28">
        <f t="shared" si="6"/>
        <v>3944</v>
      </c>
      <c r="E98" s="3"/>
      <c r="F98" s="3"/>
      <c r="G98" s="3"/>
      <c r="H98" s="3"/>
      <c r="I98" s="3"/>
      <c r="J98" s="3"/>
      <c r="K98" s="3">
        <f t="shared" si="5"/>
        <v>0</v>
      </c>
    </row>
    <row r="99" spans="1:11" hidden="1" x14ac:dyDescent="0.2">
      <c r="A99" s="3" t="s">
        <v>1067</v>
      </c>
      <c r="B99" s="3"/>
      <c r="C99" s="3"/>
      <c r="D99" s="3">
        <f>SUM(D91:D98)</f>
        <v>81648</v>
      </c>
      <c r="E99" s="3"/>
      <c r="F99" s="3"/>
      <c r="G99" s="3"/>
      <c r="H99" s="3"/>
      <c r="I99" s="3"/>
      <c r="J99" s="3"/>
      <c r="K99" s="3">
        <f t="shared" si="5"/>
        <v>0</v>
      </c>
    </row>
    <row r="100" spans="1:11" ht="13.5" x14ac:dyDescent="0.25">
      <c r="A100" s="94"/>
      <c r="B100" s="3"/>
      <c r="C100" s="3"/>
      <c r="D100" s="3"/>
      <c r="E100" s="3"/>
      <c r="F100" s="3"/>
      <c r="G100" s="3"/>
      <c r="H100" s="3"/>
      <c r="I100" s="3"/>
      <c r="J100" s="3"/>
      <c r="K100" s="3">
        <f t="shared" si="5"/>
        <v>0</v>
      </c>
    </row>
    <row r="101" spans="1:11" ht="13.5" x14ac:dyDescent="0.25">
      <c r="A101" s="50" t="s">
        <v>1210</v>
      </c>
      <c r="B101" s="3"/>
      <c r="C101" s="3"/>
      <c r="D101" s="3"/>
      <c r="E101" s="3">
        <v>1275224</v>
      </c>
      <c r="F101" s="3">
        <v>1339062</v>
      </c>
      <c r="G101" s="3">
        <v>1284685</v>
      </c>
      <c r="H101" s="3">
        <v>1284685</v>
      </c>
      <c r="I101" s="3">
        <v>1288158</v>
      </c>
      <c r="J101" s="3">
        <v>1301966</v>
      </c>
      <c r="K101" s="3">
        <f t="shared" si="5"/>
        <v>-54377</v>
      </c>
    </row>
    <row r="102" spans="1:11" hidden="1" x14ac:dyDescent="0.2">
      <c r="A102" s="3" t="s">
        <v>757</v>
      </c>
      <c r="B102" s="3">
        <f>+D12</f>
        <v>143574</v>
      </c>
      <c r="C102" s="287">
        <v>0.1353</v>
      </c>
      <c r="D102" s="3">
        <f t="shared" ref="D102:D107" si="7">ROUND(B102*C102,0)</f>
        <v>19426</v>
      </c>
      <c r="E102" s="3"/>
      <c r="F102" s="3"/>
      <c r="G102" s="3"/>
      <c r="H102" s="3"/>
      <c r="I102" s="3"/>
      <c r="J102" s="3"/>
      <c r="K102" s="3">
        <f t="shared" si="5"/>
        <v>0</v>
      </c>
    </row>
    <row r="103" spans="1:11" hidden="1" x14ac:dyDescent="0.2">
      <c r="A103" s="3" t="s">
        <v>1264</v>
      </c>
      <c r="B103" s="3">
        <f>+D26-B93</f>
        <v>893385</v>
      </c>
      <c r="C103" s="299">
        <v>0.31280000000000002</v>
      </c>
      <c r="D103" s="3">
        <f t="shared" si="7"/>
        <v>279451</v>
      </c>
      <c r="E103" s="3"/>
      <c r="F103" s="3"/>
      <c r="G103" s="3"/>
      <c r="H103" s="3"/>
      <c r="I103" s="3"/>
      <c r="J103" s="3"/>
      <c r="K103" s="3">
        <f t="shared" si="5"/>
        <v>0</v>
      </c>
    </row>
    <row r="104" spans="1:11" hidden="1" x14ac:dyDescent="0.2">
      <c r="A104" s="3" t="s">
        <v>1246</v>
      </c>
      <c r="B104" s="3">
        <f>+B93</f>
        <v>93132</v>
      </c>
      <c r="C104" s="287">
        <v>0.1353</v>
      </c>
      <c r="D104" s="3">
        <f t="shared" si="7"/>
        <v>12601</v>
      </c>
      <c r="E104" s="3"/>
      <c r="F104" s="3"/>
      <c r="G104" s="3"/>
      <c r="H104" s="3"/>
      <c r="I104" s="3"/>
      <c r="J104" s="3"/>
      <c r="K104" s="3">
        <f t="shared" si="5"/>
        <v>0</v>
      </c>
    </row>
    <row r="105" spans="1:11" hidden="1" x14ac:dyDescent="0.2">
      <c r="A105" s="3" t="s">
        <v>683</v>
      </c>
      <c r="B105" s="3">
        <f>+D69</f>
        <v>2851642</v>
      </c>
      <c r="C105" s="299">
        <v>0.31280000000000002</v>
      </c>
      <c r="D105" s="3">
        <f t="shared" si="7"/>
        <v>891994</v>
      </c>
      <c r="E105" s="3"/>
      <c r="F105" s="3"/>
      <c r="G105" s="3"/>
      <c r="H105" s="3"/>
      <c r="I105" s="3"/>
      <c r="J105" s="3"/>
      <c r="K105" s="3">
        <f t="shared" si="5"/>
        <v>0</v>
      </c>
    </row>
    <row r="106" spans="1:11" hidden="1" x14ac:dyDescent="0.2">
      <c r="A106" s="3" t="s">
        <v>758</v>
      </c>
      <c r="B106" s="3">
        <f>+D73</f>
        <v>30829</v>
      </c>
      <c r="C106" s="299">
        <v>0.31280000000000002</v>
      </c>
      <c r="D106" s="3">
        <f t="shared" si="7"/>
        <v>9643</v>
      </c>
      <c r="E106" s="3"/>
      <c r="F106" s="3"/>
      <c r="G106" s="3"/>
      <c r="H106" s="3"/>
      <c r="I106" s="3"/>
      <c r="J106" s="3"/>
      <c r="K106" s="3">
        <f t="shared" si="5"/>
        <v>0</v>
      </c>
    </row>
    <row r="107" spans="1:11" hidden="1" x14ac:dyDescent="0.2">
      <c r="A107" s="3" t="s">
        <v>1209</v>
      </c>
      <c r="B107" s="3">
        <f>+B96</f>
        <v>27716</v>
      </c>
      <c r="C107" s="287">
        <v>0.1353</v>
      </c>
      <c r="D107" s="3">
        <f t="shared" si="7"/>
        <v>3750</v>
      </c>
      <c r="E107" s="3"/>
      <c r="F107" s="3"/>
      <c r="G107" s="3"/>
      <c r="H107" s="3"/>
      <c r="I107" s="3"/>
      <c r="J107" s="3"/>
      <c r="K107" s="3">
        <f t="shared" si="5"/>
        <v>0</v>
      </c>
    </row>
    <row r="108" spans="1:11" ht="15" hidden="1" x14ac:dyDescent="0.35">
      <c r="A108" s="3" t="s">
        <v>154</v>
      </c>
      <c r="B108" s="3">
        <f>+D88</f>
        <v>271990</v>
      </c>
      <c r="C108" s="299">
        <v>0.31280000000000002</v>
      </c>
      <c r="D108" s="28">
        <f>ROUND(B108*C108,0)+23</f>
        <v>85101</v>
      </c>
      <c r="E108" s="3"/>
      <c r="F108" s="3"/>
      <c r="G108" s="3"/>
      <c r="H108" s="3"/>
      <c r="I108" s="3"/>
      <c r="J108" s="3"/>
      <c r="K108" s="3">
        <f t="shared" si="5"/>
        <v>0</v>
      </c>
    </row>
    <row r="109" spans="1:11" hidden="1" x14ac:dyDescent="0.2">
      <c r="A109" s="3" t="s">
        <v>1067</v>
      </c>
      <c r="B109" s="3"/>
      <c r="C109" s="3"/>
      <c r="D109" s="3">
        <f>SUM(D102:D108)</f>
        <v>1301966</v>
      </c>
      <c r="E109" s="3"/>
      <c r="F109" s="3"/>
      <c r="G109" s="3"/>
      <c r="H109" s="3"/>
      <c r="I109" s="3"/>
      <c r="J109" s="3"/>
      <c r="K109" s="3">
        <f t="shared" si="5"/>
        <v>0</v>
      </c>
    </row>
    <row r="110" spans="1:11" ht="13.5" x14ac:dyDescent="0.25">
      <c r="A110" s="94"/>
      <c r="B110" s="3"/>
      <c r="C110" s="3"/>
      <c r="D110" s="3"/>
      <c r="E110" s="3"/>
      <c r="F110" s="3"/>
      <c r="G110" s="3"/>
      <c r="H110" s="3"/>
      <c r="I110" s="3"/>
      <c r="J110" s="3"/>
      <c r="K110" s="3">
        <f t="shared" si="5"/>
        <v>0</v>
      </c>
    </row>
    <row r="111" spans="1:11" ht="13.5" x14ac:dyDescent="0.25">
      <c r="A111" s="50" t="s">
        <v>310</v>
      </c>
      <c r="B111" s="3"/>
      <c r="C111" s="3"/>
      <c r="D111" s="3"/>
      <c r="E111" s="3">
        <v>857141</v>
      </c>
      <c r="F111" s="3">
        <v>927000</v>
      </c>
      <c r="G111" s="3">
        <v>988250</v>
      </c>
      <c r="H111" s="3">
        <v>988250</v>
      </c>
      <c r="I111" s="3">
        <v>988250</v>
      </c>
      <c r="J111" s="3">
        <v>988250</v>
      </c>
      <c r="K111" s="3">
        <f t="shared" si="5"/>
        <v>61250</v>
      </c>
    </row>
    <row r="112" spans="1:11" hidden="1" x14ac:dyDescent="0.2">
      <c r="A112" s="3" t="s">
        <v>1499</v>
      </c>
      <c r="B112" s="3">
        <v>37</v>
      </c>
      <c r="C112" s="2">
        <v>20250</v>
      </c>
      <c r="D112" s="3">
        <f>ROUND(B112*C112,0)-4000</f>
        <v>745250</v>
      </c>
      <c r="E112" s="3"/>
      <c r="F112" s="3"/>
      <c r="G112" s="3"/>
      <c r="H112" s="3"/>
      <c r="I112" s="3"/>
      <c r="J112" s="3"/>
      <c r="K112" s="3">
        <f t="shared" si="5"/>
        <v>0</v>
      </c>
    </row>
    <row r="113" spans="1:11" hidden="1" x14ac:dyDescent="0.2">
      <c r="A113" s="3" t="s">
        <v>28</v>
      </c>
      <c r="B113" s="3">
        <v>6</v>
      </c>
      <c r="C113" s="2">
        <v>20250</v>
      </c>
      <c r="D113" s="3">
        <f>ROUND(B113*C113,0)</f>
        <v>121500</v>
      </c>
      <c r="E113" s="3"/>
      <c r="F113" s="3"/>
      <c r="G113" s="3"/>
      <c r="H113" s="3"/>
      <c r="I113" s="3"/>
      <c r="J113" s="3"/>
      <c r="K113" s="3">
        <f t="shared" si="5"/>
        <v>0</v>
      </c>
    </row>
    <row r="114" spans="1:11" hidden="1" x14ac:dyDescent="0.2">
      <c r="A114" s="3" t="s">
        <v>1047</v>
      </c>
      <c r="B114" s="3">
        <v>2</v>
      </c>
      <c r="C114" s="2">
        <v>20250</v>
      </c>
      <c r="D114" s="3">
        <f>ROUND(B114*C114,0)</f>
        <v>40500</v>
      </c>
      <c r="E114" s="3"/>
      <c r="F114" s="3"/>
      <c r="G114" s="3"/>
      <c r="H114" s="3"/>
      <c r="I114" s="3"/>
      <c r="J114" s="3"/>
      <c r="K114" s="3">
        <f t="shared" si="5"/>
        <v>0</v>
      </c>
    </row>
    <row r="115" spans="1:11" hidden="1" x14ac:dyDescent="0.2">
      <c r="A115" s="3" t="s">
        <v>259</v>
      </c>
      <c r="B115" s="3">
        <v>4</v>
      </c>
      <c r="C115" s="2">
        <v>20250</v>
      </c>
      <c r="D115" s="3">
        <f>ROUND(B115*C115,0)</f>
        <v>81000</v>
      </c>
      <c r="E115" s="3"/>
      <c r="F115" s="3"/>
      <c r="G115" s="3"/>
      <c r="H115" s="3"/>
      <c r="I115" s="3"/>
      <c r="J115" s="3"/>
      <c r="K115" s="3">
        <f t="shared" si="5"/>
        <v>0</v>
      </c>
    </row>
    <row r="116" spans="1:11" ht="15" hidden="1" x14ac:dyDescent="0.35">
      <c r="A116" s="3" t="s">
        <v>1500</v>
      </c>
      <c r="B116" s="3" t="s">
        <v>338</v>
      </c>
      <c r="C116" s="3" t="s">
        <v>338</v>
      </c>
      <c r="D116" s="28">
        <v>0</v>
      </c>
      <c r="E116" s="3"/>
      <c r="F116" s="3"/>
      <c r="G116" s="3"/>
      <c r="H116" s="3"/>
      <c r="I116" s="3"/>
      <c r="J116" s="3"/>
      <c r="K116" s="3">
        <f t="shared" si="5"/>
        <v>0</v>
      </c>
    </row>
    <row r="117" spans="1:11" hidden="1" x14ac:dyDescent="0.2">
      <c r="A117" s="3" t="s">
        <v>678</v>
      </c>
      <c r="B117" s="3"/>
      <c r="C117" s="3"/>
      <c r="D117" s="3">
        <f>SUM(D112:D116)</f>
        <v>988250</v>
      </c>
      <c r="E117" s="3"/>
      <c r="F117" s="3"/>
      <c r="G117" s="3"/>
      <c r="H117" s="3"/>
      <c r="I117" s="3"/>
      <c r="J117" s="3"/>
      <c r="K117" s="3">
        <f t="shared" si="5"/>
        <v>0</v>
      </c>
    </row>
    <row r="118" spans="1:11" x14ac:dyDescent="0.2">
      <c r="A118" s="3"/>
      <c r="B118" s="3"/>
      <c r="C118" s="3"/>
      <c r="D118" s="3"/>
      <c r="E118" s="3"/>
      <c r="F118" s="3"/>
      <c r="G118" s="3"/>
      <c r="H118" s="3"/>
      <c r="I118" s="3"/>
      <c r="J118" s="3"/>
      <c r="K118" s="3">
        <f t="shared" si="5"/>
        <v>0</v>
      </c>
    </row>
    <row r="119" spans="1:11" ht="13.5" x14ac:dyDescent="0.25">
      <c r="A119" s="50" t="s">
        <v>587</v>
      </c>
      <c r="B119" s="3"/>
      <c r="C119" s="3"/>
      <c r="D119" s="3"/>
      <c r="E119" s="3">
        <v>54462</v>
      </c>
      <c r="F119" s="3">
        <v>60638</v>
      </c>
      <c r="G119" s="3">
        <v>60638</v>
      </c>
      <c r="H119" s="3">
        <v>60638</v>
      </c>
      <c r="I119" s="3">
        <v>60638</v>
      </c>
      <c r="J119" s="3">
        <v>60638</v>
      </c>
      <c r="K119" s="3">
        <f t="shared" si="5"/>
        <v>0</v>
      </c>
    </row>
    <row r="120" spans="1:11" hidden="1" x14ac:dyDescent="0.2">
      <c r="A120" s="3" t="s">
        <v>258</v>
      </c>
      <c r="B120" s="3">
        <v>43</v>
      </c>
      <c r="C120" s="3">
        <v>1375</v>
      </c>
      <c r="D120" s="3">
        <f>ROUND(B120*C120,0)</f>
        <v>59125</v>
      </c>
      <c r="E120" s="3"/>
      <c r="F120" s="3"/>
      <c r="G120" s="3"/>
      <c r="H120" s="3"/>
      <c r="I120" s="3"/>
      <c r="J120" s="3"/>
      <c r="K120" s="3">
        <f t="shared" si="5"/>
        <v>0</v>
      </c>
    </row>
    <row r="121" spans="1:11" hidden="1" x14ac:dyDescent="0.2">
      <c r="A121" s="3" t="s">
        <v>1047</v>
      </c>
      <c r="B121" s="3">
        <v>2</v>
      </c>
      <c r="C121" s="3">
        <v>1375</v>
      </c>
      <c r="D121" s="3">
        <f>ROUND(B121*C121,0)</f>
        <v>2750</v>
      </c>
      <c r="E121" s="3"/>
      <c r="F121" s="3"/>
      <c r="G121" s="3"/>
      <c r="H121" s="3"/>
      <c r="I121" s="3"/>
      <c r="J121" s="3"/>
      <c r="K121" s="3">
        <f t="shared" si="5"/>
        <v>0</v>
      </c>
    </row>
    <row r="122" spans="1:11" hidden="1" x14ac:dyDescent="0.2">
      <c r="A122" s="3" t="s">
        <v>1196</v>
      </c>
      <c r="B122" s="3"/>
      <c r="C122" s="3"/>
      <c r="D122" s="3">
        <f>+C121*-0.1*45</f>
        <v>-6187.5</v>
      </c>
      <c r="E122" s="3"/>
      <c r="F122" s="3"/>
      <c r="G122" s="3"/>
      <c r="H122" s="3"/>
      <c r="I122" s="3"/>
      <c r="J122" s="3"/>
      <c r="K122" s="3">
        <f t="shared" si="5"/>
        <v>0</v>
      </c>
    </row>
    <row r="123" spans="1:11" hidden="1" x14ac:dyDescent="0.2">
      <c r="A123" s="3" t="s">
        <v>259</v>
      </c>
      <c r="B123" s="3">
        <v>4</v>
      </c>
      <c r="C123" s="3">
        <v>1375</v>
      </c>
      <c r="D123" s="3">
        <f>ROUND(B123*C123,0)</f>
        <v>5500</v>
      </c>
      <c r="E123" s="3"/>
      <c r="F123" s="3"/>
      <c r="G123" s="3"/>
      <c r="H123" s="3"/>
      <c r="I123" s="3"/>
      <c r="J123" s="3"/>
      <c r="K123" s="3">
        <f t="shared" si="5"/>
        <v>0</v>
      </c>
    </row>
    <row r="124" spans="1:11" ht="15" hidden="1" x14ac:dyDescent="0.35">
      <c r="A124" s="3" t="s">
        <v>193</v>
      </c>
      <c r="B124" s="3"/>
      <c r="C124" s="3"/>
      <c r="D124" s="28">
        <f>+C123*-0.1*B123</f>
        <v>-550</v>
      </c>
      <c r="E124" s="3"/>
      <c r="F124" s="3"/>
      <c r="G124" s="3"/>
      <c r="H124" s="3"/>
      <c r="I124" s="3"/>
      <c r="J124" s="3"/>
      <c r="K124" s="3">
        <f t="shared" si="5"/>
        <v>0</v>
      </c>
    </row>
    <row r="125" spans="1:11" hidden="1" x14ac:dyDescent="0.2">
      <c r="A125" s="3" t="s">
        <v>678</v>
      </c>
      <c r="B125" s="3"/>
      <c r="C125" s="3"/>
      <c r="D125" s="3">
        <f>SUM(D120:D124)</f>
        <v>60637.5</v>
      </c>
      <c r="F125" s="3"/>
      <c r="G125" s="3"/>
      <c r="H125" s="3"/>
      <c r="I125" s="3"/>
      <c r="J125" s="3"/>
      <c r="K125" s="3">
        <f t="shared" si="5"/>
        <v>0</v>
      </c>
    </row>
    <row r="126" spans="1:11" x14ac:dyDescent="0.2">
      <c r="A126" s="3"/>
      <c r="B126" s="3"/>
      <c r="C126" s="3"/>
      <c r="D126" s="3"/>
      <c r="E126" s="3"/>
      <c r="F126" s="3"/>
      <c r="G126" s="3"/>
      <c r="H126" s="3"/>
      <c r="I126" s="3"/>
      <c r="J126" s="3"/>
      <c r="K126" s="3">
        <f t="shared" si="5"/>
        <v>0</v>
      </c>
    </row>
    <row r="127" spans="1:11" ht="13.5" x14ac:dyDescent="0.25">
      <c r="A127" s="50" t="s">
        <v>588</v>
      </c>
      <c r="B127" s="3"/>
      <c r="C127" s="3"/>
      <c r="D127" s="3"/>
      <c r="E127" s="3">
        <v>3280</v>
      </c>
      <c r="F127" s="3">
        <v>2998</v>
      </c>
      <c r="G127" s="3">
        <v>3035</v>
      </c>
      <c r="H127" s="3">
        <v>3035</v>
      </c>
      <c r="I127" s="3">
        <v>3035</v>
      </c>
      <c r="J127" s="3">
        <v>3035</v>
      </c>
      <c r="K127" s="3">
        <f t="shared" si="5"/>
        <v>37</v>
      </c>
    </row>
    <row r="128" spans="1:11" hidden="1" x14ac:dyDescent="0.2">
      <c r="A128" s="3" t="s">
        <v>189</v>
      </c>
      <c r="B128" s="3">
        <v>4</v>
      </c>
      <c r="C128" s="3">
        <v>145</v>
      </c>
      <c r="D128" s="3">
        <f>ROUND(B128*C128,0)</f>
        <v>580</v>
      </c>
      <c r="E128" s="3"/>
      <c r="F128" s="3"/>
      <c r="G128" s="3"/>
      <c r="H128" s="3"/>
      <c r="I128" s="3"/>
      <c r="J128" s="3"/>
      <c r="K128" s="3">
        <f t="shared" si="5"/>
        <v>0</v>
      </c>
    </row>
    <row r="129" spans="1:11" hidden="1" x14ac:dyDescent="0.2">
      <c r="A129" s="3" t="s">
        <v>1048</v>
      </c>
      <c r="B129" s="3">
        <v>2</v>
      </c>
      <c r="C129" s="3">
        <v>145</v>
      </c>
      <c r="D129" s="3">
        <f>ROUND(B129*C129,0)</f>
        <v>290</v>
      </c>
      <c r="E129" s="3"/>
      <c r="F129" s="3"/>
      <c r="G129" s="3"/>
      <c r="H129" s="3"/>
      <c r="I129" s="3"/>
      <c r="J129" s="3"/>
      <c r="K129" s="3">
        <f t="shared" si="5"/>
        <v>0</v>
      </c>
    </row>
    <row r="130" spans="1:11" hidden="1" x14ac:dyDescent="0.2">
      <c r="A130" s="3" t="s">
        <v>1507</v>
      </c>
      <c r="B130" s="3">
        <v>6</v>
      </c>
      <c r="C130" s="3">
        <v>145</v>
      </c>
      <c r="D130" s="3">
        <f>ROUND(B130*C130,0)</f>
        <v>870</v>
      </c>
      <c r="E130" s="3"/>
      <c r="F130" s="3"/>
      <c r="G130" s="3"/>
      <c r="H130" s="3"/>
      <c r="I130" s="3"/>
      <c r="J130" s="3"/>
      <c r="K130" s="3">
        <f t="shared" si="5"/>
        <v>0</v>
      </c>
    </row>
    <row r="131" spans="1:11" ht="15" hidden="1" x14ac:dyDescent="0.35">
      <c r="A131" s="3" t="s">
        <v>1605</v>
      </c>
      <c r="B131" s="3">
        <v>37</v>
      </c>
      <c r="C131" s="3">
        <v>35</v>
      </c>
      <c r="D131" s="28">
        <f>ROUND(B131*C131,0)</f>
        <v>1295</v>
      </c>
      <c r="E131" s="3"/>
      <c r="F131" s="3"/>
      <c r="G131" s="3"/>
      <c r="H131" s="3"/>
      <c r="I131" s="3"/>
      <c r="J131" s="3"/>
      <c r="K131" s="3">
        <f t="shared" si="5"/>
        <v>0</v>
      </c>
    </row>
    <row r="132" spans="1:11" hidden="1" x14ac:dyDescent="0.2">
      <c r="A132" s="3" t="s">
        <v>1067</v>
      </c>
      <c r="B132" s="3"/>
      <c r="C132" s="3"/>
      <c r="D132" s="3">
        <f>SUM(D128:D131)</f>
        <v>3035</v>
      </c>
      <c r="E132" s="3"/>
      <c r="F132" s="3"/>
      <c r="G132" s="3"/>
      <c r="H132" s="3"/>
      <c r="I132" s="3"/>
      <c r="J132" s="3"/>
      <c r="K132" s="3">
        <f t="shared" si="5"/>
        <v>0</v>
      </c>
    </row>
    <row r="133" spans="1:11" x14ac:dyDescent="0.2">
      <c r="A133" s="3"/>
      <c r="B133" s="3"/>
      <c r="C133" s="3"/>
      <c r="D133" s="3"/>
      <c r="E133" s="3"/>
      <c r="F133" s="3"/>
      <c r="G133" s="3"/>
      <c r="H133" s="3"/>
      <c r="I133" s="3"/>
      <c r="J133" s="3"/>
      <c r="K133" s="3">
        <f t="shared" si="5"/>
        <v>0</v>
      </c>
    </row>
    <row r="134" spans="1:11" ht="13.5" x14ac:dyDescent="0.25">
      <c r="A134" s="50" t="s">
        <v>589</v>
      </c>
      <c r="B134" s="3"/>
      <c r="C134" s="3"/>
      <c r="D134" s="3"/>
      <c r="E134" s="3">
        <v>25044</v>
      </c>
      <c r="F134" s="3">
        <v>25725</v>
      </c>
      <c r="G134" s="3">
        <v>27685</v>
      </c>
      <c r="H134" s="3">
        <v>27685</v>
      </c>
      <c r="I134" s="3">
        <v>27685</v>
      </c>
      <c r="J134" s="3">
        <v>27685</v>
      </c>
      <c r="K134" s="3">
        <f t="shared" si="5"/>
        <v>1960</v>
      </c>
    </row>
    <row r="135" spans="1:11" hidden="1" x14ac:dyDescent="0.2">
      <c r="A135" s="3" t="s">
        <v>189</v>
      </c>
      <c r="B135" s="3">
        <v>4</v>
      </c>
      <c r="C135" s="2">
        <v>565</v>
      </c>
      <c r="D135" s="3">
        <f>ROUND(B135*C135,0)</f>
        <v>2260</v>
      </c>
      <c r="E135" s="3"/>
      <c r="F135" s="3"/>
      <c r="G135" s="3"/>
      <c r="H135" s="3"/>
      <c r="I135" s="3"/>
      <c r="J135" s="3"/>
      <c r="K135" s="3">
        <f t="shared" si="5"/>
        <v>0</v>
      </c>
    </row>
    <row r="136" spans="1:11" hidden="1" x14ac:dyDescent="0.2">
      <c r="A136" s="3" t="s">
        <v>1048</v>
      </c>
      <c r="B136" s="3">
        <v>2</v>
      </c>
      <c r="C136" s="2">
        <v>565</v>
      </c>
      <c r="D136" s="3">
        <f>ROUND(B136*C136,0)</f>
        <v>1130</v>
      </c>
      <c r="E136" s="3"/>
      <c r="F136" s="3"/>
      <c r="G136" s="3"/>
      <c r="H136" s="3"/>
      <c r="I136" s="3"/>
      <c r="J136" s="3"/>
      <c r="K136" s="3">
        <f t="shared" si="5"/>
        <v>0</v>
      </c>
    </row>
    <row r="137" spans="1:11" ht="15" hidden="1" x14ac:dyDescent="0.35">
      <c r="A137" s="3" t="s">
        <v>1213</v>
      </c>
      <c r="B137" s="3">
        <v>43</v>
      </c>
      <c r="C137" s="2">
        <v>565</v>
      </c>
      <c r="D137" s="28">
        <f>ROUND(B137*C137,0)</f>
        <v>24295</v>
      </c>
      <c r="E137" s="3"/>
      <c r="F137" s="3"/>
      <c r="G137" s="3"/>
      <c r="H137" s="3"/>
      <c r="I137" s="3"/>
      <c r="J137" s="3"/>
      <c r="K137" s="3">
        <f t="shared" si="5"/>
        <v>0</v>
      </c>
    </row>
    <row r="138" spans="1:11" hidden="1" x14ac:dyDescent="0.2">
      <c r="A138" s="3" t="s">
        <v>1067</v>
      </c>
      <c r="B138" s="3"/>
      <c r="C138" s="3"/>
      <c r="D138" s="3">
        <f>SUM(D135:D137)</f>
        <v>27685</v>
      </c>
      <c r="E138" s="3"/>
      <c r="F138" s="3"/>
      <c r="G138" s="3"/>
      <c r="H138" s="3"/>
      <c r="I138" s="3"/>
      <c r="J138" s="3"/>
      <c r="K138" s="3">
        <f t="shared" si="5"/>
        <v>0</v>
      </c>
    </row>
    <row r="139" spans="1:11" x14ac:dyDescent="0.2">
      <c r="A139" s="3"/>
      <c r="B139" s="3"/>
      <c r="C139" s="3"/>
      <c r="D139" s="3"/>
      <c r="E139" s="3"/>
      <c r="F139" s="3"/>
      <c r="G139" s="3"/>
      <c r="H139" s="3"/>
      <c r="I139" s="3"/>
      <c r="J139" s="3"/>
      <c r="K139" s="3">
        <f t="shared" si="5"/>
        <v>0</v>
      </c>
    </row>
    <row r="140" spans="1:11" ht="13.5" x14ac:dyDescent="0.25">
      <c r="A140" s="50" t="s">
        <v>906</v>
      </c>
      <c r="B140" s="3"/>
      <c r="C140" s="3"/>
      <c r="D140" s="3"/>
      <c r="E140" s="3">
        <v>57783</v>
      </c>
      <c r="F140" s="3">
        <v>72026</v>
      </c>
      <c r="G140" s="3">
        <v>80201</v>
      </c>
      <c r="H140" s="3">
        <v>80201</v>
      </c>
      <c r="I140" s="3">
        <v>80471</v>
      </c>
      <c r="J140" s="3">
        <v>81321</v>
      </c>
      <c r="K140" s="3">
        <f t="shared" si="5"/>
        <v>8175</v>
      </c>
    </row>
    <row r="141" spans="1:11" hidden="1" x14ac:dyDescent="0.2">
      <c r="A141" s="3" t="s">
        <v>757</v>
      </c>
      <c r="B141" s="3">
        <f>+D12</f>
        <v>143574</v>
      </c>
      <c r="C141" s="63">
        <v>1.89E-3</v>
      </c>
      <c r="D141" s="3">
        <f t="shared" ref="D141:D148" si="8">ROUND(B141*C141,0)</f>
        <v>271</v>
      </c>
      <c r="E141" s="3"/>
      <c r="F141" s="3"/>
      <c r="G141" s="3"/>
      <c r="H141" s="3"/>
      <c r="I141" s="3"/>
      <c r="J141" s="3"/>
      <c r="K141" s="3">
        <f t="shared" si="5"/>
        <v>0</v>
      </c>
    </row>
    <row r="142" spans="1:11" hidden="1" x14ac:dyDescent="0.2">
      <c r="A142" s="3" t="s">
        <v>1264</v>
      </c>
      <c r="B142" s="3">
        <f>+D26</f>
        <v>986517</v>
      </c>
      <c r="C142" s="63">
        <v>1.9279999999999999E-2</v>
      </c>
      <c r="D142" s="3">
        <f>ROUND(B142*C142,0)</f>
        <v>19020</v>
      </c>
      <c r="E142" s="3"/>
      <c r="F142" s="3"/>
      <c r="G142" s="3"/>
      <c r="H142" s="3"/>
      <c r="I142" s="3"/>
      <c r="J142" s="3"/>
      <c r="K142" s="3">
        <f t="shared" si="5"/>
        <v>0</v>
      </c>
    </row>
    <row r="143" spans="1:11" hidden="1" x14ac:dyDescent="0.2">
      <c r="A143" s="3" t="str">
        <f>+A104</f>
        <v>8103 Prosecutor</v>
      </c>
      <c r="B143" s="3">
        <f>+B104</f>
        <v>93132</v>
      </c>
      <c r="C143" s="63">
        <v>1.89E-3</v>
      </c>
      <c r="D143" s="3">
        <f t="shared" si="8"/>
        <v>176</v>
      </c>
      <c r="E143" s="3"/>
      <c r="F143" s="3"/>
      <c r="G143" s="3"/>
      <c r="H143" s="3"/>
      <c r="I143" s="3"/>
      <c r="J143" s="3"/>
      <c r="K143" s="3">
        <f t="shared" si="5"/>
        <v>0</v>
      </c>
    </row>
    <row r="144" spans="1:11" hidden="1" x14ac:dyDescent="0.2">
      <c r="A144" s="3" t="s">
        <v>683</v>
      </c>
      <c r="B144" s="3">
        <f>+D69</f>
        <v>2851642</v>
      </c>
      <c r="C144" s="63">
        <v>1.9279999999999999E-2</v>
      </c>
      <c r="D144" s="3">
        <f>ROUND(B144*C144,0)-16</f>
        <v>54964</v>
      </c>
      <c r="E144" s="3"/>
      <c r="F144" s="3"/>
      <c r="G144" s="3"/>
      <c r="H144" s="3"/>
      <c r="I144" s="3"/>
      <c r="J144" s="3"/>
      <c r="K144" s="3">
        <f t="shared" si="5"/>
        <v>0</v>
      </c>
    </row>
    <row r="145" spans="1:11" hidden="1" x14ac:dyDescent="0.2">
      <c r="A145" s="104" t="s">
        <v>758</v>
      </c>
      <c r="B145" s="3">
        <f>ROUND(B106,0)</f>
        <v>30829</v>
      </c>
      <c r="C145" s="63">
        <v>1.9279999999999999E-2</v>
      </c>
      <c r="D145" s="3">
        <f t="shared" si="8"/>
        <v>594</v>
      </c>
      <c r="E145" s="3"/>
      <c r="F145" s="3"/>
      <c r="G145" s="3"/>
      <c r="H145" s="3"/>
      <c r="I145" s="3"/>
      <c r="J145" s="3"/>
      <c r="K145" s="3">
        <f t="shared" si="5"/>
        <v>0</v>
      </c>
    </row>
    <row r="146" spans="1:11" hidden="1" x14ac:dyDescent="0.2">
      <c r="A146" s="3" t="s">
        <v>1209</v>
      </c>
      <c r="B146" s="3">
        <f>+B107</f>
        <v>27716</v>
      </c>
      <c r="C146" s="63">
        <v>1.329E-2</v>
      </c>
      <c r="D146" s="3">
        <f t="shared" si="8"/>
        <v>368</v>
      </c>
      <c r="E146" s="3"/>
      <c r="F146" s="3"/>
      <c r="G146" s="3"/>
      <c r="H146" s="3"/>
      <c r="I146" s="3"/>
      <c r="J146" s="3"/>
      <c r="K146" s="3">
        <f t="shared" si="5"/>
        <v>0</v>
      </c>
    </row>
    <row r="147" spans="1:11" hidden="1" x14ac:dyDescent="0.2">
      <c r="A147" s="3" t="s">
        <v>153</v>
      </c>
      <c r="B147" s="3">
        <f>+D83</f>
        <v>35648</v>
      </c>
      <c r="C147" s="63">
        <v>1.9279999999999999E-2</v>
      </c>
      <c r="D147" s="3">
        <f t="shared" si="8"/>
        <v>687</v>
      </c>
      <c r="E147" s="3"/>
      <c r="F147" s="3"/>
      <c r="G147" s="3"/>
      <c r="H147" s="3"/>
      <c r="I147" s="3"/>
      <c r="J147" s="3"/>
      <c r="K147" s="3">
        <f t="shared" ref="K147:K207" si="9">+H147-F147</f>
        <v>0</v>
      </c>
    </row>
    <row r="148" spans="1:11" ht="15" hidden="1" x14ac:dyDescent="0.35">
      <c r="A148" s="104" t="s">
        <v>154</v>
      </c>
      <c r="B148" s="3">
        <f>+D88</f>
        <v>271990</v>
      </c>
      <c r="C148" s="63">
        <v>1.9279999999999999E-2</v>
      </c>
      <c r="D148" s="28">
        <f t="shared" si="8"/>
        <v>5244</v>
      </c>
      <c r="E148" s="3"/>
      <c r="F148" s="3"/>
      <c r="G148" s="3"/>
      <c r="H148" s="3"/>
      <c r="I148" s="3"/>
      <c r="J148" s="3"/>
      <c r="K148" s="3">
        <f t="shared" si="9"/>
        <v>0</v>
      </c>
    </row>
    <row r="149" spans="1:11" hidden="1" x14ac:dyDescent="0.2">
      <c r="A149" s="3" t="s">
        <v>1067</v>
      </c>
      <c r="B149" s="3"/>
      <c r="C149" s="3"/>
      <c r="D149" s="3">
        <f>SUM(D141:D148)-3</f>
        <v>81321</v>
      </c>
      <c r="E149" s="3"/>
      <c r="F149" s="3"/>
      <c r="G149" s="3"/>
      <c r="H149" s="3"/>
      <c r="I149" s="3"/>
      <c r="J149" s="3"/>
      <c r="K149" s="3">
        <f t="shared" si="9"/>
        <v>0</v>
      </c>
    </row>
    <row r="150" spans="1:11" x14ac:dyDescent="0.2">
      <c r="A150" s="3"/>
      <c r="B150" s="3"/>
      <c r="C150" s="3"/>
      <c r="D150" s="3"/>
      <c r="E150" s="3"/>
      <c r="F150" s="3"/>
      <c r="G150" s="3"/>
      <c r="H150" s="3"/>
      <c r="I150" s="3"/>
      <c r="J150" s="3"/>
      <c r="K150" s="3">
        <f t="shared" si="9"/>
        <v>0</v>
      </c>
    </row>
    <row r="151" spans="1:11" ht="13.5" x14ac:dyDescent="0.25">
      <c r="A151" s="50" t="s">
        <v>114</v>
      </c>
      <c r="B151" s="3"/>
      <c r="C151" s="3"/>
      <c r="D151" s="3"/>
      <c r="E151" s="3">
        <v>552</v>
      </c>
      <c r="F151" s="3">
        <v>1066</v>
      </c>
      <c r="G151" s="3">
        <v>1046</v>
      </c>
      <c r="H151" s="3">
        <v>1046</v>
      </c>
      <c r="I151" s="3">
        <v>1048</v>
      </c>
      <c r="J151" s="3">
        <v>1048</v>
      </c>
      <c r="K151" s="3">
        <f t="shared" si="9"/>
        <v>-20</v>
      </c>
    </row>
    <row r="152" spans="1:11" hidden="1" x14ac:dyDescent="0.2">
      <c r="A152" s="3" t="s">
        <v>729</v>
      </c>
      <c r="B152" s="3">
        <v>3</v>
      </c>
      <c r="C152" s="3">
        <v>20</v>
      </c>
      <c r="D152" s="3">
        <f>ROUND(B152*C152,0)</f>
        <v>60</v>
      </c>
      <c r="E152" s="3"/>
      <c r="F152" s="3"/>
      <c r="G152" s="3"/>
      <c r="H152" s="3"/>
      <c r="I152" s="3"/>
      <c r="J152" s="3"/>
      <c r="K152" s="3">
        <f t="shared" si="9"/>
        <v>0</v>
      </c>
    </row>
    <row r="153" spans="1:11" hidden="1" x14ac:dyDescent="0.2">
      <c r="A153" s="3" t="s">
        <v>1264</v>
      </c>
      <c r="B153" s="3">
        <v>9</v>
      </c>
      <c r="C153" s="3">
        <v>20</v>
      </c>
      <c r="D153" s="3">
        <f>ROUND(B153*C153,0)</f>
        <v>180</v>
      </c>
      <c r="E153" s="3"/>
      <c r="F153" s="3"/>
      <c r="G153" s="3"/>
      <c r="H153" s="3"/>
      <c r="I153" s="3"/>
      <c r="J153" s="3"/>
      <c r="K153" s="3">
        <f t="shared" si="9"/>
        <v>0</v>
      </c>
    </row>
    <row r="154" spans="1:11" hidden="1" x14ac:dyDescent="0.2">
      <c r="A154" s="3" t="s">
        <v>683</v>
      </c>
      <c r="B154" s="3">
        <v>37</v>
      </c>
      <c r="C154" s="3">
        <v>20</v>
      </c>
      <c r="D154" s="3">
        <f>ROUND(B154*C154,0)</f>
        <v>740</v>
      </c>
      <c r="E154" s="3"/>
      <c r="F154" s="3"/>
      <c r="G154" s="3"/>
      <c r="H154" s="3"/>
      <c r="I154" s="3"/>
      <c r="J154" s="3"/>
      <c r="K154" s="3">
        <f t="shared" si="9"/>
        <v>0</v>
      </c>
    </row>
    <row r="155" spans="1:11" hidden="1" x14ac:dyDescent="0.2">
      <c r="A155" s="3" t="s">
        <v>730</v>
      </c>
      <c r="B155" s="3">
        <v>1</v>
      </c>
      <c r="C155" s="3">
        <v>20</v>
      </c>
      <c r="D155" s="3">
        <f>ROUND(B155*C155,0)</f>
        <v>20</v>
      </c>
      <c r="E155" s="3"/>
      <c r="F155" s="3"/>
      <c r="G155" s="3"/>
      <c r="H155" s="3"/>
      <c r="I155" s="3"/>
      <c r="J155" s="3"/>
      <c r="K155" s="3">
        <f t="shared" si="9"/>
        <v>0</v>
      </c>
    </row>
    <row r="156" spans="1:11" ht="15" hidden="1" x14ac:dyDescent="0.35">
      <c r="A156" s="3" t="s">
        <v>153</v>
      </c>
      <c r="B156" s="3">
        <f>+D83</f>
        <v>35648</v>
      </c>
      <c r="C156" s="105">
        <v>1.4E-3</v>
      </c>
      <c r="D156" s="28">
        <f>ROUND(B156*C156,0)-2</f>
        <v>48</v>
      </c>
      <c r="E156" s="3"/>
      <c r="F156" s="3"/>
      <c r="G156" s="3"/>
      <c r="H156" s="3"/>
      <c r="I156" s="3"/>
      <c r="J156" s="3"/>
      <c r="K156" s="3">
        <f t="shared" si="9"/>
        <v>0</v>
      </c>
    </row>
    <row r="157" spans="1:11" hidden="1" x14ac:dyDescent="0.2">
      <c r="A157" s="3" t="s">
        <v>1067</v>
      </c>
      <c r="B157" s="3"/>
      <c r="C157" s="3"/>
      <c r="D157" s="3">
        <f>SUM(D152:D156)</f>
        <v>1048</v>
      </c>
      <c r="E157" s="3"/>
      <c r="F157" s="3"/>
      <c r="G157" s="3"/>
      <c r="H157" s="3"/>
      <c r="I157" s="3"/>
      <c r="J157" s="3"/>
      <c r="K157" s="3">
        <f t="shared" si="9"/>
        <v>0</v>
      </c>
    </row>
    <row r="158" spans="1:11" ht="13.5" x14ac:dyDescent="0.25">
      <c r="A158" s="94"/>
      <c r="B158" s="3"/>
      <c r="C158" s="3"/>
      <c r="D158" s="3"/>
      <c r="E158" s="3"/>
      <c r="F158" s="3"/>
      <c r="G158" s="3"/>
      <c r="H158" s="3"/>
      <c r="I158" s="3"/>
      <c r="J158" s="3"/>
      <c r="K158" s="3">
        <f t="shared" si="9"/>
        <v>0</v>
      </c>
    </row>
    <row r="159" spans="1:11" ht="13.5" x14ac:dyDescent="0.25">
      <c r="A159" s="50" t="s">
        <v>731</v>
      </c>
      <c r="B159" s="3"/>
      <c r="C159" s="3"/>
      <c r="D159" s="3"/>
      <c r="E159" s="3">
        <v>4210</v>
      </c>
      <c r="F159" s="3">
        <v>8599</v>
      </c>
      <c r="G159" s="3">
        <v>8599</v>
      </c>
      <c r="H159" s="3">
        <v>8599</v>
      </c>
      <c r="I159" s="3">
        <v>8599</v>
      </c>
      <c r="J159" s="3">
        <v>8599</v>
      </c>
      <c r="K159" s="3">
        <f t="shared" si="9"/>
        <v>0</v>
      </c>
    </row>
    <row r="160" spans="1:11" x14ac:dyDescent="0.2">
      <c r="A160" s="3" t="s">
        <v>732</v>
      </c>
      <c r="B160" s="3"/>
      <c r="C160" s="3"/>
      <c r="D160" s="3">
        <v>4038</v>
      </c>
      <c r="E160" s="3"/>
      <c r="F160" s="3"/>
      <c r="G160" s="3"/>
      <c r="H160" s="3"/>
      <c r="I160" s="3"/>
      <c r="J160" s="3"/>
      <c r="K160" s="3">
        <f t="shared" si="9"/>
        <v>0</v>
      </c>
    </row>
    <row r="161" spans="1:11" x14ac:dyDescent="0.2">
      <c r="A161" s="3" t="s">
        <v>1279</v>
      </c>
      <c r="B161" s="3"/>
      <c r="C161" s="3"/>
      <c r="D161" s="3">
        <v>2161</v>
      </c>
      <c r="E161" s="3"/>
      <c r="F161" s="3"/>
      <c r="G161" s="3"/>
      <c r="H161" s="3"/>
      <c r="I161" s="3"/>
      <c r="J161" s="3"/>
      <c r="K161" s="3">
        <f t="shared" si="9"/>
        <v>0</v>
      </c>
    </row>
    <row r="162" spans="1:11" ht="15" x14ac:dyDescent="0.35">
      <c r="A162" s="3" t="s">
        <v>1280</v>
      </c>
      <c r="B162" s="3"/>
      <c r="C162" s="3"/>
      <c r="D162" s="28">
        <v>2400</v>
      </c>
      <c r="E162" s="3"/>
      <c r="F162" s="3"/>
      <c r="G162" s="3"/>
      <c r="H162" s="3"/>
      <c r="I162" s="3"/>
      <c r="J162" s="3"/>
      <c r="K162" s="3">
        <f t="shared" si="9"/>
        <v>0</v>
      </c>
    </row>
    <row r="163" spans="1:11" x14ac:dyDescent="0.2">
      <c r="A163" s="3" t="s">
        <v>1067</v>
      </c>
      <c r="B163" s="3"/>
      <c r="C163" s="3"/>
      <c r="D163" s="3">
        <f>SUM(D160:D162)</f>
        <v>8599</v>
      </c>
      <c r="F163" s="3"/>
      <c r="G163" s="3"/>
      <c r="H163" s="3"/>
      <c r="I163" s="3"/>
      <c r="J163" s="3"/>
      <c r="K163" s="3">
        <f t="shared" si="9"/>
        <v>0</v>
      </c>
    </row>
    <row r="164" spans="1:11" x14ac:dyDescent="0.2">
      <c r="A164" s="3"/>
      <c r="B164" s="3"/>
      <c r="C164" s="3"/>
      <c r="D164" s="3"/>
      <c r="E164" s="3"/>
      <c r="F164" s="3"/>
      <c r="G164" s="3"/>
      <c r="H164" s="3"/>
      <c r="I164" s="3"/>
      <c r="J164" s="3"/>
      <c r="K164" s="3">
        <f t="shared" si="9"/>
        <v>0</v>
      </c>
    </row>
    <row r="165" spans="1:11" ht="13.5" x14ac:dyDescent="0.25">
      <c r="A165" s="50" t="s">
        <v>1281</v>
      </c>
      <c r="B165" s="3"/>
      <c r="C165" s="3"/>
      <c r="D165" s="3"/>
      <c r="E165" s="3">
        <v>14328</v>
      </c>
      <c r="F165" s="3">
        <v>30200</v>
      </c>
      <c r="G165" s="3">
        <v>15200</v>
      </c>
      <c r="H165" s="3">
        <v>15200</v>
      </c>
      <c r="I165" s="3">
        <v>15200</v>
      </c>
      <c r="J165" s="3">
        <v>15200</v>
      </c>
      <c r="K165" s="3">
        <f t="shared" si="9"/>
        <v>-15000</v>
      </c>
    </row>
    <row r="166" spans="1:11" x14ac:dyDescent="0.2">
      <c r="A166" s="3" t="s">
        <v>1282</v>
      </c>
      <c r="B166" s="3" t="s">
        <v>338</v>
      </c>
      <c r="C166" s="3"/>
      <c r="D166" s="3">
        <v>1600</v>
      </c>
      <c r="E166" s="3"/>
      <c r="F166" s="3"/>
      <c r="G166" s="3"/>
      <c r="H166" s="3"/>
      <c r="I166" s="3"/>
      <c r="J166" s="3"/>
      <c r="K166" s="3">
        <f t="shared" si="9"/>
        <v>0</v>
      </c>
    </row>
    <row r="167" spans="1:11" x14ac:dyDescent="0.2">
      <c r="A167" s="3" t="s">
        <v>769</v>
      </c>
      <c r="B167" s="3"/>
      <c r="C167" s="3"/>
      <c r="D167" s="3">
        <v>2100</v>
      </c>
      <c r="E167" s="3"/>
      <c r="F167" s="3"/>
      <c r="G167" s="3"/>
      <c r="H167" s="3"/>
      <c r="I167" s="3"/>
      <c r="J167" s="3"/>
      <c r="K167" s="3">
        <f t="shared" si="9"/>
        <v>0</v>
      </c>
    </row>
    <row r="168" spans="1:11" x14ac:dyDescent="0.2">
      <c r="A168" s="3" t="s">
        <v>770</v>
      </c>
      <c r="B168" s="3"/>
      <c r="C168" s="3"/>
      <c r="D168" s="3">
        <v>1500</v>
      </c>
      <c r="E168" s="3"/>
      <c r="F168" s="3"/>
      <c r="G168" s="3"/>
      <c r="H168" s="3"/>
      <c r="I168" s="3"/>
      <c r="J168" s="3"/>
      <c r="K168" s="3">
        <f t="shared" si="9"/>
        <v>0</v>
      </c>
    </row>
    <row r="169" spans="1:11" x14ac:dyDescent="0.2">
      <c r="A169" s="3" t="s">
        <v>1846</v>
      </c>
      <c r="B169" s="3"/>
      <c r="C169" s="3"/>
      <c r="D169" s="3">
        <v>0</v>
      </c>
      <c r="E169" s="3"/>
      <c r="F169" s="3"/>
      <c r="G169" s="3"/>
      <c r="H169" s="3"/>
      <c r="I169" s="3"/>
      <c r="J169" s="3"/>
      <c r="K169" s="3">
        <f t="shared" si="9"/>
        <v>0</v>
      </c>
    </row>
    <row r="170" spans="1:11" ht="15" x14ac:dyDescent="0.35">
      <c r="A170" s="3" t="s">
        <v>155</v>
      </c>
      <c r="B170" s="3"/>
      <c r="C170" s="3"/>
      <c r="D170" s="28">
        <v>10000</v>
      </c>
      <c r="E170" s="3"/>
      <c r="F170" s="3"/>
      <c r="G170" s="3"/>
      <c r="H170" s="3"/>
      <c r="I170" s="3"/>
      <c r="J170" s="3"/>
      <c r="K170" s="3">
        <f t="shared" si="9"/>
        <v>0</v>
      </c>
    </row>
    <row r="171" spans="1:11" x14ac:dyDescent="0.2">
      <c r="A171" s="3" t="s">
        <v>1067</v>
      </c>
      <c r="B171" s="3"/>
      <c r="C171" s="3"/>
      <c r="D171" s="3">
        <f>SUM(D166:D170)</f>
        <v>15200</v>
      </c>
      <c r="F171" s="3"/>
      <c r="G171" s="3"/>
      <c r="H171" s="3"/>
      <c r="I171" s="3"/>
      <c r="J171" s="3"/>
      <c r="K171" s="3">
        <f t="shared" si="9"/>
        <v>0</v>
      </c>
    </row>
    <row r="172" spans="1:11" x14ac:dyDescent="0.2">
      <c r="A172" s="3"/>
      <c r="B172" s="3"/>
      <c r="C172" s="3"/>
      <c r="D172" s="3"/>
      <c r="E172" s="3"/>
      <c r="F172" s="3"/>
      <c r="G172" s="3"/>
      <c r="H172" s="3"/>
      <c r="I172" s="3"/>
      <c r="J172" s="3"/>
      <c r="K172" s="3">
        <f t="shared" si="9"/>
        <v>0</v>
      </c>
    </row>
    <row r="173" spans="1:11" ht="13.5" x14ac:dyDescent="0.25">
      <c r="A173" s="50" t="s">
        <v>428</v>
      </c>
      <c r="B173" s="3"/>
      <c r="C173" s="3"/>
      <c r="D173" s="3"/>
      <c r="E173" s="3">
        <v>61265</v>
      </c>
      <c r="F173" s="3">
        <v>53050</v>
      </c>
      <c r="G173" s="3">
        <v>66250</v>
      </c>
      <c r="H173" s="3">
        <v>66250</v>
      </c>
      <c r="I173" s="3">
        <v>66250</v>
      </c>
      <c r="J173" s="3">
        <v>66250</v>
      </c>
      <c r="K173" s="3">
        <f t="shared" si="9"/>
        <v>13200</v>
      </c>
    </row>
    <row r="174" spans="1:11" x14ac:dyDescent="0.2">
      <c r="A174" s="3" t="s">
        <v>429</v>
      </c>
      <c r="B174" s="3">
        <v>2</v>
      </c>
      <c r="C174" s="3">
        <v>900</v>
      </c>
      <c r="D174" s="3">
        <f>ROUND(B174*C174,0)</f>
        <v>1800</v>
      </c>
      <c r="E174" s="3"/>
      <c r="F174" s="3"/>
      <c r="G174" s="3"/>
      <c r="H174" s="3"/>
      <c r="I174" s="3"/>
      <c r="J174" s="3"/>
      <c r="K174" s="3">
        <f t="shared" si="9"/>
        <v>0</v>
      </c>
    </row>
    <row r="175" spans="1:11" x14ac:dyDescent="0.2">
      <c r="A175" s="3" t="s">
        <v>1201</v>
      </c>
      <c r="B175" s="3" t="s">
        <v>338</v>
      </c>
      <c r="C175" s="3" t="s">
        <v>338</v>
      </c>
      <c r="D175" s="3" t="s">
        <v>338</v>
      </c>
      <c r="E175" s="3"/>
      <c r="F175" s="3"/>
      <c r="G175" s="3"/>
      <c r="H175" s="3"/>
      <c r="I175" s="3"/>
      <c r="J175" s="3"/>
      <c r="K175" s="3">
        <f t="shared" si="9"/>
        <v>0</v>
      </c>
    </row>
    <row r="176" spans="1:11" x14ac:dyDescent="0.2">
      <c r="A176" s="3" t="s">
        <v>1049</v>
      </c>
      <c r="B176" s="3">
        <v>39</v>
      </c>
      <c r="C176" s="3">
        <v>900</v>
      </c>
      <c r="D176" s="3">
        <f t="shared" ref="D176:D184" si="10">ROUND(B176*C176,0)</f>
        <v>35100</v>
      </c>
      <c r="E176" s="3"/>
      <c r="F176" s="3"/>
      <c r="G176" s="3"/>
      <c r="H176" s="3"/>
      <c r="I176" s="3"/>
      <c r="J176" s="3"/>
      <c r="K176" s="3">
        <f t="shared" si="9"/>
        <v>0</v>
      </c>
    </row>
    <row r="177" spans="1:11" x14ac:dyDescent="0.2">
      <c r="A177" s="3" t="s">
        <v>1050</v>
      </c>
      <c r="B177" s="3">
        <v>13</v>
      </c>
      <c r="C177" s="3">
        <v>100</v>
      </c>
      <c r="D177" s="3">
        <f t="shared" si="10"/>
        <v>1300</v>
      </c>
      <c r="E177" s="3"/>
      <c r="F177" s="3"/>
      <c r="G177" s="3"/>
      <c r="H177" s="3"/>
      <c r="I177" s="3"/>
      <c r="J177" s="3"/>
      <c r="K177" s="3">
        <f t="shared" si="9"/>
        <v>0</v>
      </c>
    </row>
    <row r="178" spans="1:11" x14ac:dyDescent="0.2">
      <c r="A178" s="3" t="s">
        <v>1051</v>
      </c>
      <c r="B178" s="3">
        <v>7</v>
      </c>
      <c r="C178" s="3">
        <v>100</v>
      </c>
      <c r="D178" s="3">
        <f t="shared" si="10"/>
        <v>700</v>
      </c>
      <c r="E178" s="3"/>
      <c r="F178" s="3"/>
      <c r="G178" s="3"/>
      <c r="H178" s="3"/>
      <c r="I178" s="3"/>
      <c r="J178" s="3"/>
      <c r="K178" s="3">
        <f t="shared" si="9"/>
        <v>0</v>
      </c>
    </row>
    <row r="179" spans="1:11" x14ac:dyDescent="0.2">
      <c r="A179" s="3" t="s">
        <v>1052</v>
      </c>
      <c r="B179" s="3">
        <v>1</v>
      </c>
      <c r="C179" s="3">
        <v>100</v>
      </c>
      <c r="D179" s="3">
        <f t="shared" si="10"/>
        <v>100</v>
      </c>
      <c r="E179" s="3"/>
      <c r="F179" s="3"/>
      <c r="G179" s="3"/>
      <c r="H179" s="3"/>
      <c r="I179" s="3"/>
      <c r="J179" s="3"/>
      <c r="K179" s="3">
        <f t="shared" si="9"/>
        <v>0</v>
      </c>
    </row>
    <row r="180" spans="1:11" x14ac:dyDescent="0.2">
      <c r="A180" s="3" t="s">
        <v>430</v>
      </c>
      <c r="B180" s="3">
        <v>6</v>
      </c>
      <c r="C180" s="3">
        <v>900</v>
      </c>
      <c r="D180" s="3">
        <v>4500</v>
      </c>
      <c r="E180" s="3"/>
      <c r="F180" s="3"/>
      <c r="G180" s="3"/>
      <c r="H180" s="3"/>
      <c r="I180" s="3"/>
      <c r="J180" s="3"/>
      <c r="K180" s="3">
        <f t="shared" si="9"/>
        <v>0</v>
      </c>
    </row>
    <row r="181" spans="1:11" x14ac:dyDescent="0.2">
      <c r="A181" s="3" t="s">
        <v>1236</v>
      </c>
      <c r="B181" s="3">
        <v>28</v>
      </c>
      <c r="C181" s="3">
        <v>500</v>
      </c>
      <c r="D181" s="3">
        <f>ROUND(B181*C181,0)</f>
        <v>14000</v>
      </c>
      <c r="E181" s="3"/>
      <c r="F181" s="3"/>
      <c r="G181" s="3"/>
      <c r="H181" s="3"/>
      <c r="I181" s="3"/>
      <c r="J181" s="3"/>
      <c r="K181" s="3">
        <f t="shared" si="9"/>
        <v>0</v>
      </c>
    </row>
    <row r="182" spans="1:11" x14ac:dyDescent="0.2">
      <c r="A182" s="3" t="s">
        <v>1584</v>
      </c>
      <c r="B182" s="3">
        <v>1</v>
      </c>
      <c r="C182" s="3">
        <v>350</v>
      </c>
      <c r="D182" s="3">
        <f t="shared" si="10"/>
        <v>350</v>
      </c>
      <c r="E182" s="3"/>
      <c r="F182" s="3"/>
      <c r="G182" s="3"/>
      <c r="H182" s="3"/>
      <c r="I182" s="3"/>
      <c r="J182" s="3"/>
      <c r="K182" s="3">
        <f t="shared" si="9"/>
        <v>0</v>
      </c>
    </row>
    <row r="183" spans="1:11" x14ac:dyDescent="0.2">
      <c r="A183" s="3" t="s">
        <v>1206</v>
      </c>
      <c r="B183" s="3">
        <v>3</v>
      </c>
      <c r="C183" s="3">
        <v>200</v>
      </c>
      <c r="D183" s="3">
        <f t="shared" si="10"/>
        <v>600</v>
      </c>
      <c r="E183" s="3"/>
      <c r="F183" s="3"/>
      <c r="G183" s="3"/>
      <c r="H183" s="3"/>
      <c r="I183" s="3"/>
      <c r="J183" s="3"/>
      <c r="K183" s="3">
        <f t="shared" si="9"/>
        <v>0</v>
      </c>
    </row>
    <row r="184" spans="1:11" ht="15" x14ac:dyDescent="0.35">
      <c r="A184" s="3" t="s">
        <v>688</v>
      </c>
      <c r="B184" s="3">
        <v>39</v>
      </c>
      <c r="C184" s="3">
        <v>200</v>
      </c>
      <c r="D184" s="28">
        <f t="shared" si="10"/>
        <v>7800</v>
      </c>
      <c r="E184" s="3"/>
      <c r="F184" s="3"/>
      <c r="G184" s="3"/>
      <c r="H184" s="3"/>
      <c r="I184" s="3"/>
      <c r="J184" s="3"/>
      <c r="K184" s="3">
        <f t="shared" si="9"/>
        <v>0</v>
      </c>
    </row>
    <row r="185" spans="1:11" x14ac:dyDescent="0.2">
      <c r="A185" s="3" t="s">
        <v>1067</v>
      </c>
      <c r="B185" s="3"/>
      <c r="C185" s="3"/>
      <c r="D185" s="3">
        <f>SUM(D174:D184)</f>
        <v>66250</v>
      </c>
      <c r="F185" s="3"/>
      <c r="G185" s="3"/>
      <c r="H185" s="3"/>
      <c r="I185" s="3"/>
      <c r="J185" s="3"/>
      <c r="K185" s="3">
        <f t="shared" si="9"/>
        <v>0</v>
      </c>
    </row>
    <row r="186" spans="1:11" x14ac:dyDescent="0.2">
      <c r="C186" s="3"/>
      <c r="D186" s="3"/>
      <c r="E186" s="3"/>
      <c r="F186" s="3"/>
      <c r="G186" s="3"/>
      <c r="H186" s="3"/>
      <c r="I186" s="3"/>
      <c r="J186" s="3"/>
      <c r="K186" s="3">
        <f t="shared" si="9"/>
        <v>0</v>
      </c>
    </row>
    <row r="187" spans="1:11" ht="13.5" x14ac:dyDescent="0.25">
      <c r="A187" s="50" t="s">
        <v>689</v>
      </c>
      <c r="C187" s="3"/>
      <c r="D187" s="3"/>
      <c r="E187" s="3">
        <v>2218</v>
      </c>
      <c r="F187" s="3">
        <v>2019</v>
      </c>
      <c r="G187" s="3">
        <v>2019</v>
      </c>
      <c r="H187" s="3">
        <v>2019</v>
      </c>
      <c r="I187" s="3">
        <v>2019</v>
      </c>
      <c r="J187" s="3">
        <v>2019</v>
      </c>
      <c r="K187" s="3">
        <f t="shared" si="9"/>
        <v>0</v>
      </c>
    </row>
    <row r="188" spans="1:11" x14ac:dyDescent="0.2">
      <c r="A188" s="49" t="s">
        <v>690</v>
      </c>
      <c r="C188" s="3"/>
      <c r="D188" s="3">
        <v>2019</v>
      </c>
      <c r="F188" s="3"/>
      <c r="G188" s="3"/>
      <c r="H188" s="3"/>
      <c r="I188" s="3"/>
      <c r="J188" s="3"/>
      <c r="K188" s="3">
        <f t="shared" si="9"/>
        <v>0</v>
      </c>
    </row>
    <row r="189" spans="1:11" x14ac:dyDescent="0.2">
      <c r="C189" s="3"/>
      <c r="D189" s="3"/>
      <c r="E189" s="3"/>
      <c r="F189" s="3"/>
      <c r="G189" s="3"/>
      <c r="H189" s="3"/>
      <c r="I189" s="3"/>
      <c r="J189" s="3"/>
      <c r="K189" s="3">
        <f t="shared" si="9"/>
        <v>0</v>
      </c>
    </row>
    <row r="190" spans="1:11" ht="13.5" x14ac:dyDescent="0.25">
      <c r="A190" s="50" t="s">
        <v>606</v>
      </c>
      <c r="C190" s="3"/>
      <c r="D190" s="3"/>
      <c r="E190" s="3">
        <v>960</v>
      </c>
      <c r="F190" s="3">
        <v>1100</v>
      </c>
      <c r="G190" s="3">
        <v>1100</v>
      </c>
      <c r="H190" s="3">
        <v>1100</v>
      </c>
      <c r="I190" s="3">
        <v>1100</v>
      </c>
      <c r="J190" s="3">
        <v>1100</v>
      </c>
      <c r="K190" s="3">
        <f t="shared" si="9"/>
        <v>0</v>
      </c>
    </row>
    <row r="191" spans="1:11" x14ac:dyDescent="0.2">
      <c r="A191" s="49" t="s">
        <v>273</v>
      </c>
      <c r="B191" s="3" t="s">
        <v>338</v>
      </c>
      <c r="C191" s="3"/>
      <c r="D191" s="3">
        <v>1100</v>
      </c>
      <c r="F191" s="3"/>
      <c r="G191" s="3"/>
      <c r="H191" s="3"/>
      <c r="I191" s="3"/>
      <c r="J191" s="3"/>
      <c r="K191" s="3">
        <f t="shared" si="9"/>
        <v>0</v>
      </c>
    </row>
    <row r="192" spans="1:11" x14ac:dyDescent="0.2">
      <c r="C192" s="3"/>
      <c r="D192" s="3"/>
      <c r="E192" s="3"/>
      <c r="F192" s="3"/>
      <c r="G192" s="3"/>
      <c r="H192" s="3"/>
      <c r="I192" s="3"/>
      <c r="J192" s="3"/>
      <c r="K192" s="3">
        <f t="shared" si="9"/>
        <v>0</v>
      </c>
    </row>
    <row r="193" spans="1:11" ht="13.5" x14ac:dyDescent="0.25">
      <c r="A193" s="50" t="s">
        <v>1287</v>
      </c>
      <c r="C193" s="3"/>
      <c r="D193" s="3"/>
      <c r="E193" s="3">
        <v>17840</v>
      </c>
      <c r="F193" s="3">
        <v>23900</v>
      </c>
      <c r="G193" s="3">
        <v>22800</v>
      </c>
      <c r="H193" s="3">
        <v>22800</v>
      </c>
      <c r="I193" s="3">
        <v>22800</v>
      </c>
      <c r="J193" s="3">
        <v>22800</v>
      </c>
      <c r="K193" s="3">
        <f t="shared" si="9"/>
        <v>-1100</v>
      </c>
    </row>
    <row r="194" spans="1:11" x14ac:dyDescent="0.2">
      <c r="A194" s="49" t="s">
        <v>1547</v>
      </c>
      <c r="C194" s="3"/>
      <c r="D194" s="3">
        <v>2800</v>
      </c>
      <c r="E194" s="3"/>
      <c r="F194" s="3"/>
      <c r="G194" s="3"/>
      <c r="H194" s="3"/>
      <c r="I194" s="3"/>
      <c r="J194" s="3"/>
      <c r="K194" s="3">
        <f t="shared" si="9"/>
        <v>0</v>
      </c>
    </row>
    <row r="195" spans="1:11" ht="15" x14ac:dyDescent="0.35">
      <c r="A195" s="49" t="s">
        <v>738</v>
      </c>
      <c r="C195" s="3"/>
      <c r="D195" s="28">
        <v>20000</v>
      </c>
      <c r="E195" s="3"/>
      <c r="F195" s="3"/>
      <c r="G195" s="3"/>
      <c r="H195" s="3"/>
      <c r="I195" s="3"/>
      <c r="J195" s="3"/>
      <c r="K195" s="3">
        <f t="shared" si="9"/>
        <v>0</v>
      </c>
    </row>
    <row r="196" spans="1:11" x14ac:dyDescent="0.2">
      <c r="A196" s="49" t="s">
        <v>1067</v>
      </c>
      <c r="C196" s="3"/>
      <c r="D196" s="3">
        <f>SUM(D194:D195)</f>
        <v>22800</v>
      </c>
      <c r="E196" s="3"/>
      <c r="F196" s="3"/>
      <c r="G196" s="3"/>
      <c r="H196" s="3"/>
      <c r="I196" s="3"/>
      <c r="J196" s="3"/>
      <c r="K196" s="3">
        <f t="shared" si="9"/>
        <v>0</v>
      </c>
    </row>
    <row r="197" spans="1:11" x14ac:dyDescent="0.2">
      <c r="C197" s="3"/>
      <c r="D197" s="3"/>
      <c r="E197" s="3"/>
      <c r="F197" s="3"/>
      <c r="G197" s="3"/>
      <c r="H197" s="3"/>
      <c r="I197" s="3"/>
      <c r="J197" s="3"/>
      <c r="K197" s="3">
        <f t="shared" si="9"/>
        <v>0</v>
      </c>
    </row>
    <row r="198" spans="1:11" ht="13.5" x14ac:dyDescent="0.25">
      <c r="A198" s="50" t="s">
        <v>326</v>
      </c>
      <c r="C198" s="3"/>
      <c r="D198" s="3"/>
      <c r="E198" s="3">
        <v>5202</v>
      </c>
      <c r="F198" s="3">
        <v>5400</v>
      </c>
      <c r="G198" s="3">
        <v>5750</v>
      </c>
      <c r="H198" s="3">
        <v>5750</v>
      </c>
      <c r="I198" s="3">
        <v>5750</v>
      </c>
      <c r="J198" s="3">
        <v>5750</v>
      </c>
      <c r="K198" s="3">
        <f t="shared" si="9"/>
        <v>350</v>
      </c>
    </row>
    <row r="199" spans="1:11" x14ac:dyDescent="0.2">
      <c r="A199" s="49" t="s">
        <v>738</v>
      </c>
      <c r="C199" s="3"/>
      <c r="D199" s="3">
        <v>5750</v>
      </c>
      <c r="F199" s="3"/>
      <c r="G199" s="3"/>
      <c r="H199" s="3"/>
      <c r="I199" s="3"/>
      <c r="J199" s="3"/>
      <c r="K199" s="3">
        <f t="shared" si="9"/>
        <v>0</v>
      </c>
    </row>
    <row r="200" spans="1:11" x14ac:dyDescent="0.2">
      <c r="D200" s="3"/>
      <c r="E200" s="3"/>
      <c r="F200" s="3"/>
      <c r="G200" s="3"/>
      <c r="H200" s="3"/>
      <c r="I200" s="3"/>
      <c r="J200" s="3"/>
      <c r="K200" s="3">
        <f t="shared" si="9"/>
        <v>0</v>
      </c>
    </row>
    <row r="201" spans="1:11" ht="13.5" x14ac:dyDescent="0.25">
      <c r="A201" s="50" t="s">
        <v>1288</v>
      </c>
      <c r="D201" s="3"/>
      <c r="E201" s="3">
        <v>1756</v>
      </c>
      <c r="F201" s="3">
        <v>1400</v>
      </c>
      <c r="G201" s="3">
        <v>1850</v>
      </c>
      <c r="H201" s="3">
        <v>1850</v>
      </c>
      <c r="I201" s="3">
        <v>1850</v>
      </c>
      <c r="J201" s="3">
        <v>1850</v>
      </c>
      <c r="K201" s="3">
        <f t="shared" si="9"/>
        <v>450</v>
      </c>
    </row>
    <row r="202" spans="1:11" x14ac:dyDescent="0.2">
      <c r="A202" s="49" t="s">
        <v>738</v>
      </c>
      <c r="C202" s="3"/>
      <c r="D202" s="3">
        <v>1850</v>
      </c>
      <c r="F202" s="3"/>
      <c r="G202" s="3"/>
      <c r="H202" s="3"/>
      <c r="I202" s="3"/>
      <c r="J202" s="3"/>
      <c r="K202" s="3">
        <f t="shared" si="9"/>
        <v>0</v>
      </c>
    </row>
    <row r="203" spans="1:11" x14ac:dyDescent="0.2">
      <c r="C203" s="3"/>
      <c r="D203" s="3"/>
      <c r="E203" s="3"/>
      <c r="F203" s="3"/>
      <c r="G203" s="3"/>
      <c r="H203" s="3"/>
      <c r="I203" s="3"/>
      <c r="J203" s="3"/>
      <c r="K203" s="3">
        <f t="shared" si="9"/>
        <v>0</v>
      </c>
    </row>
    <row r="204" spans="1:11" ht="13.5" x14ac:dyDescent="0.25">
      <c r="A204" s="50" t="s">
        <v>1289</v>
      </c>
      <c r="C204" s="3"/>
      <c r="D204" s="3"/>
      <c r="E204" s="3">
        <v>296</v>
      </c>
      <c r="F204" s="3">
        <v>304</v>
      </c>
      <c r="G204" s="3">
        <v>340</v>
      </c>
      <c r="H204" s="3">
        <v>340</v>
      </c>
      <c r="I204" s="3">
        <v>340</v>
      </c>
      <c r="J204" s="3">
        <v>340</v>
      </c>
      <c r="K204" s="3">
        <f t="shared" si="9"/>
        <v>36</v>
      </c>
    </row>
    <row r="205" spans="1:11" x14ac:dyDescent="0.2">
      <c r="A205" s="49" t="s">
        <v>738</v>
      </c>
      <c r="C205" s="3"/>
      <c r="D205" s="3">
        <v>340</v>
      </c>
      <c r="F205" s="3"/>
      <c r="G205" s="3"/>
      <c r="H205" s="3"/>
      <c r="I205" s="3"/>
      <c r="J205" s="3"/>
      <c r="K205" s="3">
        <f t="shared" si="9"/>
        <v>0</v>
      </c>
    </row>
    <row r="206" spans="1:11" x14ac:dyDescent="0.2">
      <c r="C206" s="3"/>
      <c r="D206" s="3"/>
      <c r="E206" s="3"/>
      <c r="F206" s="3"/>
      <c r="G206" s="3"/>
      <c r="H206" s="3"/>
      <c r="I206" s="3"/>
      <c r="J206" s="3"/>
      <c r="K206" s="3">
        <f t="shared" si="9"/>
        <v>0</v>
      </c>
    </row>
    <row r="207" spans="1:11" x14ac:dyDescent="0.2">
      <c r="C207" s="3"/>
      <c r="D207" s="3"/>
      <c r="E207" s="3"/>
      <c r="F207" s="3"/>
      <c r="G207" s="3"/>
      <c r="H207" s="3"/>
      <c r="I207" s="3"/>
      <c r="J207" s="3"/>
      <c r="K207" s="3">
        <f t="shared" si="9"/>
        <v>0</v>
      </c>
    </row>
    <row r="208" spans="1:11" ht="13.5" x14ac:dyDescent="0.25">
      <c r="A208" s="50" t="s">
        <v>833</v>
      </c>
      <c r="C208" s="3"/>
      <c r="D208" s="3"/>
      <c r="E208" s="3">
        <v>76472</v>
      </c>
      <c r="F208" s="3">
        <v>84075</v>
      </c>
      <c r="G208" s="3">
        <v>101500</v>
      </c>
      <c r="H208" s="3">
        <v>101500</v>
      </c>
      <c r="I208" s="3">
        <v>101500</v>
      </c>
      <c r="J208" s="3">
        <v>101500</v>
      </c>
      <c r="K208" s="3">
        <f t="shared" ref="K208:K271" si="11">+H208-F208</f>
        <v>17425</v>
      </c>
    </row>
    <row r="209" spans="1:11" x14ac:dyDescent="0.2">
      <c r="A209" s="49" t="s">
        <v>1101</v>
      </c>
      <c r="B209" s="3">
        <v>29000</v>
      </c>
      <c r="C209" s="11">
        <v>3.5</v>
      </c>
      <c r="D209" s="3">
        <f>ROUND(B209*C209,0)</f>
        <v>101500</v>
      </c>
      <c r="F209" s="3"/>
      <c r="G209" s="3"/>
      <c r="H209" s="3"/>
      <c r="I209" s="3"/>
      <c r="J209" s="3"/>
      <c r="K209" s="3">
        <f t="shared" si="11"/>
        <v>0</v>
      </c>
    </row>
    <row r="210" spans="1:11" x14ac:dyDescent="0.2">
      <c r="B210" s="3"/>
      <c r="C210" s="3"/>
      <c r="D210" s="3"/>
      <c r="E210" s="3"/>
      <c r="F210" s="3"/>
      <c r="G210" s="3"/>
      <c r="H210" s="3"/>
      <c r="I210" s="3"/>
      <c r="J210" s="3"/>
      <c r="K210" s="3">
        <f t="shared" si="11"/>
        <v>0</v>
      </c>
    </row>
    <row r="211" spans="1:11" ht="13.5" x14ac:dyDescent="0.25">
      <c r="A211" s="50" t="s">
        <v>834</v>
      </c>
      <c r="C211" s="60" t="s">
        <v>338</v>
      </c>
      <c r="D211" s="60" t="s">
        <v>338</v>
      </c>
      <c r="E211" s="3">
        <v>10049</v>
      </c>
      <c r="F211" s="3">
        <v>10100</v>
      </c>
      <c r="G211" s="3">
        <v>15700</v>
      </c>
      <c r="H211" s="3">
        <v>15700</v>
      </c>
      <c r="I211" s="3">
        <v>15700</v>
      </c>
      <c r="J211" s="3">
        <v>15700</v>
      </c>
      <c r="K211" s="3">
        <f t="shared" si="11"/>
        <v>5600</v>
      </c>
    </row>
    <row r="212" spans="1:11" x14ac:dyDescent="0.2">
      <c r="A212" s="49" t="s">
        <v>299</v>
      </c>
      <c r="B212" s="3" t="s">
        <v>338</v>
      </c>
      <c r="C212" s="3"/>
      <c r="D212" s="3">
        <v>1200</v>
      </c>
      <c r="E212" s="3"/>
      <c r="F212" s="3"/>
      <c r="G212" s="3"/>
      <c r="H212" s="3"/>
      <c r="I212" s="3"/>
      <c r="J212" s="3"/>
      <c r="K212" s="3">
        <f t="shared" si="11"/>
        <v>0</v>
      </c>
    </row>
    <row r="213" spans="1:11" x14ac:dyDescent="0.2">
      <c r="A213" s="49" t="s">
        <v>415</v>
      </c>
      <c r="C213" s="3"/>
      <c r="D213" s="3">
        <v>250</v>
      </c>
      <c r="E213" s="3"/>
      <c r="F213" s="3"/>
      <c r="G213" s="3"/>
      <c r="H213" s="3"/>
      <c r="I213" s="3"/>
      <c r="J213" s="3"/>
      <c r="K213" s="3">
        <f t="shared" si="11"/>
        <v>0</v>
      </c>
    </row>
    <row r="214" spans="1:11" x14ac:dyDescent="0.2">
      <c r="A214" s="49" t="s">
        <v>676</v>
      </c>
      <c r="C214" s="3"/>
      <c r="D214" s="3">
        <v>100</v>
      </c>
      <c r="E214" s="3"/>
      <c r="F214" s="3"/>
      <c r="G214" s="3"/>
      <c r="H214" s="3"/>
      <c r="I214" s="3"/>
      <c r="J214" s="3"/>
      <c r="K214" s="3">
        <f t="shared" si="11"/>
        <v>0</v>
      </c>
    </row>
    <row r="215" spans="1:11" x14ac:dyDescent="0.2">
      <c r="A215" s="49" t="s">
        <v>29</v>
      </c>
      <c r="C215" s="3"/>
      <c r="D215" s="3">
        <v>3300</v>
      </c>
      <c r="E215" s="3"/>
      <c r="F215" s="3"/>
      <c r="G215" s="3"/>
      <c r="H215" s="3"/>
      <c r="I215" s="3"/>
      <c r="J215" s="3"/>
      <c r="K215" s="3">
        <f t="shared" si="11"/>
        <v>0</v>
      </c>
    </row>
    <row r="216" spans="1:11" x14ac:dyDescent="0.2">
      <c r="A216" s="49" t="s">
        <v>1358</v>
      </c>
      <c r="C216" s="3"/>
      <c r="D216" s="3">
        <v>450</v>
      </c>
      <c r="E216" s="3"/>
      <c r="F216" s="3"/>
      <c r="G216" s="3"/>
      <c r="H216" s="3"/>
      <c r="I216" s="3"/>
      <c r="J216" s="3"/>
      <c r="K216" s="3">
        <f t="shared" si="11"/>
        <v>0</v>
      </c>
    </row>
    <row r="217" spans="1:11" ht="15" x14ac:dyDescent="0.35">
      <c r="A217" s="49" t="s">
        <v>1304</v>
      </c>
      <c r="C217" s="28"/>
      <c r="D217" s="3">
        <v>100</v>
      </c>
      <c r="E217" s="3"/>
      <c r="F217" s="3"/>
      <c r="G217" s="3"/>
      <c r="H217" s="3"/>
      <c r="I217" s="3"/>
      <c r="J217" s="3"/>
      <c r="K217" s="3">
        <f t="shared" si="11"/>
        <v>0</v>
      </c>
    </row>
    <row r="218" spans="1:11" ht="15" x14ac:dyDescent="0.35">
      <c r="A218" s="49" t="s">
        <v>1847</v>
      </c>
      <c r="C218" s="28"/>
      <c r="D218" s="3">
        <v>2300</v>
      </c>
      <c r="E218" s="3"/>
      <c r="F218" s="3"/>
      <c r="G218" s="3"/>
      <c r="H218" s="3"/>
      <c r="I218" s="3"/>
      <c r="J218" s="3"/>
      <c r="K218" s="3">
        <f t="shared" si="11"/>
        <v>0</v>
      </c>
    </row>
    <row r="219" spans="1:11" ht="15" x14ac:dyDescent="0.35">
      <c r="A219" s="49" t="s">
        <v>2054</v>
      </c>
      <c r="C219" s="28"/>
      <c r="D219" s="3">
        <v>600</v>
      </c>
      <c r="E219" s="3"/>
      <c r="F219" s="3"/>
      <c r="G219" s="3"/>
      <c r="H219" s="3"/>
      <c r="I219" s="3"/>
      <c r="J219" s="3"/>
      <c r="K219" s="3">
        <f t="shared" si="11"/>
        <v>0</v>
      </c>
    </row>
    <row r="220" spans="1:11" ht="15" x14ac:dyDescent="0.35">
      <c r="A220" s="49" t="s">
        <v>1848</v>
      </c>
      <c r="C220" s="28"/>
      <c r="D220" s="3">
        <v>300</v>
      </c>
      <c r="E220" s="3"/>
      <c r="F220" s="3"/>
      <c r="G220" s="3"/>
      <c r="H220" s="3"/>
      <c r="I220" s="3"/>
      <c r="J220" s="3"/>
      <c r="K220" s="3">
        <f t="shared" si="11"/>
        <v>0</v>
      </c>
    </row>
    <row r="221" spans="1:11" ht="15" x14ac:dyDescent="0.35">
      <c r="A221" s="49" t="s">
        <v>2055</v>
      </c>
      <c r="C221" s="28"/>
      <c r="D221" s="3">
        <v>5000</v>
      </c>
      <c r="E221" s="3"/>
      <c r="F221" s="3"/>
      <c r="G221" s="3"/>
      <c r="H221" s="3"/>
      <c r="I221" s="3"/>
      <c r="J221" s="3"/>
      <c r="K221" s="3">
        <f t="shared" si="11"/>
        <v>0</v>
      </c>
    </row>
    <row r="222" spans="1:11" ht="15" x14ac:dyDescent="0.35">
      <c r="A222" s="49" t="s">
        <v>1713</v>
      </c>
      <c r="C222" s="28"/>
      <c r="D222" s="3">
        <v>1500</v>
      </c>
      <c r="E222" s="3"/>
      <c r="F222" s="3"/>
      <c r="G222" s="3"/>
      <c r="H222" s="3"/>
      <c r="I222" s="3"/>
      <c r="J222" s="3"/>
      <c r="K222" s="3">
        <f t="shared" si="11"/>
        <v>0</v>
      </c>
    </row>
    <row r="223" spans="1:11" ht="27.75" x14ac:dyDescent="0.35">
      <c r="A223" s="108" t="s">
        <v>1661</v>
      </c>
      <c r="C223" s="28"/>
      <c r="D223" s="28">
        <v>600</v>
      </c>
      <c r="E223" s="3"/>
      <c r="F223" s="3"/>
      <c r="G223" s="3"/>
      <c r="H223" s="3"/>
      <c r="I223" s="3"/>
      <c r="J223" s="3"/>
      <c r="K223" s="3">
        <f t="shared" si="11"/>
        <v>0</v>
      </c>
    </row>
    <row r="224" spans="1:11" x14ac:dyDescent="0.2">
      <c r="A224" s="49" t="s">
        <v>1067</v>
      </c>
      <c r="C224" s="3"/>
      <c r="D224" s="3">
        <f>SUM(D212:D223)</f>
        <v>15700</v>
      </c>
      <c r="F224" s="3"/>
      <c r="G224" s="3"/>
      <c r="H224" s="3"/>
      <c r="I224" s="3"/>
      <c r="J224" s="3"/>
      <c r="K224" s="3">
        <f t="shared" si="11"/>
        <v>0</v>
      </c>
    </row>
    <row r="225" spans="1:11" x14ac:dyDescent="0.2">
      <c r="C225" s="3"/>
      <c r="D225" s="3"/>
      <c r="F225" s="3"/>
      <c r="G225" s="3"/>
      <c r="H225" s="3"/>
      <c r="I225" s="3"/>
      <c r="J225" s="3"/>
      <c r="K225" s="3">
        <f t="shared" si="11"/>
        <v>0</v>
      </c>
    </row>
    <row r="226" spans="1:11" x14ac:dyDescent="0.2">
      <c r="C226" s="3"/>
      <c r="D226" s="3"/>
      <c r="F226" s="3"/>
      <c r="G226" s="3"/>
      <c r="H226" s="3"/>
      <c r="I226" s="3"/>
      <c r="J226" s="3"/>
      <c r="K226" s="3">
        <f t="shared" si="11"/>
        <v>0</v>
      </c>
    </row>
    <row r="227" spans="1:11" ht="13.5" x14ac:dyDescent="0.25">
      <c r="A227" s="93" t="s">
        <v>710</v>
      </c>
      <c r="C227" s="60"/>
      <c r="D227" s="60" t="s">
        <v>338</v>
      </c>
      <c r="E227" s="3">
        <v>55410</v>
      </c>
      <c r="F227" s="3">
        <v>65372</v>
      </c>
      <c r="G227" s="3">
        <v>66731</v>
      </c>
      <c r="H227" s="3">
        <v>66731</v>
      </c>
      <c r="I227" s="3">
        <v>66731</v>
      </c>
      <c r="J227" s="3">
        <v>66731</v>
      </c>
      <c r="K227" s="3">
        <f t="shared" si="11"/>
        <v>1359</v>
      </c>
    </row>
    <row r="228" spans="1:11" x14ac:dyDescent="0.2">
      <c r="A228" s="49" t="s">
        <v>900</v>
      </c>
      <c r="C228" s="3"/>
      <c r="D228" s="3">
        <v>66731</v>
      </c>
      <c r="F228" s="3"/>
      <c r="G228" s="3"/>
      <c r="H228" s="3"/>
      <c r="I228" s="3"/>
      <c r="J228" s="3"/>
      <c r="K228" s="3">
        <f t="shared" si="11"/>
        <v>0</v>
      </c>
    </row>
    <row r="229" spans="1:11" x14ac:dyDescent="0.2">
      <c r="C229" s="3"/>
      <c r="D229" s="3"/>
      <c r="E229" s="3"/>
      <c r="F229" s="3"/>
      <c r="G229" s="3"/>
      <c r="H229" s="3"/>
      <c r="I229" s="3"/>
      <c r="J229" s="3"/>
      <c r="K229" s="3">
        <f t="shared" si="11"/>
        <v>0</v>
      </c>
    </row>
    <row r="230" spans="1:11" ht="13.5" x14ac:dyDescent="0.25">
      <c r="A230" s="50" t="s">
        <v>711</v>
      </c>
      <c r="C230" s="60"/>
      <c r="D230" s="60" t="s">
        <v>338</v>
      </c>
      <c r="E230" s="3">
        <v>8005</v>
      </c>
      <c r="F230" s="3">
        <v>12350</v>
      </c>
      <c r="G230" s="3">
        <v>12350</v>
      </c>
      <c r="H230" s="3">
        <v>12350</v>
      </c>
      <c r="I230" s="3">
        <v>12350</v>
      </c>
      <c r="J230" s="3">
        <v>12350</v>
      </c>
      <c r="K230" s="3">
        <f t="shared" si="11"/>
        <v>0</v>
      </c>
    </row>
    <row r="231" spans="1:11" x14ac:dyDescent="0.2">
      <c r="A231" s="49" t="s">
        <v>712</v>
      </c>
      <c r="C231" s="3"/>
      <c r="D231" s="3">
        <v>12000</v>
      </c>
      <c r="E231" s="3"/>
      <c r="F231" s="3"/>
      <c r="G231" s="3"/>
      <c r="H231" s="3"/>
      <c r="I231" s="3"/>
      <c r="J231" s="3"/>
      <c r="K231" s="3">
        <f t="shared" si="11"/>
        <v>0</v>
      </c>
    </row>
    <row r="232" spans="1:11" ht="15" x14ac:dyDescent="0.35">
      <c r="A232" s="49" t="s">
        <v>471</v>
      </c>
      <c r="C232" s="28"/>
      <c r="D232" s="28">
        <v>350</v>
      </c>
      <c r="E232" s="3"/>
      <c r="F232" s="3"/>
      <c r="G232" s="3"/>
      <c r="H232" s="3"/>
      <c r="I232" s="3"/>
      <c r="J232" s="3"/>
      <c r="K232" s="3">
        <f t="shared" si="11"/>
        <v>0</v>
      </c>
    </row>
    <row r="233" spans="1:11" x14ac:dyDescent="0.2">
      <c r="A233" s="49" t="s">
        <v>1067</v>
      </c>
      <c r="C233" s="3"/>
      <c r="D233" s="3">
        <f>SUM(D231:D232)</f>
        <v>12350</v>
      </c>
      <c r="F233" s="3"/>
      <c r="G233" s="3"/>
      <c r="H233" s="3"/>
      <c r="I233" s="3"/>
      <c r="J233" s="3"/>
      <c r="K233" s="3">
        <f t="shared" si="11"/>
        <v>0</v>
      </c>
    </row>
    <row r="234" spans="1:11" x14ac:dyDescent="0.2">
      <c r="C234" s="3"/>
      <c r="D234" s="3"/>
      <c r="E234" s="3"/>
      <c r="F234" s="3"/>
      <c r="G234" s="3"/>
      <c r="H234" s="3"/>
      <c r="I234" s="3"/>
      <c r="J234" s="3"/>
      <c r="K234" s="3">
        <f t="shared" si="11"/>
        <v>0</v>
      </c>
    </row>
    <row r="235" spans="1:11" ht="13.5" x14ac:dyDescent="0.25">
      <c r="A235" s="50" t="s">
        <v>557</v>
      </c>
      <c r="C235" s="3"/>
      <c r="D235" s="3"/>
      <c r="E235" s="3">
        <v>12853</v>
      </c>
      <c r="F235" s="3">
        <v>15000</v>
      </c>
      <c r="G235" s="3">
        <v>15000</v>
      </c>
      <c r="H235" s="3">
        <v>15000</v>
      </c>
      <c r="I235" s="3">
        <v>15000</v>
      </c>
      <c r="J235" s="3">
        <v>15000</v>
      </c>
      <c r="K235" s="3">
        <f t="shared" si="11"/>
        <v>0</v>
      </c>
    </row>
    <row r="236" spans="1:11" x14ac:dyDescent="0.2">
      <c r="A236" s="36" t="s">
        <v>1359</v>
      </c>
      <c r="C236" s="3"/>
      <c r="D236" s="3">
        <v>15000</v>
      </c>
      <c r="E236" s="3"/>
      <c r="F236" s="3"/>
      <c r="G236" s="3"/>
      <c r="H236" s="3"/>
      <c r="I236" s="3"/>
      <c r="J236" s="3"/>
      <c r="K236" s="3">
        <f t="shared" si="11"/>
        <v>0</v>
      </c>
    </row>
    <row r="237" spans="1:11" x14ac:dyDescent="0.2">
      <c r="C237" s="3"/>
      <c r="D237" s="3"/>
      <c r="E237" s="3"/>
      <c r="F237" s="3"/>
      <c r="G237" s="3"/>
      <c r="H237" s="3"/>
      <c r="I237" s="3"/>
      <c r="J237" s="3"/>
      <c r="K237" s="3">
        <f t="shared" si="11"/>
        <v>0</v>
      </c>
    </row>
    <row r="238" spans="1:11" ht="13.5" x14ac:dyDescent="0.25">
      <c r="A238" s="50" t="s">
        <v>472</v>
      </c>
      <c r="C238" s="3"/>
      <c r="D238" s="3"/>
      <c r="E238" s="3">
        <v>32964</v>
      </c>
      <c r="F238" s="3">
        <v>55000</v>
      </c>
      <c r="G238" s="3">
        <v>45000</v>
      </c>
      <c r="H238" s="3">
        <v>45000</v>
      </c>
      <c r="I238" s="3">
        <v>45000</v>
      </c>
      <c r="J238" s="3">
        <v>45000</v>
      </c>
      <c r="K238" s="3">
        <f t="shared" si="11"/>
        <v>-10000</v>
      </c>
    </row>
    <row r="239" spans="1:11" x14ac:dyDescent="0.2">
      <c r="A239" s="49" t="s">
        <v>473</v>
      </c>
      <c r="C239" s="3"/>
      <c r="D239" s="3">
        <v>45000</v>
      </c>
      <c r="E239" s="3"/>
      <c r="F239" s="3"/>
      <c r="G239" s="3"/>
      <c r="H239" s="3"/>
      <c r="I239" s="3"/>
      <c r="J239" s="3"/>
      <c r="K239" s="3">
        <f t="shared" si="11"/>
        <v>0</v>
      </c>
    </row>
    <row r="240" spans="1:11" ht="15" x14ac:dyDescent="0.35">
      <c r="C240" s="3"/>
      <c r="D240" s="28">
        <v>0</v>
      </c>
      <c r="E240" s="3"/>
      <c r="F240" s="3"/>
      <c r="G240" s="3"/>
      <c r="H240" s="3"/>
      <c r="I240" s="3"/>
      <c r="J240" s="3"/>
      <c r="K240" s="3">
        <f t="shared" si="11"/>
        <v>0</v>
      </c>
    </row>
    <row r="241" spans="1:11" x14ac:dyDescent="0.2">
      <c r="C241" s="3"/>
      <c r="D241" s="3">
        <f>SUM(D239:D240)</f>
        <v>45000</v>
      </c>
      <c r="E241" s="3"/>
      <c r="F241" s="3"/>
      <c r="G241" s="3"/>
      <c r="H241" s="3"/>
      <c r="I241" s="3"/>
      <c r="J241" s="3"/>
      <c r="K241" s="3">
        <f t="shared" si="11"/>
        <v>0</v>
      </c>
    </row>
    <row r="242" spans="1:11" x14ac:dyDescent="0.2">
      <c r="C242" s="3"/>
      <c r="D242" s="3"/>
      <c r="E242" s="3"/>
      <c r="F242" s="3"/>
      <c r="G242" s="3"/>
      <c r="H242" s="3"/>
      <c r="I242" s="3"/>
      <c r="J242" s="3"/>
      <c r="K242" s="3">
        <f t="shared" si="11"/>
        <v>0</v>
      </c>
    </row>
    <row r="243" spans="1:11" x14ac:dyDescent="0.2">
      <c r="C243" s="3"/>
      <c r="D243" s="3"/>
      <c r="E243" s="3"/>
      <c r="F243" s="3"/>
      <c r="G243" s="3"/>
      <c r="H243" s="3"/>
      <c r="I243" s="3"/>
      <c r="J243" s="3"/>
      <c r="K243" s="3">
        <f t="shared" si="11"/>
        <v>0</v>
      </c>
    </row>
    <row r="244" spans="1:11" ht="13.5" x14ac:dyDescent="0.25">
      <c r="A244" s="50" t="s">
        <v>684</v>
      </c>
      <c r="C244" s="3"/>
      <c r="D244" s="3"/>
      <c r="E244" s="3">
        <v>24727</v>
      </c>
      <c r="F244" s="3">
        <v>12276</v>
      </c>
      <c r="G244" s="3">
        <v>12492</v>
      </c>
      <c r="H244" s="3">
        <v>12492</v>
      </c>
      <c r="I244" s="3">
        <v>12492</v>
      </c>
      <c r="J244" s="3">
        <v>12492</v>
      </c>
      <c r="K244" s="3">
        <f t="shared" si="11"/>
        <v>216</v>
      </c>
    </row>
    <row r="245" spans="1:11" x14ac:dyDescent="0.2">
      <c r="A245" s="49" t="s">
        <v>685</v>
      </c>
      <c r="C245" s="3"/>
      <c r="D245" s="3">
        <v>2715</v>
      </c>
      <c r="E245" s="3"/>
      <c r="F245" s="3"/>
      <c r="G245" s="3"/>
      <c r="H245" s="3"/>
      <c r="I245" s="3"/>
      <c r="J245" s="3"/>
      <c r="K245" s="3">
        <f t="shared" si="11"/>
        <v>0</v>
      </c>
    </row>
    <row r="246" spans="1:11" x14ac:dyDescent="0.2">
      <c r="A246" s="49" t="s">
        <v>1664</v>
      </c>
      <c r="C246" s="3"/>
      <c r="D246" s="3">
        <v>5000</v>
      </c>
      <c r="E246" s="3"/>
      <c r="F246" s="3"/>
      <c r="G246" s="3"/>
      <c r="H246" s="3"/>
      <c r="I246" s="3"/>
      <c r="J246" s="3"/>
      <c r="K246" s="3">
        <f t="shared" si="11"/>
        <v>0</v>
      </c>
    </row>
    <row r="247" spans="1:11" ht="15" x14ac:dyDescent="0.35">
      <c r="A247" s="49" t="s">
        <v>1849</v>
      </c>
      <c r="C247" s="28"/>
      <c r="D247" s="3">
        <v>4261</v>
      </c>
      <c r="E247" s="3"/>
      <c r="F247" s="3"/>
      <c r="G247" s="3"/>
      <c r="H247" s="3"/>
      <c r="I247" s="3"/>
      <c r="J247" s="3"/>
      <c r="K247" s="3">
        <f t="shared" si="11"/>
        <v>0</v>
      </c>
    </row>
    <row r="248" spans="1:11" ht="15" x14ac:dyDescent="0.35">
      <c r="A248" s="49" t="s">
        <v>726</v>
      </c>
      <c r="C248" s="28"/>
      <c r="D248" s="28">
        <v>516</v>
      </c>
      <c r="E248" s="3"/>
      <c r="F248" s="3"/>
      <c r="G248" s="3"/>
      <c r="H248" s="3"/>
      <c r="I248" s="3"/>
      <c r="J248" s="3"/>
      <c r="K248" s="3">
        <f t="shared" si="11"/>
        <v>0</v>
      </c>
    </row>
    <row r="249" spans="1:11" x14ac:dyDescent="0.2">
      <c r="A249" s="49" t="s">
        <v>1067</v>
      </c>
      <c r="C249" s="3"/>
      <c r="D249" s="3">
        <f>SUM(D245:D248)</f>
        <v>12492</v>
      </c>
      <c r="E249" s="3"/>
      <c r="F249" s="3"/>
      <c r="G249" s="3"/>
      <c r="H249" s="3"/>
      <c r="I249" s="3"/>
      <c r="J249" s="3"/>
      <c r="K249" s="3">
        <f t="shared" si="11"/>
        <v>0</v>
      </c>
    </row>
    <row r="250" spans="1:11" x14ac:dyDescent="0.2">
      <c r="C250" s="3"/>
      <c r="D250" s="3"/>
      <c r="E250" s="3"/>
      <c r="F250" s="3"/>
      <c r="G250" s="3"/>
      <c r="H250" s="3"/>
      <c r="I250" s="3"/>
      <c r="J250" s="3"/>
      <c r="K250" s="3">
        <f t="shared" si="11"/>
        <v>0</v>
      </c>
    </row>
    <row r="251" spans="1:11" ht="13.5" x14ac:dyDescent="0.25">
      <c r="A251" s="50" t="s">
        <v>673</v>
      </c>
      <c r="B251" s="51"/>
      <c r="C251" s="3"/>
      <c r="D251" s="3"/>
      <c r="E251" s="3">
        <v>16617</v>
      </c>
      <c r="F251" s="3">
        <v>2951</v>
      </c>
      <c r="G251" s="3">
        <v>2951</v>
      </c>
      <c r="H251" s="3">
        <v>2951</v>
      </c>
      <c r="I251" s="3">
        <v>2951</v>
      </c>
      <c r="J251" s="3">
        <v>2951</v>
      </c>
      <c r="K251" s="3">
        <f t="shared" si="11"/>
        <v>0</v>
      </c>
    </row>
    <row r="252" spans="1:11" x14ac:dyDescent="0.2">
      <c r="A252" s="49" t="s">
        <v>674</v>
      </c>
      <c r="C252" s="3"/>
      <c r="D252" s="3">
        <v>2951</v>
      </c>
      <c r="E252" s="3"/>
      <c r="F252" s="3"/>
      <c r="G252" s="3"/>
      <c r="H252" s="3"/>
      <c r="I252" s="3"/>
      <c r="J252" s="3"/>
      <c r="K252" s="3">
        <f t="shared" si="11"/>
        <v>0</v>
      </c>
    </row>
    <row r="253" spans="1:11" x14ac:dyDescent="0.2">
      <c r="A253" s="49" t="s">
        <v>338</v>
      </c>
      <c r="C253" s="3"/>
      <c r="D253" s="3"/>
      <c r="E253" s="3"/>
      <c r="F253" s="3"/>
      <c r="G253" s="3"/>
      <c r="H253" s="3"/>
      <c r="I253" s="3"/>
      <c r="J253" s="3"/>
      <c r="K253" s="3">
        <f t="shared" si="11"/>
        <v>0</v>
      </c>
    </row>
    <row r="254" spans="1:11" ht="13.5" x14ac:dyDescent="0.25">
      <c r="A254" s="50" t="s">
        <v>887</v>
      </c>
      <c r="C254" s="60" t="s">
        <v>338</v>
      </c>
      <c r="D254" s="60" t="s">
        <v>338</v>
      </c>
      <c r="E254" s="3">
        <v>43853</v>
      </c>
      <c r="F254" s="3">
        <v>54000</v>
      </c>
      <c r="G254" s="3">
        <v>59000</v>
      </c>
      <c r="H254" s="3">
        <v>59000</v>
      </c>
      <c r="I254" s="3">
        <v>59000</v>
      </c>
      <c r="J254" s="3">
        <v>59000</v>
      </c>
      <c r="K254" s="3">
        <f t="shared" si="11"/>
        <v>5000</v>
      </c>
    </row>
    <row r="255" spans="1:11" x14ac:dyDescent="0.2">
      <c r="A255" s="49" t="s">
        <v>1548</v>
      </c>
      <c r="C255" s="3"/>
      <c r="D255" s="3">
        <v>35000</v>
      </c>
      <c r="E255" s="3"/>
      <c r="F255" s="3"/>
      <c r="G255" s="3"/>
      <c r="H255" s="3"/>
      <c r="I255" s="3"/>
      <c r="J255" s="3"/>
      <c r="K255" s="3">
        <f t="shared" si="11"/>
        <v>0</v>
      </c>
    </row>
    <row r="256" spans="1:11" x14ac:dyDescent="0.2">
      <c r="A256" s="49" t="s">
        <v>1083</v>
      </c>
      <c r="C256" s="3"/>
      <c r="D256" s="3">
        <v>5000</v>
      </c>
      <c r="E256" s="3"/>
      <c r="F256" s="3"/>
      <c r="G256" s="3"/>
      <c r="H256" s="3"/>
      <c r="I256" s="3"/>
      <c r="J256" s="3"/>
      <c r="K256" s="3">
        <f t="shared" si="11"/>
        <v>0</v>
      </c>
    </row>
    <row r="257" spans="1:11" x14ac:dyDescent="0.2">
      <c r="A257" s="49" t="s">
        <v>789</v>
      </c>
      <c r="C257" s="3"/>
      <c r="D257" s="3">
        <v>15000</v>
      </c>
      <c r="E257" s="3"/>
      <c r="F257" s="3"/>
      <c r="G257" s="3"/>
      <c r="H257" s="3"/>
      <c r="I257" s="3"/>
      <c r="J257" s="3"/>
      <c r="K257" s="3">
        <f t="shared" si="11"/>
        <v>0</v>
      </c>
    </row>
    <row r="258" spans="1:11" x14ac:dyDescent="0.2">
      <c r="A258" s="49">
        <v>14</v>
      </c>
      <c r="C258" s="3"/>
      <c r="D258" s="3">
        <v>3000</v>
      </c>
      <c r="E258" s="3"/>
      <c r="F258" s="3"/>
      <c r="G258" s="3"/>
      <c r="H258" s="3"/>
      <c r="I258" s="3"/>
      <c r="J258" s="3"/>
      <c r="K258" s="3">
        <f t="shared" si="11"/>
        <v>0</v>
      </c>
    </row>
    <row r="259" spans="1:11" ht="15" x14ac:dyDescent="0.35">
      <c r="A259" s="49" t="s">
        <v>1084</v>
      </c>
      <c r="C259" s="28"/>
      <c r="D259" s="28">
        <v>1000</v>
      </c>
      <c r="E259" s="3"/>
      <c r="F259" s="3"/>
      <c r="G259" s="3"/>
      <c r="H259" s="3"/>
      <c r="I259" s="3"/>
      <c r="J259" s="3"/>
      <c r="K259" s="3">
        <f t="shared" si="11"/>
        <v>0</v>
      </c>
    </row>
    <row r="260" spans="1:11" x14ac:dyDescent="0.2">
      <c r="A260" s="49" t="s">
        <v>1067</v>
      </c>
      <c r="C260" s="3"/>
      <c r="D260" s="3">
        <f>SUM(D255:D259)</f>
        <v>59000</v>
      </c>
      <c r="E260" s="3"/>
      <c r="F260" s="3"/>
      <c r="G260" s="3"/>
      <c r="H260" s="3"/>
      <c r="I260" s="3"/>
      <c r="J260" s="3"/>
      <c r="K260" s="3">
        <f t="shared" si="11"/>
        <v>0</v>
      </c>
    </row>
    <row r="261" spans="1:11" x14ac:dyDescent="0.2">
      <c r="C261" s="3"/>
      <c r="D261" s="3"/>
      <c r="E261" s="3"/>
      <c r="F261" s="3"/>
      <c r="G261" s="3"/>
      <c r="H261" s="3"/>
      <c r="I261" s="3"/>
      <c r="J261" s="3"/>
      <c r="K261" s="3">
        <f t="shared" si="11"/>
        <v>0</v>
      </c>
    </row>
    <row r="262" spans="1:11" ht="13.5" x14ac:dyDescent="0.25">
      <c r="A262" s="50" t="s">
        <v>1085</v>
      </c>
      <c r="C262" s="3"/>
      <c r="D262" s="3"/>
      <c r="E262" s="3">
        <v>0</v>
      </c>
      <c r="F262" s="3">
        <v>197</v>
      </c>
      <c r="G262" s="3">
        <v>197</v>
      </c>
      <c r="H262" s="3">
        <v>197</v>
      </c>
      <c r="I262" s="3">
        <v>197</v>
      </c>
      <c r="J262" s="3">
        <v>197</v>
      </c>
      <c r="K262" s="3">
        <f t="shared" si="11"/>
        <v>0</v>
      </c>
    </row>
    <row r="263" spans="1:11" x14ac:dyDescent="0.2">
      <c r="A263" s="49" t="s">
        <v>450</v>
      </c>
      <c r="C263" s="3"/>
      <c r="D263" s="3">
        <v>197</v>
      </c>
      <c r="E263" s="3"/>
      <c r="F263" s="3"/>
      <c r="G263" s="3"/>
      <c r="H263" s="3"/>
      <c r="I263" s="3"/>
      <c r="J263" s="3"/>
      <c r="K263" s="3">
        <f t="shared" si="11"/>
        <v>0</v>
      </c>
    </row>
    <row r="264" spans="1:11" x14ac:dyDescent="0.2">
      <c r="C264" s="3"/>
      <c r="D264" s="3"/>
      <c r="E264" s="3"/>
      <c r="F264" s="3"/>
      <c r="G264" s="3"/>
      <c r="H264" s="3"/>
      <c r="I264" s="3"/>
      <c r="J264" s="3"/>
      <c r="K264" s="3">
        <f t="shared" si="11"/>
        <v>0</v>
      </c>
    </row>
    <row r="265" spans="1:11" ht="13.5" x14ac:dyDescent="0.25">
      <c r="A265" s="70" t="s">
        <v>336</v>
      </c>
      <c r="C265" s="60" t="s">
        <v>338</v>
      </c>
      <c r="D265" s="60" t="s">
        <v>338</v>
      </c>
      <c r="E265" s="3">
        <v>1100</v>
      </c>
      <c r="F265" s="3">
        <v>700</v>
      </c>
      <c r="G265" s="3">
        <v>1100</v>
      </c>
      <c r="H265" s="3">
        <v>1100</v>
      </c>
      <c r="I265" s="3">
        <v>1100</v>
      </c>
      <c r="J265" s="3">
        <v>1100</v>
      </c>
      <c r="K265" s="3">
        <f t="shared" si="11"/>
        <v>400</v>
      </c>
    </row>
    <row r="266" spans="1:11" x14ac:dyDescent="0.2">
      <c r="A266" s="49" t="s">
        <v>720</v>
      </c>
      <c r="B266" s="3"/>
      <c r="C266" s="3"/>
      <c r="D266" s="3">
        <v>500</v>
      </c>
      <c r="E266" s="3"/>
      <c r="F266" s="3"/>
      <c r="G266" s="3"/>
      <c r="H266" s="3"/>
      <c r="I266" s="3"/>
      <c r="J266" s="3"/>
      <c r="K266" s="3">
        <f t="shared" si="11"/>
        <v>0</v>
      </c>
    </row>
    <row r="267" spans="1:11" ht="15" x14ac:dyDescent="0.35">
      <c r="A267" s="49" t="s">
        <v>157</v>
      </c>
      <c r="C267" s="28"/>
      <c r="D267" s="28">
        <v>600</v>
      </c>
      <c r="E267" s="3"/>
      <c r="F267" s="3"/>
      <c r="G267" s="3"/>
      <c r="H267" s="3"/>
      <c r="I267" s="3"/>
      <c r="J267" s="3"/>
      <c r="K267" s="3">
        <f t="shared" si="11"/>
        <v>0</v>
      </c>
    </row>
    <row r="268" spans="1:11" x14ac:dyDescent="0.2">
      <c r="A268" s="49" t="s">
        <v>1067</v>
      </c>
      <c r="C268" s="3"/>
      <c r="D268" s="3">
        <f>SUM(D266:D267)</f>
        <v>1100</v>
      </c>
      <c r="E268" s="3"/>
      <c r="F268" s="3"/>
      <c r="G268" s="3"/>
      <c r="H268" s="3"/>
      <c r="I268" s="3"/>
      <c r="J268" s="3"/>
      <c r="K268" s="3">
        <f t="shared" si="11"/>
        <v>0</v>
      </c>
    </row>
    <row r="269" spans="1:11" x14ac:dyDescent="0.2">
      <c r="C269" s="3"/>
      <c r="D269" s="3"/>
      <c r="E269" s="3"/>
      <c r="F269" s="3"/>
      <c r="G269" s="3"/>
      <c r="H269" s="3"/>
      <c r="I269" s="3"/>
      <c r="J269" s="3"/>
      <c r="K269" s="3">
        <f t="shared" si="11"/>
        <v>0</v>
      </c>
    </row>
    <row r="270" spans="1:11" ht="13.5" x14ac:dyDescent="0.25">
      <c r="A270" s="50" t="s">
        <v>59</v>
      </c>
      <c r="C270" s="60" t="s">
        <v>338</v>
      </c>
      <c r="D270" s="60" t="s">
        <v>338</v>
      </c>
      <c r="E270" s="3">
        <v>1129</v>
      </c>
      <c r="F270" s="3">
        <v>5000</v>
      </c>
      <c r="G270" s="3">
        <v>5000</v>
      </c>
      <c r="H270" s="3">
        <v>5000</v>
      </c>
      <c r="I270" s="3">
        <v>5000</v>
      </c>
      <c r="J270" s="3">
        <v>5000</v>
      </c>
      <c r="K270" s="3">
        <f t="shared" si="11"/>
        <v>0</v>
      </c>
    </row>
    <row r="271" spans="1:11" x14ac:dyDescent="0.2">
      <c r="A271" s="49" t="s">
        <v>1285</v>
      </c>
      <c r="C271" s="3"/>
      <c r="D271" s="3">
        <v>5000</v>
      </c>
      <c r="F271" s="3"/>
      <c r="G271" s="3"/>
      <c r="H271" s="3"/>
      <c r="I271" s="3"/>
      <c r="J271" s="3"/>
      <c r="K271" s="3">
        <f t="shared" si="11"/>
        <v>0</v>
      </c>
    </row>
    <row r="272" spans="1:11" ht="15" x14ac:dyDescent="0.35">
      <c r="A272" s="49" t="s">
        <v>1135</v>
      </c>
      <c r="C272" s="28"/>
      <c r="D272" s="28">
        <v>0</v>
      </c>
      <c r="F272" s="3"/>
      <c r="G272" s="3"/>
      <c r="H272" s="3"/>
      <c r="I272" s="3"/>
      <c r="J272" s="3"/>
      <c r="K272" s="3">
        <f t="shared" ref="K272:K293" si="12">+H272-F272</f>
        <v>0</v>
      </c>
    </row>
    <row r="273" spans="1:11" x14ac:dyDescent="0.2">
      <c r="A273" s="49" t="s">
        <v>942</v>
      </c>
      <c r="C273" s="3"/>
      <c r="D273" s="3">
        <f>SUM(D271:D272)</f>
        <v>5000</v>
      </c>
      <c r="F273" s="3"/>
      <c r="G273" s="3"/>
      <c r="H273" s="3"/>
      <c r="I273" s="3"/>
      <c r="J273" s="3"/>
      <c r="K273" s="3">
        <f t="shared" si="12"/>
        <v>0</v>
      </c>
    </row>
    <row r="274" spans="1:11" x14ac:dyDescent="0.2">
      <c r="C274" s="3"/>
      <c r="D274" s="3"/>
      <c r="F274" s="3"/>
      <c r="G274" s="3"/>
      <c r="H274" s="3"/>
      <c r="I274" s="3"/>
      <c r="J274" s="3"/>
      <c r="K274" s="3">
        <f t="shared" si="12"/>
        <v>0</v>
      </c>
    </row>
    <row r="275" spans="1:11" ht="13.5" x14ac:dyDescent="0.25">
      <c r="A275" s="50" t="s">
        <v>21</v>
      </c>
      <c r="C275" s="60" t="s">
        <v>338</v>
      </c>
      <c r="D275" s="60" t="s">
        <v>338</v>
      </c>
      <c r="E275" s="3">
        <f>10261-85</f>
        <v>10176</v>
      </c>
      <c r="F275" s="3">
        <v>16287</v>
      </c>
      <c r="G275" s="3">
        <v>18287</v>
      </c>
      <c r="H275" s="3">
        <v>18287</v>
      </c>
      <c r="I275" s="3">
        <v>18287</v>
      </c>
      <c r="J275" s="3">
        <v>18287</v>
      </c>
      <c r="K275" s="3">
        <f t="shared" si="12"/>
        <v>2000</v>
      </c>
    </row>
    <row r="276" spans="1:11" x14ac:dyDescent="0.2">
      <c r="A276" s="49" t="s">
        <v>1624</v>
      </c>
      <c r="B276" s="3" t="s">
        <v>338</v>
      </c>
      <c r="C276" s="3"/>
      <c r="D276" s="3">
        <v>3772</v>
      </c>
      <c r="E276" s="3"/>
      <c r="F276" s="3"/>
      <c r="G276" s="3"/>
      <c r="H276" s="3"/>
      <c r="I276" s="3"/>
      <c r="J276" s="3"/>
      <c r="K276" s="3">
        <f t="shared" si="12"/>
        <v>0</v>
      </c>
    </row>
    <row r="277" spans="1:11" x14ac:dyDescent="0.2">
      <c r="A277" s="49" t="s">
        <v>936</v>
      </c>
      <c r="C277" s="3"/>
      <c r="D277" s="3">
        <v>154</v>
      </c>
      <c r="E277" s="3"/>
      <c r="F277" s="3"/>
      <c r="G277" s="3"/>
      <c r="H277" s="3"/>
      <c r="I277" s="3"/>
      <c r="J277" s="3"/>
      <c r="K277" s="3">
        <f t="shared" si="12"/>
        <v>0</v>
      </c>
    </row>
    <row r="278" spans="1:11" x14ac:dyDescent="0.2">
      <c r="A278" s="49" t="s">
        <v>937</v>
      </c>
      <c r="C278" s="3"/>
      <c r="D278" s="3">
        <v>1548</v>
      </c>
      <c r="E278" s="3"/>
      <c r="F278" s="3"/>
      <c r="G278" s="3"/>
      <c r="H278" s="3"/>
      <c r="I278" s="3"/>
      <c r="J278" s="3"/>
      <c r="K278" s="3">
        <f t="shared" si="12"/>
        <v>0</v>
      </c>
    </row>
    <row r="279" spans="1:11" x14ac:dyDescent="0.2">
      <c r="A279" s="49" t="s">
        <v>1202</v>
      </c>
      <c r="C279" s="3"/>
      <c r="D279" s="3">
        <v>5000</v>
      </c>
      <c r="E279" s="3"/>
      <c r="F279" s="3"/>
      <c r="G279" s="3"/>
      <c r="H279" s="3"/>
      <c r="I279" s="3"/>
      <c r="J279" s="3"/>
      <c r="K279" s="3">
        <f t="shared" si="12"/>
        <v>0</v>
      </c>
    </row>
    <row r="280" spans="1:11" x14ac:dyDescent="0.2">
      <c r="A280" s="49" t="s">
        <v>1850</v>
      </c>
      <c r="C280" s="3"/>
      <c r="D280" s="3">
        <v>650</v>
      </c>
      <c r="E280" s="3"/>
      <c r="F280" s="3"/>
      <c r="G280" s="3"/>
      <c r="H280" s="3"/>
      <c r="I280" s="3"/>
      <c r="J280" s="3"/>
      <c r="K280" s="3">
        <f t="shared" si="12"/>
        <v>0</v>
      </c>
    </row>
    <row r="281" spans="1:11" x14ac:dyDescent="0.2">
      <c r="A281" s="49" t="s">
        <v>1203</v>
      </c>
      <c r="C281" s="3"/>
      <c r="D281" s="3">
        <v>1050</v>
      </c>
      <c r="E281" s="3"/>
      <c r="F281" s="3"/>
      <c r="G281" s="3"/>
      <c r="H281" s="3"/>
      <c r="I281" s="3"/>
      <c r="J281" s="3"/>
      <c r="K281" s="3">
        <f t="shared" si="12"/>
        <v>0</v>
      </c>
    </row>
    <row r="282" spans="1:11" x14ac:dyDescent="0.2">
      <c r="A282" s="49" t="s">
        <v>2056</v>
      </c>
      <c r="C282" s="3"/>
      <c r="D282" s="3">
        <v>2000</v>
      </c>
      <c r="E282" s="3"/>
      <c r="F282" s="3"/>
      <c r="G282" s="3"/>
      <c r="H282" s="3"/>
      <c r="I282" s="3"/>
      <c r="J282" s="3"/>
      <c r="K282" s="3">
        <f t="shared" si="12"/>
        <v>0</v>
      </c>
    </row>
    <row r="283" spans="1:11" ht="15" x14ac:dyDescent="0.35">
      <c r="A283" s="49" t="s">
        <v>938</v>
      </c>
      <c r="C283" s="28"/>
      <c r="D283" s="3">
        <v>463</v>
      </c>
      <c r="E283" s="3"/>
      <c r="F283" s="3"/>
      <c r="G283" s="3"/>
      <c r="H283" s="3"/>
      <c r="I283" s="3"/>
      <c r="J283" s="3"/>
      <c r="K283" s="3">
        <f t="shared" si="12"/>
        <v>0</v>
      </c>
    </row>
    <row r="284" spans="1:11" ht="15" x14ac:dyDescent="0.35">
      <c r="B284" s="49">
        <v>0</v>
      </c>
      <c r="C284" s="28"/>
      <c r="D284" s="3">
        <f>+C284*B284</f>
        <v>0</v>
      </c>
      <c r="E284" s="3"/>
      <c r="F284" s="3"/>
      <c r="G284" s="3"/>
      <c r="H284" s="3"/>
      <c r="I284" s="3"/>
      <c r="J284" s="3"/>
      <c r="K284" s="3">
        <f t="shared" si="12"/>
        <v>0</v>
      </c>
    </row>
    <row r="285" spans="1:11" ht="15" x14ac:dyDescent="0.35">
      <c r="A285" s="49" t="s">
        <v>1588</v>
      </c>
      <c r="C285" s="28"/>
      <c r="D285" s="28">
        <v>3650</v>
      </c>
      <c r="E285" s="3"/>
      <c r="F285" s="3"/>
      <c r="G285" s="3"/>
      <c r="H285" s="3"/>
      <c r="I285" s="3"/>
      <c r="J285" s="3"/>
      <c r="K285" s="3">
        <f t="shared" si="12"/>
        <v>0</v>
      </c>
    </row>
    <row r="286" spans="1:11" x14ac:dyDescent="0.2">
      <c r="A286" s="49" t="s">
        <v>1067</v>
      </c>
      <c r="C286" s="3"/>
      <c r="D286" s="3">
        <f>SUM(D276:D285)</f>
        <v>18287</v>
      </c>
      <c r="E286" s="3"/>
      <c r="F286" s="3"/>
      <c r="G286" s="3"/>
      <c r="H286" s="3"/>
      <c r="I286" s="3"/>
      <c r="J286" s="3"/>
      <c r="K286" s="3">
        <f t="shared" si="12"/>
        <v>0</v>
      </c>
    </row>
    <row r="287" spans="1:11" x14ac:dyDescent="0.2">
      <c r="C287" s="3"/>
      <c r="D287" s="3"/>
      <c r="E287" s="3"/>
      <c r="F287" s="3"/>
      <c r="G287" s="3"/>
      <c r="H287" s="3"/>
      <c r="I287" s="3"/>
      <c r="J287" s="3"/>
      <c r="K287" s="3">
        <f t="shared" si="12"/>
        <v>0</v>
      </c>
    </row>
    <row r="288" spans="1:11" ht="13.5" x14ac:dyDescent="0.25">
      <c r="A288" s="50" t="s">
        <v>939</v>
      </c>
      <c r="C288" s="60" t="s">
        <v>338</v>
      </c>
      <c r="D288" s="60" t="s">
        <v>338</v>
      </c>
      <c r="E288" s="3">
        <v>129938</v>
      </c>
      <c r="F288" s="3">
        <v>121500</v>
      </c>
      <c r="G288" s="3">
        <v>200000</v>
      </c>
      <c r="H288" s="3">
        <v>150000</v>
      </c>
      <c r="I288" s="3">
        <v>150000</v>
      </c>
      <c r="J288" s="3">
        <v>150000</v>
      </c>
      <c r="K288" s="3">
        <f t="shared" si="12"/>
        <v>28500</v>
      </c>
    </row>
    <row r="289" spans="1:11" x14ac:dyDescent="0.2">
      <c r="A289" s="36" t="s">
        <v>2057</v>
      </c>
      <c r="B289" s="3"/>
      <c r="C289" s="3">
        <v>0</v>
      </c>
      <c r="D289" s="59">
        <v>150000</v>
      </c>
      <c r="E289" s="3"/>
      <c r="F289" s="3"/>
      <c r="G289" s="3"/>
      <c r="H289" s="3"/>
      <c r="I289" s="3"/>
      <c r="J289" s="3"/>
      <c r="K289" s="3">
        <f t="shared" si="12"/>
        <v>0</v>
      </c>
    </row>
    <row r="290" spans="1:11" ht="15" x14ac:dyDescent="0.35">
      <c r="A290" s="36" t="s">
        <v>2016</v>
      </c>
      <c r="B290" s="3"/>
      <c r="C290" s="3"/>
      <c r="D290" s="236">
        <v>0</v>
      </c>
      <c r="E290" s="3"/>
      <c r="F290" s="3"/>
      <c r="G290" s="3"/>
      <c r="H290" s="3"/>
      <c r="I290" s="3"/>
      <c r="J290" s="3"/>
      <c r="K290" s="3">
        <f t="shared" si="12"/>
        <v>0</v>
      </c>
    </row>
    <row r="291" spans="1:11" x14ac:dyDescent="0.2">
      <c r="A291" s="36"/>
      <c r="B291" s="3"/>
      <c r="C291" s="3"/>
      <c r="D291" s="59">
        <f>SUM(D289:D290)</f>
        <v>150000</v>
      </c>
      <c r="E291" s="3"/>
      <c r="F291" s="3"/>
      <c r="G291" s="3"/>
      <c r="H291" s="3"/>
      <c r="I291" s="3"/>
      <c r="J291" s="3"/>
      <c r="K291" s="3">
        <f t="shared" si="12"/>
        <v>0</v>
      </c>
    </row>
    <row r="292" spans="1:11" x14ac:dyDescent="0.2">
      <c r="C292" s="3"/>
      <c r="D292" s="3"/>
      <c r="E292" s="3"/>
      <c r="F292" s="3"/>
      <c r="G292" s="3"/>
      <c r="H292" s="3"/>
      <c r="I292" s="3"/>
      <c r="J292" s="3"/>
      <c r="K292" s="3">
        <f t="shared" si="12"/>
        <v>0</v>
      </c>
    </row>
    <row r="293" spans="1:11" ht="13.5" x14ac:dyDescent="0.25">
      <c r="A293" s="50" t="s">
        <v>940</v>
      </c>
      <c r="C293" s="60" t="s">
        <v>338</v>
      </c>
      <c r="D293" s="60" t="s">
        <v>338</v>
      </c>
      <c r="E293" s="3">
        <v>6777</v>
      </c>
      <c r="F293" s="3">
        <v>7000</v>
      </c>
      <c r="G293" s="3">
        <v>7000</v>
      </c>
      <c r="H293" s="3">
        <v>7000</v>
      </c>
      <c r="I293" s="3">
        <v>7000</v>
      </c>
      <c r="J293" s="3">
        <v>7000</v>
      </c>
      <c r="K293" s="3">
        <f t="shared" si="12"/>
        <v>0</v>
      </c>
    </row>
    <row r="294" spans="1:11" x14ac:dyDescent="0.2">
      <c r="A294" s="49" t="s">
        <v>212</v>
      </c>
      <c r="C294" s="3"/>
      <c r="D294" s="3">
        <v>7000</v>
      </c>
      <c r="E294" s="3"/>
      <c r="F294" s="3"/>
      <c r="G294" s="3"/>
      <c r="H294" s="3"/>
      <c r="I294" s="3"/>
      <c r="J294" s="3"/>
    </row>
    <row r="295" spans="1:11" x14ac:dyDescent="0.2">
      <c r="C295" s="3"/>
      <c r="D295" s="3"/>
      <c r="E295" s="3"/>
      <c r="F295" s="3"/>
      <c r="G295" s="3"/>
      <c r="H295" s="3"/>
      <c r="I295" s="3"/>
      <c r="J295" s="3"/>
    </row>
    <row r="296" spans="1:11" ht="15" x14ac:dyDescent="0.35">
      <c r="A296" s="50" t="s">
        <v>941</v>
      </c>
      <c r="C296" s="3" t="s">
        <v>338</v>
      </c>
      <c r="D296" s="3" t="s">
        <v>338</v>
      </c>
      <c r="E296" s="28">
        <v>41496</v>
      </c>
      <c r="F296" s="28">
        <v>4000</v>
      </c>
      <c r="G296" s="28">
        <v>4000</v>
      </c>
      <c r="H296" s="28">
        <v>4000</v>
      </c>
      <c r="I296" s="28">
        <v>4000</v>
      </c>
      <c r="J296" s="28">
        <v>4000</v>
      </c>
    </row>
    <row r="297" spans="1:11" x14ac:dyDescent="0.2">
      <c r="A297" s="36" t="s">
        <v>2058</v>
      </c>
      <c r="C297" s="3"/>
      <c r="D297" s="3">
        <v>2000</v>
      </c>
      <c r="E297" s="3"/>
      <c r="F297" s="3"/>
      <c r="G297" s="3"/>
      <c r="H297" s="3"/>
      <c r="I297" s="3"/>
      <c r="J297" s="3"/>
    </row>
    <row r="298" spans="1:11" x14ac:dyDescent="0.2">
      <c r="A298" s="36" t="s">
        <v>1471</v>
      </c>
      <c r="C298" s="3"/>
      <c r="D298" s="3">
        <v>1000</v>
      </c>
      <c r="E298" s="3"/>
      <c r="F298" s="3"/>
      <c r="G298" s="3"/>
      <c r="H298" s="3"/>
      <c r="I298" s="3"/>
      <c r="J298" s="3"/>
    </row>
    <row r="299" spans="1:11" x14ac:dyDescent="0.2">
      <c r="A299" s="36"/>
      <c r="C299" s="3"/>
      <c r="D299" s="3"/>
      <c r="E299" s="3"/>
      <c r="F299" s="3"/>
      <c r="G299" s="3"/>
      <c r="H299" s="3"/>
      <c r="I299" s="3"/>
      <c r="J299" s="3"/>
    </row>
    <row r="300" spans="1:11" x14ac:dyDescent="0.2">
      <c r="A300" s="36"/>
      <c r="C300" s="3"/>
      <c r="D300" s="3">
        <v>0</v>
      </c>
      <c r="E300" s="3"/>
      <c r="F300" s="3"/>
      <c r="G300" s="3"/>
      <c r="H300" s="3"/>
      <c r="I300" s="3"/>
      <c r="J300" s="3"/>
    </row>
    <row r="301" spans="1:11" ht="15" x14ac:dyDescent="0.35">
      <c r="A301" s="36" t="s">
        <v>1397</v>
      </c>
      <c r="C301" s="3"/>
      <c r="D301" s="28">
        <v>1000</v>
      </c>
      <c r="E301" s="28"/>
      <c r="F301" s="28"/>
      <c r="G301" s="28"/>
      <c r="H301" s="28"/>
      <c r="I301" s="3"/>
      <c r="J301" s="3"/>
    </row>
    <row r="302" spans="1:11" x14ac:dyDescent="0.2">
      <c r="D302" s="3">
        <f>SUM(D297:D301)</f>
        <v>4000</v>
      </c>
      <c r="E302" s="3"/>
      <c r="F302" s="3"/>
      <c r="G302" s="3"/>
      <c r="H302" s="3"/>
      <c r="I302" s="3"/>
      <c r="J302" s="3"/>
    </row>
    <row r="303" spans="1:11" x14ac:dyDescent="0.2">
      <c r="D303" s="3"/>
      <c r="E303" s="3"/>
      <c r="F303" s="3"/>
      <c r="G303" s="3"/>
      <c r="H303" s="3"/>
      <c r="I303" s="3"/>
      <c r="J303" s="3"/>
    </row>
    <row r="304" spans="1:11" x14ac:dyDescent="0.2">
      <c r="D304" s="3"/>
      <c r="E304" s="3"/>
      <c r="F304" s="3"/>
      <c r="G304" s="3"/>
      <c r="H304" s="3"/>
      <c r="I304" s="3"/>
      <c r="J304" s="3"/>
    </row>
    <row r="305" spans="1:12" x14ac:dyDescent="0.2">
      <c r="D305" s="3"/>
      <c r="E305" s="3"/>
      <c r="F305" s="3"/>
      <c r="G305" s="3"/>
      <c r="H305" s="3"/>
      <c r="I305" s="3"/>
      <c r="J305" s="3"/>
    </row>
    <row r="306" spans="1:12" x14ac:dyDescent="0.2">
      <c r="D306" s="3"/>
      <c r="E306" s="3"/>
      <c r="F306" s="3"/>
      <c r="G306" s="3"/>
      <c r="H306" s="3"/>
      <c r="I306" s="3"/>
      <c r="J306" s="3"/>
    </row>
    <row r="307" spans="1:12" ht="15" x14ac:dyDescent="0.35">
      <c r="A307" s="50"/>
      <c r="D307" s="3"/>
      <c r="E307" s="28"/>
      <c r="F307" s="28"/>
      <c r="G307" s="28"/>
      <c r="H307" s="28"/>
      <c r="I307" s="28"/>
      <c r="J307" s="28"/>
    </row>
    <row r="308" spans="1:12" x14ac:dyDescent="0.2">
      <c r="A308" s="116" t="s">
        <v>1161</v>
      </c>
      <c r="D308" s="3"/>
      <c r="E308" s="3">
        <f t="shared" ref="E308:J308" si="13">SUM(E2:E307)</f>
        <v>6877696</v>
      </c>
      <c r="F308" s="3">
        <f t="shared" si="13"/>
        <v>7261645</v>
      </c>
      <c r="G308" s="3">
        <f t="shared" si="13"/>
        <v>7504169</v>
      </c>
      <c r="H308" s="3">
        <f t="shared" si="13"/>
        <v>7454169</v>
      </c>
      <c r="I308" s="3">
        <f t="shared" si="13"/>
        <v>7474282</v>
      </c>
      <c r="J308" s="3">
        <f t="shared" si="13"/>
        <v>7533723</v>
      </c>
    </row>
    <row r="309" spans="1:12" ht="15" x14ac:dyDescent="0.35">
      <c r="A309" s="50"/>
      <c r="D309" s="3"/>
      <c r="E309" s="28"/>
      <c r="F309" s="28"/>
      <c r="G309" s="28"/>
      <c r="H309" s="28"/>
      <c r="I309" s="28"/>
      <c r="J309" s="28"/>
    </row>
    <row r="310" spans="1:12" x14ac:dyDescent="0.2">
      <c r="A310" s="49" t="s">
        <v>511</v>
      </c>
      <c r="E310" s="3">
        <f t="shared" ref="E310:J310" si="14">SUM(E6:E158)</f>
        <v>6298055</v>
      </c>
      <c r="F310" s="3">
        <f t="shared" si="14"/>
        <v>6669865</v>
      </c>
      <c r="G310" s="3">
        <f t="shared" si="14"/>
        <v>6813953</v>
      </c>
      <c r="H310" s="3">
        <f t="shared" si="14"/>
        <v>6813953</v>
      </c>
      <c r="I310" s="3">
        <f t="shared" si="14"/>
        <v>6834066</v>
      </c>
      <c r="J310" s="3">
        <f t="shared" si="14"/>
        <v>6893507</v>
      </c>
      <c r="K310" s="3">
        <f>+H310-F310</f>
        <v>144088</v>
      </c>
      <c r="L310" s="105">
        <f>+K310/F310</f>
        <v>2.1602836039410094E-2</v>
      </c>
    </row>
    <row r="311" spans="1:12" x14ac:dyDescent="0.2">
      <c r="A311" s="49" t="s">
        <v>803</v>
      </c>
      <c r="E311" s="3">
        <f>SUM(E159:E277)</f>
        <v>401430</v>
      </c>
      <c r="F311" s="3">
        <f>SUM(F159:F285)</f>
        <v>459280</v>
      </c>
      <c r="G311" s="3">
        <f>SUM(G159:G276)</f>
        <v>479216</v>
      </c>
      <c r="H311" s="3">
        <f>SUM(H159:H276)</f>
        <v>479216</v>
      </c>
      <c r="I311" s="3">
        <f>SUM(I159:I275)</f>
        <v>479216</v>
      </c>
      <c r="J311" s="3">
        <f>SUM(J159:J275)</f>
        <v>479216</v>
      </c>
      <c r="K311" s="3">
        <f>+H311-F311</f>
        <v>19936</v>
      </c>
      <c r="L311" s="105">
        <f>+K311/F311</f>
        <v>4.3407071938686641E-2</v>
      </c>
    </row>
    <row r="312" spans="1:12" ht="15" x14ac:dyDescent="0.35">
      <c r="A312" s="49" t="s">
        <v>804</v>
      </c>
      <c r="E312" s="28">
        <f t="shared" ref="E312:J312" si="15">SUM(E281:E296)</f>
        <v>178211</v>
      </c>
      <c r="F312" s="28">
        <f t="shared" si="15"/>
        <v>132500</v>
      </c>
      <c r="G312" s="28">
        <f t="shared" si="15"/>
        <v>211000</v>
      </c>
      <c r="H312" s="28">
        <f t="shared" si="15"/>
        <v>161000</v>
      </c>
      <c r="I312" s="28">
        <f t="shared" si="15"/>
        <v>161000</v>
      </c>
      <c r="J312" s="28">
        <f t="shared" si="15"/>
        <v>161000</v>
      </c>
      <c r="K312" s="3">
        <f>+H312-F312</f>
        <v>28500</v>
      </c>
      <c r="L312" s="105">
        <f>+K312/F312</f>
        <v>0.21509433962264152</v>
      </c>
    </row>
    <row r="313" spans="1:12" x14ac:dyDescent="0.2">
      <c r="A313" s="49" t="s">
        <v>1067</v>
      </c>
      <c r="E313" s="3">
        <f t="shared" ref="E313:J313" si="16">SUM(E310:E312)</f>
        <v>6877696</v>
      </c>
      <c r="F313" s="3">
        <f t="shared" si="16"/>
        <v>7261645</v>
      </c>
      <c r="G313" s="3">
        <f t="shared" si="16"/>
        <v>7504169</v>
      </c>
      <c r="H313" s="3">
        <f t="shared" ref="H313" si="17">SUM(H310:H312)</f>
        <v>7454169</v>
      </c>
      <c r="I313" s="3">
        <f t="shared" si="16"/>
        <v>7474282</v>
      </c>
      <c r="J313" s="3">
        <f t="shared" si="16"/>
        <v>7533723</v>
      </c>
    </row>
    <row r="315" spans="1:12" x14ac:dyDescent="0.2">
      <c r="G315" s="3"/>
      <c r="J315" s="3">
        <v>59441</v>
      </c>
    </row>
    <row r="316" spans="1:12" x14ac:dyDescent="0.2">
      <c r="G316" s="3"/>
      <c r="I316" s="3">
        <f>I313-H313</f>
        <v>20113</v>
      </c>
      <c r="J316" s="3">
        <f>J313-I313</f>
        <v>59441</v>
      </c>
    </row>
    <row r="317" spans="1:12" x14ac:dyDescent="0.2">
      <c r="J317" s="3">
        <f>J315-J316</f>
        <v>0</v>
      </c>
    </row>
    <row r="322" spans="10:10" x14ac:dyDescent="0.2">
      <c r="J322" s="3"/>
    </row>
  </sheetData>
  <mergeCells count="1">
    <mergeCell ref="A1:J1"/>
  </mergeCells>
  <phoneticPr fontId="0" type="noConversion"/>
  <printOptions gridLines="1"/>
  <pageMargins left="0.75" right="0.16" top="0.51" bottom="0.22" header="0.5" footer="0"/>
  <pageSetup scale="85" fitToHeight="2" orientation="landscape" r:id="rId1"/>
  <headerFooter alignWithMargins="0"/>
  <rowBreaks count="3" manualBreakCount="3">
    <brk id="89" max="9" man="1"/>
    <brk id="186" max="9" man="1"/>
    <brk id="229"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50"/>
  <sheetViews>
    <sheetView view="pageBreakPreview" zoomScaleNormal="100" zoomScaleSheetLayoutView="100" workbookViewId="0">
      <pane ySplit="5" topLeftCell="A138" activePane="bottomLeft" state="frozen"/>
      <selection activeCell="D43" sqref="D43"/>
      <selection pane="bottomLeft" sqref="A1:J1"/>
    </sheetView>
  </sheetViews>
  <sheetFormatPr defaultColWidth="9.140625" defaultRowHeight="12.75" x14ac:dyDescent="0.2"/>
  <cols>
    <col min="1" max="1" width="50.7109375" style="183" bestFit="1" customWidth="1"/>
    <col min="2" max="2" width="8.85546875" style="183" bestFit="1" customWidth="1"/>
    <col min="3" max="4" width="10.140625" style="183" customWidth="1"/>
    <col min="5" max="5" width="13.7109375" style="183" customWidth="1"/>
    <col min="6" max="6" width="10.28515625" style="183" bestFit="1" customWidth="1"/>
    <col min="7" max="7" width="10.85546875" style="183" bestFit="1" customWidth="1"/>
    <col min="8" max="8" width="13.5703125" style="183" bestFit="1" customWidth="1"/>
    <col min="9" max="9" width="10.28515625" style="183" bestFit="1" customWidth="1"/>
    <col min="10" max="10" width="9.5703125" style="183" customWidth="1"/>
    <col min="11" max="16384" width="9.140625" style="183"/>
  </cols>
  <sheetData>
    <row r="1" spans="1:12" x14ac:dyDescent="0.2">
      <c r="A1" s="319" t="s">
        <v>2038</v>
      </c>
      <c r="B1" s="320"/>
      <c r="C1" s="320"/>
      <c r="D1" s="320"/>
      <c r="E1" s="320"/>
      <c r="F1" s="320"/>
      <c r="G1" s="320"/>
      <c r="H1" s="320"/>
      <c r="I1" s="320"/>
      <c r="J1" s="320"/>
    </row>
    <row r="2" spans="1:12" ht="18.75" x14ac:dyDescent="0.3">
      <c r="A2" s="95" t="s">
        <v>1564</v>
      </c>
      <c r="B2" s="95"/>
      <c r="C2" s="95"/>
      <c r="D2" s="95"/>
      <c r="E2" s="95"/>
      <c r="F2" s="95"/>
    </row>
    <row r="3" spans="1:12" x14ac:dyDescent="0.2">
      <c r="B3" s="2"/>
      <c r="C3" s="2"/>
      <c r="D3" s="2"/>
      <c r="E3" s="2"/>
      <c r="F3" s="2"/>
    </row>
    <row r="4" spans="1:12" x14ac:dyDescent="0.2">
      <c r="B4" s="2"/>
      <c r="C4" s="2"/>
      <c r="D4" s="2"/>
      <c r="E4" s="15" t="s">
        <v>199</v>
      </c>
      <c r="F4" s="15" t="s">
        <v>200</v>
      </c>
      <c r="G4" s="15" t="s">
        <v>60</v>
      </c>
      <c r="H4" s="15" t="s">
        <v>351</v>
      </c>
      <c r="I4" s="15" t="s">
        <v>264</v>
      </c>
      <c r="J4" s="15" t="s">
        <v>295</v>
      </c>
    </row>
    <row r="5" spans="1:12" ht="15" x14ac:dyDescent="0.35">
      <c r="B5" s="2"/>
      <c r="C5" s="2"/>
      <c r="D5" s="2"/>
      <c r="E5" s="232" t="s">
        <v>1825</v>
      </c>
      <c r="F5" s="232" t="s">
        <v>1947</v>
      </c>
      <c r="G5" s="232" t="s">
        <v>2039</v>
      </c>
      <c r="H5" s="232" t="s">
        <v>2039</v>
      </c>
      <c r="I5" s="232" t="s">
        <v>2039</v>
      </c>
      <c r="J5" s="232" t="s">
        <v>2039</v>
      </c>
    </row>
    <row r="6" spans="1:12" ht="13.5" x14ac:dyDescent="0.25">
      <c r="A6" s="230" t="s">
        <v>221</v>
      </c>
      <c r="B6" s="2"/>
      <c r="C6" s="2"/>
      <c r="D6" s="2"/>
      <c r="E6" s="2">
        <v>61109</v>
      </c>
      <c r="F6" s="2">
        <v>61880</v>
      </c>
      <c r="G6" s="2">
        <v>62213</v>
      </c>
      <c r="H6" s="2">
        <v>62213</v>
      </c>
      <c r="I6" s="2">
        <v>62213</v>
      </c>
      <c r="J6" s="2">
        <v>68307</v>
      </c>
    </row>
    <row r="7" spans="1:12" ht="15" x14ac:dyDescent="0.35">
      <c r="A7" s="229" t="s">
        <v>124</v>
      </c>
      <c r="B7" s="2">
        <v>52</v>
      </c>
      <c r="C7" s="2">
        <f>32.84*40</f>
        <v>1313.6000000000001</v>
      </c>
      <c r="D7" s="10">
        <f>ROUND(B7*C7,0)</f>
        <v>68307</v>
      </c>
      <c r="E7" s="2"/>
      <c r="F7" s="2"/>
      <c r="G7" s="2"/>
      <c r="H7" s="2"/>
      <c r="I7" s="2"/>
      <c r="J7" s="2"/>
    </row>
    <row r="8" spans="1:12" x14ac:dyDescent="0.2">
      <c r="A8" s="229"/>
      <c r="B8" s="2"/>
      <c r="C8" s="2"/>
      <c r="D8" s="2">
        <f>SUM(D7:D7)</f>
        <v>68307</v>
      </c>
      <c r="E8" s="2"/>
      <c r="F8" s="2"/>
      <c r="G8" s="2"/>
      <c r="H8" s="2"/>
      <c r="I8" s="2"/>
      <c r="J8" s="2"/>
    </row>
    <row r="9" spans="1:12" x14ac:dyDescent="0.2">
      <c r="A9" s="229"/>
      <c r="B9" s="2"/>
      <c r="C9" s="2"/>
      <c r="D9" s="2"/>
      <c r="E9" s="2"/>
      <c r="F9" s="2"/>
      <c r="G9" s="2"/>
      <c r="H9" s="2"/>
      <c r="I9" s="2"/>
      <c r="J9" s="2"/>
    </row>
    <row r="10" spans="1:12" ht="13.5" x14ac:dyDescent="0.25">
      <c r="A10" s="230" t="s">
        <v>463</v>
      </c>
      <c r="B10" s="2"/>
      <c r="C10" s="2"/>
      <c r="D10" s="2"/>
      <c r="E10" s="2">
        <v>309929</v>
      </c>
      <c r="F10" s="2">
        <v>410314</v>
      </c>
      <c r="G10" s="2">
        <v>439087</v>
      </c>
      <c r="H10" s="2">
        <v>439087</v>
      </c>
      <c r="I10" s="2">
        <v>439087</v>
      </c>
      <c r="J10" s="2">
        <v>439087</v>
      </c>
      <c r="K10" s="2">
        <v>410314</v>
      </c>
      <c r="L10" s="2">
        <f t="shared" ref="L10:L41" si="0">+K10-G10</f>
        <v>-28773</v>
      </c>
    </row>
    <row r="11" spans="1:12" x14ac:dyDescent="0.2">
      <c r="A11" s="229" t="s">
        <v>613</v>
      </c>
      <c r="B11" s="2">
        <v>52</v>
      </c>
      <c r="C11" s="2">
        <v>950</v>
      </c>
      <c r="D11" s="2">
        <f t="shared" ref="D11:D17" si="1">ROUND(B11*C11,0)</f>
        <v>49400</v>
      </c>
      <c r="E11" s="2"/>
      <c r="F11" s="2"/>
      <c r="G11" s="2"/>
      <c r="H11" s="2"/>
      <c r="I11" s="2"/>
      <c r="J11" s="2"/>
      <c r="K11" s="2"/>
      <c r="L11" s="2">
        <f t="shared" si="0"/>
        <v>0</v>
      </c>
    </row>
    <row r="12" spans="1:12" x14ac:dyDescent="0.2">
      <c r="A12" s="229" t="s">
        <v>613</v>
      </c>
      <c r="B12" s="2">
        <v>52</v>
      </c>
      <c r="C12" s="2">
        <f>26.29*40</f>
        <v>1051.5999999999999</v>
      </c>
      <c r="D12" s="2">
        <f t="shared" si="1"/>
        <v>54683</v>
      </c>
      <c r="E12" s="2"/>
      <c r="F12" s="2"/>
      <c r="G12" s="2"/>
      <c r="H12" s="2"/>
      <c r="I12" s="2"/>
      <c r="J12" s="2"/>
      <c r="K12" s="2"/>
      <c r="L12" s="2">
        <f t="shared" si="0"/>
        <v>0</v>
      </c>
    </row>
    <row r="13" spans="1:12" x14ac:dyDescent="0.2">
      <c r="A13" s="229" t="s">
        <v>613</v>
      </c>
      <c r="B13" s="2">
        <v>52</v>
      </c>
      <c r="C13" s="2">
        <f>26.29*40</f>
        <v>1051.5999999999999</v>
      </c>
      <c r="D13" s="2">
        <f t="shared" si="1"/>
        <v>54683</v>
      </c>
      <c r="E13" s="2"/>
      <c r="F13" s="2"/>
      <c r="G13" s="2"/>
      <c r="H13" s="2"/>
      <c r="I13" s="2"/>
      <c r="J13" s="2"/>
      <c r="K13" s="2"/>
      <c r="L13" s="2">
        <f t="shared" si="0"/>
        <v>0</v>
      </c>
    </row>
    <row r="14" spans="1:12" x14ac:dyDescent="0.2">
      <c r="A14" s="229" t="s">
        <v>613</v>
      </c>
      <c r="B14" s="2">
        <v>52</v>
      </c>
      <c r="C14" s="2">
        <f>26.29*40</f>
        <v>1051.5999999999999</v>
      </c>
      <c r="D14" s="2">
        <f t="shared" si="1"/>
        <v>54683</v>
      </c>
      <c r="E14" s="2"/>
      <c r="F14" s="2"/>
      <c r="G14" s="2"/>
      <c r="H14" s="2"/>
      <c r="I14" s="2"/>
      <c r="J14" s="2"/>
      <c r="K14" s="2"/>
      <c r="L14" s="2">
        <f t="shared" si="0"/>
        <v>0</v>
      </c>
    </row>
    <row r="15" spans="1:12" x14ac:dyDescent="0.2">
      <c r="A15" s="229" t="s">
        <v>613</v>
      </c>
      <c r="B15" s="2">
        <v>52</v>
      </c>
      <c r="C15" s="2">
        <f>23.74*40</f>
        <v>949.59999999999991</v>
      </c>
      <c r="D15" s="2">
        <f t="shared" si="1"/>
        <v>49379</v>
      </c>
      <c r="E15" s="2"/>
      <c r="F15" s="2"/>
      <c r="G15" s="2"/>
      <c r="H15" s="2"/>
      <c r="I15" s="2"/>
      <c r="J15" s="2"/>
      <c r="K15" s="2"/>
      <c r="L15" s="2">
        <f t="shared" si="0"/>
        <v>0</v>
      </c>
    </row>
    <row r="16" spans="1:12" x14ac:dyDescent="0.2">
      <c r="A16" s="229" t="s">
        <v>613</v>
      </c>
      <c r="B16" s="2">
        <v>52</v>
      </c>
      <c r="C16" s="2">
        <f>26.29*40</f>
        <v>1051.5999999999999</v>
      </c>
      <c r="D16" s="2">
        <f t="shared" si="1"/>
        <v>54683</v>
      </c>
      <c r="E16" s="2"/>
      <c r="F16" s="2"/>
      <c r="G16" s="2"/>
      <c r="H16" s="2"/>
      <c r="I16" s="2"/>
      <c r="J16" s="2"/>
      <c r="K16" s="2"/>
      <c r="L16" s="2">
        <f t="shared" si="0"/>
        <v>0</v>
      </c>
    </row>
    <row r="17" spans="1:12" x14ac:dyDescent="0.2">
      <c r="A17" s="229" t="s">
        <v>613</v>
      </c>
      <c r="B17" s="2">
        <v>52</v>
      </c>
      <c r="C17" s="2">
        <f>23.74*40</f>
        <v>949.59999999999991</v>
      </c>
      <c r="D17" s="2">
        <f t="shared" si="1"/>
        <v>49379</v>
      </c>
      <c r="E17" s="2"/>
      <c r="F17" s="2"/>
      <c r="G17" s="2"/>
      <c r="H17" s="2"/>
      <c r="I17" s="2"/>
      <c r="J17" s="2"/>
      <c r="K17" s="2"/>
      <c r="L17" s="2">
        <f t="shared" si="0"/>
        <v>0</v>
      </c>
    </row>
    <row r="18" spans="1:12" x14ac:dyDescent="0.2">
      <c r="A18" s="229" t="s">
        <v>613</v>
      </c>
      <c r="B18" s="2">
        <v>52</v>
      </c>
      <c r="C18" s="2">
        <f>23.74*40</f>
        <v>949.59999999999991</v>
      </c>
      <c r="D18" s="2">
        <f>+B18*C18</f>
        <v>49379.199999999997</v>
      </c>
      <c r="E18" s="2"/>
      <c r="F18" s="2"/>
      <c r="G18" s="2"/>
      <c r="H18" s="2"/>
      <c r="I18" s="2"/>
      <c r="J18" s="2"/>
      <c r="K18" s="2"/>
      <c r="L18" s="2">
        <f t="shared" si="0"/>
        <v>0</v>
      </c>
    </row>
    <row r="19" spans="1:12" x14ac:dyDescent="0.2">
      <c r="A19" s="229" t="s">
        <v>1823</v>
      </c>
      <c r="B19" s="2"/>
      <c r="C19" s="2"/>
      <c r="D19" s="2">
        <v>5101</v>
      </c>
      <c r="E19" s="2"/>
      <c r="F19" s="2"/>
      <c r="G19" s="2"/>
      <c r="H19" s="2"/>
      <c r="I19" s="2"/>
      <c r="J19" s="2"/>
      <c r="K19" s="2"/>
      <c r="L19" s="2">
        <f t="shared" si="0"/>
        <v>0</v>
      </c>
    </row>
    <row r="20" spans="1:12" x14ac:dyDescent="0.2">
      <c r="A20" s="229" t="s">
        <v>1744</v>
      </c>
      <c r="B20" s="2">
        <v>480</v>
      </c>
      <c r="C20" s="2">
        <v>1</v>
      </c>
      <c r="D20" s="2">
        <f>ROUND(B20*C20,0)</f>
        <v>480</v>
      </c>
      <c r="E20" s="2"/>
      <c r="F20" s="2"/>
      <c r="G20" s="2"/>
      <c r="H20" s="2"/>
      <c r="I20" s="2"/>
      <c r="J20" s="2"/>
      <c r="K20" s="2"/>
      <c r="L20" s="2">
        <f t="shared" si="0"/>
        <v>0</v>
      </c>
    </row>
    <row r="21" spans="1:12" x14ac:dyDescent="0.2">
      <c r="A21" s="229" t="s">
        <v>818</v>
      </c>
      <c r="B21" s="2"/>
      <c r="C21" s="11"/>
      <c r="D21" s="2">
        <v>1227</v>
      </c>
      <c r="E21" s="2"/>
      <c r="F21" s="2"/>
      <c r="G21" s="2"/>
      <c r="H21" s="2"/>
      <c r="I21" s="2"/>
      <c r="J21" s="2"/>
      <c r="K21" s="2"/>
      <c r="L21" s="2">
        <f t="shared" si="0"/>
        <v>0</v>
      </c>
    </row>
    <row r="22" spans="1:12" ht="15" x14ac:dyDescent="0.35">
      <c r="A22" s="229" t="s">
        <v>2044</v>
      </c>
      <c r="B22" s="2">
        <v>640</v>
      </c>
      <c r="C22" s="11">
        <f>+SUM(C11:C18)/40/8</f>
        <v>25.016250000000003</v>
      </c>
      <c r="D22" s="10">
        <f>ROUND(B22*C22,0)</f>
        <v>16010</v>
      </c>
      <c r="E22" s="2"/>
      <c r="F22" s="2"/>
      <c r="G22" s="2"/>
      <c r="H22" s="2"/>
      <c r="I22" s="2"/>
      <c r="J22" s="2"/>
      <c r="K22" s="2"/>
      <c r="L22" s="2">
        <f t="shared" si="0"/>
        <v>0</v>
      </c>
    </row>
    <row r="23" spans="1:12" x14ac:dyDescent="0.2">
      <c r="A23" s="229" t="s">
        <v>1067</v>
      </c>
      <c r="B23" s="2"/>
      <c r="C23" s="2"/>
      <c r="D23" s="2">
        <f>SUM(D11:D22)</f>
        <v>439087.2</v>
      </c>
      <c r="E23" s="2"/>
      <c r="F23" s="2"/>
      <c r="G23" s="2"/>
      <c r="H23" s="2"/>
      <c r="I23" s="2"/>
      <c r="J23" s="2"/>
      <c r="K23" s="2"/>
      <c r="L23" s="2">
        <f t="shared" si="0"/>
        <v>0</v>
      </c>
    </row>
    <row r="24" spans="1:12" x14ac:dyDescent="0.2">
      <c r="A24" s="229"/>
      <c r="B24" s="229"/>
      <c r="C24" s="283"/>
      <c r="D24" s="2"/>
      <c r="E24" s="2"/>
      <c r="F24" s="2"/>
      <c r="G24" s="2"/>
      <c r="H24" s="2"/>
      <c r="I24" s="2"/>
      <c r="J24" s="2"/>
      <c r="K24" s="2"/>
      <c r="L24" s="2">
        <f t="shared" si="0"/>
        <v>0</v>
      </c>
    </row>
    <row r="25" spans="1:12" ht="13.5" x14ac:dyDescent="0.25">
      <c r="A25" s="230" t="s">
        <v>614</v>
      </c>
      <c r="B25" s="229"/>
      <c r="C25" s="283"/>
      <c r="D25" s="2"/>
      <c r="E25" s="2">
        <v>14561</v>
      </c>
      <c r="F25" s="2">
        <v>3937</v>
      </c>
      <c r="G25" s="2">
        <v>3958</v>
      </c>
      <c r="H25" s="2">
        <v>3958</v>
      </c>
      <c r="I25" s="2">
        <v>3958</v>
      </c>
      <c r="J25" s="2">
        <v>3965</v>
      </c>
      <c r="K25" s="2">
        <v>3937</v>
      </c>
      <c r="L25" s="2">
        <f t="shared" si="0"/>
        <v>-21</v>
      </c>
    </row>
    <row r="26" spans="1:12" x14ac:dyDescent="0.2">
      <c r="A26" s="229" t="s">
        <v>124</v>
      </c>
      <c r="B26" s="2">
        <v>80.5</v>
      </c>
      <c r="C26" s="11">
        <f>ROUND((((+C7)/40)*1.5),2)</f>
        <v>49.26</v>
      </c>
      <c r="D26" s="2">
        <f>ROUND(B26*C26,0)</f>
        <v>3965</v>
      </c>
      <c r="E26" s="2"/>
      <c r="F26" s="2"/>
      <c r="G26" s="2"/>
      <c r="H26" s="2"/>
      <c r="I26" s="2"/>
      <c r="J26" s="2"/>
      <c r="K26" s="2"/>
      <c r="L26" s="2">
        <f t="shared" si="0"/>
        <v>0</v>
      </c>
    </row>
    <row r="27" spans="1:12" x14ac:dyDescent="0.2">
      <c r="A27" s="229"/>
      <c r="B27" s="2"/>
      <c r="C27" s="11"/>
      <c r="D27" s="2"/>
      <c r="E27" s="2"/>
      <c r="F27" s="2"/>
      <c r="G27" s="2"/>
      <c r="H27" s="2"/>
      <c r="I27" s="2"/>
      <c r="J27" s="2"/>
      <c r="K27" s="2"/>
      <c r="L27" s="2">
        <f t="shared" si="0"/>
        <v>0</v>
      </c>
    </row>
    <row r="28" spans="1:12" ht="13.5" x14ac:dyDescent="0.25">
      <c r="A28" s="230" t="s">
        <v>127</v>
      </c>
      <c r="B28" s="49"/>
      <c r="C28" s="3"/>
      <c r="D28" s="3"/>
      <c r="E28" s="3">
        <v>19837</v>
      </c>
      <c r="F28" s="2">
        <v>38323</v>
      </c>
      <c r="G28" s="2">
        <v>42598</v>
      </c>
      <c r="H28" s="2">
        <v>42598</v>
      </c>
      <c r="I28" s="2">
        <v>42598</v>
      </c>
      <c r="J28" s="2">
        <v>42598</v>
      </c>
      <c r="K28" s="2">
        <v>38323</v>
      </c>
      <c r="L28" s="2">
        <f t="shared" si="0"/>
        <v>-4275</v>
      </c>
    </row>
    <row r="29" spans="1:12" x14ac:dyDescent="0.2">
      <c r="A29" s="229" t="s">
        <v>1495</v>
      </c>
      <c r="B29" s="3">
        <v>800</v>
      </c>
      <c r="C29" s="52">
        <v>18.55</v>
      </c>
      <c r="D29" s="3">
        <f>ROUND(B29*C29,0)</f>
        <v>14840</v>
      </c>
      <c r="E29" s="2"/>
      <c r="F29" s="2"/>
      <c r="G29" s="2"/>
      <c r="H29" s="2"/>
      <c r="I29" s="2"/>
      <c r="J29" s="2"/>
      <c r="K29" s="2"/>
      <c r="L29" s="2">
        <f t="shared" si="0"/>
        <v>0</v>
      </c>
    </row>
    <row r="30" spans="1:12" x14ac:dyDescent="0.2">
      <c r="A30" s="229" t="s">
        <v>425</v>
      </c>
      <c r="B30" s="3">
        <v>1040</v>
      </c>
      <c r="C30" s="52">
        <v>26.69</v>
      </c>
      <c r="D30" s="58">
        <f>ROUND(B30*C30,0)</f>
        <v>27758</v>
      </c>
      <c r="E30" s="2"/>
      <c r="F30" s="2"/>
      <c r="G30" s="2"/>
      <c r="H30" s="2"/>
      <c r="I30" s="2"/>
      <c r="J30" s="2"/>
      <c r="K30" s="2"/>
      <c r="L30" s="2">
        <f t="shared" si="0"/>
        <v>0</v>
      </c>
    </row>
    <row r="31" spans="1:12" x14ac:dyDescent="0.2">
      <c r="A31" s="229"/>
      <c r="B31" s="3"/>
      <c r="C31" s="52"/>
      <c r="D31" s="3">
        <f>SUM(D29:D30)</f>
        <v>42598</v>
      </c>
      <c r="E31" s="2"/>
      <c r="F31" s="2"/>
      <c r="G31" s="2"/>
      <c r="H31" s="2"/>
      <c r="I31" s="2"/>
      <c r="J31" s="2"/>
      <c r="K31" s="2"/>
      <c r="L31" s="2">
        <f t="shared" si="0"/>
        <v>0</v>
      </c>
    </row>
    <row r="32" spans="1:12" x14ac:dyDescent="0.2">
      <c r="A32" s="229"/>
      <c r="B32" s="3"/>
      <c r="C32" s="3"/>
      <c r="D32" s="3"/>
      <c r="E32" s="2"/>
      <c r="F32" s="2"/>
      <c r="G32" s="2"/>
      <c r="H32" s="2"/>
      <c r="I32" s="2"/>
      <c r="J32" s="2"/>
      <c r="K32" s="2"/>
      <c r="L32" s="2">
        <f t="shared" si="0"/>
        <v>0</v>
      </c>
    </row>
    <row r="33" spans="1:12" ht="13.5" x14ac:dyDescent="0.25">
      <c r="A33" s="230" t="s">
        <v>775</v>
      </c>
      <c r="B33" s="229"/>
      <c r="C33" s="229"/>
      <c r="D33" s="2"/>
      <c r="E33" s="2">
        <v>79779</v>
      </c>
      <c r="F33" s="2">
        <v>30241</v>
      </c>
      <c r="G33" s="2">
        <v>31858</v>
      </c>
      <c r="H33" s="2">
        <v>31858</v>
      </c>
      <c r="I33" s="2">
        <v>31858</v>
      </c>
      <c r="J33" s="2">
        <v>31858</v>
      </c>
      <c r="K33" s="2">
        <v>30241</v>
      </c>
      <c r="L33" s="2">
        <f t="shared" si="0"/>
        <v>-1617</v>
      </c>
    </row>
    <row r="34" spans="1:12" x14ac:dyDescent="0.2">
      <c r="A34" s="229" t="s">
        <v>776</v>
      </c>
      <c r="B34" s="2" t="s">
        <v>338</v>
      </c>
      <c r="C34" s="11" t="s">
        <v>338</v>
      </c>
      <c r="D34" s="2" t="s">
        <v>338</v>
      </c>
      <c r="E34" s="2"/>
      <c r="F34" s="2"/>
      <c r="G34" s="2"/>
      <c r="H34" s="2"/>
      <c r="I34" s="2"/>
      <c r="J34" s="2"/>
      <c r="K34" s="2"/>
      <c r="L34" s="2">
        <f t="shared" si="0"/>
        <v>0</v>
      </c>
    </row>
    <row r="35" spans="1:12" ht="15.6" customHeight="1" x14ac:dyDescent="0.2">
      <c r="A35" s="229" t="s">
        <v>777</v>
      </c>
      <c r="B35" s="2">
        <v>849</v>
      </c>
      <c r="C35" s="11">
        <f>+C22*1.5</f>
        <v>37.524375000000006</v>
      </c>
      <c r="D35" s="3">
        <f>ROUND(B35*C35,0)</f>
        <v>31858</v>
      </c>
      <c r="E35" s="2"/>
      <c r="F35" s="2"/>
      <c r="G35" s="2"/>
      <c r="H35" s="2"/>
      <c r="I35" s="2"/>
      <c r="J35" s="2"/>
      <c r="K35" s="2"/>
      <c r="L35" s="2">
        <f t="shared" si="0"/>
        <v>0</v>
      </c>
    </row>
    <row r="36" spans="1:12" x14ac:dyDescent="0.2">
      <c r="A36" s="229"/>
      <c r="B36" s="2"/>
      <c r="C36" s="11"/>
      <c r="D36" s="2"/>
      <c r="E36" s="2"/>
      <c r="F36" s="2"/>
      <c r="G36" s="2"/>
      <c r="H36" s="2"/>
      <c r="I36" s="2"/>
      <c r="J36" s="2"/>
      <c r="K36" s="2"/>
      <c r="L36" s="2">
        <f t="shared" si="0"/>
        <v>0</v>
      </c>
    </row>
    <row r="37" spans="1:12" ht="13.5" x14ac:dyDescent="0.25">
      <c r="A37" s="230" t="s">
        <v>778</v>
      </c>
      <c r="B37" s="229"/>
      <c r="C37" s="229"/>
      <c r="D37" s="2"/>
      <c r="E37" s="2">
        <v>37543</v>
      </c>
      <c r="F37" s="2">
        <v>41669</v>
      </c>
      <c r="G37" s="2">
        <v>44348</v>
      </c>
      <c r="H37" s="2">
        <v>44348</v>
      </c>
      <c r="I37" s="2">
        <v>44348</v>
      </c>
      <c r="J37" s="2">
        <v>44814</v>
      </c>
      <c r="K37" s="2">
        <v>41669</v>
      </c>
      <c r="L37" s="2">
        <f t="shared" si="0"/>
        <v>-2679</v>
      </c>
    </row>
    <row r="38" spans="1:12" hidden="1" x14ac:dyDescent="0.2">
      <c r="A38" s="12" t="s">
        <v>1264</v>
      </c>
      <c r="B38" s="2">
        <f>+D7</f>
        <v>68307</v>
      </c>
      <c r="C38" s="13">
        <v>7.6499999999999999E-2</v>
      </c>
      <c r="D38" s="2">
        <f>ROUND(B38*C38,0)</f>
        <v>5225</v>
      </c>
      <c r="E38" s="2"/>
      <c r="F38" s="2"/>
      <c r="G38" s="2"/>
      <c r="H38" s="2"/>
      <c r="I38" s="2"/>
      <c r="J38" s="2"/>
      <c r="K38" s="2"/>
      <c r="L38" s="2">
        <f t="shared" si="0"/>
        <v>0</v>
      </c>
    </row>
    <row r="39" spans="1:12" hidden="1" x14ac:dyDescent="0.2">
      <c r="A39" s="12" t="s">
        <v>683</v>
      </c>
      <c r="B39" s="2">
        <f>+D23</f>
        <v>439087.2</v>
      </c>
      <c r="C39" s="13">
        <v>7.6499999999999999E-2</v>
      </c>
      <c r="D39" s="2">
        <f>ROUND(B39*C39,0)</f>
        <v>33590</v>
      </c>
      <c r="E39" s="2"/>
      <c r="F39" s="2"/>
      <c r="G39" s="2"/>
      <c r="H39" s="2"/>
      <c r="I39" s="2"/>
      <c r="J39" s="2"/>
      <c r="K39" s="2"/>
      <c r="L39" s="2">
        <f t="shared" si="0"/>
        <v>0</v>
      </c>
    </row>
    <row r="40" spans="1:12" hidden="1" x14ac:dyDescent="0.2">
      <c r="A40" s="12" t="s">
        <v>758</v>
      </c>
      <c r="B40" s="2">
        <f>+D26</f>
        <v>3965</v>
      </c>
      <c r="C40" s="13">
        <v>7.6499999999999999E-2</v>
      </c>
      <c r="D40" s="2">
        <f>ROUND(B40*C40,0)</f>
        <v>303</v>
      </c>
      <c r="E40" s="2"/>
      <c r="F40" s="2"/>
      <c r="G40" s="2"/>
      <c r="H40" s="2"/>
      <c r="I40" s="2"/>
      <c r="J40" s="2"/>
      <c r="K40" s="2"/>
      <c r="L40" s="2">
        <f t="shared" si="0"/>
        <v>0</v>
      </c>
    </row>
    <row r="41" spans="1:12" hidden="1" x14ac:dyDescent="0.2">
      <c r="A41" s="12" t="s">
        <v>153</v>
      </c>
      <c r="B41" s="2">
        <f>+D31</f>
        <v>42598</v>
      </c>
      <c r="C41" s="13">
        <v>7.6499999999999999E-2</v>
      </c>
      <c r="D41" s="2">
        <f>ROUND(B41*C41,0)</f>
        <v>3259</v>
      </c>
      <c r="E41" s="2"/>
      <c r="F41" s="2"/>
      <c r="G41" s="2"/>
      <c r="H41" s="2"/>
      <c r="I41" s="2"/>
      <c r="J41" s="2"/>
      <c r="K41" s="2"/>
      <c r="L41" s="2">
        <f t="shared" si="0"/>
        <v>0</v>
      </c>
    </row>
    <row r="42" spans="1:12" ht="15" hidden="1" x14ac:dyDescent="0.35">
      <c r="A42" s="12" t="s">
        <v>154</v>
      </c>
      <c r="B42" s="2">
        <f>+D35</f>
        <v>31858</v>
      </c>
      <c r="C42" s="13">
        <v>7.6499999999999999E-2</v>
      </c>
      <c r="D42" s="10">
        <f>ROUND(B42*C42,0)</f>
        <v>2437</v>
      </c>
      <c r="E42" s="2"/>
      <c r="F42" s="2"/>
      <c r="G42" s="2"/>
      <c r="H42" s="2"/>
      <c r="I42" s="2"/>
      <c r="J42" s="2"/>
      <c r="K42" s="2"/>
      <c r="L42" s="2">
        <f t="shared" ref="L42:L73" si="2">+K42-G42</f>
        <v>0</v>
      </c>
    </row>
    <row r="43" spans="1:12" hidden="1" x14ac:dyDescent="0.2">
      <c r="A43" s="229" t="s">
        <v>1067</v>
      </c>
      <c r="B43" s="229"/>
      <c r="C43" s="229"/>
      <c r="D43" s="2">
        <f>SUM(D38:D42)</f>
        <v>44814</v>
      </c>
      <c r="E43" s="2"/>
      <c r="F43" s="2"/>
      <c r="G43" s="2"/>
      <c r="H43" s="2"/>
      <c r="I43" s="2"/>
      <c r="J43" s="2"/>
      <c r="K43" s="2"/>
      <c r="L43" s="2">
        <f t="shared" si="2"/>
        <v>0</v>
      </c>
    </row>
    <row r="44" spans="1:12" x14ac:dyDescent="0.2">
      <c r="A44" s="229"/>
      <c r="B44" s="229"/>
      <c r="C44" s="229"/>
      <c r="D44" s="2"/>
      <c r="E44" s="2"/>
      <c r="F44" s="2"/>
      <c r="G44" s="2"/>
      <c r="H44" s="2"/>
      <c r="I44" s="2"/>
      <c r="J44" s="2"/>
      <c r="K44" s="2"/>
      <c r="L44" s="2">
        <f t="shared" si="2"/>
        <v>0</v>
      </c>
    </row>
    <row r="45" spans="1:12" ht="13.5" x14ac:dyDescent="0.25">
      <c r="A45" s="14" t="s">
        <v>890</v>
      </c>
      <c r="B45" s="283"/>
      <c r="C45" s="283"/>
      <c r="D45" s="2"/>
      <c r="E45" s="2">
        <v>66366</v>
      </c>
      <c r="F45" s="2">
        <v>71196</v>
      </c>
      <c r="G45" s="2">
        <v>72672</v>
      </c>
      <c r="H45" s="2">
        <v>72672</v>
      </c>
      <c r="I45" s="2">
        <v>72672</v>
      </c>
      <c r="J45" s="2">
        <v>73496</v>
      </c>
      <c r="K45" s="2">
        <v>71196</v>
      </c>
      <c r="L45" s="2">
        <f t="shared" si="2"/>
        <v>-1476</v>
      </c>
    </row>
    <row r="46" spans="1:12" hidden="1" x14ac:dyDescent="0.2">
      <c r="A46" s="12" t="s">
        <v>1264</v>
      </c>
      <c r="B46" s="2">
        <f>+B38+B40</f>
        <v>72272</v>
      </c>
      <c r="C46" s="299">
        <v>0.1353</v>
      </c>
      <c r="D46" s="2">
        <f>ROUND(B46*C46,0)</f>
        <v>9778</v>
      </c>
      <c r="E46" s="2"/>
      <c r="F46" s="2"/>
      <c r="G46" s="2"/>
      <c r="H46" s="2"/>
      <c r="I46" s="2"/>
      <c r="J46" s="2"/>
      <c r="K46" s="2"/>
      <c r="L46" s="2">
        <f t="shared" si="2"/>
        <v>0</v>
      </c>
    </row>
    <row r="47" spans="1:12" ht="15" hidden="1" x14ac:dyDescent="0.35">
      <c r="A47" s="283" t="s">
        <v>1181</v>
      </c>
      <c r="B47" s="2">
        <f>+D23+D35</f>
        <v>470945.2</v>
      </c>
      <c r="C47" s="299">
        <v>0.1353</v>
      </c>
      <c r="D47" s="10">
        <f>ROUND(B47*C47,0)</f>
        <v>63719</v>
      </c>
      <c r="E47" s="2"/>
      <c r="F47" s="2"/>
      <c r="G47" s="2"/>
      <c r="H47" s="2"/>
      <c r="I47" s="2"/>
      <c r="J47" s="2"/>
      <c r="K47" s="2"/>
      <c r="L47" s="2">
        <f t="shared" si="2"/>
        <v>0</v>
      </c>
    </row>
    <row r="48" spans="1:12" hidden="1" x14ac:dyDescent="0.2">
      <c r="A48" s="283" t="s">
        <v>1067</v>
      </c>
      <c r="B48" s="283"/>
      <c r="C48" s="283"/>
      <c r="D48" s="2">
        <f>SUM(D46:D47)</f>
        <v>73497</v>
      </c>
      <c r="E48" s="2"/>
      <c r="F48" s="2"/>
      <c r="G48" s="2"/>
      <c r="H48" s="2"/>
      <c r="I48" s="2"/>
      <c r="J48" s="2"/>
      <c r="K48" s="2"/>
      <c r="L48" s="2">
        <f t="shared" si="2"/>
        <v>0</v>
      </c>
    </row>
    <row r="49" spans="1:12" x14ac:dyDescent="0.2">
      <c r="A49" s="283"/>
      <c r="B49" s="283"/>
      <c r="C49" s="283"/>
      <c r="D49" s="2"/>
      <c r="E49" s="2"/>
      <c r="F49" s="2"/>
      <c r="G49" s="2"/>
      <c r="H49" s="2"/>
      <c r="I49" s="2"/>
      <c r="J49" s="2"/>
      <c r="K49" s="2"/>
      <c r="L49" s="2">
        <f t="shared" si="2"/>
        <v>0</v>
      </c>
    </row>
    <row r="50" spans="1:12" ht="13.5" x14ac:dyDescent="0.25">
      <c r="A50" s="286" t="s">
        <v>955</v>
      </c>
      <c r="B50" s="283"/>
      <c r="C50" s="283"/>
      <c r="D50" s="2"/>
      <c r="E50" s="2">
        <v>130729</v>
      </c>
      <c r="F50" s="2">
        <v>171000</v>
      </c>
      <c r="G50" s="2">
        <v>182250</v>
      </c>
      <c r="H50" s="2">
        <v>182250</v>
      </c>
      <c r="I50" s="2">
        <v>182250</v>
      </c>
      <c r="J50" s="2">
        <v>182250</v>
      </c>
      <c r="K50" s="2">
        <v>175500</v>
      </c>
      <c r="L50" s="2">
        <f t="shared" si="2"/>
        <v>-6750</v>
      </c>
    </row>
    <row r="51" spans="1:12" hidden="1" x14ac:dyDescent="0.2">
      <c r="A51" s="283" t="s">
        <v>1501</v>
      </c>
      <c r="B51" s="2">
        <v>1</v>
      </c>
      <c r="C51" s="2">
        <v>20250</v>
      </c>
      <c r="D51" s="2">
        <f>ROUND(B51*C51,0)</f>
        <v>20250</v>
      </c>
      <c r="E51" s="2"/>
      <c r="F51" s="2"/>
      <c r="G51" s="2"/>
      <c r="H51" s="2"/>
      <c r="I51" s="2"/>
      <c r="J51" s="2"/>
      <c r="K51" s="2"/>
      <c r="L51" s="2">
        <f t="shared" si="2"/>
        <v>0</v>
      </c>
    </row>
    <row r="52" spans="1:12" ht="15" hidden="1" x14ac:dyDescent="0.35">
      <c r="A52" s="283" t="s">
        <v>1502</v>
      </c>
      <c r="B52" s="2">
        <v>8</v>
      </c>
      <c r="C52" s="2">
        <v>20250</v>
      </c>
      <c r="D52" s="10">
        <f>ROUND(B52*C52,0)</f>
        <v>162000</v>
      </c>
      <c r="E52" s="2"/>
      <c r="F52" s="2"/>
      <c r="G52" s="2"/>
      <c r="H52" s="2"/>
      <c r="I52" s="2"/>
      <c r="J52" s="2"/>
      <c r="K52" s="2"/>
      <c r="L52" s="2">
        <f t="shared" si="2"/>
        <v>0</v>
      </c>
    </row>
    <row r="53" spans="1:12" hidden="1" x14ac:dyDescent="0.2">
      <c r="A53" s="283" t="s">
        <v>678</v>
      </c>
      <c r="B53" s="2"/>
      <c r="C53" s="2"/>
      <c r="D53" s="2">
        <f>SUM(D51:D52)</f>
        <v>182250</v>
      </c>
      <c r="E53" s="2"/>
      <c r="F53" s="2"/>
      <c r="G53" s="2"/>
      <c r="H53" s="2"/>
      <c r="I53" s="2"/>
      <c r="J53" s="2"/>
      <c r="K53" s="2"/>
      <c r="L53" s="2">
        <f t="shared" si="2"/>
        <v>0</v>
      </c>
    </row>
    <row r="54" spans="1:12" x14ac:dyDescent="0.2">
      <c r="A54" s="283"/>
      <c r="B54" s="283"/>
      <c r="C54" s="283"/>
      <c r="D54" s="2"/>
      <c r="E54" s="2"/>
      <c r="F54" s="2"/>
      <c r="G54" s="2"/>
      <c r="H54" s="2"/>
      <c r="I54" s="2"/>
      <c r="J54" s="2"/>
      <c r="K54" s="2"/>
      <c r="L54" s="2">
        <f t="shared" si="2"/>
        <v>0</v>
      </c>
    </row>
    <row r="55" spans="1:12" ht="13.5" x14ac:dyDescent="0.25">
      <c r="A55" s="286" t="s">
        <v>160</v>
      </c>
      <c r="B55" s="283"/>
      <c r="C55" s="283"/>
      <c r="D55" s="2"/>
      <c r="E55" s="2">
        <v>8611</v>
      </c>
      <c r="F55" s="2">
        <v>11413</v>
      </c>
      <c r="G55" s="2">
        <v>11413</v>
      </c>
      <c r="H55" s="2">
        <v>11413</v>
      </c>
      <c r="I55" s="2">
        <v>11413</v>
      </c>
      <c r="J55" s="2">
        <v>11413</v>
      </c>
      <c r="K55" s="2">
        <v>11413</v>
      </c>
      <c r="L55" s="2">
        <f t="shared" si="2"/>
        <v>0</v>
      </c>
    </row>
    <row r="56" spans="1:12" hidden="1" x14ac:dyDescent="0.2">
      <c r="A56" s="283" t="s">
        <v>258</v>
      </c>
      <c r="B56" s="2">
        <v>1</v>
      </c>
      <c r="C56" s="2">
        <v>1375</v>
      </c>
      <c r="D56" s="2">
        <f>ROUND(B56*C56,0)</f>
        <v>1375</v>
      </c>
      <c r="E56" s="2"/>
      <c r="F56" s="2"/>
      <c r="G56" s="2"/>
      <c r="H56" s="2"/>
      <c r="I56" s="2"/>
      <c r="J56" s="2"/>
      <c r="K56" s="2"/>
      <c r="L56" s="2">
        <f t="shared" si="2"/>
        <v>0</v>
      </c>
    </row>
    <row r="57" spans="1:12" hidden="1" x14ac:dyDescent="0.2">
      <c r="A57" s="283" t="s">
        <v>522</v>
      </c>
      <c r="B57" s="2">
        <v>8</v>
      </c>
      <c r="C57" s="2">
        <v>1375</v>
      </c>
      <c r="D57" s="2">
        <f>ROUND(B57*C57,0)</f>
        <v>11000</v>
      </c>
      <c r="E57" s="2"/>
      <c r="F57" s="2"/>
      <c r="G57" s="2"/>
      <c r="H57" s="2"/>
      <c r="I57" s="2"/>
      <c r="J57" s="2"/>
      <c r="K57" s="2"/>
      <c r="L57" s="2">
        <f t="shared" si="2"/>
        <v>0</v>
      </c>
    </row>
    <row r="58" spans="1:12" hidden="1" x14ac:dyDescent="0.2">
      <c r="A58" s="283" t="s">
        <v>523</v>
      </c>
      <c r="B58" s="2"/>
      <c r="C58" s="2"/>
      <c r="D58" s="17">
        <f>+C57*-0.1*7</f>
        <v>-962.5</v>
      </c>
      <c r="E58" s="2"/>
      <c r="F58" s="2"/>
      <c r="G58" s="2"/>
      <c r="H58" s="2"/>
      <c r="I58" s="2"/>
      <c r="J58" s="2"/>
      <c r="K58" s="2"/>
      <c r="L58" s="2">
        <f t="shared" si="2"/>
        <v>0</v>
      </c>
    </row>
    <row r="59" spans="1:12" hidden="1" x14ac:dyDescent="0.2">
      <c r="A59" s="283" t="s">
        <v>678</v>
      </c>
      <c r="B59" s="2"/>
      <c r="C59" s="2"/>
      <c r="D59" s="2">
        <f>SUM(D56:D58)</f>
        <v>11412.5</v>
      </c>
      <c r="E59" s="2"/>
      <c r="F59" s="2"/>
      <c r="G59" s="2"/>
      <c r="H59" s="2"/>
      <c r="I59" s="2"/>
      <c r="J59" s="2"/>
      <c r="K59" s="2"/>
      <c r="L59" s="2">
        <f t="shared" si="2"/>
        <v>0</v>
      </c>
    </row>
    <row r="60" spans="1:12" x14ac:dyDescent="0.2">
      <c r="A60" s="283"/>
      <c r="B60" s="283"/>
      <c r="C60" s="283"/>
      <c r="D60" s="2"/>
      <c r="E60" s="2"/>
      <c r="F60" s="2"/>
      <c r="G60" s="2"/>
      <c r="H60" s="2"/>
      <c r="I60" s="2"/>
      <c r="J60" s="2"/>
      <c r="K60" s="2"/>
      <c r="L60" s="2">
        <f t="shared" si="2"/>
        <v>0</v>
      </c>
    </row>
    <row r="61" spans="1:12" ht="13.5" x14ac:dyDescent="0.25">
      <c r="A61" s="286" t="s">
        <v>161</v>
      </c>
      <c r="B61" s="283"/>
      <c r="C61" s="283"/>
      <c r="D61" s="2"/>
      <c r="E61" s="2">
        <v>827</v>
      </c>
      <c r="F61" s="2">
        <v>1215</v>
      </c>
      <c r="G61" s="2">
        <v>1305</v>
      </c>
      <c r="H61" s="2">
        <v>1305</v>
      </c>
      <c r="I61" s="2">
        <v>1305</v>
      </c>
      <c r="J61" s="2">
        <v>1305</v>
      </c>
      <c r="K61" s="2">
        <v>1215</v>
      </c>
      <c r="L61" s="2">
        <f t="shared" si="2"/>
        <v>-90</v>
      </c>
    </row>
    <row r="62" spans="1:12" hidden="1" x14ac:dyDescent="0.2">
      <c r="A62" s="12" t="s">
        <v>1264</v>
      </c>
      <c r="B62" s="2">
        <v>1</v>
      </c>
      <c r="C62" s="2">
        <v>145</v>
      </c>
      <c r="D62" s="2">
        <f>ROUND(B62*C62,0)</f>
        <v>145</v>
      </c>
      <c r="E62" s="2"/>
      <c r="F62" s="2"/>
      <c r="G62" s="2"/>
      <c r="H62" s="2"/>
      <c r="I62" s="2"/>
      <c r="J62" s="2"/>
      <c r="K62" s="2"/>
      <c r="L62" s="2">
        <f t="shared" si="2"/>
        <v>0</v>
      </c>
    </row>
    <row r="63" spans="1:12" ht="15" hidden="1" x14ac:dyDescent="0.35">
      <c r="A63" s="12" t="s">
        <v>683</v>
      </c>
      <c r="B63" s="2">
        <v>8</v>
      </c>
      <c r="C63" s="2">
        <v>145</v>
      </c>
      <c r="D63" s="10">
        <f>ROUND(B63*C63,0)</f>
        <v>1160</v>
      </c>
      <c r="E63" s="2"/>
      <c r="F63" s="2"/>
      <c r="G63" s="2"/>
      <c r="H63" s="2"/>
      <c r="I63" s="2"/>
      <c r="J63" s="2"/>
      <c r="K63" s="2"/>
      <c r="L63" s="2">
        <f t="shared" si="2"/>
        <v>0</v>
      </c>
    </row>
    <row r="64" spans="1:12" hidden="1" x14ac:dyDescent="0.2">
      <c r="A64" s="283" t="s">
        <v>1067</v>
      </c>
      <c r="B64" s="2"/>
      <c r="C64" s="2"/>
      <c r="D64" s="2">
        <f>SUM(D62:D63)</f>
        <v>1305</v>
      </c>
      <c r="E64" s="2"/>
      <c r="F64" s="2"/>
      <c r="G64" s="2"/>
      <c r="H64" s="2"/>
      <c r="I64" s="2"/>
      <c r="J64" s="2"/>
      <c r="K64" s="2"/>
      <c r="L64" s="2">
        <f t="shared" si="2"/>
        <v>0</v>
      </c>
    </row>
    <row r="65" spans="1:12" x14ac:dyDescent="0.2">
      <c r="A65" s="283"/>
      <c r="B65" s="283"/>
      <c r="C65" s="283"/>
      <c r="D65" s="2"/>
      <c r="E65" s="2"/>
      <c r="F65" s="2"/>
      <c r="G65" s="2"/>
      <c r="H65" s="2"/>
      <c r="I65" s="2"/>
      <c r="J65" s="2"/>
      <c r="K65" s="2"/>
      <c r="L65" s="2">
        <f t="shared" si="2"/>
        <v>0</v>
      </c>
    </row>
    <row r="66" spans="1:12" ht="13.5" x14ac:dyDescent="0.25">
      <c r="A66" s="286" t="s">
        <v>162</v>
      </c>
      <c r="B66" s="283"/>
      <c r="C66" s="283"/>
      <c r="D66" s="2"/>
      <c r="E66" s="2">
        <v>3506</v>
      </c>
      <c r="F66" s="2">
        <v>4725</v>
      </c>
      <c r="G66" s="2">
        <v>5085</v>
      </c>
      <c r="H66" s="2">
        <v>5085</v>
      </c>
      <c r="I66" s="2">
        <v>5085</v>
      </c>
      <c r="J66" s="2">
        <v>5085</v>
      </c>
      <c r="K66" s="2">
        <v>4725</v>
      </c>
      <c r="L66" s="2">
        <f t="shared" si="2"/>
        <v>-360</v>
      </c>
    </row>
    <row r="67" spans="1:12" hidden="1" x14ac:dyDescent="0.2">
      <c r="A67" s="12" t="s">
        <v>1264</v>
      </c>
      <c r="B67" s="2">
        <v>1</v>
      </c>
      <c r="C67" s="2">
        <v>565</v>
      </c>
      <c r="D67" s="2">
        <f>ROUND(B67*C67,0)</f>
        <v>565</v>
      </c>
      <c r="E67" s="2"/>
      <c r="F67" s="2"/>
      <c r="G67" s="2"/>
      <c r="H67" s="2"/>
      <c r="I67" s="2"/>
      <c r="J67" s="2"/>
      <c r="K67" s="2"/>
      <c r="L67" s="2">
        <f t="shared" si="2"/>
        <v>0</v>
      </c>
    </row>
    <row r="68" spans="1:12" ht="15" hidden="1" x14ac:dyDescent="0.35">
      <c r="A68" s="12" t="s">
        <v>683</v>
      </c>
      <c r="B68" s="2">
        <v>8</v>
      </c>
      <c r="C68" s="2">
        <v>565</v>
      </c>
      <c r="D68" s="10">
        <f>ROUND(B68*C68,0)</f>
        <v>4520</v>
      </c>
      <c r="E68" s="2"/>
      <c r="F68" s="2"/>
      <c r="G68" s="2"/>
      <c r="H68" s="2"/>
      <c r="I68" s="2"/>
      <c r="J68" s="2"/>
      <c r="K68" s="2"/>
      <c r="L68" s="2">
        <f t="shared" si="2"/>
        <v>0</v>
      </c>
    </row>
    <row r="69" spans="1:12" hidden="1" x14ac:dyDescent="0.2">
      <c r="A69" s="283" t="s">
        <v>1067</v>
      </c>
      <c r="B69" s="2"/>
      <c r="C69" s="2"/>
      <c r="D69" s="2">
        <f>SUM(D67:D68)</f>
        <v>5085</v>
      </c>
      <c r="E69" s="2"/>
      <c r="F69" s="2"/>
      <c r="G69" s="2"/>
      <c r="H69" s="2"/>
      <c r="I69" s="2"/>
      <c r="J69" s="2"/>
      <c r="K69" s="2"/>
      <c r="L69" s="2">
        <f t="shared" si="2"/>
        <v>0</v>
      </c>
    </row>
    <row r="70" spans="1:12" x14ac:dyDescent="0.2">
      <c r="A70" s="283"/>
      <c r="B70" s="283"/>
      <c r="C70" s="283"/>
      <c r="D70" s="283"/>
      <c r="E70" s="2"/>
      <c r="F70" s="2"/>
      <c r="G70" s="2"/>
      <c r="H70" s="2"/>
      <c r="I70" s="2"/>
      <c r="J70" s="2"/>
      <c r="K70" s="2"/>
      <c r="L70" s="2">
        <f t="shared" si="2"/>
        <v>0</v>
      </c>
    </row>
    <row r="71" spans="1:12" ht="13.5" x14ac:dyDescent="0.25">
      <c r="A71" s="286" t="s">
        <v>163</v>
      </c>
      <c r="B71" s="107"/>
      <c r="C71" s="283"/>
      <c r="D71" s="283"/>
      <c r="E71" s="2">
        <v>694</v>
      </c>
      <c r="F71" s="2">
        <v>951</v>
      </c>
      <c r="G71" s="2">
        <v>1109</v>
      </c>
      <c r="H71" s="2">
        <v>1096</v>
      </c>
      <c r="I71" s="2">
        <v>1096</v>
      </c>
      <c r="J71" s="2">
        <v>1107</v>
      </c>
      <c r="K71" s="2">
        <v>951</v>
      </c>
      <c r="L71" s="2">
        <f t="shared" si="2"/>
        <v>-158</v>
      </c>
    </row>
    <row r="72" spans="1:12" hidden="1" x14ac:dyDescent="0.2">
      <c r="A72" s="12" t="s">
        <v>1264</v>
      </c>
      <c r="B72" s="2">
        <f>+B38</f>
        <v>68307</v>
      </c>
      <c r="C72" s="13">
        <v>1.89E-3</v>
      </c>
      <c r="D72" s="2">
        <f>ROUND(B72*C72,0)</f>
        <v>129</v>
      </c>
      <c r="E72" s="2"/>
      <c r="F72" s="2"/>
      <c r="G72" s="2"/>
      <c r="H72" s="2"/>
      <c r="I72" s="2"/>
      <c r="J72" s="2"/>
      <c r="K72" s="2"/>
      <c r="L72" s="2">
        <f t="shared" si="2"/>
        <v>0</v>
      </c>
    </row>
    <row r="73" spans="1:12" hidden="1" x14ac:dyDescent="0.2">
      <c r="A73" s="12" t="s">
        <v>683</v>
      </c>
      <c r="B73" s="2">
        <f>+D23</f>
        <v>439087.2</v>
      </c>
      <c r="C73" s="13">
        <v>1.89E-3</v>
      </c>
      <c r="D73" s="2">
        <f>ROUND(B73*C73,0)</f>
        <v>830</v>
      </c>
      <c r="E73" s="2"/>
      <c r="F73" s="2"/>
      <c r="G73" s="2"/>
      <c r="H73" s="2"/>
      <c r="I73" s="2"/>
      <c r="J73" s="2"/>
      <c r="K73" s="2"/>
      <c r="L73" s="2">
        <f t="shared" si="2"/>
        <v>0</v>
      </c>
    </row>
    <row r="74" spans="1:12" hidden="1" x14ac:dyDescent="0.2">
      <c r="A74" s="12" t="s">
        <v>1596</v>
      </c>
      <c r="B74" s="2">
        <f>+D26</f>
        <v>3965</v>
      </c>
      <c r="C74" s="13">
        <v>1.89E-3</v>
      </c>
      <c r="D74" s="2">
        <f>ROUND(B74*C74,0)</f>
        <v>7</v>
      </c>
      <c r="E74" s="283"/>
      <c r="F74" s="2"/>
      <c r="G74" s="2"/>
      <c r="H74" s="2"/>
      <c r="I74" s="2"/>
      <c r="J74" s="2"/>
      <c r="K74" s="2"/>
      <c r="L74" s="2">
        <f t="shared" ref="L74:L79" si="3">+K74-G74</f>
        <v>0</v>
      </c>
    </row>
    <row r="75" spans="1:12" hidden="1" x14ac:dyDescent="0.2">
      <c r="A75" s="12" t="s">
        <v>153</v>
      </c>
      <c r="B75" s="2">
        <f>+D31</f>
        <v>42598</v>
      </c>
      <c r="C75" s="13">
        <v>1.89E-3</v>
      </c>
      <c r="D75" s="2">
        <f>ROUND(B75*C75,0)</f>
        <v>81</v>
      </c>
      <c r="E75" s="2"/>
      <c r="F75" s="2"/>
      <c r="G75" s="2"/>
      <c r="H75" s="2"/>
      <c r="I75" s="2"/>
      <c r="J75" s="2"/>
      <c r="K75" s="2"/>
      <c r="L75" s="2">
        <f t="shared" si="3"/>
        <v>0</v>
      </c>
    </row>
    <row r="76" spans="1:12" ht="15" hidden="1" x14ac:dyDescent="0.35">
      <c r="A76" s="12" t="s">
        <v>1597</v>
      </c>
      <c r="B76" s="2">
        <f>ROUND(D35,0)</f>
        <v>31858</v>
      </c>
      <c r="C76" s="13">
        <v>1.89E-3</v>
      </c>
      <c r="D76" s="10">
        <f>ROUND(B76*C76,0)</f>
        <v>60</v>
      </c>
      <c r="E76" s="2"/>
      <c r="F76" s="2"/>
      <c r="G76" s="2"/>
      <c r="H76" s="2"/>
      <c r="I76" s="2"/>
      <c r="J76" s="2"/>
      <c r="K76" s="2"/>
      <c r="L76" s="2">
        <f t="shared" si="3"/>
        <v>0</v>
      </c>
    </row>
    <row r="77" spans="1:12" hidden="1" x14ac:dyDescent="0.2">
      <c r="A77" s="283" t="s">
        <v>1067</v>
      </c>
      <c r="B77" s="283"/>
      <c r="C77" s="283"/>
      <c r="D77" s="2">
        <f>SUM(D72:D76)</f>
        <v>1107</v>
      </c>
      <c r="E77" s="2"/>
      <c r="F77" s="2"/>
      <c r="G77" s="2"/>
      <c r="H77" s="2"/>
      <c r="I77" s="2"/>
      <c r="J77" s="2"/>
      <c r="K77" s="2"/>
      <c r="L77" s="2">
        <f t="shared" si="3"/>
        <v>0</v>
      </c>
    </row>
    <row r="78" spans="1:12" x14ac:dyDescent="0.2">
      <c r="A78" s="283"/>
      <c r="B78" s="283"/>
      <c r="C78" s="283"/>
      <c r="D78" s="283"/>
      <c r="E78" s="2"/>
      <c r="F78" s="2"/>
      <c r="G78" s="2"/>
      <c r="H78" s="2"/>
      <c r="I78" s="2"/>
      <c r="J78" s="2"/>
      <c r="K78" s="2"/>
      <c r="L78" s="2">
        <f t="shared" si="3"/>
        <v>0</v>
      </c>
    </row>
    <row r="79" spans="1:12" ht="13.5" x14ac:dyDescent="0.25">
      <c r="A79" s="286" t="s">
        <v>1158</v>
      </c>
      <c r="B79" s="283"/>
      <c r="C79" s="283"/>
      <c r="D79" s="2"/>
      <c r="E79" s="2">
        <v>144</v>
      </c>
      <c r="F79" s="2">
        <v>181</v>
      </c>
      <c r="G79" s="2">
        <v>181</v>
      </c>
      <c r="H79" s="2">
        <v>181</v>
      </c>
      <c r="I79" s="2">
        <v>181</v>
      </c>
      <c r="J79" s="2">
        <v>181</v>
      </c>
      <c r="K79" s="2">
        <v>181</v>
      </c>
      <c r="L79" s="2">
        <f t="shared" si="3"/>
        <v>0</v>
      </c>
    </row>
    <row r="80" spans="1:12" hidden="1" x14ac:dyDescent="0.2">
      <c r="A80" s="12" t="s">
        <v>1264</v>
      </c>
      <c r="B80" s="2">
        <v>1</v>
      </c>
      <c r="C80" s="2">
        <v>20</v>
      </c>
      <c r="D80" s="2">
        <f>ROUND(B80*C80,0)</f>
        <v>20</v>
      </c>
      <c r="E80" s="2"/>
      <c r="F80" s="2"/>
      <c r="G80" s="2"/>
      <c r="H80" s="2"/>
      <c r="I80" s="2"/>
      <c r="J80" s="2"/>
    </row>
    <row r="81" spans="1:10" hidden="1" x14ac:dyDescent="0.2">
      <c r="A81" s="12" t="s">
        <v>683</v>
      </c>
      <c r="B81" s="2">
        <v>7</v>
      </c>
      <c r="C81" s="2">
        <v>20</v>
      </c>
      <c r="D81" s="2">
        <f>ROUND(B81*C81,0)</f>
        <v>140</v>
      </c>
      <c r="E81" s="2"/>
      <c r="F81" s="2"/>
      <c r="G81" s="2"/>
      <c r="H81" s="2"/>
      <c r="I81" s="2"/>
      <c r="J81" s="2"/>
    </row>
    <row r="82" spans="1:10" ht="15" hidden="1" x14ac:dyDescent="0.35">
      <c r="A82" s="12" t="s">
        <v>153</v>
      </c>
      <c r="B82" s="2">
        <f>+D29</f>
        <v>14840</v>
      </c>
      <c r="C82" s="13">
        <v>1.4E-3</v>
      </c>
      <c r="D82" s="10">
        <f>ROUND(B82*C82,0)</f>
        <v>21</v>
      </c>
      <c r="E82" s="2"/>
      <c r="F82" s="2"/>
      <c r="G82" s="2"/>
      <c r="H82" s="2"/>
      <c r="I82" s="2"/>
      <c r="J82" s="2"/>
    </row>
    <row r="83" spans="1:10" hidden="1" x14ac:dyDescent="0.2">
      <c r="A83" s="283" t="s">
        <v>1067</v>
      </c>
      <c r="B83" s="283"/>
      <c r="C83" s="283"/>
      <c r="D83" s="2">
        <f>SUM(D80:D82)</f>
        <v>181</v>
      </c>
      <c r="E83" s="2"/>
      <c r="F83" s="2"/>
      <c r="G83" s="2"/>
      <c r="H83" s="2"/>
      <c r="I83" s="2"/>
      <c r="J83" s="2"/>
    </row>
    <row r="84" spans="1:10" s="219" customFormat="1" x14ac:dyDescent="0.2">
      <c r="A84" s="283"/>
      <c r="B84" s="283"/>
      <c r="C84" s="283"/>
      <c r="D84" s="2"/>
      <c r="E84" s="2"/>
      <c r="F84" s="231"/>
      <c r="G84" s="229"/>
      <c r="H84" s="267"/>
      <c r="I84" s="316"/>
      <c r="J84" s="316"/>
    </row>
    <row r="85" spans="1:10" ht="13.5" x14ac:dyDescent="0.25">
      <c r="A85" s="286" t="s">
        <v>1159</v>
      </c>
      <c r="B85" s="283"/>
      <c r="C85" s="283"/>
      <c r="D85" s="2"/>
      <c r="E85" s="2">
        <v>3053</v>
      </c>
      <c r="F85" s="2">
        <v>4000</v>
      </c>
      <c r="G85" s="2">
        <v>4000</v>
      </c>
      <c r="H85" s="2">
        <v>4000</v>
      </c>
      <c r="I85" s="2">
        <v>4000</v>
      </c>
      <c r="J85" s="2">
        <v>4000</v>
      </c>
    </row>
    <row r="86" spans="1:10" ht="15" x14ac:dyDescent="0.35">
      <c r="A86" s="283" t="s">
        <v>664</v>
      </c>
      <c r="B86" s="283"/>
      <c r="C86" s="2"/>
      <c r="D86" s="10">
        <v>4000</v>
      </c>
      <c r="E86" s="2"/>
      <c r="F86" s="2"/>
      <c r="G86" s="2"/>
      <c r="H86" s="2"/>
      <c r="I86" s="2"/>
      <c r="J86" s="2"/>
    </row>
    <row r="87" spans="1:10" x14ac:dyDescent="0.2">
      <c r="A87" s="283"/>
      <c r="B87" s="283"/>
      <c r="C87" s="2"/>
      <c r="D87" s="2">
        <v>4000</v>
      </c>
      <c r="E87" s="2"/>
      <c r="F87" s="2"/>
      <c r="G87" s="2"/>
      <c r="H87" s="2"/>
      <c r="I87" s="2"/>
      <c r="J87" s="2"/>
    </row>
    <row r="88" spans="1:10" ht="13.5" x14ac:dyDescent="0.25">
      <c r="A88" s="286" t="s">
        <v>665</v>
      </c>
      <c r="B88" s="283"/>
      <c r="C88" s="2"/>
      <c r="D88" s="2"/>
      <c r="E88" s="2">
        <v>1440</v>
      </c>
      <c r="F88" s="2">
        <v>3500</v>
      </c>
      <c r="G88" s="2">
        <v>3500</v>
      </c>
      <c r="H88" s="2">
        <v>3500</v>
      </c>
      <c r="I88" s="2">
        <v>3500</v>
      </c>
      <c r="J88" s="2">
        <v>3500</v>
      </c>
    </row>
    <row r="89" spans="1:10" x14ac:dyDescent="0.2">
      <c r="A89" s="283" t="s">
        <v>1185</v>
      </c>
      <c r="B89" s="283"/>
      <c r="C89" s="2"/>
      <c r="D89" s="2">
        <v>3500</v>
      </c>
      <c r="E89" s="2"/>
      <c r="F89" s="2"/>
      <c r="G89" s="2"/>
      <c r="H89" s="2"/>
      <c r="I89" s="2"/>
      <c r="J89" s="2"/>
    </row>
    <row r="90" spans="1:10" x14ac:dyDescent="0.2">
      <c r="A90" s="283" t="s">
        <v>338</v>
      </c>
      <c r="B90" s="283"/>
      <c r="C90" s="2" t="s">
        <v>338</v>
      </c>
      <c r="D90" s="2" t="s">
        <v>338</v>
      </c>
      <c r="E90" s="2"/>
      <c r="F90" s="2"/>
      <c r="G90" s="2"/>
      <c r="H90" s="2"/>
      <c r="I90" s="2"/>
      <c r="J90" s="2"/>
    </row>
    <row r="91" spans="1:10" ht="13.5" x14ac:dyDescent="0.25">
      <c r="A91" s="286" t="s">
        <v>1186</v>
      </c>
      <c r="B91" s="283"/>
      <c r="C91" s="2" t="s">
        <v>338</v>
      </c>
      <c r="D91" s="2" t="s">
        <v>338</v>
      </c>
      <c r="E91" s="2">
        <v>3206</v>
      </c>
      <c r="F91" s="2">
        <v>3700</v>
      </c>
      <c r="G91" s="2">
        <v>3700</v>
      </c>
      <c r="H91" s="2">
        <v>3700</v>
      </c>
      <c r="I91" s="2">
        <v>3700</v>
      </c>
      <c r="J91" s="2">
        <v>3700</v>
      </c>
    </row>
    <row r="92" spans="1:10" x14ac:dyDescent="0.2">
      <c r="A92" s="283" t="s">
        <v>179</v>
      </c>
      <c r="B92" s="2">
        <v>8</v>
      </c>
      <c r="C92" s="2">
        <v>400</v>
      </c>
      <c r="D92" s="2">
        <f>ROUND(B92*C92,0)</f>
        <v>3200</v>
      </c>
      <c r="E92" s="2"/>
      <c r="F92" s="2"/>
      <c r="G92" s="2"/>
      <c r="H92" s="2"/>
      <c r="I92" s="2"/>
      <c r="J92" s="2"/>
    </row>
    <row r="93" spans="1:10" ht="15" x14ac:dyDescent="0.35">
      <c r="A93" s="283" t="s">
        <v>186</v>
      </c>
      <c r="B93" s="2">
        <v>1</v>
      </c>
      <c r="C93" s="10">
        <v>500</v>
      </c>
      <c r="D93" s="10">
        <f>ROUND(B93*C93,0)</f>
        <v>500</v>
      </c>
      <c r="E93" s="2"/>
      <c r="F93" s="2"/>
      <c r="G93" s="2"/>
      <c r="H93" s="2"/>
      <c r="I93" s="2"/>
      <c r="J93" s="2"/>
    </row>
    <row r="94" spans="1:10" x14ac:dyDescent="0.2">
      <c r="A94" s="283" t="s">
        <v>1067</v>
      </c>
      <c r="B94" s="283"/>
      <c r="C94" s="2">
        <f>SUM(C92:C93)</f>
        <v>900</v>
      </c>
      <c r="D94" s="2">
        <f>SUM(D92:D93)</f>
        <v>3700</v>
      </c>
      <c r="E94" s="2"/>
      <c r="F94" s="2"/>
      <c r="G94" s="2"/>
      <c r="H94" s="2"/>
      <c r="I94" s="2"/>
      <c r="J94" s="2"/>
    </row>
    <row r="95" spans="1:10" x14ac:dyDescent="0.2">
      <c r="A95" s="283"/>
      <c r="B95" s="283"/>
      <c r="C95" s="2"/>
      <c r="D95" s="2"/>
      <c r="E95" s="2"/>
      <c r="F95" s="2"/>
      <c r="G95" s="2"/>
      <c r="H95" s="2"/>
      <c r="I95" s="2"/>
      <c r="J95" s="2"/>
    </row>
    <row r="96" spans="1:10" ht="13.5" x14ac:dyDescent="0.25">
      <c r="A96" s="286" t="s">
        <v>187</v>
      </c>
      <c r="B96" s="283"/>
      <c r="C96" s="2"/>
      <c r="D96" s="2"/>
      <c r="E96" s="2">
        <v>201</v>
      </c>
      <c r="F96" s="2">
        <v>270</v>
      </c>
      <c r="G96" s="2">
        <v>270</v>
      </c>
      <c r="H96" s="2">
        <v>270</v>
      </c>
      <c r="I96" s="2">
        <v>270</v>
      </c>
      <c r="J96" s="2">
        <v>270</v>
      </c>
    </row>
    <row r="97" spans="1:10" x14ac:dyDescent="0.2">
      <c r="A97" s="283" t="s">
        <v>954</v>
      </c>
      <c r="B97" s="283"/>
      <c r="C97" s="2"/>
      <c r="D97" s="2">
        <v>270</v>
      </c>
      <c r="E97" s="2"/>
      <c r="F97" s="2"/>
      <c r="G97" s="2"/>
      <c r="H97" s="2"/>
      <c r="I97" s="2"/>
      <c r="J97" s="2"/>
    </row>
    <row r="98" spans="1:10" x14ac:dyDescent="0.2">
      <c r="A98" s="283"/>
      <c r="B98" s="283"/>
      <c r="C98" s="2"/>
      <c r="D98" s="2"/>
      <c r="E98" s="2"/>
      <c r="F98" s="2"/>
      <c r="G98" s="2"/>
      <c r="H98" s="2"/>
      <c r="I98" s="2"/>
      <c r="J98" s="2"/>
    </row>
    <row r="99" spans="1:10" ht="13.5" x14ac:dyDescent="0.25">
      <c r="A99" s="286" t="s">
        <v>700</v>
      </c>
      <c r="B99" s="283"/>
      <c r="C99" s="2"/>
      <c r="D99" s="2"/>
      <c r="E99" s="2">
        <v>45234</v>
      </c>
      <c r="F99" s="2">
        <v>42550</v>
      </c>
      <c r="G99" s="2">
        <v>58000</v>
      </c>
      <c r="H99" s="2">
        <v>58000</v>
      </c>
      <c r="I99" s="2">
        <v>58000</v>
      </c>
      <c r="J99" s="2">
        <v>58000</v>
      </c>
    </row>
    <row r="100" spans="1:10" x14ac:dyDescent="0.2">
      <c r="A100" s="283" t="s">
        <v>805</v>
      </c>
      <c r="B100" s="283"/>
      <c r="C100" s="283"/>
      <c r="D100" s="2">
        <v>11000</v>
      </c>
      <c r="E100" s="283"/>
      <c r="F100" s="2"/>
      <c r="G100" s="2"/>
      <c r="H100" s="2"/>
      <c r="I100" s="2"/>
      <c r="J100" s="2"/>
    </row>
    <row r="101" spans="1:10" x14ac:dyDescent="0.2">
      <c r="A101" s="283" t="s">
        <v>1681</v>
      </c>
      <c r="B101" s="283"/>
      <c r="C101" s="283"/>
      <c r="D101" s="2">
        <v>2000</v>
      </c>
      <c r="E101" s="283"/>
      <c r="F101" s="2"/>
      <c r="G101" s="2"/>
      <c r="H101" s="2"/>
      <c r="I101" s="2"/>
      <c r="J101" s="2"/>
    </row>
    <row r="102" spans="1:10" x14ac:dyDescent="0.2">
      <c r="A102" s="313" t="s">
        <v>2174</v>
      </c>
      <c r="B102" s="313"/>
      <c r="C102" s="2"/>
      <c r="D102" s="314">
        <v>6000</v>
      </c>
      <c r="E102" s="283"/>
      <c r="F102" s="2"/>
      <c r="G102" s="2"/>
      <c r="H102" s="2"/>
      <c r="I102" s="2"/>
      <c r="J102" s="2"/>
    </row>
    <row r="103" spans="1:10" x14ac:dyDescent="0.2">
      <c r="A103" s="283" t="s">
        <v>1683</v>
      </c>
      <c r="B103" s="283"/>
      <c r="C103" s="2"/>
      <c r="D103" s="2">
        <v>4500</v>
      </c>
      <c r="E103" s="283"/>
      <c r="F103" s="2"/>
      <c r="G103" s="2"/>
      <c r="H103" s="2"/>
      <c r="I103" s="2"/>
      <c r="J103" s="2"/>
    </row>
    <row r="104" spans="1:10" x14ac:dyDescent="0.2">
      <c r="A104" s="283" t="s">
        <v>1625</v>
      </c>
      <c r="B104" s="283"/>
      <c r="C104" s="2"/>
      <c r="D104" s="2">
        <v>1000</v>
      </c>
      <c r="E104" s="283"/>
      <c r="F104" s="2"/>
      <c r="G104" s="2"/>
      <c r="H104" s="2"/>
      <c r="I104" s="2"/>
      <c r="J104" s="2"/>
    </row>
    <row r="105" spans="1:10" x14ac:dyDescent="0.2">
      <c r="A105" s="283" t="s">
        <v>1754</v>
      </c>
      <c r="B105" s="283"/>
      <c r="C105" s="2"/>
      <c r="D105" s="2">
        <v>28000</v>
      </c>
      <c r="E105" s="283"/>
      <c r="F105" s="2"/>
      <c r="G105" s="2"/>
      <c r="H105" s="2"/>
      <c r="I105" s="2"/>
      <c r="J105" s="2"/>
    </row>
    <row r="106" spans="1:10" s="252" customFormat="1" x14ac:dyDescent="0.2">
      <c r="A106" s="283" t="s">
        <v>2048</v>
      </c>
      <c r="B106" s="283"/>
      <c r="C106" s="2"/>
      <c r="D106" s="2">
        <v>1000</v>
      </c>
      <c r="E106" s="283"/>
      <c r="F106" s="2"/>
      <c r="G106" s="2"/>
      <c r="H106" s="2"/>
      <c r="I106" s="2"/>
      <c r="J106" s="2"/>
    </row>
    <row r="107" spans="1:10" ht="15" x14ac:dyDescent="0.35">
      <c r="A107" s="283" t="s">
        <v>1961</v>
      </c>
      <c r="B107" s="283"/>
      <c r="C107" s="283"/>
      <c r="D107" s="10">
        <v>4500</v>
      </c>
      <c r="E107" s="283"/>
      <c r="F107" s="2"/>
      <c r="G107" s="2"/>
      <c r="H107" s="2"/>
      <c r="I107" s="2"/>
      <c r="J107" s="2"/>
    </row>
    <row r="108" spans="1:10" x14ac:dyDescent="0.2">
      <c r="A108" s="283" t="s">
        <v>1067</v>
      </c>
      <c r="B108" s="283"/>
      <c r="C108" s="2"/>
      <c r="D108" s="2">
        <f>SUM(D100:D107)</f>
        <v>58000</v>
      </c>
      <c r="E108" s="283"/>
      <c r="F108" s="2"/>
      <c r="G108" s="2"/>
      <c r="H108" s="2"/>
      <c r="I108" s="2"/>
      <c r="J108" s="2"/>
    </row>
    <row r="109" spans="1:10" x14ac:dyDescent="0.2">
      <c r="A109" s="283"/>
      <c r="B109" s="283"/>
      <c r="C109" s="2"/>
      <c r="D109" s="2"/>
      <c r="E109" s="283"/>
      <c r="F109" s="2"/>
      <c r="G109" s="2"/>
      <c r="H109" s="2"/>
      <c r="I109" s="2"/>
      <c r="J109" s="2"/>
    </row>
    <row r="110" spans="1:10" x14ac:dyDescent="0.2">
      <c r="A110" s="120" t="s">
        <v>2017</v>
      </c>
      <c r="B110" s="283"/>
      <c r="C110" s="2"/>
      <c r="D110" s="2"/>
      <c r="E110" s="2">
        <v>0</v>
      </c>
      <c r="F110" s="2">
        <v>648</v>
      </c>
      <c r="G110" s="2">
        <v>648</v>
      </c>
      <c r="H110" s="2">
        <v>648</v>
      </c>
      <c r="I110" s="2">
        <v>648</v>
      </c>
      <c r="J110" s="2">
        <v>648</v>
      </c>
    </row>
    <row r="111" spans="1:10" x14ac:dyDescent="0.2">
      <c r="A111" s="283" t="s">
        <v>2018</v>
      </c>
      <c r="B111" s="283">
        <v>9</v>
      </c>
      <c r="C111" s="2">
        <v>72</v>
      </c>
      <c r="D111" s="2">
        <f>+C111*B111</f>
        <v>648</v>
      </c>
      <c r="E111" s="283"/>
      <c r="F111" s="2"/>
      <c r="G111" s="2"/>
      <c r="H111" s="2"/>
      <c r="I111" s="2"/>
      <c r="J111" s="2"/>
    </row>
    <row r="112" spans="1:10" x14ac:dyDescent="0.2">
      <c r="A112" s="283"/>
      <c r="B112" s="283"/>
      <c r="C112" s="2"/>
      <c r="D112" s="2"/>
      <c r="E112" s="2"/>
      <c r="F112" s="2"/>
      <c r="G112" s="2"/>
      <c r="H112" s="2"/>
      <c r="I112" s="2"/>
      <c r="J112" s="2"/>
    </row>
    <row r="113" spans="1:10" ht="13.5" x14ac:dyDescent="0.25">
      <c r="A113" s="16" t="s">
        <v>42</v>
      </c>
      <c r="B113" s="283"/>
      <c r="C113" s="283"/>
      <c r="D113" s="2"/>
      <c r="E113" s="2">
        <v>4572</v>
      </c>
      <c r="F113" s="2">
        <v>5586</v>
      </c>
      <c r="G113" s="2">
        <v>5587</v>
      </c>
      <c r="H113" s="2">
        <v>5587</v>
      </c>
      <c r="I113" s="2">
        <v>5587</v>
      </c>
      <c r="J113" s="2">
        <v>5587</v>
      </c>
    </row>
    <row r="114" spans="1:10" x14ac:dyDescent="0.2">
      <c r="A114" s="283" t="s">
        <v>1268</v>
      </c>
      <c r="B114" s="283"/>
      <c r="C114" s="283"/>
      <c r="D114" s="2">
        <v>5587</v>
      </c>
      <c r="E114" s="2"/>
      <c r="F114" s="2"/>
      <c r="G114" s="2"/>
      <c r="H114" s="2"/>
      <c r="I114" s="2"/>
      <c r="J114" s="2"/>
    </row>
    <row r="115" spans="1:10" x14ac:dyDescent="0.2">
      <c r="A115" s="283"/>
      <c r="B115" s="283"/>
      <c r="C115" s="2"/>
      <c r="D115" s="2"/>
      <c r="E115" s="2"/>
      <c r="F115" s="2"/>
      <c r="G115" s="2"/>
      <c r="H115" s="2"/>
      <c r="I115" s="2"/>
      <c r="J115" s="2"/>
    </row>
    <row r="116" spans="1:10" ht="13.5" x14ac:dyDescent="0.25">
      <c r="A116" s="50" t="s">
        <v>1751</v>
      </c>
      <c r="B116" s="283"/>
      <c r="C116" s="2"/>
      <c r="D116" s="2"/>
      <c r="E116" s="2">
        <v>1400</v>
      </c>
      <c r="F116" s="2">
        <v>1000</v>
      </c>
      <c r="G116" s="2">
        <v>1000</v>
      </c>
      <c r="H116" s="2">
        <v>1000</v>
      </c>
      <c r="I116" s="2">
        <v>1000</v>
      </c>
      <c r="J116" s="2">
        <v>1000</v>
      </c>
    </row>
    <row r="117" spans="1:10" x14ac:dyDescent="0.2">
      <c r="A117" s="283" t="s">
        <v>1776</v>
      </c>
      <c r="B117" s="283"/>
      <c r="C117" s="2"/>
      <c r="D117" s="2">
        <v>1000</v>
      </c>
      <c r="E117" s="2"/>
      <c r="F117" s="2"/>
      <c r="G117" s="2"/>
      <c r="H117" s="2"/>
      <c r="I117" s="2"/>
      <c r="J117" s="2"/>
    </row>
    <row r="118" spans="1:10" s="229" customFormat="1" x14ac:dyDescent="0.2">
      <c r="A118" s="283"/>
      <c r="B118" s="283"/>
      <c r="C118" s="2"/>
      <c r="D118" s="2"/>
      <c r="E118" s="2"/>
      <c r="F118" s="2"/>
      <c r="G118" s="2"/>
      <c r="H118" s="2"/>
      <c r="I118" s="2"/>
      <c r="J118" s="2"/>
    </row>
    <row r="119" spans="1:10" ht="13.5" x14ac:dyDescent="0.25">
      <c r="A119" s="286" t="s">
        <v>6</v>
      </c>
      <c r="B119" s="283"/>
      <c r="C119" s="2"/>
      <c r="D119" s="7" t="s">
        <v>338</v>
      </c>
      <c r="E119" s="2">
        <v>37067</v>
      </c>
      <c r="F119" s="2">
        <v>7345</v>
      </c>
      <c r="G119" s="2">
        <v>43345</v>
      </c>
      <c r="H119" s="2">
        <v>43345</v>
      </c>
      <c r="I119" s="2">
        <v>43345</v>
      </c>
      <c r="J119" s="2">
        <v>43345</v>
      </c>
    </row>
    <row r="120" spans="1:10" x14ac:dyDescent="0.2">
      <c r="A120" s="283" t="s">
        <v>7</v>
      </c>
      <c r="B120" s="283"/>
      <c r="C120" s="2"/>
      <c r="D120" s="2">
        <v>2000</v>
      </c>
      <c r="E120" s="2"/>
      <c r="F120" s="2"/>
      <c r="G120" s="2"/>
      <c r="H120" s="2"/>
      <c r="I120" s="2"/>
      <c r="J120" s="2"/>
    </row>
    <row r="121" spans="1:10" x14ac:dyDescent="0.2">
      <c r="A121" s="283" t="s">
        <v>446</v>
      </c>
      <c r="B121" s="283"/>
      <c r="C121" s="2"/>
      <c r="D121" s="2">
        <v>350</v>
      </c>
      <c r="E121" s="2"/>
      <c r="F121" s="2"/>
      <c r="G121" s="2"/>
      <c r="H121" s="2"/>
      <c r="I121" s="2"/>
      <c r="J121" s="2"/>
    </row>
    <row r="122" spans="1:10" x14ac:dyDescent="0.2">
      <c r="A122" s="283" t="s">
        <v>8</v>
      </c>
      <c r="B122" s="283"/>
      <c r="C122" s="2"/>
      <c r="D122" s="2">
        <v>600</v>
      </c>
      <c r="E122" s="2"/>
      <c r="F122" s="2"/>
      <c r="G122" s="2"/>
      <c r="H122" s="2"/>
      <c r="I122" s="2"/>
      <c r="J122" s="2"/>
    </row>
    <row r="123" spans="1:10" x14ac:dyDescent="0.2">
      <c r="A123" s="283" t="s">
        <v>1450</v>
      </c>
      <c r="B123" s="283"/>
      <c r="C123" s="1"/>
      <c r="D123" s="2">
        <v>4000</v>
      </c>
      <c r="E123" s="1"/>
      <c r="F123" s="1"/>
      <c r="G123" s="1"/>
      <c r="H123" s="1"/>
      <c r="I123" s="1"/>
      <c r="J123" s="1"/>
    </row>
    <row r="124" spans="1:10" x14ac:dyDescent="0.2">
      <c r="A124" s="283" t="s">
        <v>2078</v>
      </c>
      <c r="B124" s="283"/>
      <c r="C124" s="1"/>
      <c r="D124" s="2">
        <v>34000</v>
      </c>
      <c r="E124" s="1"/>
      <c r="F124" s="1"/>
      <c r="G124" s="1"/>
      <c r="H124" s="1"/>
      <c r="I124" s="1"/>
      <c r="J124" s="1"/>
    </row>
    <row r="125" spans="1:10" x14ac:dyDescent="0.2">
      <c r="A125" s="283" t="s">
        <v>2079</v>
      </c>
      <c r="B125" s="283"/>
      <c r="C125" s="1"/>
      <c r="D125" s="2">
        <v>1000</v>
      </c>
      <c r="E125" s="1"/>
      <c r="F125" s="1"/>
      <c r="G125" s="1"/>
      <c r="H125" s="1"/>
      <c r="I125" s="1"/>
      <c r="J125" s="1"/>
    </row>
    <row r="126" spans="1:10" x14ac:dyDescent="0.2">
      <c r="A126" s="283" t="s">
        <v>1734</v>
      </c>
      <c r="B126" s="283"/>
      <c r="C126" s="1"/>
      <c r="D126" s="2">
        <v>0</v>
      </c>
      <c r="E126" s="1"/>
      <c r="F126" s="1"/>
      <c r="G126" s="1"/>
      <c r="H126" s="1"/>
      <c r="I126" s="1"/>
      <c r="J126" s="1"/>
    </row>
    <row r="127" spans="1:10" ht="15" x14ac:dyDescent="0.35">
      <c r="A127" s="283" t="s">
        <v>1520</v>
      </c>
      <c r="B127" s="283"/>
      <c r="C127" s="1"/>
      <c r="D127" s="2">
        <v>600</v>
      </c>
      <c r="E127" s="65"/>
      <c r="F127" s="1"/>
      <c r="G127" s="1"/>
      <c r="H127" s="1"/>
      <c r="I127" s="1"/>
      <c r="J127" s="1"/>
    </row>
    <row r="128" spans="1:10" ht="15" x14ac:dyDescent="0.35">
      <c r="A128" s="283" t="s">
        <v>1235</v>
      </c>
      <c r="B128" s="283"/>
      <c r="C128" s="65"/>
      <c r="D128" s="10">
        <v>795</v>
      </c>
      <c r="E128" s="2"/>
      <c r="F128" s="65"/>
      <c r="G128" s="65"/>
      <c r="H128" s="65"/>
      <c r="I128" s="65"/>
      <c r="J128" s="65"/>
    </row>
    <row r="129" spans="1:10" x14ac:dyDescent="0.2">
      <c r="A129" s="283" t="s">
        <v>1067</v>
      </c>
      <c r="B129" s="283"/>
      <c r="C129" s="2"/>
      <c r="D129" s="2">
        <f>SUM(D120:D128)</f>
        <v>43345</v>
      </c>
      <c r="E129" s="2"/>
      <c r="F129" s="2"/>
      <c r="G129" s="2"/>
      <c r="H129" s="2"/>
      <c r="I129" s="2"/>
      <c r="J129" s="2"/>
    </row>
    <row r="130" spans="1:10" x14ac:dyDescent="0.2">
      <c r="A130" s="283"/>
      <c r="B130" s="283"/>
      <c r="C130" s="2"/>
      <c r="D130" s="2"/>
      <c r="E130" s="283"/>
      <c r="F130" s="2"/>
      <c r="G130" s="2"/>
      <c r="H130" s="2"/>
      <c r="I130" s="2"/>
      <c r="J130" s="2"/>
    </row>
    <row r="131" spans="1:10" ht="13.5" x14ac:dyDescent="0.25">
      <c r="A131" s="286" t="s">
        <v>9</v>
      </c>
      <c r="B131" s="283"/>
      <c r="C131" s="2"/>
      <c r="D131" s="2"/>
      <c r="E131" s="2">
        <v>6553</v>
      </c>
      <c r="F131" s="2">
        <v>50370</v>
      </c>
      <c r="G131" s="2">
        <v>51758</v>
      </c>
      <c r="H131" s="2">
        <v>51758</v>
      </c>
      <c r="I131" s="2">
        <v>51758</v>
      </c>
      <c r="J131" s="2">
        <v>51758</v>
      </c>
    </row>
    <row r="132" spans="1:10" x14ac:dyDescent="0.2">
      <c r="A132" s="283" t="s">
        <v>876</v>
      </c>
      <c r="B132" s="283"/>
      <c r="C132" s="2"/>
      <c r="D132" s="2">
        <v>8000</v>
      </c>
      <c r="E132" s="2"/>
      <c r="F132" s="2"/>
      <c r="G132" s="2"/>
      <c r="H132" s="2"/>
      <c r="I132" s="2"/>
      <c r="J132" s="2"/>
    </row>
    <row r="133" spans="1:10" x14ac:dyDescent="0.2">
      <c r="A133" s="283" t="s">
        <v>2019</v>
      </c>
      <c r="B133" s="283"/>
      <c r="C133" s="2"/>
      <c r="D133" s="2">
        <v>8050</v>
      </c>
      <c r="E133" s="2"/>
      <c r="F133" s="2"/>
      <c r="G133" s="2"/>
      <c r="H133" s="2"/>
      <c r="I133" s="2"/>
      <c r="J133" s="2"/>
    </row>
    <row r="134" spans="1:10" s="208" customFormat="1" x14ac:dyDescent="0.2">
      <c r="A134" s="283" t="s">
        <v>2020</v>
      </c>
      <c r="B134" s="283"/>
      <c r="C134" s="2"/>
      <c r="D134" s="2">
        <v>2588</v>
      </c>
      <c r="E134" s="2"/>
      <c r="F134" s="2"/>
      <c r="G134" s="2"/>
      <c r="H134" s="2"/>
      <c r="I134" s="2"/>
      <c r="J134" s="2"/>
    </row>
    <row r="135" spans="1:10" ht="15" x14ac:dyDescent="0.35">
      <c r="A135" s="283" t="s">
        <v>2021</v>
      </c>
      <c r="B135" s="283">
        <v>138</v>
      </c>
      <c r="C135" s="2">
        <v>20</v>
      </c>
      <c r="D135" s="10">
        <v>33120</v>
      </c>
      <c r="E135" s="2"/>
      <c r="F135" s="2"/>
      <c r="G135" s="2"/>
      <c r="H135" s="2"/>
      <c r="I135" s="2"/>
      <c r="J135" s="2"/>
    </row>
    <row r="136" spans="1:10" x14ac:dyDescent="0.2">
      <c r="A136" s="283"/>
      <c r="B136" s="283"/>
      <c r="C136" s="2"/>
      <c r="D136" s="2">
        <f>SUM(D132:D135)</f>
        <v>51758</v>
      </c>
      <c r="E136" s="2"/>
      <c r="F136" s="2"/>
      <c r="G136" s="2"/>
      <c r="H136" s="2"/>
      <c r="I136" s="2"/>
      <c r="J136" s="2"/>
    </row>
    <row r="137" spans="1:10" s="192" customFormat="1" x14ac:dyDescent="0.2">
      <c r="A137" s="283"/>
      <c r="B137" s="283"/>
      <c r="C137" s="2"/>
      <c r="D137" s="283"/>
      <c r="E137" s="2"/>
      <c r="F137" s="2"/>
      <c r="G137" s="2"/>
      <c r="H137" s="2"/>
      <c r="I137" s="2"/>
      <c r="J137" s="2"/>
    </row>
    <row r="138" spans="1:10" ht="13.5" x14ac:dyDescent="0.25">
      <c r="A138" s="286" t="s">
        <v>1250</v>
      </c>
      <c r="B138" s="283"/>
      <c r="C138" s="2"/>
      <c r="D138" s="2"/>
      <c r="E138" s="2">
        <v>1576</v>
      </c>
      <c r="F138" s="2">
        <v>12000</v>
      </c>
      <c r="G138" s="2">
        <v>12000</v>
      </c>
      <c r="H138" s="2">
        <v>11000</v>
      </c>
      <c r="I138" s="2">
        <v>11000</v>
      </c>
      <c r="J138" s="2">
        <v>11000</v>
      </c>
    </row>
    <row r="139" spans="1:10" x14ac:dyDescent="0.2">
      <c r="A139" s="283" t="s">
        <v>1396</v>
      </c>
      <c r="B139" s="283"/>
      <c r="C139" s="2"/>
      <c r="D139" s="2">
        <v>9000</v>
      </c>
      <c r="E139" s="2"/>
      <c r="F139" s="2"/>
      <c r="G139" s="2"/>
      <c r="H139" s="2"/>
      <c r="I139" s="2"/>
      <c r="J139" s="2"/>
    </row>
    <row r="140" spans="1:10" x14ac:dyDescent="0.2">
      <c r="A140" s="283" t="s">
        <v>1496</v>
      </c>
      <c r="B140" s="283"/>
      <c r="C140" s="2"/>
      <c r="D140" s="2">
        <v>1000</v>
      </c>
      <c r="E140" s="2"/>
      <c r="F140" s="2"/>
      <c r="G140" s="2"/>
      <c r="H140" s="2"/>
      <c r="I140" s="2"/>
      <c r="J140" s="2"/>
    </row>
    <row r="141" spans="1:10" ht="15" x14ac:dyDescent="0.35">
      <c r="A141" s="283" t="s">
        <v>1019</v>
      </c>
      <c r="B141" s="283"/>
      <c r="C141" s="10"/>
      <c r="D141" s="10">
        <v>1000</v>
      </c>
      <c r="E141" s="2"/>
      <c r="F141" s="2"/>
      <c r="G141" s="2"/>
      <c r="H141" s="2"/>
      <c r="I141" s="2"/>
      <c r="J141" s="2"/>
    </row>
    <row r="142" spans="1:10" x14ac:dyDescent="0.2">
      <c r="A142" s="283" t="s">
        <v>1067</v>
      </c>
      <c r="B142" s="283"/>
      <c r="C142" s="2"/>
      <c r="D142" s="2">
        <f>SUM(D139:D141)</f>
        <v>11000</v>
      </c>
      <c r="E142" s="2"/>
      <c r="F142" s="2"/>
      <c r="G142" s="2"/>
      <c r="H142" s="2"/>
      <c r="I142" s="2"/>
      <c r="J142" s="2"/>
    </row>
    <row r="143" spans="1:10" x14ac:dyDescent="0.2">
      <c r="A143" s="283"/>
      <c r="B143" s="283"/>
      <c r="C143" s="2"/>
      <c r="D143" s="2"/>
      <c r="E143" s="283"/>
      <c r="F143" s="258"/>
      <c r="G143" s="258"/>
      <c r="H143" s="267"/>
      <c r="I143" s="316"/>
      <c r="J143" s="316"/>
    </row>
    <row r="144" spans="1:10" ht="13.5" x14ac:dyDescent="0.25">
      <c r="A144" s="286" t="s">
        <v>1777</v>
      </c>
      <c r="B144" s="283"/>
      <c r="C144" s="2"/>
      <c r="D144" s="2"/>
      <c r="E144" s="2">
        <v>30794</v>
      </c>
      <c r="F144" s="2">
        <v>6000</v>
      </c>
      <c r="G144" s="2">
        <v>6000</v>
      </c>
      <c r="H144" s="2">
        <v>6000</v>
      </c>
      <c r="I144" s="2">
        <v>6000</v>
      </c>
      <c r="J144" s="2">
        <v>6000</v>
      </c>
    </row>
    <row r="145" spans="1:11" x14ac:dyDescent="0.2">
      <c r="A145" s="22" t="s">
        <v>1778</v>
      </c>
      <c r="B145" s="283"/>
      <c r="C145" s="2"/>
      <c r="D145" s="2">
        <v>6000</v>
      </c>
      <c r="E145" s="283"/>
      <c r="F145" s="258"/>
      <c r="G145" s="258"/>
      <c r="H145" s="267"/>
      <c r="I145" s="316"/>
      <c r="J145" s="316"/>
    </row>
    <row r="146" spans="1:11" x14ac:dyDescent="0.2">
      <c r="A146" s="22"/>
      <c r="B146" s="258"/>
      <c r="C146" s="2"/>
      <c r="D146" s="2"/>
      <c r="E146" s="258"/>
      <c r="F146" s="258"/>
      <c r="G146" s="258"/>
      <c r="H146" s="267"/>
      <c r="I146" s="316"/>
      <c r="J146" s="316"/>
    </row>
    <row r="147" spans="1:11" s="225" customFormat="1" ht="13.5" x14ac:dyDescent="0.25">
      <c r="A147" s="260" t="s">
        <v>99</v>
      </c>
      <c r="B147" s="258"/>
      <c r="C147" s="2"/>
      <c r="D147" s="2"/>
      <c r="E147" s="2">
        <v>504423</v>
      </c>
      <c r="F147" s="2">
        <v>763764</v>
      </c>
      <c r="G147" s="2">
        <v>1000</v>
      </c>
      <c r="H147" s="2">
        <v>1000</v>
      </c>
      <c r="I147" s="2">
        <v>1000</v>
      </c>
      <c r="J147" s="2">
        <v>1000</v>
      </c>
    </row>
    <row r="148" spans="1:11" s="225" customFormat="1" x14ac:dyDescent="0.2">
      <c r="A148" s="22" t="s">
        <v>1470</v>
      </c>
      <c r="B148" s="258"/>
      <c r="C148" s="2"/>
      <c r="D148" s="2">
        <v>1000</v>
      </c>
      <c r="E148" s="258"/>
      <c r="F148" s="2"/>
      <c r="G148" s="2"/>
      <c r="H148" s="2"/>
      <c r="I148" s="2"/>
      <c r="J148" s="2"/>
    </row>
    <row r="149" spans="1:11" s="228" customFormat="1" ht="15" x14ac:dyDescent="0.35">
      <c r="A149" s="22"/>
      <c r="B149" s="258"/>
      <c r="C149" s="2"/>
      <c r="D149" s="10"/>
      <c r="E149" s="258"/>
      <c r="F149" s="2"/>
      <c r="G149" s="2"/>
      <c r="H149" s="2"/>
      <c r="I149" s="2"/>
      <c r="J149" s="2"/>
    </row>
    <row r="150" spans="1:11" ht="11.65" customHeight="1" x14ac:dyDescent="0.25">
      <c r="A150" s="260" t="s">
        <v>1222</v>
      </c>
      <c r="B150" s="2"/>
      <c r="C150" s="258"/>
      <c r="D150" s="2"/>
      <c r="E150" s="258"/>
      <c r="F150" s="2"/>
      <c r="G150" s="2"/>
      <c r="H150" s="2"/>
      <c r="I150" s="2"/>
      <c r="J150" s="2"/>
    </row>
    <row r="151" spans="1:11" ht="15" x14ac:dyDescent="0.35">
      <c r="A151" s="258" t="s">
        <v>476</v>
      </c>
      <c r="B151" s="2"/>
      <c r="C151" s="2">
        <v>100000</v>
      </c>
      <c r="D151" s="2"/>
      <c r="E151" s="10">
        <v>100000</v>
      </c>
      <c r="F151" s="10">
        <v>100000</v>
      </c>
      <c r="G151" s="10">
        <v>100000</v>
      </c>
      <c r="H151" s="10">
        <v>100000</v>
      </c>
      <c r="I151" s="10">
        <v>100000</v>
      </c>
      <c r="J151" s="10">
        <v>100000</v>
      </c>
    </row>
    <row r="152" spans="1:11" s="258" customFormat="1" x14ac:dyDescent="0.2">
      <c r="B152" s="2"/>
      <c r="C152" s="2"/>
      <c r="D152" s="2"/>
      <c r="E152" s="2"/>
      <c r="F152" s="2"/>
      <c r="G152" s="2"/>
      <c r="H152" s="2"/>
      <c r="I152" s="2"/>
      <c r="J152" s="2"/>
    </row>
    <row r="153" spans="1:11" x14ac:dyDescent="0.2">
      <c r="A153" s="229" t="s">
        <v>1144</v>
      </c>
      <c r="B153" s="229"/>
      <c r="C153" s="2"/>
      <c r="D153" s="2"/>
      <c r="E153" s="2">
        <f t="shared" ref="E153:J153" si="4">SUM(E6:E151)</f>
        <v>1473154</v>
      </c>
      <c r="F153" s="2">
        <f t="shared" si="4"/>
        <v>1847778</v>
      </c>
      <c r="G153" s="2">
        <f t="shared" si="4"/>
        <v>1188885</v>
      </c>
      <c r="H153" s="2">
        <f t="shared" si="4"/>
        <v>1187872</v>
      </c>
      <c r="I153" s="2">
        <f t="shared" si="4"/>
        <v>1187872</v>
      </c>
      <c r="J153" s="2">
        <f t="shared" si="4"/>
        <v>1195274</v>
      </c>
    </row>
    <row r="154" spans="1:11" x14ac:dyDescent="0.2">
      <c r="A154" s="229"/>
      <c r="B154" s="229"/>
      <c r="C154" s="229"/>
      <c r="D154" s="229"/>
      <c r="E154" s="229"/>
      <c r="F154" s="229"/>
      <c r="G154" s="229"/>
      <c r="H154" s="267"/>
      <c r="I154" s="229"/>
      <c r="J154" s="229"/>
    </row>
    <row r="155" spans="1:11" x14ac:dyDescent="0.2">
      <c r="A155" s="229" t="s">
        <v>511</v>
      </c>
      <c r="B155" s="229"/>
      <c r="C155" s="229"/>
      <c r="D155" s="229"/>
      <c r="E155" s="2">
        <f>SUM(E6:E79)</f>
        <v>733635</v>
      </c>
      <c r="F155" s="2">
        <f>SUM(F6:F79)</f>
        <v>847045</v>
      </c>
      <c r="G155" s="2">
        <f>SUM(G6:G84)</f>
        <v>898077</v>
      </c>
      <c r="H155" s="2">
        <f>SUM(H6:H84)</f>
        <v>898064</v>
      </c>
      <c r="I155" s="2">
        <f>SUM(I6:I84)</f>
        <v>898064</v>
      </c>
      <c r="J155" s="2">
        <f>SUM(J6:J84)</f>
        <v>905466</v>
      </c>
      <c r="K155" s="2">
        <f>+H155-F155</f>
        <v>51019</v>
      </c>
    </row>
    <row r="156" spans="1:11" x14ac:dyDescent="0.2">
      <c r="A156" s="229" t="s">
        <v>803</v>
      </c>
      <c r="B156" s="229"/>
      <c r="C156" s="229"/>
      <c r="D156" s="229"/>
      <c r="E156" s="2">
        <f t="shared" ref="E156:J156" si="5">SUM(E85:E139)</f>
        <v>104302</v>
      </c>
      <c r="F156" s="2">
        <f t="shared" si="5"/>
        <v>130969</v>
      </c>
      <c r="G156" s="2">
        <f t="shared" si="5"/>
        <v>183808</v>
      </c>
      <c r="H156" s="2">
        <f t="shared" si="5"/>
        <v>182808</v>
      </c>
      <c r="I156" s="2">
        <f t="shared" si="5"/>
        <v>182808</v>
      </c>
      <c r="J156" s="2">
        <f t="shared" si="5"/>
        <v>182808</v>
      </c>
      <c r="K156" s="2">
        <f>+H156-F156</f>
        <v>51839</v>
      </c>
    </row>
    <row r="157" spans="1:11" ht="15" x14ac:dyDescent="0.35">
      <c r="A157" s="229" t="s">
        <v>804</v>
      </c>
      <c r="B157" s="229"/>
      <c r="C157" s="229"/>
      <c r="D157" s="229"/>
      <c r="E157" s="10">
        <f>SUM(E142:E151)</f>
        <v>635217</v>
      </c>
      <c r="F157" s="10">
        <f>SUM(F142:F151)</f>
        <v>869764</v>
      </c>
      <c r="G157" s="10">
        <f>SUM(G142:G151)</f>
        <v>107000</v>
      </c>
      <c r="H157" s="10">
        <f>SUM(H142:H151)</f>
        <v>107000</v>
      </c>
      <c r="I157" s="10">
        <f>SUM(I142:I151)</f>
        <v>107000</v>
      </c>
      <c r="J157" s="10">
        <f>SUM(J143:J151)</f>
        <v>107000</v>
      </c>
      <c r="K157" s="2">
        <f>+H157-F157</f>
        <v>-762764</v>
      </c>
    </row>
    <row r="158" spans="1:11" x14ac:dyDescent="0.2">
      <c r="A158" s="183" t="s">
        <v>1067</v>
      </c>
      <c r="E158" s="2">
        <f t="shared" ref="E158:J158" si="6">SUM(E155:E157)</f>
        <v>1473154</v>
      </c>
      <c r="F158" s="2">
        <f t="shared" si="6"/>
        <v>1847778</v>
      </c>
      <c r="G158" s="2">
        <f t="shared" si="6"/>
        <v>1188885</v>
      </c>
      <c r="H158" s="2">
        <f t="shared" ref="H158" si="7">SUM(H155:H157)</f>
        <v>1187872</v>
      </c>
      <c r="I158" s="2">
        <f>SUM(I155:I157)</f>
        <v>1187872</v>
      </c>
      <c r="J158" s="2">
        <f t="shared" si="6"/>
        <v>1195274</v>
      </c>
    </row>
    <row r="159" spans="1:11" x14ac:dyDescent="0.2">
      <c r="G159" s="107"/>
      <c r="H159" s="107"/>
      <c r="I159" s="107"/>
      <c r="J159" s="107"/>
    </row>
    <row r="160" spans="1:11" x14ac:dyDescent="0.2">
      <c r="G160" s="107"/>
      <c r="H160" s="107"/>
      <c r="I160" s="107"/>
      <c r="J160" s="133">
        <f>+J158-I158</f>
        <v>7402</v>
      </c>
    </row>
    <row r="161" spans="7:10" x14ac:dyDescent="0.2">
      <c r="G161" s="107"/>
      <c r="H161" s="107"/>
      <c r="I161" s="133">
        <f>+I158-H158</f>
        <v>0</v>
      </c>
      <c r="J161" s="107"/>
    </row>
    <row r="162" spans="7:10" x14ac:dyDescent="0.2">
      <c r="G162" s="107"/>
      <c r="H162" s="107"/>
      <c r="I162" s="107"/>
      <c r="J162" s="107"/>
    </row>
    <row r="163" spans="7:10" x14ac:dyDescent="0.2">
      <c r="G163" s="107"/>
      <c r="H163" s="107"/>
      <c r="I163" s="107"/>
      <c r="J163" s="107"/>
    </row>
    <row r="164" spans="7:10" x14ac:dyDescent="0.2">
      <c r="G164" s="107"/>
      <c r="H164" s="107"/>
      <c r="I164" s="107"/>
      <c r="J164" s="107"/>
    </row>
    <row r="165" spans="7:10" x14ac:dyDescent="0.2">
      <c r="G165" s="107"/>
      <c r="H165" s="107"/>
      <c r="I165" s="107"/>
      <c r="J165" s="107"/>
    </row>
    <row r="166" spans="7:10" x14ac:dyDescent="0.2">
      <c r="G166" s="107"/>
      <c r="H166" s="107"/>
      <c r="I166" s="107"/>
      <c r="J166" s="107"/>
    </row>
    <row r="167" spans="7:10" x14ac:dyDescent="0.2">
      <c r="G167" s="107"/>
      <c r="H167" s="107"/>
      <c r="I167" s="107"/>
      <c r="J167" s="107"/>
    </row>
    <row r="168" spans="7:10" x14ac:dyDescent="0.2">
      <c r="G168" s="107"/>
      <c r="H168" s="107"/>
      <c r="I168" s="107"/>
      <c r="J168" s="107"/>
    </row>
    <row r="169" spans="7:10" x14ac:dyDescent="0.2">
      <c r="G169" s="107"/>
      <c r="H169" s="107"/>
      <c r="I169" s="107"/>
      <c r="J169" s="107"/>
    </row>
    <row r="170" spans="7:10" x14ac:dyDescent="0.2">
      <c r="G170" s="107"/>
      <c r="H170" s="107"/>
      <c r="I170" s="107"/>
      <c r="J170" s="107"/>
    </row>
    <row r="171" spans="7:10" x14ac:dyDescent="0.2">
      <c r="G171" s="107"/>
      <c r="H171" s="107"/>
      <c r="I171" s="107"/>
      <c r="J171" s="107"/>
    </row>
    <row r="172" spans="7:10" x14ac:dyDescent="0.2">
      <c r="G172" s="107"/>
      <c r="H172" s="107"/>
      <c r="I172" s="107"/>
      <c r="J172" s="107"/>
    </row>
    <row r="173" spans="7:10" x14ac:dyDescent="0.2">
      <c r="G173" s="107"/>
      <c r="H173" s="107"/>
      <c r="I173" s="107"/>
      <c r="J173" s="107"/>
    </row>
    <row r="174" spans="7:10" x14ac:dyDescent="0.2">
      <c r="G174" s="107"/>
      <c r="H174" s="107"/>
      <c r="I174" s="107"/>
      <c r="J174" s="107"/>
    </row>
    <row r="175" spans="7:10" x14ac:dyDescent="0.2">
      <c r="G175" s="107"/>
      <c r="H175" s="107"/>
      <c r="I175" s="107"/>
      <c r="J175" s="107"/>
    </row>
    <row r="176" spans="7:10" x14ac:dyDescent="0.2">
      <c r="G176" s="107"/>
      <c r="H176" s="107"/>
      <c r="I176" s="107"/>
      <c r="J176" s="107"/>
    </row>
    <row r="177" spans="7:10" x14ac:dyDescent="0.2">
      <c r="G177" s="107"/>
      <c r="H177" s="107"/>
      <c r="I177" s="107"/>
      <c r="J177" s="107"/>
    </row>
    <row r="178" spans="7:10" x14ac:dyDescent="0.2">
      <c r="G178" s="107"/>
      <c r="H178" s="107"/>
      <c r="I178" s="107"/>
      <c r="J178" s="107"/>
    </row>
    <row r="179" spans="7:10" x14ac:dyDescent="0.2">
      <c r="G179" s="107"/>
      <c r="H179" s="107"/>
      <c r="I179" s="107"/>
      <c r="J179" s="107"/>
    </row>
    <row r="180" spans="7:10" x14ac:dyDescent="0.2">
      <c r="G180" s="107"/>
      <c r="H180" s="107"/>
      <c r="I180" s="107"/>
      <c r="J180" s="107"/>
    </row>
    <row r="181" spans="7:10" x14ac:dyDescent="0.2">
      <c r="G181" s="107"/>
      <c r="H181" s="107"/>
      <c r="I181" s="107"/>
      <c r="J181" s="107"/>
    </row>
    <row r="182" spans="7:10" x14ac:dyDescent="0.2">
      <c r="G182" s="107"/>
      <c r="H182" s="107"/>
      <c r="I182" s="107"/>
      <c r="J182" s="107"/>
    </row>
    <row r="183" spans="7:10" x14ac:dyDescent="0.2">
      <c r="G183" s="107"/>
      <c r="H183" s="107"/>
      <c r="I183" s="107"/>
      <c r="J183" s="107"/>
    </row>
    <row r="184" spans="7:10" x14ac:dyDescent="0.2">
      <c r="G184" s="107"/>
      <c r="H184" s="107"/>
      <c r="I184" s="107"/>
      <c r="J184" s="107"/>
    </row>
    <row r="185" spans="7:10" x14ac:dyDescent="0.2">
      <c r="G185" s="107"/>
      <c r="H185" s="107"/>
      <c r="I185" s="107"/>
      <c r="J185" s="107"/>
    </row>
    <row r="186" spans="7:10" x14ac:dyDescent="0.2">
      <c r="G186" s="107"/>
      <c r="H186" s="107"/>
      <c r="I186" s="107"/>
      <c r="J186" s="107"/>
    </row>
    <row r="187" spans="7:10" x14ac:dyDescent="0.2">
      <c r="G187" s="107"/>
      <c r="H187" s="107"/>
      <c r="I187" s="107"/>
      <c r="J187" s="107"/>
    </row>
    <row r="188" spans="7:10" x14ac:dyDescent="0.2">
      <c r="G188" s="107"/>
      <c r="H188" s="107"/>
      <c r="I188" s="107"/>
      <c r="J188" s="107"/>
    </row>
    <row r="189" spans="7:10" x14ac:dyDescent="0.2">
      <c r="G189" s="107"/>
      <c r="H189" s="107"/>
      <c r="I189" s="107"/>
    </row>
    <row r="190" spans="7:10" x14ac:dyDescent="0.2">
      <c r="G190" s="107"/>
      <c r="H190" s="107"/>
      <c r="I190" s="107"/>
    </row>
    <row r="191" spans="7:10" x14ac:dyDescent="0.2">
      <c r="G191" s="107"/>
      <c r="H191" s="107"/>
      <c r="I191" s="107"/>
    </row>
    <row r="192" spans="7:10" x14ac:dyDescent="0.2">
      <c r="G192" s="107"/>
      <c r="H192" s="107"/>
      <c r="I192" s="107"/>
    </row>
    <row r="193" spans="9:9" x14ac:dyDescent="0.2">
      <c r="I193" s="227"/>
    </row>
    <row r="194" spans="9:9" x14ac:dyDescent="0.2">
      <c r="I194" s="227"/>
    </row>
    <row r="195" spans="9:9" x14ac:dyDescent="0.2">
      <c r="I195" s="227"/>
    </row>
    <row r="196" spans="9:9" x14ac:dyDescent="0.2">
      <c r="I196" s="227"/>
    </row>
    <row r="197" spans="9:9" x14ac:dyDescent="0.2">
      <c r="I197" s="227"/>
    </row>
    <row r="198" spans="9:9" x14ac:dyDescent="0.2">
      <c r="I198" s="227"/>
    </row>
    <row r="199" spans="9:9" x14ac:dyDescent="0.2">
      <c r="I199" s="227"/>
    </row>
    <row r="200" spans="9:9" x14ac:dyDescent="0.2">
      <c r="I200" s="227"/>
    </row>
    <row r="201" spans="9:9" x14ac:dyDescent="0.2">
      <c r="I201" s="227"/>
    </row>
    <row r="202" spans="9:9" x14ac:dyDescent="0.2">
      <c r="I202" s="227"/>
    </row>
    <row r="203" spans="9:9" x14ac:dyDescent="0.2">
      <c r="I203" s="227"/>
    </row>
    <row r="204" spans="9:9" x14ac:dyDescent="0.2">
      <c r="I204" s="227"/>
    </row>
    <row r="205" spans="9:9" x14ac:dyDescent="0.2">
      <c r="I205" s="227"/>
    </row>
    <row r="206" spans="9:9" x14ac:dyDescent="0.2">
      <c r="I206" s="227"/>
    </row>
    <row r="207" spans="9:9" x14ac:dyDescent="0.2">
      <c r="I207" s="227"/>
    </row>
    <row r="208" spans="9:9" x14ac:dyDescent="0.2">
      <c r="I208" s="227"/>
    </row>
    <row r="209" spans="9:9" x14ac:dyDescent="0.2">
      <c r="I209" s="227"/>
    </row>
    <row r="210" spans="9:9" x14ac:dyDescent="0.2">
      <c r="I210" s="227"/>
    </row>
    <row r="211" spans="9:9" x14ac:dyDescent="0.2">
      <c r="I211" s="227"/>
    </row>
    <row r="212" spans="9:9" x14ac:dyDescent="0.2">
      <c r="I212" s="227"/>
    </row>
    <row r="213" spans="9:9" x14ac:dyDescent="0.2">
      <c r="I213" s="227"/>
    </row>
    <row r="214" spans="9:9" x14ac:dyDescent="0.2">
      <c r="I214" s="227"/>
    </row>
    <row r="215" spans="9:9" x14ac:dyDescent="0.2">
      <c r="I215" s="227"/>
    </row>
    <row r="216" spans="9:9" x14ac:dyDescent="0.2">
      <c r="I216" s="227"/>
    </row>
    <row r="217" spans="9:9" x14ac:dyDescent="0.2">
      <c r="I217" s="227"/>
    </row>
    <row r="218" spans="9:9" x14ac:dyDescent="0.2">
      <c r="I218" s="227"/>
    </row>
    <row r="219" spans="9:9" x14ac:dyDescent="0.2">
      <c r="I219" s="227"/>
    </row>
    <row r="220" spans="9:9" x14ac:dyDescent="0.2">
      <c r="I220" s="227"/>
    </row>
    <row r="221" spans="9:9" x14ac:dyDescent="0.2">
      <c r="I221" s="227"/>
    </row>
    <row r="222" spans="9:9" x14ac:dyDescent="0.2">
      <c r="I222" s="227"/>
    </row>
    <row r="223" spans="9:9" x14ac:dyDescent="0.2">
      <c r="I223" s="227"/>
    </row>
    <row r="224" spans="9:9" x14ac:dyDescent="0.2">
      <c r="I224" s="227"/>
    </row>
    <row r="225" spans="9:9" x14ac:dyDescent="0.2">
      <c r="I225" s="227"/>
    </row>
    <row r="226" spans="9:9" x14ac:dyDescent="0.2">
      <c r="I226" s="227"/>
    </row>
    <row r="227" spans="9:9" x14ac:dyDescent="0.2">
      <c r="I227" s="227"/>
    </row>
    <row r="228" spans="9:9" x14ac:dyDescent="0.2">
      <c r="I228" s="227"/>
    </row>
    <row r="229" spans="9:9" x14ac:dyDescent="0.2">
      <c r="I229" s="227"/>
    </row>
    <row r="230" spans="9:9" x14ac:dyDescent="0.2">
      <c r="I230" s="227"/>
    </row>
    <row r="231" spans="9:9" x14ac:dyDescent="0.2">
      <c r="I231" s="227"/>
    </row>
    <row r="232" spans="9:9" x14ac:dyDescent="0.2">
      <c r="I232" s="227"/>
    </row>
    <row r="233" spans="9:9" x14ac:dyDescent="0.2">
      <c r="I233" s="227"/>
    </row>
    <row r="234" spans="9:9" x14ac:dyDescent="0.2">
      <c r="I234" s="227"/>
    </row>
    <row r="235" spans="9:9" x14ac:dyDescent="0.2">
      <c r="I235" s="227"/>
    </row>
    <row r="236" spans="9:9" x14ac:dyDescent="0.2">
      <c r="I236" s="227"/>
    </row>
    <row r="237" spans="9:9" x14ac:dyDescent="0.2">
      <c r="I237" s="227"/>
    </row>
    <row r="238" spans="9:9" x14ac:dyDescent="0.2">
      <c r="I238" s="227"/>
    </row>
    <row r="239" spans="9:9" x14ac:dyDescent="0.2">
      <c r="I239" s="227"/>
    </row>
    <row r="240" spans="9:9" x14ac:dyDescent="0.2">
      <c r="I240" s="227"/>
    </row>
    <row r="241" spans="9:9" x14ac:dyDescent="0.2">
      <c r="I241" s="227"/>
    </row>
    <row r="242" spans="9:9" x14ac:dyDescent="0.2">
      <c r="I242" s="227"/>
    </row>
    <row r="243" spans="9:9" x14ac:dyDescent="0.2">
      <c r="I243" s="227"/>
    </row>
    <row r="244" spans="9:9" x14ac:dyDescent="0.2">
      <c r="I244" s="227"/>
    </row>
    <row r="245" spans="9:9" x14ac:dyDescent="0.2">
      <c r="I245" s="227"/>
    </row>
    <row r="246" spans="9:9" x14ac:dyDescent="0.2">
      <c r="I246" s="227"/>
    </row>
    <row r="247" spans="9:9" x14ac:dyDescent="0.2">
      <c r="I247" s="227"/>
    </row>
    <row r="248" spans="9:9" x14ac:dyDescent="0.2">
      <c r="I248" s="227"/>
    </row>
    <row r="249" spans="9:9" x14ac:dyDescent="0.2">
      <c r="I249" s="227"/>
    </row>
    <row r="250" spans="9:9" x14ac:dyDescent="0.2">
      <c r="I250" s="227"/>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1" manualBreakCount="1">
    <brk id="117" max="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234"/>
  <sheetViews>
    <sheetView view="pageBreakPreview" zoomScaleNormal="100" zoomScaleSheetLayoutView="100" workbookViewId="0">
      <pane ySplit="5" topLeftCell="A96" activePane="bottomLeft" state="frozen"/>
      <selection activeCell="D43" sqref="D43"/>
      <selection pane="bottomLeft" sqref="A1:J1"/>
    </sheetView>
  </sheetViews>
  <sheetFormatPr defaultColWidth="8.85546875" defaultRowHeight="12.75" customHeight="1" x14ac:dyDescent="0.2"/>
  <cols>
    <col min="1" max="1" width="44.42578125" style="183" customWidth="1"/>
    <col min="2" max="2" width="9.5703125" style="183" bestFit="1" customWidth="1"/>
    <col min="3" max="3" width="10.140625" style="183" customWidth="1"/>
    <col min="4" max="4" width="12" style="183" customWidth="1"/>
    <col min="5" max="6" width="9.140625" style="183" bestFit="1" customWidth="1"/>
    <col min="7" max="7" width="11" style="2" bestFit="1" customWidth="1"/>
    <col min="8" max="8" width="14.140625" style="2" bestFit="1" customWidth="1"/>
    <col min="9" max="10" width="9.5703125" style="183" customWidth="1"/>
    <col min="11" max="16384" width="8.85546875" style="183"/>
  </cols>
  <sheetData>
    <row r="1" spans="1:10" x14ac:dyDescent="0.2">
      <c r="A1" s="319" t="s">
        <v>2038</v>
      </c>
      <c r="B1" s="320"/>
      <c r="C1" s="320"/>
      <c r="D1" s="320"/>
      <c r="E1" s="320"/>
      <c r="F1" s="320"/>
      <c r="G1" s="320"/>
      <c r="H1" s="320"/>
      <c r="I1" s="320"/>
      <c r="J1" s="320"/>
    </row>
    <row r="2" spans="1:10" ht="18.75" x14ac:dyDescent="0.3">
      <c r="A2" s="95" t="s">
        <v>1565</v>
      </c>
      <c r="B2" s="95"/>
      <c r="C2" s="95"/>
      <c r="D2" s="95"/>
      <c r="E2" s="95"/>
      <c r="F2" s="95"/>
    </row>
    <row r="3" spans="1:10" x14ac:dyDescent="0.2">
      <c r="B3" s="2"/>
      <c r="C3" s="2"/>
      <c r="D3" s="2"/>
      <c r="E3" s="2"/>
      <c r="F3" s="2"/>
    </row>
    <row r="4" spans="1:10" x14ac:dyDescent="0.2">
      <c r="B4" s="2"/>
      <c r="C4" s="2"/>
      <c r="D4" s="2"/>
      <c r="E4" s="15" t="s">
        <v>199</v>
      </c>
      <c r="F4" s="15" t="s">
        <v>200</v>
      </c>
      <c r="G4" s="15" t="s">
        <v>60</v>
      </c>
      <c r="H4" s="15" t="s">
        <v>351</v>
      </c>
      <c r="I4" s="15" t="s">
        <v>264</v>
      </c>
      <c r="J4" s="15" t="s">
        <v>295</v>
      </c>
    </row>
    <row r="5" spans="1:10" ht="15" x14ac:dyDescent="0.35">
      <c r="B5" s="2"/>
      <c r="C5" s="2"/>
      <c r="D5" s="2"/>
      <c r="E5" s="232" t="s">
        <v>1825</v>
      </c>
      <c r="F5" s="232" t="s">
        <v>1947</v>
      </c>
      <c r="G5" s="232" t="s">
        <v>2039</v>
      </c>
      <c r="H5" s="232" t="s">
        <v>2039</v>
      </c>
      <c r="I5" s="232" t="s">
        <v>2039</v>
      </c>
      <c r="J5" s="232" t="s">
        <v>2039</v>
      </c>
    </row>
    <row r="6" spans="1:10" ht="13.5" x14ac:dyDescent="0.25">
      <c r="A6" s="230" t="s">
        <v>976</v>
      </c>
      <c r="B6" s="2"/>
      <c r="C6" s="11"/>
      <c r="D6" s="2"/>
      <c r="E6" s="2">
        <v>45050</v>
      </c>
      <c r="F6" s="53">
        <v>45292</v>
      </c>
      <c r="G6" s="53">
        <v>45323</v>
      </c>
      <c r="H6" s="53">
        <v>45323</v>
      </c>
      <c r="I6" s="53">
        <v>46904</v>
      </c>
      <c r="J6" s="53">
        <v>46904</v>
      </c>
    </row>
    <row r="7" spans="1:10" ht="15" x14ac:dyDescent="0.35">
      <c r="A7" s="229" t="s">
        <v>112</v>
      </c>
      <c r="B7" s="2">
        <v>52</v>
      </c>
      <c r="C7" s="2">
        <v>902</v>
      </c>
      <c r="D7" s="10">
        <f>ROUND(B7*C7,0)</f>
        <v>46904</v>
      </c>
      <c r="E7" s="2"/>
      <c r="F7" s="2"/>
      <c r="I7" s="2"/>
      <c r="J7" s="2"/>
    </row>
    <row r="8" spans="1:10" x14ac:dyDescent="0.2">
      <c r="A8" s="229" t="s">
        <v>1067</v>
      </c>
      <c r="B8" s="2"/>
      <c r="C8" s="2"/>
      <c r="D8" s="2">
        <f>SUM(D7:D7)</f>
        <v>46904</v>
      </c>
      <c r="E8" s="2"/>
      <c r="F8" s="2"/>
      <c r="I8" s="2"/>
      <c r="J8" s="2"/>
    </row>
    <row r="9" spans="1:10" x14ac:dyDescent="0.2">
      <c r="A9" s="229"/>
      <c r="B9" s="2"/>
      <c r="C9" s="2"/>
      <c r="D9" s="2"/>
      <c r="E9" s="2"/>
      <c r="F9" s="2"/>
      <c r="I9" s="2"/>
      <c r="J9" s="2"/>
    </row>
    <row r="10" spans="1:10" ht="13.5" x14ac:dyDescent="0.25">
      <c r="A10" s="230" t="s">
        <v>977</v>
      </c>
      <c r="B10" s="2"/>
      <c r="C10" s="2"/>
      <c r="D10" s="2"/>
      <c r="E10" s="2">
        <v>81531</v>
      </c>
      <c r="F10" s="2">
        <v>82831</v>
      </c>
      <c r="G10" s="2">
        <v>82862</v>
      </c>
      <c r="H10" s="2">
        <v>82862</v>
      </c>
      <c r="I10" s="2">
        <v>85576</v>
      </c>
      <c r="J10" s="2">
        <v>85576</v>
      </c>
    </row>
    <row r="11" spans="1:10" x14ac:dyDescent="0.2">
      <c r="A11" s="229" t="s">
        <v>333</v>
      </c>
      <c r="B11" s="2">
        <v>52</v>
      </c>
      <c r="C11" s="2">
        <v>1637</v>
      </c>
      <c r="D11" s="2">
        <f>ROUND(B11*C11,0)</f>
        <v>85124</v>
      </c>
      <c r="E11" s="2"/>
      <c r="F11" s="2"/>
      <c r="I11" s="2"/>
      <c r="J11" s="2"/>
    </row>
    <row r="12" spans="1:10" ht="15" x14ac:dyDescent="0.35">
      <c r="A12" s="229" t="s">
        <v>818</v>
      </c>
      <c r="B12" s="2"/>
      <c r="C12" s="2"/>
      <c r="D12" s="10">
        <v>452</v>
      </c>
      <c r="E12" s="2"/>
      <c r="F12" s="61"/>
      <c r="G12" s="61"/>
      <c r="H12" s="61"/>
      <c r="I12" s="61"/>
      <c r="J12" s="61"/>
    </row>
    <row r="13" spans="1:10" x14ac:dyDescent="0.2">
      <c r="A13" s="229" t="s">
        <v>1067</v>
      </c>
      <c r="B13" s="2"/>
      <c r="C13" s="2"/>
      <c r="D13" s="2">
        <f>SUM(D11:D12)</f>
        <v>85576</v>
      </c>
      <c r="E13" s="2"/>
      <c r="F13" s="2"/>
      <c r="I13" s="2"/>
      <c r="J13" s="2"/>
    </row>
    <row r="14" spans="1:10" x14ac:dyDescent="0.2">
      <c r="A14" s="229"/>
      <c r="B14" s="2"/>
      <c r="C14" s="2"/>
      <c r="D14" s="2"/>
      <c r="E14" s="2"/>
      <c r="F14" s="2"/>
      <c r="I14" s="2"/>
      <c r="J14" s="2"/>
    </row>
    <row r="15" spans="1:10" ht="13.5" x14ac:dyDescent="0.25">
      <c r="A15" s="230" t="s">
        <v>978</v>
      </c>
      <c r="B15" s="2"/>
      <c r="C15" s="2"/>
      <c r="D15" s="2"/>
      <c r="E15" s="2">
        <v>134830</v>
      </c>
      <c r="F15" s="2">
        <v>134212</v>
      </c>
      <c r="G15" s="2">
        <v>134264</v>
      </c>
      <c r="H15" s="2">
        <v>134264</v>
      </c>
      <c r="I15" s="2">
        <v>138996</v>
      </c>
      <c r="J15" s="2">
        <v>138996</v>
      </c>
    </row>
    <row r="16" spans="1:10" x14ac:dyDescent="0.2">
      <c r="A16" s="229" t="s">
        <v>537</v>
      </c>
      <c r="B16" s="2">
        <v>52</v>
      </c>
      <c r="C16" s="2">
        <v>1295</v>
      </c>
      <c r="D16" s="2">
        <f>ROUND(B16*C16,0)</f>
        <v>67340</v>
      </c>
      <c r="E16" s="2"/>
      <c r="F16" s="2"/>
      <c r="I16" s="2"/>
      <c r="J16" s="2"/>
    </row>
    <row r="17" spans="1:11" x14ac:dyDescent="0.2">
      <c r="A17" s="229" t="s">
        <v>527</v>
      </c>
      <c r="B17" s="2">
        <v>52</v>
      </c>
      <c r="C17" s="2">
        <v>1378</v>
      </c>
      <c r="D17" s="2">
        <f>ROUND(B17*C17,0)</f>
        <v>71656</v>
      </c>
      <c r="E17" s="2"/>
      <c r="F17" s="2"/>
      <c r="I17" s="2"/>
      <c r="J17" s="2"/>
    </row>
    <row r="18" spans="1:11" ht="15" x14ac:dyDescent="0.35">
      <c r="A18" s="229" t="s">
        <v>818</v>
      </c>
      <c r="B18" s="2">
        <v>0</v>
      </c>
      <c r="C18" s="2">
        <v>0</v>
      </c>
      <c r="D18" s="10">
        <f>ROUND(B18*C18,0)</f>
        <v>0</v>
      </c>
      <c r="E18" s="2"/>
      <c r="F18" s="53"/>
      <c r="G18" s="53"/>
      <c r="H18" s="53"/>
      <c r="I18" s="53"/>
      <c r="J18" s="53"/>
    </row>
    <row r="19" spans="1:11" x14ac:dyDescent="0.2">
      <c r="A19" s="229" t="s">
        <v>1067</v>
      </c>
      <c r="B19" s="2"/>
      <c r="C19" s="2"/>
      <c r="D19" s="2">
        <f>SUM(D16:D18)</f>
        <v>138996</v>
      </c>
      <c r="E19" s="2"/>
      <c r="F19" s="2"/>
      <c r="I19" s="2"/>
      <c r="J19" s="2"/>
    </row>
    <row r="20" spans="1:11" x14ac:dyDescent="0.2">
      <c r="A20" s="229"/>
      <c r="B20" s="229"/>
      <c r="C20" s="283"/>
      <c r="D20" s="2"/>
      <c r="E20" s="2"/>
      <c r="F20" s="2"/>
      <c r="I20" s="2"/>
      <c r="J20" s="2"/>
    </row>
    <row r="21" spans="1:11" ht="13.5" x14ac:dyDescent="0.25">
      <c r="A21" s="230" t="s">
        <v>979</v>
      </c>
      <c r="B21" s="229"/>
      <c r="C21" s="283"/>
      <c r="D21" s="2"/>
      <c r="E21" s="2">
        <v>55489</v>
      </c>
      <c r="F21" s="2">
        <v>38771</v>
      </c>
      <c r="G21" s="2">
        <v>38785</v>
      </c>
      <c r="H21" s="2">
        <v>38785</v>
      </c>
      <c r="I21" s="2">
        <v>39790</v>
      </c>
      <c r="J21" s="2">
        <v>39790</v>
      </c>
      <c r="K21" s="2">
        <f>+I21-H21</f>
        <v>1005</v>
      </c>
    </row>
    <row r="22" spans="1:11" s="226" customFormat="1" x14ac:dyDescent="0.2">
      <c r="A22" s="22" t="s">
        <v>2025</v>
      </c>
      <c r="B22" s="229"/>
      <c r="C22" s="283"/>
      <c r="D22" s="2">
        <v>10000</v>
      </c>
      <c r="E22" s="2"/>
      <c r="F22" s="2"/>
      <c r="G22" s="2"/>
      <c r="H22" s="2"/>
      <c r="I22" s="2"/>
      <c r="J22" s="2"/>
      <c r="K22" s="2">
        <f t="shared" ref="K22:K62" si="0">+I22-H22</f>
        <v>0</v>
      </c>
    </row>
    <row r="23" spans="1:11" ht="15" x14ac:dyDescent="0.35">
      <c r="A23" s="229" t="s">
        <v>2171</v>
      </c>
      <c r="B23" s="2">
        <v>1456</v>
      </c>
      <c r="C23" s="11">
        <v>20.46</v>
      </c>
      <c r="D23" s="10">
        <f>ROUND(B23*C23,0)</f>
        <v>29790</v>
      </c>
      <c r="E23" s="2"/>
      <c r="F23" s="53"/>
      <c r="G23" s="53"/>
      <c r="H23" s="53"/>
      <c r="I23" s="53"/>
      <c r="J23" s="53"/>
      <c r="K23" s="2">
        <f t="shared" si="0"/>
        <v>0</v>
      </c>
    </row>
    <row r="24" spans="1:11" x14ac:dyDescent="0.2">
      <c r="A24" s="229" t="s">
        <v>1067</v>
      </c>
      <c r="B24" s="2"/>
      <c r="C24" s="11"/>
      <c r="D24" s="2">
        <f>SUM(D22:D23)</f>
        <v>39790</v>
      </c>
      <c r="E24" s="2"/>
      <c r="F24" s="2"/>
      <c r="I24" s="2"/>
      <c r="J24" s="2"/>
      <c r="K24" s="2">
        <f t="shared" si="0"/>
        <v>0</v>
      </c>
    </row>
    <row r="25" spans="1:11" x14ac:dyDescent="0.2">
      <c r="A25" s="229"/>
      <c r="B25" s="229"/>
      <c r="C25" s="229"/>
      <c r="D25" s="2"/>
      <c r="E25" s="2"/>
      <c r="F25" s="2"/>
      <c r="I25" s="2"/>
      <c r="J25" s="2"/>
      <c r="K25" s="2">
        <f t="shared" si="0"/>
        <v>0</v>
      </c>
    </row>
    <row r="26" spans="1:11" ht="13.5" x14ac:dyDescent="0.25">
      <c r="A26" s="44" t="s">
        <v>82</v>
      </c>
      <c r="B26" s="2"/>
      <c r="C26" s="11"/>
      <c r="D26" s="2"/>
      <c r="E26" s="2">
        <v>2859</v>
      </c>
      <c r="F26" s="2">
        <v>5751</v>
      </c>
      <c r="G26" s="2">
        <v>5754</v>
      </c>
      <c r="H26" s="2">
        <v>5754</v>
      </c>
      <c r="I26" s="2">
        <v>5956</v>
      </c>
      <c r="J26" s="2">
        <v>5956</v>
      </c>
      <c r="K26" s="2">
        <f t="shared" si="0"/>
        <v>202</v>
      </c>
    </row>
    <row r="27" spans="1:11" x14ac:dyDescent="0.2">
      <c r="A27" s="43" t="s">
        <v>1451</v>
      </c>
      <c r="B27" s="2">
        <v>102</v>
      </c>
      <c r="C27" s="11">
        <f>+C7/40*1.5</f>
        <v>33.825000000000003</v>
      </c>
      <c r="D27" s="2">
        <f>C27*B27</f>
        <v>3450.15</v>
      </c>
      <c r="E27" s="2"/>
      <c r="F27" s="2"/>
      <c r="I27" s="2"/>
      <c r="J27" s="2"/>
      <c r="K27" s="2">
        <f t="shared" si="0"/>
        <v>0</v>
      </c>
    </row>
    <row r="28" spans="1:11" ht="15" x14ac:dyDescent="0.35">
      <c r="A28" s="43" t="s">
        <v>2026</v>
      </c>
      <c r="B28" s="2">
        <v>50</v>
      </c>
      <c r="C28" s="11">
        <f>(+C16+C17)/40/2*1.5</f>
        <v>50.118750000000006</v>
      </c>
      <c r="D28" s="10">
        <f>C28*B28</f>
        <v>2505.9375000000005</v>
      </c>
      <c r="E28" s="2"/>
      <c r="F28" s="2"/>
      <c r="I28" s="2"/>
      <c r="J28" s="2"/>
      <c r="K28" s="2">
        <f t="shared" si="0"/>
        <v>0</v>
      </c>
    </row>
    <row r="29" spans="1:11" x14ac:dyDescent="0.2">
      <c r="A29" s="229" t="s">
        <v>1067</v>
      </c>
      <c r="B29" s="2"/>
      <c r="C29" s="11"/>
      <c r="D29" s="2">
        <f>SUM(D27:D28)</f>
        <v>5956.0875000000005</v>
      </c>
      <c r="E29" s="2"/>
      <c r="F29" s="2"/>
      <c r="I29" s="2"/>
      <c r="J29" s="2"/>
      <c r="K29" s="2">
        <f t="shared" si="0"/>
        <v>0</v>
      </c>
    </row>
    <row r="30" spans="1:11" x14ac:dyDescent="0.2">
      <c r="A30" s="15"/>
      <c r="B30" s="2"/>
      <c r="C30" s="11"/>
      <c r="D30" s="2"/>
      <c r="E30" s="2"/>
      <c r="F30" s="2"/>
      <c r="I30" s="2"/>
      <c r="J30" s="2"/>
      <c r="K30" s="2">
        <f t="shared" si="0"/>
        <v>0</v>
      </c>
    </row>
    <row r="31" spans="1:11" ht="13.5" x14ac:dyDescent="0.25">
      <c r="A31" s="230" t="s">
        <v>980</v>
      </c>
      <c r="B31" s="62"/>
      <c r="C31" s="229"/>
      <c r="D31" s="2"/>
      <c r="E31" s="2">
        <v>26509</v>
      </c>
      <c r="F31" s="2">
        <v>22710</v>
      </c>
      <c r="G31" s="2">
        <v>22718</v>
      </c>
      <c r="H31" s="2">
        <v>22718</v>
      </c>
      <c r="I31" s="2">
        <v>23425</v>
      </c>
      <c r="J31" s="2">
        <v>23425</v>
      </c>
      <c r="K31" s="2">
        <f t="shared" si="0"/>
        <v>707</v>
      </c>
    </row>
    <row r="32" spans="1:11" hidden="1" x14ac:dyDescent="0.2">
      <c r="A32" s="12" t="s">
        <v>1068</v>
      </c>
      <c r="B32" s="2">
        <f>D8</f>
        <v>46904</v>
      </c>
      <c r="C32" s="13">
        <v>7.6499999999999999E-2</v>
      </c>
      <c r="D32" s="2">
        <f>ROUND(B32*C32,0)</f>
        <v>3588</v>
      </c>
      <c r="E32" s="2"/>
      <c r="F32" s="2"/>
      <c r="I32" s="2"/>
      <c r="J32" s="2"/>
      <c r="K32" s="2">
        <f t="shared" si="0"/>
        <v>0</v>
      </c>
    </row>
    <row r="33" spans="1:11" hidden="1" x14ac:dyDescent="0.2">
      <c r="A33" s="12" t="s">
        <v>1069</v>
      </c>
      <c r="B33" s="2">
        <f>+D13</f>
        <v>85576</v>
      </c>
      <c r="C33" s="13">
        <v>7.6499999999999999E-2</v>
      </c>
      <c r="D33" s="2">
        <f>ROUND(B33*C33,0)</f>
        <v>6547</v>
      </c>
      <c r="E33" s="2"/>
      <c r="F33" s="2"/>
      <c r="I33" s="2"/>
      <c r="J33" s="2"/>
      <c r="K33" s="2">
        <f t="shared" si="0"/>
        <v>0</v>
      </c>
    </row>
    <row r="34" spans="1:11" hidden="1" x14ac:dyDescent="0.2">
      <c r="A34" s="12" t="s">
        <v>1070</v>
      </c>
      <c r="B34" s="2">
        <f>+D19</f>
        <v>138996</v>
      </c>
      <c r="C34" s="13">
        <v>7.6499999999999999E-2</v>
      </c>
      <c r="D34" s="2">
        <f>ROUND(B34*C34,0)</f>
        <v>10633</v>
      </c>
      <c r="E34" s="2"/>
      <c r="F34" s="2"/>
      <c r="I34" s="2"/>
      <c r="J34" s="2"/>
      <c r="K34" s="2">
        <f t="shared" si="0"/>
        <v>0</v>
      </c>
    </row>
    <row r="35" spans="1:11" hidden="1" x14ac:dyDescent="0.2">
      <c r="A35" s="12" t="s">
        <v>1071</v>
      </c>
      <c r="B35" s="2">
        <v>28771</v>
      </c>
      <c r="C35" s="13">
        <v>7.6499999999999999E-2</v>
      </c>
      <c r="D35" s="2">
        <f>ROUND(B35*C35,0)</f>
        <v>2201</v>
      </c>
      <c r="E35" s="2"/>
      <c r="F35" s="2"/>
      <c r="I35" s="2"/>
      <c r="J35" s="2"/>
      <c r="K35" s="2">
        <f t="shared" si="0"/>
        <v>0</v>
      </c>
    </row>
    <row r="36" spans="1:11" ht="15" hidden="1" x14ac:dyDescent="0.35">
      <c r="A36" s="12" t="s">
        <v>1200</v>
      </c>
      <c r="B36" s="2">
        <f>+D29</f>
        <v>5956.0875000000005</v>
      </c>
      <c r="C36" s="13">
        <v>7.6499999999999999E-2</v>
      </c>
      <c r="D36" s="10">
        <f>ROUND(B36*C36,0)</f>
        <v>456</v>
      </c>
      <c r="E36" s="2"/>
      <c r="F36" s="2"/>
      <c r="I36" s="2"/>
      <c r="J36" s="2"/>
      <c r="K36" s="2">
        <f t="shared" si="0"/>
        <v>0</v>
      </c>
    </row>
    <row r="37" spans="1:11" hidden="1" x14ac:dyDescent="0.2">
      <c r="A37" s="229" t="s">
        <v>1067</v>
      </c>
      <c r="B37" s="2"/>
      <c r="C37" s="13"/>
      <c r="D37" s="2">
        <f>SUM(D32:D36)</f>
        <v>23425</v>
      </c>
      <c r="E37" s="2"/>
      <c r="F37" s="2"/>
      <c r="I37" s="2"/>
      <c r="J37" s="2"/>
      <c r="K37" s="2">
        <f t="shared" si="0"/>
        <v>0</v>
      </c>
    </row>
    <row r="38" spans="1:11" x14ac:dyDescent="0.2">
      <c r="A38" s="229"/>
      <c r="B38" s="229"/>
      <c r="C38" s="229"/>
      <c r="D38" s="2"/>
      <c r="E38" s="2"/>
      <c r="F38" s="2"/>
      <c r="I38" s="2"/>
      <c r="J38" s="2"/>
      <c r="K38" s="2">
        <f t="shared" si="0"/>
        <v>0</v>
      </c>
    </row>
    <row r="39" spans="1:11" ht="13.5" x14ac:dyDescent="0.25">
      <c r="A39" s="14" t="s">
        <v>981</v>
      </c>
      <c r="B39" s="229"/>
      <c r="C39" s="229"/>
      <c r="D39" s="2"/>
      <c r="E39" s="2">
        <v>37157</v>
      </c>
      <c r="F39" s="2">
        <v>37693</v>
      </c>
      <c r="G39" s="2">
        <v>36288</v>
      </c>
      <c r="H39" s="2">
        <v>36288</v>
      </c>
      <c r="I39" s="2">
        <v>37536</v>
      </c>
      <c r="J39" s="2">
        <v>37536</v>
      </c>
      <c r="K39" s="2">
        <f t="shared" si="0"/>
        <v>1248</v>
      </c>
    </row>
    <row r="40" spans="1:11" hidden="1" x14ac:dyDescent="0.2">
      <c r="A40" s="12" t="s">
        <v>1068</v>
      </c>
      <c r="B40" s="2">
        <f>D8</f>
        <v>46904</v>
      </c>
      <c r="C40" s="299">
        <v>0.1353</v>
      </c>
      <c r="D40" s="2">
        <f>ROUND(B40*C40,0)</f>
        <v>6346</v>
      </c>
      <c r="E40" s="2"/>
      <c r="F40" s="2"/>
      <c r="I40" s="2"/>
      <c r="J40" s="2"/>
      <c r="K40" s="2">
        <f t="shared" si="0"/>
        <v>0</v>
      </c>
    </row>
    <row r="41" spans="1:11" hidden="1" x14ac:dyDescent="0.2">
      <c r="A41" s="12" t="s">
        <v>1069</v>
      </c>
      <c r="B41" s="2">
        <f>+D13</f>
        <v>85576</v>
      </c>
      <c r="C41" s="299">
        <v>0.1353</v>
      </c>
      <c r="D41" s="2">
        <f>ROUND(B41*C41,0)</f>
        <v>11578</v>
      </c>
      <c r="E41" s="2"/>
      <c r="F41" s="2"/>
      <c r="I41" s="2"/>
      <c r="J41" s="2"/>
      <c r="K41" s="2">
        <f t="shared" si="0"/>
        <v>0</v>
      </c>
    </row>
    <row r="42" spans="1:11" hidden="1" x14ac:dyDescent="0.2">
      <c r="A42" s="12" t="s">
        <v>1070</v>
      </c>
      <c r="B42" s="2">
        <f>+D19</f>
        <v>138996</v>
      </c>
      <c r="C42" s="299">
        <v>0.1353</v>
      </c>
      <c r="D42" s="2">
        <f>ROUND(B42*C42,0)</f>
        <v>18806</v>
      </c>
      <c r="E42" s="2"/>
      <c r="F42" s="2"/>
      <c r="I42" s="2"/>
      <c r="J42" s="2"/>
      <c r="K42" s="2">
        <f t="shared" si="0"/>
        <v>0</v>
      </c>
    </row>
    <row r="43" spans="1:11" ht="15" hidden="1" x14ac:dyDescent="0.35">
      <c r="A43" s="12" t="s">
        <v>1452</v>
      </c>
      <c r="B43" s="2">
        <f>+D29</f>
        <v>5956.0875000000005</v>
      </c>
      <c r="C43" s="299">
        <v>0.1353</v>
      </c>
      <c r="D43" s="10">
        <f>ROUND(B43*C43,0)</f>
        <v>806</v>
      </c>
      <c r="E43" s="2"/>
      <c r="F43" s="53"/>
      <c r="G43" s="53"/>
      <c r="H43" s="53"/>
      <c r="I43" s="53"/>
      <c r="J43" s="53"/>
      <c r="K43" s="2">
        <f t="shared" si="0"/>
        <v>0</v>
      </c>
    </row>
    <row r="44" spans="1:11" hidden="1" x14ac:dyDescent="0.2">
      <c r="A44" s="283" t="s">
        <v>1067</v>
      </c>
      <c r="B44" s="283"/>
      <c r="C44" s="283"/>
      <c r="D44" s="2">
        <f>SUM(D40:D43)</f>
        <v>37536</v>
      </c>
      <c r="E44" s="2"/>
      <c r="F44" s="53"/>
      <c r="G44" s="53"/>
      <c r="H44" s="53"/>
      <c r="I44" s="53"/>
      <c r="J44" s="53"/>
      <c r="K44" s="2">
        <f t="shared" si="0"/>
        <v>0</v>
      </c>
    </row>
    <row r="45" spans="1:11" x14ac:dyDescent="0.2">
      <c r="A45" s="283"/>
      <c r="B45" s="283"/>
      <c r="C45" s="283"/>
      <c r="D45" s="2"/>
      <c r="E45" s="2"/>
      <c r="F45" s="2"/>
      <c r="I45" s="2"/>
      <c r="J45" s="2"/>
      <c r="K45" s="2">
        <f t="shared" si="0"/>
        <v>0</v>
      </c>
    </row>
    <row r="46" spans="1:11" ht="13.5" x14ac:dyDescent="0.25">
      <c r="A46" s="286" t="s">
        <v>982</v>
      </c>
      <c r="B46" s="283"/>
      <c r="C46" s="283"/>
      <c r="D46" s="2"/>
      <c r="E46" s="2">
        <v>75637</v>
      </c>
      <c r="F46" s="2">
        <v>76000</v>
      </c>
      <c r="G46" s="2">
        <v>81000</v>
      </c>
      <c r="H46" s="2">
        <v>81000</v>
      </c>
      <c r="I46" s="2">
        <v>81000</v>
      </c>
      <c r="J46" s="2">
        <v>81000</v>
      </c>
      <c r="K46" s="2">
        <f t="shared" si="0"/>
        <v>0</v>
      </c>
    </row>
    <row r="47" spans="1:11" hidden="1" x14ac:dyDescent="0.2">
      <c r="A47" s="283" t="s">
        <v>191</v>
      </c>
      <c r="B47" s="2">
        <v>4</v>
      </c>
      <c r="C47" s="2">
        <v>20250</v>
      </c>
      <c r="D47" s="2">
        <f>ROUND(B47*C47,0)</f>
        <v>81000</v>
      </c>
      <c r="E47" s="2"/>
      <c r="F47" s="2"/>
      <c r="I47" s="2"/>
      <c r="J47" s="2"/>
      <c r="K47" s="2">
        <f t="shared" si="0"/>
        <v>0</v>
      </c>
    </row>
    <row r="48" spans="1:11" x14ac:dyDescent="0.2">
      <c r="A48" s="283"/>
      <c r="B48" s="283"/>
      <c r="C48" s="283"/>
      <c r="D48" s="2"/>
      <c r="E48" s="2"/>
      <c r="F48" s="2"/>
      <c r="I48" s="2"/>
      <c r="J48" s="2"/>
      <c r="K48" s="2">
        <f t="shared" si="0"/>
        <v>0</v>
      </c>
    </row>
    <row r="49" spans="1:11" ht="13.5" x14ac:dyDescent="0.25">
      <c r="A49" s="286" t="s">
        <v>983</v>
      </c>
      <c r="B49" s="283"/>
      <c r="C49" s="283"/>
      <c r="D49" s="2"/>
      <c r="E49" s="2">
        <v>2902</v>
      </c>
      <c r="F49" s="53">
        <v>4950</v>
      </c>
      <c r="G49" s="53">
        <v>4950</v>
      </c>
      <c r="H49" s="53">
        <v>4950</v>
      </c>
      <c r="I49" s="53">
        <v>4950</v>
      </c>
      <c r="J49" s="53">
        <v>4950</v>
      </c>
      <c r="K49" s="2">
        <f t="shared" si="0"/>
        <v>0</v>
      </c>
    </row>
    <row r="50" spans="1:11" hidden="1" x14ac:dyDescent="0.2">
      <c r="A50" s="283" t="s">
        <v>358</v>
      </c>
      <c r="B50" s="2">
        <v>4</v>
      </c>
      <c r="C50" s="2">
        <v>1375</v>
      </c>
      <c r="D50" s="2">
        <f>ROUND(B50*C50,0)</f>
        <v>5500</v>
      </c>
      <c r="E50" s="2"/>
      <c r="F50" s="2"/>
      <c r="I50" s="2"/>
      <c r="J50" s="2"/>
      <c r="K50" s="2">
        <f t="shared" si="0"/>
        <v>0</v>
      </c>
    </row>
    <row r="51" spans="1:11" ht="15" hidden="1" x14ac:dyDescent="0.35">
      <c r="A51" s="283" t="s">
        <v>193</v>
      </c>
      <c r="B51" s="2"/>
      <c r="C51" s="2"/>
      <c r="D51" s="10">
        <f>-C50*B50*0.1</f>
        <v>-550</v>
      </c>
      <c r="E51" s="2"/>
      <c r="F51" s="2"/>
      <c r="I51" s="2"/>
      <c r="J51" s="2"/>
      <c r="K51" s="2">
        <f t="shared" si="0"/>
        <v>0</v>
      </c>
    </row>
    <row r="52" spans="1:11" hidden="1" x14ac:dyDescent="0.2">
      <c r="A52" s="283" t="s">
        <v>678</v>
      </c>
      <c r="B52" s="2"/>
      <c r="C52" s="2"/>
      <c r="D52" s="2">
        <f>SUM(D50:D51)</f>
        <v>4950</v>
      </c>
      <c r="E52" s="2"/>
      <c r="F52" s="2"/>
      <c r="I52" s="2"/>
      <c r="J52" s="2"/>
      <c r="K52" s="2">
        <f t="shared" si="0"/>
        <v>0</v>
      </c>
    </row>
    <row r="53" spans="1:11" x14ac:dyDescent="0.2">
      <c r="A53" s="283"/>
      <c r="B53" s="283"/>
      <c r="C53" s="283"/>
      <c r="D53" s="2"/>
      <c r="E53" s="2"/>
      <c r="F53" s="2"/>
      <c r="I53" s="2"/>
      <c r="J53" s="2"/>
      <c r="K53" s="2">
        <f t="shared" si="0"/>
        <v>0</v>
      </c>
    </row>
    <row r="54" spans="1:11" ht="13.5" x14ac:dyDescent="0.25">
      <c r="A54" s="286" t="s">
        <v>984</v>
      </c>
      <c r="B54" s="283"/>
      <c r="C54" s="283"/>
      <c r="D54" s="2"/>
      <c r="E54" s="2">
        <v>562</v>
      </c>
      <c r="F54" s="2">
        <v>540</v>
      </c>
      <c r="G54" s="2">
        <v>580</v>
      </c>
      <c r="H54" s="2">
        <v>580</v>
      </c>
      <c r="I54" s="2">
        <v>580</v>
      </c>
      <c r="J54" s="2">
        <v>580</v>
      </c>
      <c r="K54" s="2">
        <f t="shared" si="0"/>
        <v>0</v>
      </c>
    </row>
    <row r="55" spans="1:11" hidden="1" x14ac:dyDescent="0.2">
      <c r="A55" s="283" t="s">
        <v>358</v>
      </c>
      <c r="B55" s="2">
        <v>4</v>
      </c>
      <c r="C55" s="2">
        <v>145</v>
      </c>
      <c r="D55" s="2">
        <f>ROUND(B55*C55,0)</f>
        <v>580</v>
      </c>
      <c r="E55" s="2"/>
      <c r="F55" s="2"/>
      <c r="I55" s="2"/>
      <c r="J55" s="2"/>
      <c r="K55" s="2">
        <f t="shared" si="0"/>
        <v>0</v>
      </c>
    </row>
    <row r="56" spans="1:11" x14ac:dyDescent="0.2">
      <c r="A56" s="283"/>
      <c r="B56" s="283"/>
      <c r="C56" s="283"/>
      <c r="D56" s="2"/>
      <c r="E56" s="2"/>
      <c r="F56" s="2"/>
      <c r="I56" s="2"/>
      <c r="J56" s="2"/>
      <c r="K56" s="2">
        <f t="shared" si="0"/>
        <v>0</v>
      </c>
    </row>
    <row r="57" spans="1:11" ht="13.5" x14ac:dyDescent="0.25">
      <c r="A57" s="286" t="s">
        <v>985</v>
      </c>
      <c r="B57" s="283"/>
      <c r="C57" s="283"/>
      <c r="D57" s="2"/>
      <c r="E57" s="2">
        <v>2599</v>
      </c>
      <c r="F57" s="2">
        <v>2100</v>
      </c>
      <c r="G57" s="2">
        <v>2260</v>
      </c>
      <c r="H57" s="2">
        <v>2260</v>
      </c>
      <c r="I57" s="2">
        <v>2260</v>
      </c>
      <c r="J57" s="2">
        <v>2260</v>
      </c>
      <c r="K57" s="2">
        <f t="shared" si="0"/>
        <v>0</v>
      </c>
    </row>
    <row r="58" spans="1:11" hidden="1" x14ac:dyDescent="0.2">
      <c r="A58" s="283" t="s">
        <v>358</v>
      </c>
      <c r="B58" s="2">
        <v>4</v>
      </c>
      <c r="C58" s="2">
        <v>565</v>
      </c>
      <c r="D58" s="2">
        <f>ROUND(B58*C58,0)</f>
        <v>2260</v>
      </c>
      <c r="E58" s="2"/>
      <c r="F58" s="53"/>
      <c r="G58" s="53"/>
      <c r="H58" s="53"/>
      <c r="I58" s="53"/>
      <c r="J58" s="53"/>
      <c r="K58" s="2">
        <f t="shared" si="0"/>
        <v>0</v>
      </c>
    </row>
    <row r="59" spans="1:11" x14ac:dyDescent="0.2">
      <c r="A59" s="283"/>
      <c r="B59" s="283"/>
      <c r="C59" s="283"/>
      <c r="D59" s="2"/>
      <c r="E59" s="2"/>
      <c r="F59" s="3"/>
      <c r="G59" s="3"/>
      <c r="H59" s="3"/>
      <c r="I59" s="3"/>
      <c r="J59" s="3"/>
      <c r="K59" s="2">
        <f t="shared" si="0"/>
        <v>0</v>
      </c>
    </row>
    <row r="60" spans="1:11" ht="13.5" x14ac:dyDescent="0.25">
      <c r="A60" s="286" t="s">
        <v>986</v>
      </c>
      <c r="B60" s="283"/>
      <c r="C60" s="283"/>
      <c r="D60" s="2"/>
      <c r="E60" s="2">
        <v>9298</v>
      </c>
      <c r="F60" s="3">
        <v>9879</v>
      </c>
      <c r="G60" s="3">
        <v>8591</v>
      </c>
      <c r="H60" s="3">
        <v>8591</v>
      </c>
      <c r="I60" s="3">
        <v>8852</v>
      </c>
      <c r="J60" s="3">
        <v>8852</v>
      </c>
      <c r="K60" s="2">
        <f t="shared" si="0"/>
        <v>261</v>
      </c>
    </row>
    <row r="61" spans="1:11" hidden="1" x14ac:dyDescent="0.2">
      <c r="A61" s="12" t="s">
        <v>1068</v>
      </c>
      <c r="B61" s="2">
        <f>+D8</f>
        <v>46904</v>
      </c>
      <c r="C61" s="13">
        <v>1.89E-3</v>
      </c>
      <c r="D61" s="2">
        <f>ROUND(B61*C61,0)</f>
        <v>89</v>
      </c>
      <c r="E61" s="2"/>
      <c r="F61" s="3"/>
      <c r="G61" s="3"/>
      <c r="H61" s="3"/>
      <c r="I61" s="3"/>
      <c r="J61" s="3"/>
      <c r="K61" s="2">
        <f t="shared" si="0"/>
        <v>0</v>
      </c>
    </row>
    <row r="62" spans="1:11" hidden="1" x14ac:dyDescent="0.2">
      <c r="A62" s="12" t="s">
        <v>1073</v>
      </c>
      <c r="B62" s="2">
        <f>+D13</f>
        <v>85576</v>
      </c>
      <c r="C62" s="13">
        <v>3.3739999999999999E-2</v>
      </c>
      <c r="D62" s="2">
        <f>ROUND(B62*C62,0)</f>
        <v>2887</v>
      </c>
      <c r="E62" s="2"/>
      <c r="F62" s="3"/>
      <c r="G62" s="3"/>
      <c r="H62" s="3"/>
      <c r="I62" s="3"/>
      <c r="J62" s="3"/>
      <c r="K62" s="2">
        <f t="shared" si="0"/>
        <v>0</v>
      </c>
    </row>
    <row r="63" spans="1:11" hidden="1" x14ac:dyDescent="0.2">
      <c r="A63" s="12" t="s">
        <v>410</v>
      </c>
      <c r="B63" s="2">
        <f>+D19</f>
        <v>138996</v>
      </c>
      <c r="C63" s="13">
        <v>3.3739999999999999E-2</v>
      </c>
      <c r="D63" s="2">
        <f>ROUND(B63*C63,0)</f>
        <v>4690</v>
      </c>
      <c r="E63" s="2"/>
      <c r="F63" s="3"/>
      <c r="G63" s="3"/>
      <c r="H63" s="3"/>
      <c r="I63" s="3"/>
      <c r="J63" s="3"/>
    </row>
    <row r="64" spans="1:11" hidden="1" x14ac:dyDescent="0.2">
      <c r="A64" s="12" t="s">
        <v>1074</v>
      </c>
      <c r="B64" s="2">
        <v>28771</v>
      </c>
      <c r="C64" s="13">
        <v>3.3739999999999999E-2</v>
      </c>
      <c r="D64" s="2">
        <f>ROUND(B64*C64,0)</f>
        <v>971</v>
      </c>
      <c r="E64" s="2"/>
      <c r="F64" s="3"/>
      <c r="G64" s="3"/>
      <c r="H64" s="3"/>
      <c r="I64" s="3"/>
      <c r="J64" s="3"/>
    </row>
    <row r="65" spans="1:10" ht="15" hidden="1" x14ac:dyDescent="0.35">
      <c r="A65" s="12" t="s">
        <v>1453</v>
      </c>
      <c r="B65" s="2">
        <f>+D29</f>
        <v>5956.0875000000005</v>
      </c>
      <c r="C65" s="13">
        <v>3.3739999999999999E-2</v>
      </c>
      <c r="D65" s="10">
        <f>ROUND(B65*C65,0)</f>
        <v>201</v>
      </c>
      <c r="E65" s="2"/>
      <c r="F65" s="3"/>
      <c r="G65" s="3"/>
      <c r="H65" s="3"/>
      <c r="I65" s="3"/>
      <c r="J65" s="3"/>
    </row>
    <row r="66" spans="1:10" hidden="1" x14ac:dyDescent="0.2">
      <c r="A66" s="283" t="s">
        <v>1067</v>
      </c>
      <c r="B66" s="283"/>
      <c r="C66" s="283"/>
      <c r="D66" s="2">
        <f>SUM(D61:D65)+14</f>
        <v>8852</v>
      </c>
      <c r="E66" s="2"/>
      <c r="F66" s="3"/>
      <c r="G66" s="3"/>
      <c r="H66" s="3"/>
      <c r="I66" s="3"/>
      <c r="J66" s="3"/>
    </row>
    <row r="67" spans="1:10" x14ac:dyDescent="0.2">
      <c r="A67" s="283"/>
      <c r="B67" s="283"/>
      <c r="C67" s="283"/>
      <c r="D67" s="2"/>
      <c r="E67" s="2"/>
      <c r="F67" s="3"/>
      <c r="G67" s="3"/>
      <c r="H67" s="3"/>
      <c r="I67" s="3"/>
      <c r="J67" s="3"/>
    </row>
    <row r="68" spans="1:10" ht="13.5" x14ac:dyDescent="0.25">
      <c r="A68" s="286" t="s">
        <v>987</v>
      </c>
      <c r="B68" s="283"/>
      <c r="C68" s="283"/>
      <c r="D68" s="2"/>
      <c r="E68" s="2">
        <v>65</v>
      </c>
      <c r="F68" s="3">
        <v>114</v>
      </c>
      <c r="G68" s="3">
        <v>114</v>
      </c>
      <c r="H68" s="3">
        <v>114</v>
      </c>
      <c r="I68" s="3">
        <v>114</v>
      </c>
      <c r="J68" s="3">
        <v>114</v>
      </c>
    </row>
    <row r="69" spans="1:10" hidden="1" x14ac:dyDescent="0.2">
      <c r="A69" s="12" t="s">
        <v>1068</v>
      </c>
      <c r="B69" s="2">
        <v>1</v>
      </c>
      <c r="C69" s="2">
        <v>20</v>
      </c>
      <c r="D69" s="2">
        <f>ROUND(B69*C69,0)</f>
        <v>20</v>
      </c>
      <c r="E69" s="2"/>
      <c r="F69" s="3"/>
      <c r="G69" s="3"/>
      <c r="H69" s="3"/>
      <c r="I69" s="3"/>
      <c r="J69" s="3"/>
    </row>
    <row r="70" spans="1:10" hidden="1" x14ac:dyDescent="0.2">
      <c r="A70" s="12" t="s">
        <v>1069</v>
      </c>
      <c r="B70" s="2">
        <v>1</v>
      </c>
      <c r="C70" s="2">
        <v>20</v>
      </c>
      <c r="D70" s="2">
        <f>ROUND(B70*C70,0)</f>
        <v>20</v>
      </c>
      <c r="E70" s="2"/>
      <c r="F70" s="3"/>
      <c r="G70" s="3"/>
      <c r="H70" s="3"/>
      <c r="I70" s="3"/>
      <c r="J70" s="3"/>
    </row>
    <row r="71" spans="1:10" hidden="1" x14ac:dyDescent="0.2">
      <c r="A71" s="12" t="s">
        <v>1070</v>
      </c>
      <c r="B71" s="2">
        <v>2</v>
      </c>
      <c r="C71" s="2">
        <v>20</v>
      </c>
      <c r="D71" s="2">
        <f>ROUND(B71*C71,0)</f>
        <v>40</v>
      </c>
      <c r="E71" s="2"/>
      <c r="F71" s="3"/>
      <c r="G71" s="3"/>
      <c r="H71" s="3"/>
      <c r="I71" s="3"/>
      <c r="J71" s="3"/>
    </row>
    <row r="72" spans="1:10" hidden="1" x14ac:dyDescent="0.2">
      <c r="A72" s="12" t="s">
        <v>1656</v>
      </c>
      <c r="B72" s="2">
        <v>1</v>
      </c>
      <c r="C72" s="2">
        <v>20</v>
      </c>
      <c r="D72" s="2">
        <f>ROUND(B72*C72,0)</f>
        <v>20</v>
      </c>
      <c r="E72" s="2"/>
      <c r="F72" s="3"/>
      <c r="G72" s="3"/>
      <c r="H72" s="3"/>
      <c r="I72" s="3"/>
      <c r="J72" s="3"/>
    </row>
    <row r="73" spans="1:10" hidden="1" x14ac:dyDescent="0.2">
      <c r="A73" s="12" t="s">
        <v>1657</v>
      </c>
      <c r="B73" s="2">
        <f>+D22</f>
        <v>10000</v>
      </c>
      <c r="C73" s="13">
        <v>1.4E-3</v>
      </c>
      <c r="D73" s="17">
        <f>ROUND(B73*C73,0)</f>
        <v>14</v>
      </c>
      <c r="E73" s="2"/>
      <c r="F73" s="3"/>
      <c r="G73" s="3"/>
      <c r="H73" s="3"/>
      <c r="I73" s="3"/>
      <c r="J73" s="3"/>
    </row>
    <row r="74" spans="1:10" hidden="1" x14ac:dyDescent="0.2">
      <c r="A74" s="283" t="s">
        <v>1067</v>
      </c>
      <c r="B74" s="2" t="s">
        <v>338</v>
      </c>
      <c r="C74" s="13" t="s">
        <v>338</v>
      </c>
      <c r="D74" s="2">
        <f>SUM(D69:D73)</f>
        <v>114</v>
      </c>
      <c r="E74" s="2"/>
      <c r="F74" s="61"/>
      <c r="G74" s="61"/>
      <c r="H74" s="61"/>
      <c r="I74" s="61"/>
      <c r="J74" s="61"/>
    </row>
    <row r="75" spans="1:10" x14ac:dyDescent="0.2">
      <c r="A75" s="283"/>
      <c r="B75" s="2"/>
      <c r="C75" s="13"/>
      <c r="D75" s="2"/>
      <c r="E75" s="2"/>
      <c r="F75" s="61"/>
      <c r="G75" s="61"/>
      <c r="H75" s="61"/>
      <c r="I75" s="61"/>
      <c r="J75" s="61"/>
    </row>
    <row r="76" spans="1:10" ht="13.5" x14ac:dyDescent="0.25">
      <c r="A76" s="286" t="s">
        <v>988</v>
      </c>
      <c r="B76" s="283"/>
      <c r="C76" s="283"/>
      <c r="D76" s="2"/>
      <c r="E76" s="2">
        <v>1216</v>
      </c>
      <c r="F76" s="2">
        <v>4295</v>
      </c>
      <c r="G76" s="2">
        <v>4295</v>
      </c>
      <c r="H76" s="2">
        <v>4295</v>
      </c>
      <c r="I76" s="2">
        <v>4295</v>
      </c>
      <c r="J76" s="2">
        <v>4295</v>
      </c>
    </row>
    <row r="77" spans="1:10" x14ac:dyDescent="0.2">
      <c r="A77" s="49" t="s">
        <v>1380</v>
      </c>
      <c r="B77" s="49"/>
      <c r="C77" s="49"/>
      <c r="D77" s="3">
        <v>2500</v>
      </c>
      <c r="E77" s="3"/>
      <c r="F77" s="2"/>
      <c r="I77" s="2"/>
      <c r="J77" s="2"/>
    </row>
    <row r="78" spans="1:10" x14ac:dyDescent="0.2">
      <c r="A78" s="49" t="s">
        <v>1856</v>
      </c>
      <c r="B78" s="49"/>
      <c r="C78" s="49">
        <v>1</v>
      </c>
      <c r="D78" s="3">
        <v>615</v>
      </c>
      <c r="E78" s="3"/>
      <c r="F78" s="2"/>
      <c r="I78" s="2"/>
      <c r="J78" s="2"/>
    </row>
    <row r="79" spans="1:10" ht="15" x14ac:dyDescent="0.35">
      <c r="A79" s="49" t="s">
        <v>1857</v>
      </c>
      <c r="B79" s="49"/>
      <c r="C79" s="49">
        <v>1</v>
      </c>
      <c r="D79" s="28">
        <v>1180</v>
      </c>
      <c r="E79" s="3"/>
      <c r="F79" s="2"/>
      <c r="I79" s="2"/>
      <c r="J79" s="2"/>
    </row>
    <row r="80" spans="1:10" x14ac:dyDescent="0.2">
      <c r="A80" s="49"/>
      <c r="B80" s="49"/>
      <c r="C80" s="49"/>
      <c r="D80" s="3">
        <f>SUM(D77:D79)</f>
        <v>4295</v>
      </c>
      <c r="E80" s="3"/>
      <c r="F80" s="2"/>
      <c r="I80" s="2"/>
      <c r="J80" s="2"/>
    </row>
    <row r="81" spans="1:10" x14ac:dyDescent="0.2">
      <c r="A81" s="49" t="s">
        <v>338</v>
      </c>
      <c r="B81" s="49"/>
      <c r="C81" s="49"/>
      <c r="D81" s="3" t="s">
        <v>338</v>
      </c>
      <c r="E81" s="3"/>
      <c r="F81" s="2"/>
      <c r="I81" s="2"/>
      <c r="J81" s="2"/>
    </row>
    <row r="82" spans="1:10" ht="13.5" x14ac:dyDescent="0.25">
      <c r="A82" s="167" t="s">
        <v>1735</v>
      </c>
      <c r="B82" s="146"/>
      <c r="C82" s="146"/>
      <c r="D82" s="146"/>
      <c r="E82" s="3">
        <v>835</v>
      </c>
      <c r="F82" s="2">
        <v>3000</v>
      </c>
      <c r="G82" s="2">
        <v>3000</v>
      </c>
      <c r="H82" s="2">
        <v>3000</v>
      </c>
      <c r="I82" s="2">
        <v>3000</v>
      </c>
      <c r="J82" s="2">
        <v>3000</v>
      </c>
    </row>
    <row r="83" spans="1:10" x14ac:dyDescent="0.2">
      <c r="A83" s="148"/>
      <c r="B83" s="168" t="s">
        <v>209</v>
      </c>
      <c r="C83" s="168" t="s">
        <v>1388</v>
      </c>
      <c r="D83" s="168"/>
      <c r="E83" s="3"/>
      <c r="F83" s="2"/>
      <c r="I83" s="2"/>
      <c r="J83" s="2"/>
    </row>
    <row r="84" spans="1:10" x14ac:dyDescent="0.2">
      <c r="A84" s="146" t="s">
        <v>1858</v>
      </c>
      <c r="B84" s="146">
        <v>4</v>
      </c>
      <c r="C84" s="146">
        <v>450</v>
      </c>
      <c r="D84" s="146">
        <f>C84*B84</f>
        <v>1800</v>
      </c>
      <c r="E84" s="3"/>
      <c r="F84" s="2"/>
      <c r="I84" s="2"/>
      <c r="J84" s="2"/>
    </row>
    <row r="85" spans="1:10" ht="15" x14ac:dyDescent="0.35">
      <c r="A85" s="146" t="s">
        <v>1859</v>
      </c>
      <c r="B85" s="146">
        <v>4</v>
      </c>
      <c r="C85" s="146">
        <v>300</v>
      </c>
      <c r="D85" s="150">
        <f>C85*B85</f>
        <v>1200</v>
      </c>
      <c r="E85" s="3"/>
      <c r="F85" s="2"/>
      <c r="I85" s="2"/>
      <c r="J85" s="2"/>
    </row>
    <row r="86" spans="1:10" x14ac:dyDescent="0.2">
      <c r="A86" s="169" t="s">
        <v>1067</v>
      </c>
      <c r="B86" s="146"/>
      <c r="C86" s="146"/>
      <c r="D86" s="146">
        <f>SUM(D84:D85)</f>
        <v>3000</v>
      </c>
      <c r="E86" s="3"/>
      <c r="F86" s="2"/>
      <c r="I86" s="2"/>
      <c r="J86" s="2"/>
    </row>
    <row r="87" spans="1:10" ht="13.5" x14ac:dyDescent="0.25">
      <c r="A87" s="50"/>
      <c r="B87" s="49"/>
      <c r="C87" s="49"/>
      <c r="D87" s="49"/>
      <c r="E87" s="3"/>
      <c r="F87" s="2"/>
      <c r="I87" s="2"/>
      <c r="J87" s="2"/>
    </row>
    <row r="88" spans="1:10" ht="13.5" x14ac:dyDescent="0.25">
      <c r="A88" s="50" t="s">
        <v>989</v>
      </c>
      <c r="B88" s="49"/>
      <c r="C88" s="49"/>
      <c r="D88" s="3"/>
      <c r="E88" s="3">
        <v>289</v>
      </c>
      <c r="F88" s="2">
        <v>770</v>
      </c>
      <c r="G88" s="2">
        <v>770</v>
      </c>
      <c r="H88" s="2">
        <v>770</v>
      </c>
      <c r="I88" s="2">
        <v>770</v>
      </c>
      <c r="J88" s="2">
        <v>770</v>
      </c>
    </row>
    <row r="89" spans="1:10" ht="15" x14ac:dyDescent="0.35">
      <c r="A89" s="49" t="s">
        <v>1860</v>
      </c>
      <c r="B89" s="49"/>
      <c r="C89" s="49"/>
      <c r="D89" s="28">
        <v>770</v>
      </c>
      <c r="E89" s="3"/>
      <c r="F89" s="2"/>
      <c r="I89" s="2"/>
      <c r="J89" s="2"/>
    </row>
    <row r="90" spans="1:10" x14ac:dyDescent="0.2">
      <c r="A90" s="49"/>
      <c r="B90" s="49"/>
      <c r="C90" s="49"/>
      <c r="D90" s="3">
        <f>SUM(D89:D89)</f>
        <v>770</v>
      </c>
      <c r="E90" s="3"/>
      <c r="F90" s="2"/>
      <c r="I90" s="2"/>
      <c r="J90" s="2"/>
    </row>
    <row r="91" spans="1:10" x14ac:dyDescent="0.2">
      <c r="A91" s="49"/>
      <c r="B91" s="49"/>
      <c r="C91" s="49"/>
      <c r="D91" s="3"/>
      <c r="E91" s="3"/>
      <c r="F91" s="2"/>
      <c r="I91" s="2"/>
      <c r="J91" s="2"/>
    </row>
    <row r="92" spans="1:10" x14ac:dyDescent="0.2">
      <c r="A92" s="170" t="s">
        <v>72</v>
      </c>
      <c r="B92" s="49"/>
      <c r="C92" s="49"/>
      <c r="D92" s="49"/>
      <c r="E92" s="3">
        <v>3</v>
      </c>
      <c r="F92" s="2">
        <v>50</v>
      </c>
      <c r="G92" s="2">
        <v>50</v>
      </c>
      <c r="H92" s="2">
        <v>50</v>
      </c>
      <c r="I92" s="2">
        <v>50</v>
      </c>
      <c r="J92" s="2">
        <v>50</v>
      </c>
    </row>
    <row r="93" spans="1:10" x14ac:dyDescent="0.2">
      <c r="A93" s="3" t="s">
        <v>270</v>
      </c>
      <c r="B93" s="49"/>
      <c r="C93" s="49"/>
      <c r="D93" s="49">
        <v>50</v>
      </c>
      <c r="E93" s="3"/>
      <c r="F93" s="2"/>
      <c r="I93" s="2"/>
      <c r="J93" s="2"/>
    </row>
    <row r="94" spans="1:10" x14ac:dyDescent="0.2">
      <c r="A94" s="283"/>
      <c r="B94" s="283"/>
      <c r="C94" s="283"/>
      <c r="D94" s="283"/>
      <c r="E94" s="2"/>
      <c r="F94" s="2"/>
      <c r="I94" s="2"/>
      <c r="J94" s="2"/>
    </row>
    <row r="95" spans="1:10" ht="13.5" x14ac:dyDescent="0.25">
      <c r="A95" s="50" t="s">
        <v>990</v>
      </c>
      <c r="B95" s="49"/>
      <c r="C95" s="49"/>
      <c r="D95" s="49"/>
      <c r="E95" s="2">
        <v>3628</v>
      </c>
      <c r="F95" s="61">
        <v>3420</v>
      </c>
      <c r="G95" s="61">
        <v>4200</v>
      </c>
      <c r="H95" s="61">
        <v>4200</v>
      </c>
      <c r="I95" s="61">
        <v>4200</v>
      </c>
      <c r="J95" s="61">
        <v>4200</v>
      </c>
    </row>
    <row r="96" spans="1:10" x14ac:dyDescent="0.2">
      <c r="A96" s="49" t="s">
        <v>2024</v>
      </c>
      <c r="B96" s="3">
        <v>1200</v>
      </c>
      <c r="C96" s="11">
        <v>3.5</v>
      </c>
      <c r="D96" s="3">
        <f>+C96*B96</f>
        <v>4200</v>
      </c>
      <c r="E96" s="2"/>
      <c r="F96" s="61"/>
      <c r="G96" s="61"/>
      <c r="H96" s="61"/>
      <c r="I96" s="61"/>
      <c r="J96" s="61"/>
    </row>
    <row r="97" spans="1:10" x14ac:dyDescent="0.2">
      <c r="A97" s="283"/>
      <c r="B97" s="2"/>
      <c r="C97" s="283"/>
      <c r="D97" s="13"/>
      <c r="E97" s="2"/>
      <c r="F97" s="3"/>
      <c r="G97" s="3"/>
      <c r="H97" s="3"/>
      <c r="I97" s="3"/>
      <c r="J97" s="3"/>
    </row>
    <row r="98" spans="1:10" ht="13.5" x14ac:dyDescent="0.25">
      <c r="A98" s="286" t="s">
        <v>991</v>
      </c>
      <c r="B98" s="2"/>
      <c r="C98" s="283"/>
      <c r="D98" s="13"/>
      <c r="E98" s="2">
        <v>2703</v>
      </c>
      <c r="F98" s="3">
        <v>2830</v>
      </c>
      <c r="G98" s="3">
        <v>2830</v>
      </c>
      <c r="H98" s="3">
        <v>2830</v>
      </c>
      <c r="I98" s="3">
        <v>2830</v>
      </c>
      <c r="J98" s="3">
        <v>2830</v>
      </c>
    </row>
    <row r="99" spans="1:10" x14ac:dyDescent="0.2">
      <c r="A99" s="283" t="s">
        <v>805</v>
      </c>
      <c r="B99" s="2"/>
      <c r="C99" s="283"/>
      <c r="D99" s="2">
        <v>850</v>
      </c>
      <c r="E99" s="2"/>
      <c r="F99" s="3"/>
      <c r="G99" s="3"/>
      <c r="H99" s="3"/>
      <c r="I99" s="3"/>
      <c r="J99" s="3"/>
    </row>
    <row r="100" spans="1:10" x14ac:dyDescent="0.2">
      <c r="A100" s="2" t="s">
        <v>747</v>
      </c>
      <c r="B100" s="2">
        <v>1</v>
      </c>
      <c r="C100" s="2">
        <v>1020</v>
      </c>
      <c r="D100" s="2">
        <f>C100*B100</f>
        <v>1020</v>
      </c>
      <c r="E100" s="2"/>
      <c r="F100" s="3"/>
      <c r="G100" s="3"/>
      <c r="H100" s="3"/>
      <c r="I100" s="3"/>
      <c r="J100" s="3"/>
    </row>
    <row r="101" spans="1:10" x14ac:dyDescent="0.2">
      <c r="A101" s="2" t="s">
        <v>748</v>
      </c>
      <c r="B101" s="2">
        <v>1</v>
      </c>
      <c r="C101" s="2">
        <v>480</v>
      </c>
      <c r="D101" s="2">
        <f>C101*B101</f>
        <v>480</v>
      </c>
      <c r="E101" s="2"/>
      <c r="F101" s="61"/>
      <c r="G101" s="61"/>
      <c r="H101" s="61"/>
      <c r="I101" s="61"/>
      <c r="J101" s="61"/>
    </row>
    <row r="102" spans="1:10" ht="15" x14ac:dyDescent="0.35">
      <c r="A102" s="2" t="s">
        <v>749</v>
      </c>
      <c r="B102" s="2">
        <v>1</v>
      </c>
      <c r="C102" s="2">
        <v>480</v>
      </c>
      <c r="D102" s="10">
        <f>C102*B102</f>
        <v>480</v>
      </c>
      <c r="E102" s="2"/>
      <c r="F102" s="3"/>
      <c r="G102" s="3"/>
      <c r="H102" s="3"/>
      <c r="I102" s="3"/>
      <c r="J102" s="3"/>
    </row>
    <row r="103" spans="1:10" x14ac:dyDescent="0.2">
      <c r="A103" s="283" t="s">
        <v>1067</v>
      </c>
      <c r="B103" s="2"/>
      <c r="C103" s="283"/>
      <c r="D103" s="2">
        <f>SUM(D99:D102)</f>
        <v>2830</v>
      </c>
      <c r="E103" s="2"/>
      <c r="F103" s="3"/>
      <c r="G103" s="3"/>
      <c r="H103" s="3"/>
      <c r="I103" s="3"/>
      <c r="J103" s="3"/>
    </row>
    <row r="104" spans="1:10" x14ac:dyDescent="0.2">
      <c r="A104" s="283"/>
      <c r="B104" s="2"/>
      <c r="C104" s="283"/>
      <c r="D104" s="2"/>
      <c r="E104" s="2"/>
      <c r="F104" s="3"/>
      <c r="G104" s="3"/>
      <c r="H104" s="3"/>
      <c r="I104" s="3"/>
      <c r="J104" s="3"/>
    </row>
    <row r="105" spans="1:10" x14ac:dyDescent="0.2">
      <c r="A105" s="283"/>
      <c r="B105" s="283"/>
      <c r="C105" s="283"/>
      <c r="D105" s="2"/>
      <c r="E105" s="2"/>
      <c r="F105" s="3"/>
      <c r="G105" s="3"/>
      <c r="H105" s="3"/>
      <c r="I105" s="3"/>
      <c r="J105" s="3"/>
    </row>
    <row r="106" spans="1:10" ht="13.5" x14ac:dyDescent="0.25">
      <c r="A106" s="286" t="s">
        <v>992</v>
      </c>
      <c r="B106" s="283"/>
      <c r="C106" s="283"/>
      <c r="D106" s="2"/>
      <c r="E106" s="2">
        <v>715</v>
      </c>
      <c r="F106" s="3">
        <v>890</v>
      </c>
      <c r="G106" s="3">
        <v>890</v>
      </c>
      <c r="H106" s="3">
        <v>890</v>
      </c>
      <c r="I106" s="3">
        <v>890</v>
      </c>
      <c r="J106" s="3">
        <v>890</v>
      </c>
    </row>
    <row r="107" spans="1:10" x14ac:dyDescent="0.2">
      <c r="A107" s="283" t="s">
        <v>1806</v>
      </c>
      <c r="B107" s="2">
        <v>1</v>
      </c>
      <c r="C107" s="283">
        <v>175</v>
      </c>
      <c r="D107" s="2">
        <f>C107*B107</f>
        <v>175</v>
      </c>
      <c r="E107" s="2"/>
      <c r="F107" s="3"/>
      <c r="G107" s="3"/>
      <c r="H107" s="3"/>
      <c r="I107" s="3"/>
      <c r="J107" s="3"/>
    </row>
    <row r="108" spans="1:10" x14ac:dyDescent="0.2">
      <c r="A108" s="283" t="s">
        <v>1807</v>
      </c>
      <c r="B108" s="2">
        <v>0</v>
      </c>
      <c r="C108" s="283">
        <v>125</v>
      </c>
      <c r="D108" s="2">
        <f t="shared" ref="D108:D114" si="1">C108*B108</f>
        <v>0</v>
      </c>
      <c r="E108" s="2"/>
      <c r="F108" s="3"/>
      <c r="G108" s="3"/>
      <c r="H108" s="3"/>
      <c r="I108" s="3"/>
      <c r="J108" s="3"/>
    </row>
    <row r="109" spans="1:10" x14ac:dyDescent="0.2">
      <c r="A109" s="283" t="s">
        <v>1808</v>
      </c>
      <c r="B109" s="2">
        <v>0</v>
      </c>
      <c r="C109" s="283">
        <v>125</v>
      </c>
      <c r="D109" s="2">
        <f t="shared" si="1"/>
        <v>0</v>
      </c>
      <c r="E109" s="2"/>
      <c r="F109" s="3"/>
      <c r="G109" s="3"/>
      <c r="H109" s="3"/>
      <c r="I109" s="3"/>
      <c r="J109" s="3"/>
    </row>
    <row r="110" spans="1:10" x14ac:dyDescent="0.2">
      <c r="A110" s="283" t="s">
        <v>1353</v>
      </c>
      <c r="B110" s="2">
        <v>2</v>
      </c>
      <c r="C110" s="283">
        <v>75</v>
      </c>
      <c r="D110" s="2">
        <f t="shared" si="1"/>
        <v>150</v>
      </c>
      <c r="E110" s="2"/>
      <c r="F110" s="3"/>
      <c r="G110" s="3"/>
      <c r="H110" s="3"/>
      <c r="I110" s="3"/>
      <c r="J110" s="3"/>
    </row>
    <row r="111" spans="1:10" x14ac:dyDescent="0.2">
      <c r="A111" s="283" t="s">
        <v>147</v>
      </c>
      <c r="B111" s="2">
        <v>3</v>
      </c>
      <c r="C111" s="283">
        <v>30</v>
      </c>
      <c r="D111" s="2">
        <f t="shared" si="1"/>
        <v>90</v>
      </c>
      <c r="E111" s="2"/>
      <c r="F111" s="3"/>
      <c r="G111" s="3"/>
      <c r="H111" s="3"/>
      <c r="I111" s="3"/>
      <c r="J111" s="3"/>
    </row>
    <row r="112" spans="1:10" x14ac:dyDescent="0.2">
      <c r="A112" s="283" t="s">
        <v>1354</v>
      </c>
      <c r="B112" s="2">
        <v>0</v>
      </c>
      <c r="C112" s="283">
        <v>85</v>
      </c>
      <c r="D112" s="2">
        <f t="shared" si="1"/>
        <v>0</v>
      </c>
      <c r="E112" s="2"/>
      <c r="F112" s="3"/>
      <c r="G112" s="3"/>
      <c r="H112" s="3"/>
      <c r="I112" s="3"/>
      <c r="J112" s="3"/>
    </row>
    <row r="113" spans="1:10" x14ac:dyDescent="0.2">
      <c r="A113" s="283" t="s">
        <v>1355</v>
      </c>
      <c r="B113" s="2">
        <v>3</v>
      </c>
      <c r="C113" s="283">
        <v>75</v>
      </c>
      <c r="D113" s="2">
        <f t="shared" si="1"/>
        <v>225</v>
      </c>
      <c r="E113" s="2"/>
      <c r="F113" s="3"/>
      <c r="G113" s="3"/>
      <c r="H113" s="3"/>
      <c r="I113" s="3"/>
      <c r="J113" s="3"/>
    </row>
    <row r="114" spans="1:10" ht="15" x14ac:dyDescent="0.35">
      <c r="A114" s="283" t="s">
        <v>1809</v>
      </c>
      <c r="B114" s="2">
        <v>1</v>
      </c>
      <c r="C114" s="283">
        <v>250</v>
      </c>
      <c r="D114" s="10">
        <f t="shared" si="1"/>
        <v>250</v>
      </c>
      <c r="E114" s="2"/>
      <c r="F114" s="3"/>
      <c r="G114" s="3"/>
      <c r="H114" s="3"/>
      <c r="I114" s="3"/>
      <c r="J114" s="3"/>
    </row>
    <row r="115" spans="1:10" x14ac:dyDescent="0.2">
      <c r="A115" s="283" t="s">
        <v>1067</v>
      </c>
      <c r="B115" s="283"/>
      <c r="C115" s="283"/>
      <c r="D115" s="2">
        <f>SUM(D107:D114)</f>
        <v>890</v>
      </c>
      <c r="E115" s="2"/>
      <c r="F115" s="3"/>
      <c r="G115" s="3"/>
      <c r="H115" s="3"/>
      <c r="I115" s="3"/>
      <c r="J115" s="3"/>
    </row>
    <row r="116" spans="1:10" x14ac:dyDescent="0.2">
      <c r="A116" s="283"/>
      <c r="B116" s="283"/>
      <c r="C116" s="283"/>
      <c r="D116" s="2"/>
      <c r="E116" s="2"/>
      <c r="F116" s="3"/>
      <c r="G116" s="3"/>
      <c r="H116" s="3"/>
      <c r="I116" s="3"/>
      <c r="J116" s="3"/>
    </row>
    <row r="117" spans="1:10" ht="13.5" x14ac:dyDescent="0.25">
      <c r="A117" s="16" t="s">
        <v>993</v>
      </c>
      <c r="B117" s="283"/>
      <c r="C117" s="283"/>
      <c r="D117" s="2"/>
      <c r="E117" s="2">
        <v>2485</v>
      </c>
      <c r="F117" s="3">
        <v>2322</v>
      </c>
      <c r="G117" s="3">
        <v>3438</v>
      </c>
      <c r="H117" s="3">
        <v>3438</v>
      </c>
      <c r="I117" s="3">
        <v>3438</v>
      </c>
      <c r="J117" s="3">
        <v>3438</v>
      </c>
    </row>
    <row r="118" spans="1:10" x14ac:dyDescent="0.2">
      <c r="A118" s="283" t="s">
        <v>736</v>
      </c>
      <c r="B118" s="283"/>
      <c r="C118" s="283"/>
      <c r="D118" s="2">
        <v>3438</v>
      </c>
      <c r="E118" s="2"/>
      <c r="F118" s="3"/>
      <c r="G118" s="3"/>
      <c r="H118" s="3"/>
      <c r="I118" s="3"/>
      <c r="J118" s="3"/>
    </row>
    <row r="119" spans="1:10" x14ac:dyDescent="0.2">
      <c r="A119" s="283"/>
      <c r="B119" s="283"/>
      <c r="C119" s="283"/>
      <c r="D119" s="2"/>
      <c r="E119" s="2"/>
      <c r="F119" s="3"/>
      <c r="G119" s="3"/>
      <c r="H119" s="3"/>
      <c r="I119" s="3"/>
      <c r="J119" s="3"/>
    </row>
    <row r="120" spans="1:10" ht="13.5" x14ac:dyDescent="0.25">
      <c r="A120" s="286" t="s">
        <v>994</v>
      </c>
      <c r="B120" s="283"/>
      <c r="C120" s="283"/>
      <c r="D120" s="2"/>
      <c r="E120" s="2">
        <v>0</v>
      </c>
      <c r="F120" s="61">
        <v>1000</v>
      </c>
      <c r="G120" s="61">
        <v>1000</v>
      </c>
      <c r="H120" s="61">
        <v>1000</v>
      </c>
      <c r="I120" s="61">
        <v>1000</v>
      </c>
      <c r="J120" s="61">
        <v>1000</v>
      </c>
    </row>
    <row r="121" spans="1:10" x14ac:dyDescent="0.2">
      <c r="A121" s="283" t="s">
        <v>1381</v>
      </c>
      <c r="B121" s="283">
        <v>2</v>
      </c>
      <c r="C121" s="283">
        <v>500</v>
      </c>
      <c r="D121" s="2">
        <f>C121*B121</f>
        <v>1000</v>
      </c>
      <c r="E121" s="2"/>
      <c r="F121" s="3"/>
      <c r="G121" s="3"/>
      <c r="H121" s="3"/>
      <c r="I121" s="3"/>
      <c r="J121" s="3"/>
    </row>
    <row r="122" spans="1:10" x14ac:dyDescent="0.2">
      <c r="A122" s="283"/>
      <c r="B122" s="283"/>
      <c r="C122" s="283"/>
      <c r="D122" s="2"/>
      <c r="E122" s="2"/>
      <c r="F122" s="3"/>
      <c r="G122" s="3"/>
      <c r="H122" s="3"/>
      <c r="I122" s="3"/>
      <c r="J122" s="3"/>
    </row>
    <row r="123" spans="1:10" ht="13.5" x14ac:dyDescent="0.25">
      <c r="A123" s="94" t="s">
        <v>1382</v>
      </c>
      <c r="B123" s="171"/>
      <c r="C123" s="60"/>
      <c r="D123" s="60"/>
      <c r="E123" s="60">
        <v>202</v>
      </c>
      <c r="F123" s="61">
        <v>2100</v>
      </c>
      <c r="G123" s="61">
        <v>2100</v>
      </c>
      <c r="H123" s="61">
        <v>2100</v>
      </c>
      <c r="I123" s="61">
        <v>2100</v>
      </c>
      <c r="J123" s="61">
        <v>2100</v>
      </c>
    </row>
    <row r="124" spans="1:10" x14ac:dyDescent="0.2">
      <c r="A124" s="3" t="s">
        <v>1861</v>
      </c>
      <c r="B124" s="3">
        <v>1</v>
      </c>
      <c r="C124" s="3">
        <v>1200</v>
      </c>
      <c r="D124" s="60">
        <f>C124*B124</f>
        <v>1200</v>
      </c>
      <c r="E124" s="60"/>
      <c r="F124" s="61"/>
      <c r="G124" s="61"/>
      <c r="H124" s="61"/>
      <c r="I124" s="61"/>
      <c r="J124" s="61"/>
    </row>
    <row r="125" spans="1:10" ht="15" x14ac:dyDescent="0.35">
      <c r="A125" s="3" t="s">
        <v>1862</v>
      </c>
      <c r="B125" s="3">
        <v>1</v>
      </c>
      <c r="C125" s="3">
        <v>900</v>
      </c>
      <c r="D125" s="172">
        <v>900</v>
      </c>
      <c r="E125" s="60"/>
      <c r="F125" s="61"/>
      <c r="G125" s="61"/>
      <c r="H125" s="61"/>
      <c r="I125" s="61"/>
      <c r="J125" s="61"/>
    </row>
    <row r="126" spans="1:10" x14ac:dyDescent="0.2">
      <c r="A126" s="173" t="s">
        <v>1067</v>
      </c>
      <c r="B126" s="3"/>
      <c r="C126" s="3"/>
      <c r="D126" s="60">
        <f>SUM(D124:D125)</f>
        <v>2100</v>
      </c>
      <c r="E126" s="60"/>
      <c r="F126" s="61"/>
      <c r="G126" s="61"/>
      <c r="H126" s="61"/>
      <c r="I126" s="61"/>
      <c r="J126" s="61"/>
    </row>
    <row r="127" spans="1:10" x14ac:dyDescent="0.2">
      <c r="A127" s="173"/>
      <c r="B127" s="3"/>
      <c r="C127" s="3"/>
      <c r="D127" s="60"/>
      <c r="E127" s="60"/>
      <c r="F127" s="61"/>
      <c r="G127" s="61"/>
      <c r="H127" s="61"/>
      <c r="I127" s="61"/>
      <c r="J127" s="61"/>
    </row>
    <row r="128" spans="1:10" ht="13.5" x14ac:dyDescent="0.25">
      <c r="A128" s="50" t="s">
        <v>995</v>
      </c>
      <c r="B128" s="49"/>
      <c r="C128" s="49"/>
      <c r="D128" s="3"/>
      <c r="E128" s="3">
        <v>2334</v>
      </c>
      <c r="F128" s="61">
        <v>4500</v>
      </c>
      <c r="G128" s="61">
        <v>3000</v>
      </c>
      <c r="H128" s="61">
        <v>3000</v>
      </c>
      <c r="I128" s="61">
        <v>3000</v>
      </c>
      <c r="J128" s="61">
        <v>3000</v>
      </c>
    </row>
    <row r="129" spans="1:10" x14ac:dyDescent="0.2">
      <c r="A129" s="49" t="s">
        <v>1863</v>
      </c>
      <c r="B129" s="49"/>
      <c r="C129" s="49"/>
      <c r="D129" s="3">
        <v>3000</v>
      </c>
      <c r="E129" s="3"/>
      <c r="F129" s="61"/>
      <c r="G129" s="61"/>
      <c r="H129" s="61"/>
      <c r="I129" s="61"/>
      <c r="J129" s="61"/>
    </row>
    <row r="130" spans="1:10" x14ac:dyDescent="0.2">
      <c r="A130" s="283"/>
      <c r="B130" s="283"/>
      <c r="C130" s="283"/>
      <c r="D130" s="2"/>
      <c r="E130" s="2"/>
      <c r="F130" s="61"/>
      <c r="G130" s="61"/>
      <c r="H130" s="61"/>
      <c r="I130" s="61"/>
      <c r="J130" s="61"/>
    </row>
    <row r="131" spans="1:10" ht="13.5" x14ac:dyDescent="0.25">
      <c r="A131" s="94" t="s">
        <v>496</v>
      </c>
      <c r="B131" s="125"/>
      <c r="C131" s="125"/>
      <c r="D131" s="125"/>
      <c r="E131" s="3">
        <v>2443</v>
      </c>
      <c r="F131" s="61">
        <v>2500</v>
      </c>
      <c r="G131" s="61">
        <v>2500</v>
      </c>
      <c r="H131" s="61">
        <v>2500</v>
      </c>
      <c r="I131" s="61">
        <v>2500</v>
      </c>
      <c r="J131" s="61">
        <v>2500</v>
      </c>
    </row>
    <row r="132" spans="1:10" x14ac:dyDescent="0.2">
      <c r="A132" s="3" t="s">
        <v>1864</v>
      </c>
      <c r="B132" s="3"/>
      <c r="C132" s="3"/>
      <c r="D132" s="3">
        <v>2500</v>
      </c>
      <c r="E132" s="3"/>
      <c r="F132" s="61"/>
      <c r="G132" s="61"/>
      <c r="H132" s="61"/>
      <c r="I132" s="61"/>
      <c r="J132" s="61"/>
    </row>
    <row r="133" spans="1:10" x14ac:dyDescent="0.2">
      <c r="A133" s="3" t="s">
        <v>1865</v>
      </c>
      <c r="B133" s="3"/>
      <c r="C133" s="3"/>
      <c r="D133" s="3"/>
      <c r="E133" s="3"/>
      <c r="F133" s="61"/>
      <c r="G133" s="61"/>
      <c r="H133" s="61"/>
      <c r="I133" s="61"/>
      <c r="J133" s="61"/>
    </row>
    <row r="134" spans="1:10" x14ac:dyDescent="0.2">
      <c r="A134" s="283"/>
      <c r="B134" s="283"/>
      <c r="C134" s="283"/>
      <c r="D134" s="2"/>
      <c r="E134" s="2"/>
      <c r="F134" s="61"/>
      <c r="G134" s="61"/>
      <c r="H134" s="61"/>
      <c r="I134" s="61"/>
      <c r="J134" s="61"/>
    </row>
    <row r="135" spans="1:10" ht="13.5" x14ac:dyDescent="0.25">
      <c r="A135" s="50" t="s">
        <v>996</v>
      </c>
      <c r="B135" s="49"/>
      <c r="C135" s="49"/>
      <c r="D135" s="49"/>
      <c r="E135" s="3">
        <v>1415</v>
      </c>
      <c r="F135" s="61">
        <v>2380</v>
      </c>
      <c r="G135" s="61">
        <v>2380</v>
      </c>
      <c r="H135" s="61">
        <v>2380</v>
      </c>
      <c r="I135" s="61">
        <v>2380</v>
      </c>
      <c r="J135" s="61">
        <v>2380</v>
      </c>
    </row>
    <row r="136" spans="1:10" x14ac:dyDescent="0.2">
      <c r="A136" s="49" t="s">
        <v>1866</v>
      </c>
      <c r="B136" s="49"/>
      <c r="C136" s="49"/>
      <c r="D136" s="3">
        <v>2380</v>
      </c>
      <c r="E136" s="3"/>
      <c r="F136" s="61"/>
      <c r="G136" s="61"/>
      <c r="H136" s="61"/>
      <c r="I136" s="61"/>
      <c r="J136" s="61"/>
    </row>
    <row r="137" spans="1:10" x14ac:dyDescent="0.2">
      <c r="A137" s="36" t="s">
        <v>1867</v>
      </c>
      <c r="B137" s="49"/>
      <c r="C137" s="49"/>
      <c r="D137" s="3"/>
      <c r="E137" s="3"/>
      <c r="F137" s="61"/>
      <c r="G137" s="61"/>
      <c r="H137" s="61"/>
      <c r="I137" s="61"/>
      <c r="J137" s="61"/>
    </row>
    <row r="138" spans="1:10" x14ac:dyDescent="0.2">
      <c r="A138" s="283"/>
      <c r="B138" s="283"/>
      <c r="C138" s="283"/>
      <c r="D138" s="2"/>
      <c r="E138" s="2"/>
      <c r="F138" s="61"/>
      <c r="G138" s="61"/>
      <c r="H138" s="61"/>
      <c r="I138" s="61"/>
      <c r="J138" s="61"/>
    </row>
    <row r="139" spans="1:10" ht="13.5" x14ac:dyDescent="0.25">
      <c r="A139" s="50" t="s">
        <v>997</v>
      </c>
      <c r="B139" s="49"/>
      <c r="C139" s="49"/>
      <c r="D139" s="124"/>
      <c r="E139" s="3">
        <v>0</v>
      </c>
      <c r="F139" s="61">
        <v>900</v>
      </c>
      <c r="G139" s="61">
        <v>900</v>
      </c>
      <c r="H139" s="61">
        <v>900</v>
      </c>
      <c r="I139" s="61">
        <v>900</v>
      </c>
      <c r="J139" s="61">
        <v>900</v>
      </c>
    </row>
    <row r="140" spans="1:10" x14ac:dyDescent="0.2">
      <c r="A140" s="49" t="s">
        <v>1176</v>
      </c>
      <c r="B140" s="49"/>
      <c r="C140" s="49"/>
      <c r="D140" s="3">
        <v>500</v>
      </c>
      <c r="E140" s="3"/>
      <c r="F140" s="61"/>
      <c r="G140" s="61"/>
      <c r="H140" s="61"/>
      <c r="I140" s="61"/>
      <c r="J140" s="61"/>
    </row>
    <row r="141" spans="1:10" ht="15" x14ac:dyDescent="0.35">
      <c r="A141" s="49" t="s">
        <v>188</v>
      </c>
      <c r="B141" s="49"/>
      <c r="C141" s="49"/>
      <c r="D141" s="28">
        <v>400</v>
      </c>
      <c r="E141" s="3"/>
      <c r="F141" s="61"/>
      <c r="G141" s="61"/>
      <c r="H141" s="61"/>
      <c r="I141" s="61"/>
      <c r="J141" s="61"/>
    </row>
    <row r="142" spans="1:10" x14ac:dyDescent="0.2">
      <c r="A142" s="174" t="s">
        <v>1067</v>
      </c>
      <c r="B142" s="49"/>
      <c r="C142" s="49"/>
      <c r="D142" s="3">
        <f>SUM(D140:D141)</f>
        <v>900</v>
      </c>
      <c r="E142" s="3"/>
      <c r="F142" s="61"/>
      <c r="G142" s="61"/>
      <c r="H142" s="61"/>
      <c r="I142" s="61"/>
      <c r="J142" s="61"/>
    </row>
    <row r="143" spans="1:10" x14ac:dyDescent="0.2">
      <c r="A143" s="49"/>
      <c r="B143" s="49"/>
      <c r="C143" s="49"/>
      <c r="D143" s="3"/>
      <c r="E143" s="3"/>
      <c r="F143" s="61"/>
      <c r="G143" s="61"/>
      <c r="H143" s="61"/>
      <c r="I143" s="61"/>
      <c r="J143" s="61"/>
    </row>
    <row r="144" spans="1:10" ht="13.5" x14ac:dyDescent="0.25">
      <c r="A144" s="50" t="s">
        <v>1054</v>
      </c>
      <c r="B144" s="322"/>
      <c r="C144" s="322"/>
      <c r="D144" s="60" t="s">
        <v>338</v>
      </c>
      <c r="E144" s="60"/>
      <c r="F144" s="61"/>
      <c r="G144" s="61"/>
      <c r="H144" s="61"/>
      <c r="I144" s="61"/>
      <c r="J144" s="61"/>
    </row>
    <row r="145" spans="1:10" ht="15" x14ac:dyDescent="0.35">
      <c r="A145" s="36"/>
      <c r="B145" s="39"/>
      <c r="C145" s="3"/>
      <c r="D145" s="28"/>
      <c r="E145" s="59"/>
      <c r="F145" s="61"/>
      <c r="G145" s="61"/>
      <c r="H145" s="61"/>
      <c r="I145" s="61"/>
      <c r="J145" s="61"/>
    </row>
    <row r="146" spans="1:10" x14ac:dyDescent="0.2">
      <c r="A146" s="49"/>
      <c r="B146" s="49"/>
      <c r="C146" s="49"/>
      <c r="D146" s="3"/>
      <c r="E146" s="3"/>
      <c r="F146" s="61"/>
      <c r="G146" s="61"/>
      <c r="H146" s="61"/>
      <c r="I146" s="61"/>
      <c r="J146" s="61"/>
    </row>
    <row r="147" spans="1:10" ht="15" x14ac:dyDescent="0.35">
      <c r="A147" s="94" t="s">
        <v>497</v>
      </c>
      <c r="B147" s="60"/>
      <c r="C147" s="60"/>
      <c r="D147" s="60"/>
      <c r="E147" s="28">
        <v>0</v>
      </c>
      <c r="F147" s="28">
        <v>2500</v>
      </c>
      <c r="G147" s="28">
        <v>57500</v>
      </c>
      <c r="H147" s="28">
        <v>57500</v>
      </c>
      <c r="I147" s="28">
        <v>2500</v>
      </c>
      <c r="J147" s="28">
        <v>2500</v>
      </c>
    </row>
    <row r="148" spans="1:10" ht="12.75" customHeight="1" x14ac:dyDescent="0.35">
      <c r="A148" s="3" t="s">
        <v>1868</v>
      </c>
      <c r="B148" s="246"/>
      <c r="C148" s="246"/>
      <c r="D148" s="3">
        <v>57500</v>
      </c>
      <c r="E148" s="3"/>
      <c r="F148" s="3"/>
      <c r="G148" s="3"/>
      <c r="H148" s="3"/>
      <c r="I148" s="3"/>
      <c r="J148" s="28"/>
    </row>
    <row r="149" spans="1:10" ht="12.75" customHeight="1" x14ac:dyDescent="0.25">
      <c r="A149" s="47" t="s">
        <v>338</v>
      </c>
      <c r="B149" s="229"/>
      <c r="C149" s="229"/>
      <c r="D149" s="2"/>
      <c r="E149" s="2"/>
      <c r="F149" s="2"/>
      <c r="I149" s="2"/>
      <c r="J149" s="2"/>
    </row>
    <row r="150" spans="1:10" ht="12.75" customHeight="1" x14ac:dyDescent="0.2">
      <c r="A150" s="19" t="s">
        <v>1144</v>
      </c>
      <c r="B150" s="229"/>
      <c r="C150" s="229"/>
      <c r="D150" s="2"/>
      <c r="E150" s="2">
        <f>SUM(E6:E148)</f>
        <v>492756</v>
      </c>
      <c r="F150" s="2">
        <f>SUM(F6:F148)</f>
        <v>494300</v>
      </c>
      <c r="G150" s="2">
        <f t="shared" ref="G150:J150" si="2">SUM(G6:G148)</f>
        <v>552342</v>
      </c>
      <c r="H150" s="2">
        <f>SUM(H6:H148)</f>
        <v>552342</v>
      </c>
      <c r="I150" s="2">
        <f t="shared" si="2"/>
        <v>509792</v>
      </c>
      <c r="J150" s="2">
        <f t="shared" si="2"/>
        <v>509792</v>
      </c>
    </row>
    <row r="151" spans="1:10" ht="12.75" customHeight="1" x14ac:dyDescent="0.2">
      <c r="A151" s="19"/>
      <c r="B151" s="229"/>
      <c r="C151" s="229"/>
      <c r="D151" s="2"/>
      <c r="E151" s="2"/>
      <c r="F151" s="2"/>
      <c r="I151" s="2"/>
      <c r="J151" s="2"/>
    </row>
    <row r="152" spans="1:10" ht="12.75" customHeight="1" x14ac:dyDescent="0.2">
      <c r="A152" s="229" t="s">
        <v>511</v>
      </c>
      <c r="B152" s="229"/>
      <c r="C152" s="229"/>
      <c r="D152" s="229"/>
      <c r="E152" s="2">
        <f>SUM(E6:E74)</f>
        <v>474488</v>
      </c>
      <c r="F152" s="2">
        <f>SUM(F6:F74)</f>
        <v>460843</v>
      </c>
      <c r="G152" s="2">
        <f>SUM(G6:G74)</f>
        <v>463489</v>
      </c>
      <c r="H152" s="2">
        <f>SUM(H6:H74)</f>
        <v>463489</v>
      </c>
      <c r="I152" s="2">
        <f>SUM(I6:I74)</f>
        <v>475939</v>
      </c>
      <c r="J152" s="2">
        <f>SUM(J6:J75)</f>
        <v>475939</v>
      </c>
    </row>
    <row r="153" spans="1:10" ht="12.75" customHeight="1" x14ac:dyDescent="0.2">
      <c r="A153" s="229" t="s">
        <v>803</v>
      </c>
      <c r="B153" s="229"/>
      <c r="C153" s="229"/>
      <c r="D153" s="229"/>
      <c r="E153" s="2">
        <f t="shared" ref="E153:J153" si="3">SUM(E76:E142)</f>
        <v>18268</v>
      </c>
      <c r="F153" s="2">
        <f t="shared" si="3"/>
        <v>30957</v>
      </c>
      <c r="G153" s="2">
        <f t="shared" si="3"/>
        <v>31353</v>
      </c>
      <c r="H153" s="2">
        <f t="shared" ref="H153" si="4">SUM(H76:H142)</f>
        <v>31353</v>
      </c>
      <c r="I153" s="2">
        <f t="shared" si="3"/>
        <v>31353</v>
      </c>
      <c r="J153" s="2">
        <f t="shared" si="3"/>
        <v>31353</v>
      </c>
    </row>
    <row r="154" spans="1:10" ht="12.75" customHeight="1" x14ac:dyDescent="0.35">
      <c r="A154" s="229" t="s">
        <v>804</v>
      </c>
      <c r="B154" s="229"/>
      <c r="C154" s="229"/>
      <c r="D154" s="229"/>
      <c r="E154" s="10">
        <f t="shared" ref="E154:J154" si="5">+SUM(E145:E148)</f>
        <v>0</v>
      </c>
      <c r="F154" s="10">
        <f t="shared" si="5"/>
        <v>2500</v>
      </c>
      <c r="G154" s="10">
        <f t="shared" si="5"/>
        <v>57500</v>
      </c>
      <c r="H154" s="10">
        <f t="shared" ref="H154" si="6">+SUM(H145:H148)</f>
        <v>57500</v>
      </c>
      <c r="I154" s="10">
        <f t="shared" si="5"/>
        <v>2500</v>
      </c>
      <c r="J154" s="10">
        <f t="shared" si="5"/>
        <v>2500</v>
      </c>
    </row>
    <row r="155" spans="1:10" ht="12.75" customHeight="1" x14ac:dyDescent="0.2">
      <c r="A155" s="229"/>
      <c r="B155" s="229"/>
      <c r="C155" s="229"/>
      <c r="D155" s="229"/>
      <c r="E155" s="2">
        <f t="shared" ref="E155:J155" si="7">SUM(E152:E154)</f>
        <v>492756</v>
      </c>
      <c r="F155" s="2">
        <f t="shared" si="7"/>
        <v>494300</v>
      </c>
      <c r="G155" s="2">
        <f t="shared" si="7"/>
        <v>552342</v>
      </c>
      <c r="H155" s="2">
        <f t="shared" ref="H155" si="8">SUM(H152:H154)</f>
        <v>552342</v>
      </c>
      <c r="I155" s="2">
        <f t="shared" si="7"/>
        <v>509792</v>
      </c>
      <c r="J155" s="2">
        <f t="shared" si="7"/>
        <v>509792</v>
      </c>
    </row>
    <row r="156" spans="1:10" ht="12.75" customHeight="1" x14ac:dyDescent="0.2">
      <c r="A156" s="229"/>
      <c r="B156" s="229"/>
      <c r="C156" s="229"/>
      <c r="D156" s="229"/>
      <c r="E156" s="229"/>
      <c r="F156" s="229"/>
      <c r="I156" s="2"/>
      <c r="J156" s="2"/>
    </row>
    <row r="157" spans="1:10" ht="12.75" customHeight="1" x14ac:dyDescent="0.2">
      <c r="I157" s="2"/>
      <c r="J157" s="2">
        <f>12450-55000</f>
        <v>-42550</v>
      </c>
    </row>
    <row r="158" spans="1:10" ht="12.75" customHeight="1" x14ac:dyDescent="0.2">
      <c r="I158" s="2">
        <f>I155-H155</f>
        <v>-42550</v>
      </c>
      <c r="J158" s="2">
        <f>J155-H155</f>
        <v>-42550</v>
      </c>
    </row>
    <row r="159" spans="1:10" ht="12.75" customHeight="1" x14ac:dyDescent="0.2">
      <c r="I159" s="2"/>
      <c r="J159" s="2">
        <f>J157-J158</f>
        <v>0</v>
      </c>
    </row>
    <row r="160" spans="1:10" ht="12.75" customHeight="1" x14ac:dyDescent="0.2">
      <c r="I160" s="2"/>
      <c r="J160" s="2"/>
    </row>
    <row r="161" spans="7:10" ht="12.75" customHeight="1" x14ac:dyDescent="0.2">
      <c r="G161" s="183"/>
      <c r="H161" s="267"/>
      <c r="I161" s="227"/>
      <c r="J161" s="2"/>
    </row>
    <row r="162" spans="7:10" ht="12.75" customHeight="1" x14ac:dyDescent="0.2">
      <c r="G162" s="183"/>
      <c r="H162" s="267"/>
      <c r="I162" s="227"/>
      <c r="J162" s="2"/>
    </row>
    <row r="163" spans="7:10" ht="12.75" customHeight="1" x14ac:dyDescent="0.2">
      <c r="G163" s="183"/>
      <c r="H163" s="267"/>
      <c r="I163" s="227"/>
      <c r="J163" s="2"/>
    </row>
    <row r="164" spans="7:10" ht="12.75" customHeight="1" x14ac:dyDescent="0.2">
      <c r="G164" s="183"/>
      <c r="H164" s="267"/>
      <c r="I164" s="227"/>
      <c r="J164" s="2"/>
    </row>
    <row r="165" spans="7:10" ht="12.75" customHeight="1" x14ac:dyDescent="0.2">
      <c r="G165" s="183"/>
      <c r="H165" s="267"/>
      <c r="I165" s="227"/>
      <c r="J165" s="2"/>
    </row>
    <row r="166" spans="7:10" ht="12.75" customHeight="1" x14ac:dyDescent="0.2">
      <c r="G166" s="183"/>
      <c r="H166" s="267"/>
      <c r="I166" s="227"/>
      <c r="J166" s="2"/>
    </row>
    <row r="167" spans="7:10" ht="12.75" customHeight="1" x14ac:dyDescent="0.2">
      <c r="G167" s="183"/>
      <c r="H167" s="267"/>
      <c r="I167" s="227"/>
      <c r="J167" s="2"/>
    </row>
    <row r="168" spans="7:10" ht="12.75" customHeight="1" x14ac:dyDescent="0.2">
      <c r="G168" s="183"/>
      <c r="H168" s="267"/>
      <c r="J168" s="2"/>
    </row>
    <row r="169" spans="7:10" ht="12.75" customHeight="1" x14ac:dyDescent="0.2">
      <c r="G169" s="183"/>
      <c r="H169" s="267"/>
      <c r="J169" s="2"/>
    </row>
    <row r="170" spans="7:10" ht="12.75" customHeight="1" x14ac:dyDescent="0.2">
      <c r="G170" s="183"/>
      <c r="H170" s="267"/>
      <c r="J170" s="2"/>
    </row>
    <row r="171" spans="7:10" ht="12.75" customHeight="1" x14ac:dyDescent="0.2">
      <c r="G171" s="183"/>
      <c r="H171" s="267"/>
      <c r="J171" s="2"/>
    </row>
    <row r="172" spans="7:10" ht="12.75" customHeight="1" x14ac:dyDescent="0.2">
      <c r="G172" s="183"/>
      <c r="H172" s="267"/>
      <c r="J172" s="2"/>
    </row>
    <row r="173" spans="7:10" ht="12.75" customHeight="1" x14ac:dyDescent="0.2">
      <c r="G173" s="183"/>
      <c r="H173" s="267"/>
      <c r="J173" s="2"/>
    </row>
    <row r="174" spans="7:10" ht="12.75" customHeight="1" x14ac:dyDescent="0.2">
      <c r="G174" s="183"/>
      <c r="H174" s="267"/>
      <c r="J174" s="2"/>
    </row>
    <row r="175" spans="7:10" ht="12.75" customHeight="1" x14ac:dyDescent="0.2">
      <c r="G175" s="183"/>
      <c r="H175" s="219"/>
      <c r="J175" s="2"/>
    </row>
    <row r="176" spans="7:10" ht="12.75" customHeight="1" x14ac:dyDescent="0.2">
      <c r="G176" s="183"/>
      <c r="H176" s="219"/>
      <c r="J176" s="2"/>
    </row>
    <row r="177" spans="7:10" ht="12.75" customHeight="1" x14ac:dyDescent="0.2">
      <c r="G177" s="183"/>
      <c r="H177" s="219"/>
      <c r="J177" s="2"/>
    </row>
    <row r="178" spans="7:10" ht="12.75" customHeight="1" x14ac:dyDescent="0.2">
      <c r="G178" s="183"/>
      <c r="H178" s="219"/>
      <c r="J178" s="2"/>
    </row>
    <row r="179" spans="7:10" ht="12.75" customHeight="1" x14ac:dyDescent="0.2">
      <c r="G179" s="183"/>
      <c r="H179" s="219"/>
    </row>
    <row r="180" spans="7:10" ht="12.75" customHeight="1" x14ac:dyDescent="0.2">
      <c r="G180" s="183"/>
      <c r="H180" s="219"/>
    </row>
    <row r="181" spans="7:10" ht="12.75" customHeight="1" x14ac:dyDescent="0.2">
      <c r="G181" s="183"/>
      <c r="H181" s="219"/>
    </row>
    <row r="182" spans="7:10" ht="12.75" customHeight="1" x14ac:dyDescent="0.2">
      <c r="G182" s="183"/>
      <c r="H182" s="219"/>
    </row>
    <row r="183" spans="7:10" ht="12.75" customHeight="1" x14ac:dyDescent="0.2">
      <c r="G183" s="183"/>
      <c r="H183" s="219"/>
    </row>
    <row r="184" spans="7:10" ht="12.75" customHeight="1" x14ac:dyDescent="0.2">
      <c r="G184" s="183"/>
      <c r="H184" s="219"/>
    </row>
    <row r="185" spans="7:10" ht="12.75" customHeight="1" x14ac:dyDescent="0.2">
      <c r="G185" s="183"/>
      <c r="H185" s="219"/>
    </row>
    <row r="186" spans="7:10" ht="12.75" customHeight="1" x14ac:dyDescent="0.2">
      <c r="G186" s="183"/>
      <c r="H186" s="219"/>
    </row>
    <row r="187" spans="7:10" ht="12.75" customHeight="1" x14ac:dyDescent="0.2">
      <c r="G187" s="183"/>
      <c r="H187" s="219"/>
    </row>
    <row r="188" spans="7:10" ht="12.75" customHeight="1" x14ac:dyDescent="0.2">
      <c r="G188" s="183"/>
      <c r="H188" s="219"/>
    </row>
    <row r="189" spans="7:10" ht="12.75" customHeight="1" x14ac:dyDescent="0.2">
      <c r="G189" s="183"/>
      <c r="H189" s="219"/>
    </row>
    <row r="190" spans="7:10" ht="12.75" customHeight="1" x14ac:dyDescent="0.2">
      <c r="G190" s="183"/>
      <c r="H190" s="219"/>
    </row>
    <row r="191" spans="7:10" ht="12.75" customHeight="1" x14ac:dyDescent="0.2">
      <c r="G191" s="183"/>
      <c r="H191" s="219"/>
    </row>
    <row r="192" spans="7:10" ht="12.75" customHeight="1" x14ac:dyDescent="0.2">
      <c r="G192" s="183"/>
      <c r="H192" s="219"/>
    </row>
    <row r="193" spans="7:8" ht="12.75" customHeight="1" x14ac:dyDescent="0.2">
      <c r="G193" s="183"/>
      <c r="H193" s="219"/>
    </row>
    <row r="194" spans="7:8" ht="12.75" customHeight="1" x14ac:dyDescent="0.2">
      <c r="G194" s="183"/>
      <c r="H194" s="219"/>
    </row>
    <row r="195" spans="7:8" ht="12.75" customHeight="1" x14ac:dyDescent="0.2">
      <c r="G195" s="183"/>
      <c r="H195" s="219"/>
    </row>
    <row r="196" spans="7:8" ht="12.75" customHeight="1" x14ac:dyDescent="0.2">
      <c r="G196" s="183"/>
      <c r="H196" s="219"/>
    </row>
    <row r="197" spans="7:8" ht="12.75" customHeight="1" x14ac:dyDescent="0.2">
      <c r="G197" s="183"/>
      <c r="H197" s="219"/>
    </row>
    <row r="198" spans="7:8" ht="12.75" customHeight="1" x14ac:dyDescent="0.2">
      <c r="G198" s="183"/>
      <c r="H198" s="219"/>
    </row>
    <row r="199" spans="7:8" ht="12.75" customHeight="1" x14ac:dyDescent="0.2">
      <c r="G199" s="183"/>
      <c r="H199" s="219"/>
    </row>
    <row r="200" spans="7:8" ht="12.75" customHeight="1" x14ac:dyDescent="0.2">
      <c r="G200" s="183"/>
      <c r="H200" s="219"/>
    </row>
    <row r="201" spans="7:8" ht="12.75" customHeight="1" x14ac:dyDescent="0.2">
      <c r="G201" s="183"/>
      <c r="H201" s="219"/>
    </row>
    <row r="202" spans="7:8" ht="12.75" customHeight="1" x14ac:dyDescent="0.2">
      <c r="G202" s="183"/>
      <c r="H202" s="219"/>
    </row>
    <row r="203" spans="7:8" ht="12.75" customHeight="1" x14ac:dyDescent="0.2">
      <c r="G203" s="183"/>
      <c r="H203" s="219"/>
    </row>
    <row r="204" spans="7:8" ht="12.75" customHeight="1" x14ac:dyDescent="0.2">
      <c r="G204" s="183"/>
      <c r="H204" s="219"/>
    </row>
    <row r="205" spans="7:8" ht="12.75" customHeight="1" x14ac:dyDescent="0.2">
      <c r="G205" s="183"/>
      <c r="H205" s="219"/>
    </row>
    <row r="206" spans="7:8" ht="12.75" customHeight="1" x14ac:dyDescent="0.2">
      <c r="G206" s="183"/>
      <c r="H206" s="219"/>
    </row>
    <row r="207" spans="7:8" ht="12.75" customHeight="1" x14ac:dyDescent="0.2">
      <c r="G207" s="183"/>
      <c r="H207" s="219"/>
    </row>
    <row r="208" spans="7:8" ht="12.75" customHeight="1" x14ac:dyDescent="0.2">
      <c r="G208" s="183"/>
      <c r="H208" s="219"/>
    </row>
    <row r="209" spans="7:8" ht="12.75" customHeight="1" x14ac:dyDescent="0.2">
      <c r="G209" s="183"/>
      <c r="H209" s="219"/>
    </row>
    <row r="210" spans="7:8" ht="12.75" customHeight="1" x14ac:dyDescent="0.2">
      <c r="G210" s="183"/>
      <c r="H210" s="183"/>
    </row>
    <row r="211" spans="7:8" ht="12.75" customHeight="1" x14ac:dyDescent="0.2">
      <c r="G211" s="183"/>
      <c r="H211" s="183"/>
    </row>
    <row r="212" spans="7:8" ht="12.75" customHeight="1" x14ac:dyDescent="0.2">
      <c r="G212" s="183"/>
      <c r="H212" s="183"/>
    </row>
    <row r="213" spans="7:8" ht="12.75" customHeight="1" x14ac:dyDescent="0.2">
      <c r="G213" s="183"/>
      <c r="H213" s="183"/>
    </row>
    <row r="214" spans="7:8" ht="12.75" customHeight="1" x14ac:dyDescent="0.2">
      <c r="G214" s="183"/>
      <c r="H214" s="183"/>
    </row>
    <row r="215" spans="7:8" ht="12.75" customHeight="1" x14ac:dyDescent="0.2">
      <c r="G215" s="183"/>
      <c r="H215" s="183"/>
    </row>
    <row r="216" spans="7:8" ht="12.75" customHeight="1" x14ac:dyDescent="0.2">
      <c r="G216" s="183"/>
      <c r="H216" s="183"/>
    </row>
    <row r="217" spans="7:8" ht="12.75" customHeight="1" x14ac:dyDescent="0.2">
      <c r="G217" s="183"/>
      <c r="H217" s="183"/>
    </row>
    <row r="218" spans="7:8" ht="12.75" customHeight="1" x14ac:dyDescent="0.2">
      <c r="G218" s="183"/>
      <c r="H218" s="183"/>
    </row>
    <row r="219" spans="7:8" ht="12.75" customHeight="1" x14ac:dyDescent="0.2">
      <c r="G219" s="183"/>
      <c r="H219" s="183"/>
    </row>
    <row r="220" spans="7:8" ht="12.75" customHeight="1" x14ac:dyDescent="0.2">
      <c r="G220" s="183"/>
      <c r="H220" s="183"/>
    </row>
    <row r="221" spans="7:8" ht="12.75" customHeight="1" x14ac:dyDescent="0.2">
      <c r="G221" s="183"/>
      <c r="H221" s="183"/>
    </row>
    <row r="222" spans="7:8" ht="12.75" customHeight="1" x14ac:dyDescent="0.2">
      <c r="G222" s="183"/>
      <c r="H222" s="183"/>
    </row>
    <row r="223" spans="7:8" ht="12.75" customHeight="1" x14ac:dyDescent="0.2">
      <c r="G223" s="183"/>
      <c r="H223" s="183"/>
    </row>
    <row r="224" spans="7:8" ht="12.75" customHeight="1" x14ac:dyDescent="0.2">
      <c r="G224" s="183"/>
      <c r="H224" s="183"/>
    </row>
    <row r="225" spans="7:8" ht="12.75" customHeight="1" x14ac:dyDescent="0.2">
      <c r="G225" s="183"/>
      <c r="H225" s="183"/>
    </row>
    <row r="226" spans="7:8" ht="12.75" customHeight="1" x14ac:dyDescent="0.2">
      <c r="G226" s="183"/>
      <c r="H226" s="183"/>
    </row>
    <row r="227" spans="7:8" ht="12.75" customHeight="1" x14ac:dyDescent="0.2">
      <c r="G227" s="183"/>
      <c r="H227" s="183"/>
    </row>
    <row r="228" spans="7:8" ht="12.75" customHeight="1" x14ac:dyDescent="0.2">
      <c r="G228" s="183"/>
      <c r="H228" s="183"/>
    </row>
    <row r="229" spans="7:8" ht="12.75" customHeight="1" x14ac:dyDescent="0.2">
      <c r="G229" s="183"/>
      <c r="H229" s="183"/>
    </row>
    <row r="230" spans="7:8" ht="12.75" customHeight="1" x14ac:dyDescent="0.2">
      <c r="G230" s="183"/>
      <c r="H230" s="183"/>
    </row>
    <row r="231" spans="7:8" ht="12.75" customHeight="1" x14ac:dyDescent="0.2">
      <c r="G231" s="183"/>
      <c r="H231" s="183"/>
    </row>
    <row r="232" spans="7:8" ht="12.75" customHeight="1" x14ac:dyDescent="0.2">
      <c r="G232" s="183"/>
      <c r="H232" s="183"/>
    </row>
    <row r="233" spans="7:8" ht="12.75" customHeight="1" x14ac:dyDescent="0.2">
      <c r="G233" s="183"/>
      <c r="H233" s="183"/>
    </row>
    <row r="234" spans="7:8" ht="12.75" customHeight="1" x14ac:dyDescent="0.2">
      <c r="G234" s="183"/>
      <c r="H234" s="183"/>
    </row>
  </sheetData>
  <mergeCells count="2">
    <mergeCell ref="A1:J1"/>
    <mergeCell ref="B144:C144"/>
  </mergeCells>
  <phoneticPr fontId="7" type="noConversion"/>
  <printOptions gridLines="1"/>
  <pageMargins left="0.75" right="0.16" top="0.51" bottom="0.22" header="0.5" footer="0.5"/>
  <pageSetup scale="86" fitToHeight="4" orientation="landscape" r:id="rId1"/>
  <headerFooter alignWithMargins="0"/>
  <rowBreaks count="2" manualBreakCount="2">
    <brk id="75" max="9" man="1"/>
    <brk id="116"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71"/>
  <sheetViews>
    <sheetView view="pageBreakPreview" zoomScaleNormal="100" zoomScaleSheetLayoutView="100" workbookViewId="0">
      <pane ySplit="5" topLeftCell="A119" activePane="bottomLeft" state="frozen"/>
      <selection activeCell="D43" sqref="D43"/>
      <selection pane="bottomLeft" sqref="A1:J1"/>
    </sheetView>
  </sheetViews>
  <sheetFormatPr defaultColWidth="8.85546875" defaultRowHeight="12.75" x14ac:dyDescent="0.2"/>
  <cols>
    <col min="1" max="1" width="44.42578125" style="183" customWidth="1"/>
    <col min="2" max="2" width="8.7109375" style="183" bestFit="1" customWidth="1"/>
    <col min="3" max="3" width="9.7109375" style="183" bestFit="1" customWidth="1"/>
    <col min="4" max="4" width="11" style="183" bestFit="1" customWidth="1"/>
    <col min="5" max="5" width="13.7109375" style="183" customWidth="1"/>
    <col min="6" max="6" width="10.28515625" style="183" bestFit="1" customWidth="1"/>
    <col min="7" max="7" width="14.42578125" style="183" bestFit="1" customWidth="1"/>
    <col min="8" max="8" width="14" style="183" bestFit="1" customWidth="1"/>
    <col min="9" max="10" width="9.5703125" style="183" customWidth="1"/>
    <col min="11" max="11" width="0" style="183" hidden="1" customWidth="1"/>
    <col min="12" max="16384" width="8.85546875" style="183"/>
  </cols>
  <sheetData>
    <row r="1" spans="1:10" x14ac:dyDescent="0.2">
      <c r="A1" s="319" t="s">
        <v>2038</v>
      </c>
      <c r="B1" s="320"/>
      <c r="C1" s="320"/>
      <c r="D1" s="320"/>
      <c r="E1" s="320"/>
      <c r="F1" s="320"/>
      <c r="G1" s="320"/>
      <c r="H1" s="320"/>
      <c r="I1" s="320"/>
      <c r="J1" s="320"/>
    </row>
    <row r="2" spans="1:10" ht="18.75" x14ac:dyDescent="0.3">
      <c r="A2" s="95" t="s">
        <v>1566</v>
      </c>
      <c r="B2" s="95"/>
      <c r="C2" s="95"/>
      <c r="D2" s="95"/>
      <c r="E2" s="95"/>
      <c r="F2" s="95"/>
    </row>
    <row r="3" spans="1:10" x14ac:dyDescent="0.2">
      <c r="B3" s="2"/>
      <c r="C3" s="2"/>
      <c r="D3" s="2"/>
      <c r="E3" s="2"/>
      <c r="F3" s="2"/>
    </row>
    <row r="4" spans="1:10" x14ac:dyDescent="0.2">
      <c r="B4" s="2"/>
      <c r="C4" s="2"/>
      <c r="D4" s="2"/>
      <c r="E4" s="15" t="s">
        <v>199</v>
      </c>
      <c r="F4" s="15" t="s">
        <v>200</v>
      </c>
      <c r="G4" s="15" t="s">
        <v>60</v>
      </c>
      <c r="H4" s="15" t="s">
        <v>351</v>
      </c>
      <c r="I4" s="15" t="s">
        <v>264</v>
      </c>
      <c r="J4" s="15" t="s">
        <v>295</v>
      </c>
    </row>
    <row r="5" spans="1:10" ht="15" x14ac:dyDescent="0.35">
      <c r="B5" s="2"/>
      <c r="C5" s="2"/>
      <c r="D5" s="2"/>
      <c r="E5" s="232" t="s">
        <v>1825</v>
      </c>
      <c r="F5" s="232" t="s">
        <v>1947</v>
      </c>
      <c r="G5" s="232" t="s">
        <v>2039</v>
      </c>
      <c r="H5" s="232" t="s">
        <v>2039</v>
      </c>
      <c r="I5" s="232" t="s">
        <v>2039</v>
      </c>
      <c r="J5" s="232" t="s">
        <v>2039</v>
      </c>
    </row>
    <row r="6" spans="1:10" ht="13.5" x14ac:dyDescent="0.25">
      <c r="A6" s="207" t="s">
        <v>2</v>
      </c>
      <c r="B6" s="2"/>
      <c r="C6" s="2"/>
      <c r="D6" s="2"/>
      <c r="E6" s="2">
        <v>57194</v>
      </c>
      <c r="F6" s="2">
        <v>57252</v>
      </c>
      <c r="G6" s="2">
        <v>57262</v>
      </c>
      <c r="H6" s="2">
        <v>57262</v>
      </c>
      <c r="I6" s="2">
        <v>59280</v>
      </c>
      <c r="J6" s="2">
        <v>59280</v>
      </c>
    </row>
    <row r="7" spans="1:10" ht="15" x14ac:dyDescent="0.35">
      <c r="A7" s="206" t="s">
        <v>384</v>
      </c>
      <c r="B7" s="2">
        <v>52</v>
      </c>
      <c r="C7" s="2">
        <v>1140</v>
      </c>
      <c r="D7" s="10">
        <f>ROUND(B7*C7,0)</f>
        <v>59280</v>
      </c>
      <c r="E7" s="2"/>
      <c r="F7" s="2"/>
      <c r="G7" s="2"/>
      <c r="H7" s="2"/>
      <c r="I7" s="2"/>
      <c r="J7" s="2"/>
    </row>
    <row r="8" spans="1:10" x14ac:dyDescent="0.2">
      <c r="A8" s="206" t="s">
        <v>1067</v>
      </c>
      <c r="B8" s="2"/>
      <c r="C8" s="2"/>
      <c r="D8" s="2">
        <f>SUM(D7:D7)</f>
        <v>59280</v>
      </c>
      <c r="E8" s="2"/>
      <c r="F8" s="2"/>
      <c r="G8" s="2"/>
      <c r="H8" s="2"/>
      <c r="I8" s="2"/>
      <c r="J8" s="2"/>
    </row>
    <row r="9" spans="1:10" x14ac:dyDescent="0.2">
      <c r="A9" s="206"/>
      <c r="B9" s="2"/>
      <c r="C9" s="2"/>
      <c r="D9" s="2"/>
      <c r="E9" s="2"/>
      <c r="F9" s="2"/>
      <c r="G9" s="2"/>
      <c r="H9" s="2"/>
      <c r="I9" s="2"/>
      <c r="J9" s="2"/>
    </row>
    <row r="10" spans="1:10" ht="13.5" x14ac:dyDescent="0.25">
      <c r="A10" s="207" t="s">
        <v>205</v>
      </c>
      <c r="B10" s="2"/>
      <c r="C10" s="2"/>
      <c r="D10" s="2"/>
      <c r="E10" s="2">
        <v>211684</v>
      </c>
      <c r="F10" s="2">
        <v>216916</v>
      </c>
      <c r="G10" s="2">
        <v>218694</v>
      </c>
      <c r="H10" s="2">
        <v>329756</v>
      </c>
      <c r="I10" s="2">
        <v>341208</v>
      </c>
      <c r="J10" s="2">
        <v>341208</v>
      </c>
    </row>
    <row r="11" spans="1:10" x14ac:dyDescent="0.2">
      <c r="A11" s="206" t="s">
        <v>206</v>
      </c>
      <c r="B11" s="2">
        <v>52</v>
      </c>
      <c r="C11" s="2">
        <v>2400</v>
      </c>
      <c r="D11" s="2">
        <f>ROUND(B11*C11,0)</f>
        <v>124800</v>
      </c>
      <c r="E11" s="2"/>
      <c r="F11" s="2"/>
      <c r="G11" s="2"/>
      <c r="H11" s="2"/>
      <c r="I11" s="2"/>
      <c r="J11" s="2"/>
    </row>
    <row r="12" spans="1:10" x14ac:dyDescent="0.2">
      <c r="A12" s="206" t="s">
        <v>1333</v>
      </c>
      <c r="B12" s="2">
        <v>52</v>
      </c>
      <c r="C12" s="2">
        <v>2090</v>
      </c>
      <c r="D12" s="2">
        <f>ROUND(B12*C12,0)</f>
        <v>108680</v>
      </c>
      <c r="E12" s="2"/>
      <c r="F12" s="2"/>
      <c r="G12" s="2"/>
      <c r="H12" s="2"/>
      <c r="I12" s="2"/>
      <c r="J12" s="2"/>
    </row>
    <row r="13" spans="1:10" s="267" customFormat="1" x14ac:dyDescent="0.2">
      <c r="A13" s="267" t="s">
        <v>2159</v>
      </c>
      <c r="B13" s="2">
        <v>52</v>
      </c>
      <c r="C13" s="2">
        <v>2030</v>
      </c>
      <c r="D13" s="2">
        <f>ROUND(B13*C13,0)</f>
        <v>105560</v>
      </c>
      <c r="E13" s="2"/>
      <c r="F13" s="2"/>
      <c r="G13" s="2"/>
      <c r="H13" s="2"/>
      <c r="I13" s="2"/>
      <c r="J13" s="2"/>
    </row>
    <row r="14" spans="1:10" ht="15" x14ac:dyDescent="0.35">
      <c r="A14" s="206" t="s">
        <v>818</v>
      </c>
      <c r="B14" s="2" t="s">
        <v>338</v>
      </c>
      <c r="C14" s="2" t="s">
        <v>338</v>
      </c>
      <c r="D14" s="10">
        <v>2168</v>
      </c>
      <c r="E14" s="2"/>
      <c r="F14" s="2"/>
      <c r="G14" s="2"/>
      <c r="H14" s="2"/>
      <c r="I14" s="2"/>
      <c r="J14" s="2"/>
    </row>
    <row r="15" spans="1:10" x14ac:dyDescent="0.2">
      <c r="A15" s="206" t="s">
        <v>1067</v>
      </c>
      <c r="B15" s="2"/>
      <c r="C15" s="2"/>
      <c r="D15" s="2">
        <f>SUM(D11:D14)</f>
        <v>341208</v>
      </c>
      <c r="E15" s="2"/>
      <c r="F15" s="2"/>
      <c r="G15" s="2"/>
      <c r="H15" s="2"/>
      <c r="I15" s="2"/>
      <c r="J15" s="2"/>
    </row>
    <row r="16" spans="1:10" x14ac:dyDescent="0.2">
      <c r="A16" s="206"/>
      <c r="B16" s="2"/>
      <c r="C16" s="2"/>
      <c r="D16" s="2"/>
      <c r="E16" s="2"/>
      <c r="F16" s="2"/>
      <c r="G16" s="2"/>
      <c r="H16" s="2"/>
      <c r="I16" s="2"/>
      <c r="J16" s="2"/>
    </row>
    <row r="17" spans="1:10" ht="13.5" x14ac:dyDescent="0.25">
      <c r="A17" s="207" t="s">
        <v>1798</v>
      </c>
      <c r="B17" s="2"/>
      <c r="C17" s="2"/>
      <c r="D17" s="2"/>
      <c r="E17" s="2">
        <v>61891</v>
      </c>
      <c r="F17" s="2">
        <v>71084</v>
      </c>
      <c r="G17" s="2">
        <v>71084</v>
      </c>
      <c r="H17" s="2">
        <v>0</v>
      </c>
      <c r="I17" s="2">
        <v>0</v>
      </c>
      <c r="J17" s="2">
        <v>0</v>
      </c>
    </row>
    <row r="18" spans="1:10" x14ac:dyDescent="0.2">
      <c r="A18" s="206" t="s">
        <v>1827</v>
      </c>
      <c r="B18" s="2">
        <v>52</v>
      </c>
      <c r="C18" s="2">
        <v>0</v>
      </c>
      <c r="D18" s="2">
        <f>ROUND(B18*C18,0)</f>
        <v>0</v>
      </c>
      <c r="E18" s="2"/>
      <c r="F18" s="2"/>
      <c r="G18" s="2"/>
      <c r="H18" s="2"/>
      <c r="I18" s="2"/>
      <c r="J18" s="2"/>
    </row>
    <row r="19" spans="1:10" ht="15" x14ac:dyDescent="0.35">
      <c r="A19" s="206" t="s">
        <v>818</v>
      </c>
      <c r="B19" s="2" t="s">
        <v>338</v>
      </c>
      <c r="C19" s="2"/>
      <c r="D19" s="10">
        <v>0</v>
      </c>
      <c r="E19" s="2"/>
      <c r="F19" s="2"/>
      <c r="G19" s="2"/>
      <c r="H19" s="2"/>
      <c r="I19" s="2"/>
      <c r="J19" s="2"/>
    </row>
    <row r="20" spans="1:10" x14ac:dyDescent="0.2">
      <c r="A20" s="206" t="s">
        <v>1067</v>
      </c>
      <c r="B20" s="2"/>
      <c r="C20" s="2"/>
      <c r="D20" s="2">
        <f>SUM(D18:D19)</f>
        <v>0</v>
      </c>
      <c r="E20" s="2"/>
      <c r="F20" s="2"/>
      <c r="G20" s="2"/>
      <c r="H20" s="2"/>
      <c r="I20" s="2"/>
      <c r="J20" s="2"/>
    </row>
    <row r="21" spans="1:10" x14ac:dyDescent="0.2">
      <c r="A21" s="206"/>
      <c r="B21" s="2"/>
      <c r="C21" s="2"/>
      <c r="D21" s="2"/>
      <c r="E21" s="2"/>
      <c r="F21" s="2"/>
      <c r="G21" s="2"/>
      <c r="H21" s="2"/>
      <c r="I21" s="2"/>
      <c r="J21" s="2"/>
    </row>
    <row r="22" spans="1:10" ht="13.5" x14ac:dyDescent="0.25">
      <c r="A22" s="207" t="s">
        <v>677</v>
      </c>
      <c r="B22" s="206"/>
      <c r="C22" s="206"/>
      <c r="D22" s="2"/>
      <c r="E22" s="2">
        <v>33878</v>
      </c>
      <c r="F22" s="2">
        <v>18480</v>
      </c>
      <c r="G22" s="2">
        <v>27000</v>
      </c>
      <c r="H22" s="2">
        <v>27000</v>
      </c>
      <c r="I22" s="2">
        <v>27000</v>
      </c>
      <c r="J22" s="2">
        <v>27000</v>
      </c>
    </row>
    <row r="23" spans="1:10" x14ac:dyDescent="0.2">
      <c r="A23" s="283" t="s">
        <v>1633</v>
      </c>
      <c r="B23" s="2">
        <v>1800</v>
      </c>
      <c r="C23" s="11">
        <v>15</v>
      </c>
      <c r="D23" s="2">
        <f>ROUND(B23*C23,0)</f>
        <v>27000</v>
      </c>
      <c r="E23" s="2"/>
      <c r="F23" s="2"/>
      <c r="G23" s="2"/>
      <c r="H23" s="2"/>
      <c r="I23" s="2"/>
      <c r="J23" s="2"/>
    </row>
    <row r="24" spans="1:10" ht="15" x14ac:dyDescent="0.35">
      <c r="A24" s="283" t="s">
        <v>1421</v>
      </c>
      <c r="B24" s="2">
        <v>0</v>
      </c>
      <c r="C24" s="11">
        <v>10</v>
      </c>
      <c r="D24" s="10">
        <f>+C24*B24</f>
        <v>0</v>
      </c>
      <c r="E24" s="2"/>
      <c r="F24" s="2"/>
      <c r="G24" s="2"/>
      <c r="H24" s="2"/>
      <c r="I24" s="2"/>
      <c r="J24" s="2"/>
    </row>
    <row r="25" spans="1:10" x14ac:dyDescent="0.2">
      <c r="A25" s="283"/>
      <c r="B25" s="2"/>
      <c r="C25" s="13"/>
      <c r="D25" s="2">
        <f>SUM(D23:D24)</f>
        <v>27000</v>
      </c>
      <c r="E25" s="2"/>
      <c r="F25" s="2"/>
      <c r="G25" s="2"/>
      <c r="H25" s="2"/>
      <c r="I25" s="2"/>
      <c r="J25" s="2"/>
    </row>
    <row r="26" spans="1:10" x14ac:dyDescent="0.2">
      <c r="A26" s="283"/>
      <c r="B26" s="2"/>
      <c r="C26" s="13"/>
      <c r="D26" s="2"/>
      <c r="E26" s="2"/>
      <c r="F26" s="2"/>
      <c r="G26" s="2"/>
      <c r="H26" s="2"/>
      <c r="I26" s="2"/>
      <c r="J26" s="2"/>
    </row>
    <row r="27" spans="1:10" x14ac:dyDescent="0.2">
      <c r="A27" s="283"/>
      <c r="B27" s="2"/>
      <c r="C27" s="13"/>
      <c r="D27" s="2"/>
      <c r="E27" s="2"/>
      <c r="F27" s="2"/>
      <c r="G27" s="2"/>
      <c r="H27" s="2"/>
      <c r="I27" s="2"/>
      <c r="J27" s="2"/>
    </row>
    <row r="28" spans="1:10" ht="13.5" x14ac:dyDescent="0.25">
      <c r="A28" s="44" t="s">
        <v>1591</v>
      </c>
      <c r="B28" s="2"/>
      <c r="C28" s="13"/>
      <c r="D28" s="2"/>
      <c r="E28" s="2">
        <v>371</v>
      </c>
      <c r="F28" s="2">
        <v>769</v>
      </c>
      <c r="G28" s="2">
        <v>769</v>
      </c>
      <c r="H28" s="2">
        <v>0</v>
      </c>
      <c r="I28" s="2">
        <v>0</v>
      </c>
      <c r="J28" s="2">
        <v>0</v>
      </c>
    </row>
    <row r="29" spans="1:10" x14ac:dyDescent="0.2">
      <c r="A29" s="43" t="s">
        <v>1924</v>
      </c>
      <c r="B29" s="2">
        <v>15</v>
      </c>
      <c r="C29" s="178">
        <f>+C18/40*1.5</f>
        <v>0</v>
      </c>
      <c r="D29" s="2">
        <f>C29*B29</f>
        <v>0</v>
      </c>
      <c r="E29" s="2"/>
      <c r="F29" s="2"/>
      <c r="G29" s="2"/>
      <c r="H29" s="2"/>
      <c r="I29" s="2"/>
      <c r="J29" s="2"/>
    </row>
    <row r="30" spans="1:10" x14ac:dyDescent="0.2">
      <c r="A30" s="283"/>
      <c r="B30" s="2"/>
      <c r="C30" s="13"/>
      <c r="D30" s="2"/>
      <c r="E30" s="2"/>
      <c r="F30" s="2"/>
      <c r="G30" s="2"/>
      <c r="H30" s="2"/>
      <c r="I30" s="2"/>
      <c r="J30" s="2"/>
    </row>
    <row r="31" spans="1:10" ht="13.5" x14ac:dyDescent="0.25">
      <c r="A31" s="286" t="s">
        <v>168</v>
      </c>
      <c r="B31" s="283"/>
      <c r="C31" s="283"/>
      <c r="D31" s="2"/>
      <c r="E31" s="2">
        <v>28053</v>
      </c>
      <c r="F31" s="2">
        <v>27885</v>
      </c>
      <c r="G31" s="2">
        <v>31673</v>
      </c>
      <c r="H31" s="2">
        <v>31673</v>
      </c>
      <c r="I31" s="2">
        <v>32703</v>
      </c>
      <c r="J31" s="2">
        <v>32703</v>
      </c>
    </row>
    <row r="32" spans="1:10" hidden="1" x14ac:dyDescent="0.2">
      <c r="A32" s="12" t="s">
        <v>757</v>
      </c>
      <c r="B32" s="2">
        <f>+D7</f>
        <v>59280</v>
      </c>
      <c r="C32" s="13">
        <v>7.6499999999999999E-2</v>
      </c>
      <c r="D32" s="2">
        <f>ROUND(B32*C32,0)</f>
        <v>4535</v>
      </c>
      <c r="E32" s="2"/>
      <c r="F32" s="2"/>
      <c r="G32" s="2"/>
      <c r="H32" s="2"/>
      <c r="I32" s="2"/>
      <c r="J32" s="2"/>
    </row>
    <row r="33" spans="1:10" hidden="1" x14ac:dyDescent="0.2">
      <c r="A33" s="12" t="s">
        <v>1264</v>
      </c>
      <c r="B33" s="2">
        <f>+D15</f>
        <v>341208</v>
      </c>
      <c r="C33" s="13">
        <v>7.6499999999999999E-2</v>
      </c>
      <c r="D33" s="2">
        <f>ROUND(B33*C33,0)</f>
        <v>26102</v>
      </c>
      <c r="E33" s="2"/>
      <c r="F33" s="2"/>
      <c r="G33" s="2"/>
      <c r="H33" s="2"/>
      <c r="I33" s="2"/>
      <c r="J33" s="2"/>
    </row>
    <row r="34" spans="1:10" hidden="1" x14ac:dyDescent="0.2">
      <c r="A34" s="30">
        <v>8104</v>
      </c>
      <c r="B34" s="2">
        <f>+D20</f>
        <v>0</v>
      </c>
      <c r="C34" s="13">
        <v>7.6499999999999999E-2</v>
      </c>
      <c r="D34" s="2">
        <f>ROUND(B34*C34,0)</f>
        <v>0</v>
      </c>
      <c r="E34" s="2"/>
      <c r="F34" s="2"/>
      <c r="G34" s="2"/>
      <c r="H34" s="2"/>
      <c r="I34" s="2"/>
      <c r="J34" s="2"/>
    </row>
    <row r="35" spans="1:10" hidden="1" x14ac:dyDescent="0.2">
      <c r="A35" s="12" t="s">
        <v>153</v>
      </c>
      <c r="B35" s="2">
        <f>+D25</f>
        <v>27000</v>
      </c>
      <c r="C35" s="13">
        <v>7.6499999999999999E-2</v>
      </c>
      <c r="D35" s="2">
        <f>ROUND(B35*C35,0)</f>
        <v>2066</v>
      </c>
      <c r="E35" s="2"/>
      <c r="F35" s="2"/>
      <c r="G35" s="2"/>
      <c r="H35" s="2"/>
      <c r="I35" s="2"/>
      <c r="J35" s="2"/>
    </row>
    <row r="36" spans="1:10" ht="15" hidden="1" x14ac:dyDescent="0.35">
      <c r="A36" s="12" t="s">
        <v>154</v>
      </c>
      <c r="B36" s="2">
        <f>+D29</f>
        <v>0</v>
      </c>
      <c r="C36" s="13">
        <v>7.6499999999999999E-2</v>
      </c>
      <c r="D36" s="10">
        <f>ROUND(B36*C36,0)</f>
        <v>0</v>
      </c>
      <c r="E36" s="2"/>
      <c r="F36" s="2"/>
      <c r="G36" s="2"/>
      <c r="H36" s="2"/>
      <c r="I36" s="2"/>
      <c r="J36" s="2"/>
    </row>
    <row r="37" spans="1:10" hidden="1" x14ac:dyDescent="0.2">
      <c r="A37" s="283" t="s">
        <v>1067</v>
      </c>
      <c r="B37" s="283"/>
      <c r="C37" s="283"/>
      <c r="D37" s="2">
        <f>SUM(D32:D36)</f>
        <v>32703</v>
      </c>
      <c r="E37" s="2"/>
      <c r="F37" s="2"/>
      <c r="G37" s="2"/>
      <c r="H37" s="2"/>
      <c r="I37" s="2"/>
      <c r="J37" s="2"/>
    </row>
    <row r="38" spans="1:10" x14ac:dyDescent="0.2">
      <c r="A38" s="283"/>
      <c r="B38" s="283"/>
      <c r="C38" s="283"/>
      <c r="D38" s="2"/>
      <c r="E38" s="2"/>
      <c r="F38" s="2"/>
      <c r="G38" s="2"/>
      <c r="H38" s="2"/>
      <c r="I38" s="2"/>
      <c r="J38" s="2"/>
    </row>
    <row r="39" spans="1:10" ht="13.5" x14ac:dyDescent="0.25">
      <c r="A39" s="14" t="s">
        <v>169</v>
      </c>
      <c r="B39" s="283"/>
      <c r="C39" s="283"/>
      <c r="D39" s="2"/>
      <c r="E39" s="2">
        <v>46860</v>
      </c>
      <c r="F39" s="2">
        <v>48650</v>
      </c>
      <c r="G39" s="2">
        <v>47059</v>
      </c>
      <c r="H39" s="2">
        <v>52364</v>
      </c>
      <c r="I39" s="2">
        <v>54186</v>
      </c>
      <c r="J39" s="2">
        <v>54186</v>
      </c>
    </row>
    <row r="40" spans="1:10" hidden="1" x14ac:dyDescent="0.2">
      <c r="A40" s="12" t="s">
        <v>757</v>
      </c>
      <c r="B40" s="2">
        <f>+B32</f>
        <v>59280</v>
      </c>
      <c r="C40" s="299">
        <v>0.1353</v>
      </c>
      <c r="D40" s="2">
        <f>ROUND(B40*C40,0)</f>
        <v>8021</v>
      </c>
      <c r="E40" s="2"/>
      <c r="F40" s="2"/>
      <c r="G40" s="2"/>
      <c r="H40" s="2"/>
      <c r="I40" s="2"/>
      <c r="J40" s="2"/>
    </row>
    <row r="41" spans="1:10" hidden="1" x14ac:dyDescent="0.2">
      <c r="A41" s="12" t="s">
        <v>1264</v>
      </c>
      <c r="B41" s="2">
        <f>+D15</f>
        <v>341208</v>
      </c>
      <c r="C41" s="299">
        <v>0.1353</v>
      </c>
      <c r="D41" s="2">
        <f>ROUND(B41*C41,0)</f>
        <v>46165</v>
      </c>
      <c r="E41" s="2"/>
      <c r="F41" s="2"/>
      <c r="G41" s="2"/>
      <c r="H41" s="2"/>
      <c r="I41" s="2"/>
      <c r="J41" s="2"/>
    </row>
    <row r="42" spans="1:10" hidden="1" x14ac:dyDescent="0.2">
      <c r="A42" s="30">
        <v>8104</v>
      </c>
      <c r="B42" s="2">
        <f>++B34</f>
        <v>0</v>
      </c>
      <c r="C42" s="299">
        <v>0.1353</v>
      </c>
      <c r="D42" s="2">
        <f>ROUND(B42*C42,0)</f>
        <v>0</v>
      </c>
      <c r="E42" s="2"/>
      <c r="F42" s="2"/>
      <c r="G42" s="2"/>
      <c r="H42" s="2"/>
      <c r="I42" s="2"/>
      <c r="J42" s="2"/>
    </row>
    <row r="43" spans="1:10" ht="15" hidden="1" x14ac:dyDescent="0.35">
      <c r="A43" s="30">
        <v>8111</v>
      </c>
      <c r="B43" s="2">
        <f>+B36</f>
        <v>0</v>
      </c>
      <c r="C43" s="299">
        <v>0.1353</v>
      </c>
      <c r="D43" s="10">
        <f>ROUND(B43*C43,0)</f>
        <v>0</v>
      </c>
      <c r="E43" s="2"/>
      <c r="F43" s="2"/>
      <c r="G43" s="2"/>
      <c r="H43" s="2"/>
      <c r="I43" s="2"/>
      <c r="J43" s="2"/>
    </row>
    <row r="44" spans="1:10" hidden="1" x14ac:dyDescent="0.2">
      <c r="A44" s="283" t="s">
        <v>1067</v>
      </c>
      <c r="B44" s="283" t="s">
        <v>338</v>
      </c>
      <c r="C44" s="2" t="s">
        <v>338</v>
      </c>
      <c r="D44" s="2">
        <f>SUM(D40:D43)</f>
        <v>54186</v>
      </c>
      <c r="E44" s="2"/>
      <c r="F44" s="2"/>
      <c r="G44" s="2"/>
      <c r="H44" s="2"/>
      <c r="I44" s="2"/>
      <c r="J44" s="2"/>
    </row>
    <row r="45" spans="1:10" x14ac:dyDescent="0.2">
      <c r="A45" s="283"/>
      <c r="B45" s="283"/>
      <c r="C45" s="283"/>
      <c r="D45" s="2"/>
      <c r="E45" s="2"/>
      <c r="F45" s="2"/>
      <c r="G45" s="2"/>
      <c r="H45" s="2"/>
      <c r="I45" s="2"/>
      <c r="J45" s="2"/>
    </row>
    <row r="46" spans="1:10" ht="13.5" x14ac:dyDescent="0.25">
      <c r="A46" s="286" t="s">
        <v>559</v>
      </c>
      <c r="B46" s="283"/>
      <c r="C46" s="283"/>
      <c r="D46" s="2"/>
      <c r="E46" s="2">
        <v>74064</v>
      </c>
      <c r="F46" s="2">
        <v>76000</v>
      </c>
      <c r="G46" s="2">
        <v>81000</v>
      </c>
      <c r="H46" s="2">
        <v>81000</v>
      </c>
      <c r="I46" s="2">
        <v>81000</v>
      </c>
      <c r="J46" s="2">
        <v>81000</v>
      </c>
    </row>
    <row r="47" spans="1:10" hidden="1" x14ac:dyDescent="0.2">
      <c r="A47" s="283" t="s">
        <v>358</v>
      </c>
      <c r="B47" s="2">
        <v>4</v>
      </c>
      <c r="C47" s="2">
        <v>20250</v>
      </c>
      <c r="D47" s="2">
        <f>ROUND(B47*C47,0)</f>
        <v>81000</v>
      </c>
      <c r="E47" s="2"/>
      <c r="F47" s="2"/>
      <c r="G47" s="2"/>
      <c r="H47" s="2"/>
      <c r="I47" s="2"/>
      <c r="J47" s="2"/>
    </row>
    <row r="48" spans="1:10" x14ac:dyDescent="0.2">
      <c r="A48" s="283"/>
      <c r="B48" s="283"/>
      <c r="C48" s="283"/>
      <c r="D48" s="2"/>
      <c r="E48" s="2"/>
      <c r="F48" s="2"/>
      <c r="G48" s="2"/>
      <c r="H48" s="2"/>
      <c r="I48" s="2"/>
      <c r="J48" s="2"/>
    </row>
    <row r="49" spans="1:10" ht="13.5" x14ac:dyDescent="0.25">
      <c r="A49" s="286" t="s">
        <v>842</v>
      </c>
      <c r="B49" s="283"/>
      <c r="C49" s="283"/>
      <c r="D49" s="2"/>
      <c r="E49" s="2">
        <v>4981</v>
      </c>
      <c r="F49" s="2">
        <v>4950</v>
      </c>
      <c r="G49" s="2">
        <v>4950</v>
      </c>
      <c r="H49" s="2">
        <v>4950</v>
      </c>
      <c r="I49" s="2">
        <v>4950</v>
      </c>
      <c r="J49" s="2">
        <v>4950</v>
      </c>
    </row>
    <row r="50" spans="1:10" hidden="1" x14ac:dyDescent="0.2">
      <c r="A50" s="283" t="s">
        <v>358</v>
      </c>
      <c r="B50" s="2">
        <v>4</v>
      </c>
      <c r="C50" s="2">
        <v>1375</v>
      </c>
      <c r="D50" s="2">
        <f>ROUND(B50*C50,0)</f>
        <v>5500</v>
      </c>
      <c r="E50" s="2"/>
      <c r="F50" s="2"/>
      <c r="G50" s="2"/>
      <c r="H50" s="2"/>
      <c r="I50" s="2"/>
      <c r="J50" s="2"/>
    </row>
    <row r="51" spans="1:10" ht="15" hidden="1" x14ac:dyDescent="0.35">
      <c r="A51" s="283" t="s">
        <v>193</v>
      </c>
      <c r="B51" s="283"/>
      <c r="C51" s="283"/>
      <c r="D51" s="10">
        <f>+C50*-0.1*4</f>
        <v>-550</v>
      </c>
      <c r="E51" s="2"/>
      <c r="F51" s="2"/>
      <c r="G51" s="2"/>
      <c r="H51" s="2"/>
      <c r="I51" s="2"/>
      <c r="J51" s="2"/>
    </row>
    <row r="52" spans="1:10" hidden="1" x14ac:dyDescent="0.2">
      <c r="A52" s="283" t="s">
        <v>1067</v>
      </c>
      <c r="B52" s="283"/>
      <c r="C52" s="283"/>
      <c r="D52" s="2">
        <f>SUM(D50:D51)</f>
        <v>4950</v>
      </c>
      <c r="E52" s="2"/>
      <c r="F52" s="2"/>
      <c r="G52" s="2"/>
      <c r="H52" s="2"/>
      <c r="I52" s="2"/>
      <c r="J52" s="2"/>
    </row>
    <row r="53" spans="1:10" x14ac:dyDescent="0.2">
      <c r="A53" s="283"/>
      <c r="B53" s="283"/>
      <c r="C53" s="283"/>
      <c r="D53" s="2"/>
      <c r="E53" s="2"/>
      <c r="F53" s="2"/>
      <c r="G53" s="2"/>
      <c r="H53" s="2"/>
      <c r="I53" s="2"/>
      <c r="J53" s="2"/>
    </row>
    <row r="54" spans="1:10" ht="13.5" x14ac:dyDescent="0.25">
      <c r="A54" s="286" t="s">
        <v>668</v>
      </c>
      <c r="B54" s="283"/>
      <c r="C54" s="283"/>
      <c r="D54" s="2"/>
      <c r="E54" s="2">
        <v>726</v>
      </c>
      <c r="F54" s="2">
        <v>540</v>
      </c>
      <c r="G54" s="2">
        <v>580</v>
      </c>
      <c r="H54" s="2">
        <v>580</v>
      </c>
      <c r="I54" s="2">
        <v>580</v>
      </c>
      <c r="J54" s="2">
        <v>580</v>
      </c>
    </row>
    <row r="55" spans="1:10" hidden="1" x14ac:dyDescent="0.2">
      <c r="A55" s="283" t="s">
        <v>358</v>
      </c>
      <c r="B55" s="2">
        <v>4</v>
      </c>
      <c r="C55" s="2">
        <v>145</v>
      </c>
      <c r="D55" s="2">
        <f>ROUND(B55*C55,0)</f>
        <v>580</v>
      </c>
      <c r="E55" s="2"/>
      <c r="F55" s="2"/>
      <c r="G55" s="2"/>
      <c r="H55" s="2"/>
      <c r="I55" s="2"/>
      <c r="J55" s="2"/>
    </row>
    <row r="56" spans="1:10" x14ac:dyDescent="0.2">
      <c r="A56" s="283"/>
      <c r="B56" s="283"/>
      <c r="C56" s="283"/>
      <c r="D56" s="2"/>
      <c r="E56" s="2"/>
      <c r="F56" s="2"/>
      <c r="G56" s="2"/>
      <c r="H56" s="2"/>
      <c r="I56" s="2"/>
      <c r="J56" s="2"/>
    </row>
    <row r="57" spans="1:10" ht="13.5" x14ac:dyDescent="0.25">
      <c r="A57" s="286" t="s">
        <v>669</v>
      </c>
      <c r="B57" s="283"/>
      <c r="C57" s="283"/>
      <c r="D57" s="2"/>
      <c r="E57" s="2">
        <v>3346</v>
      </c>
      <c r="F57" s="2">
        <v>2100</v>
      </c>
      <c r="G57" s="2">
        <v>2260</v>
      </c>
      <c r="H57" s="2">
        <v>2260</v>
      </c>
      <c r="I57" s="2">
        <v>2260</v>
      </c>
      <c r="J57" s="2">
        <v>2260</v>
      </c>
    </row>
    <row r="58" spans="1:10" hidden="1" x14ac:dyDescent="0.2">
      <c r="A58" s="283" t="s">
        <v>358</v>
      </c>
      <c r="B58" s="2">
        <v>4</v>
      </c>
      <c r="C58" s="2">
        <v>565</v>
      </c>
      <c r="D58" s="2">
        <f>ROUND(B58*C58,0)</f>
        <v>2260</v>
      </c>
      <c r="E58" s="2"/>
      <c r="F58" s="2"/>
      <c r="G58" s="2"/>
      <c r="H58" s="2"/>
      <c r="I58" s="2"/>
      <c r="J58" s="2"/>
    </row>
    <row r="59" spans="1:10" x14ac:dyDescent="0.2">
      <c r="A59" s="283"/>
      <c r="B59" s="283"/>
      <c r="C59" s="283"/>
      <c r="D59" s="2"/>
      <c r="E59" s="2"/>
      <c r="F59" s="2"/>
      <c r="G59" s="2"/>
      <c r="H59" s="2"/>
      <c r="I59" s="2"/>
      <c r="J59" s="2"/>
    </row>
    <row r="60" spans="1:10" ht="13.5" x14ac:dyDescent="0.25">
      <c r="A60" s="286" t="s">
        <v>670</v>
      </c>
      <c r="B60" s="283"/>
      <c r="C60" s="283"/>
      <c r="D60" s="2"/>
      <c r="E60" s="2">
        <v>4206</v>
      </c>
      <c r="F60" s="2">
        <v>4957</v>
      </c>
      <c r="G60" s="2">
        <v>4395</v>
      </c>
      <c r="H60" s="2">
        <v>4967</v>
      </c>
      <c r="I60" s="2">
        <v>5137</v>
      </c>
      <c r="J60" s="2">
        <v>5137</v>
      </c>
    </row>
    <row r="61" spans="1:10" hidden="1" x14ac:dyDescent="0.2">
      <c r="A61" s="12" t="s">
        <v>757</v>
      </c>
      <c r="B61" s="2">
        <f>+B40</f>
        <v>59280</v>
      </c>
      <c r="C61" s="13">
        <v>1.89E-3</v>
      </c>
      <c r="D61" s="2">
        <f>ROUND(B61*C61,0)</f>
        <v>112</v>
      </c>
      <c r="E61" s="2"/>
      <c r="F61" s="2"/>
      <c r="G61" s="2"/>
      <c r="H61" s="2"/>
      <c r="I61" s="2"/>
      <c r="J61" s="2"/>
    </row>
    <row r="62" spans="1:10" hidden="1" x14ac:dyDescent="0.2">
      <c r="A62" s="12" t="s">
        <v>1264</v>
      </c>
      <c r="B62" s="2">
        <f>+D15</f>
        <v>341208</v>
      </c>
      <c r="C62" s="13">
        <v>1.457E-2</v>
      </c>
      <c r="D62" s="2">
        <f>ROUND(B62*C62,0)</f>
        <v>4971</v>
      </c>
      <c r="E62" s="2"/>
      <c r="F62" s="2"/>
      <c r="G62" s="2"/>
      <c r="H62" s="2"/>
      <c r="I62" s="2"/>
      <c r="J62" s="2"/>
    </row>
    <row r="63" spans="1:10" hidden="1" x14ac:dyDescent="0.2">
      <c r="A63" s="30">
        <v>8104</v>
      </c>
      <c r="B63" s="2">
        <f>+B42</f>
        <v>0</v>
      </c>
      <c r="C63" s="13">
        <v>1.457E-2</v>
      </c>
      <c r="D63" s="2">
        <f>ROUND(B63*C63,0)</f>
        <v>0</v>
      </c>
      <c r="E63" s="2"/>
      <c r="F63" s="2"/>
      <c r="G63" s="2"/>
      <c r="H63" s="2"/>
      <c r="I63" s="2"/>
      <c r="J63" s="2"/>
    </row>
    <row r="64" spans="1:10" hidden="1" x14ac:dyDescent="0.2">
      <c r="A64" s="12" t="s">
        <v>153</v>
      </c>
      <c r="B64" s="2">
        <f>+B35</f>
        <v>27000</v>
      </c>
      <c r="C64" s="13">
        <v>1.89E-3</v>
      </c>
      <c r="D64" s="2">
        <f>ROUND(B64*C64,0)</f>
        <v>51</v>
      </c>
      <c r="E64" s="2"/>
      <c r="F64" s="2"/>
      <c r="G64" s="2"/>
      <c r="H64" s="2"/>
      <c r="I64" s="2"/>
      <c r="J64" s="2"/>
    </row>
    <row r="65" spans="1:10" ht="15" hidden="1" x14ac:dyDescent="0.35">
      <c r="A65" s="12" t="s">
        <v>154</v>
      </c>
      <c r="B65" s="2">
        <f>+B43</f>
        <v>0</v>
      </c>
      <c r="C65" s="13">
        <v>1.457E-2</v>
      </c>
      <c r="D65" s="10">
        <f>ROUND(B65*C65,0)</f>
        <v>0</v>
      </c>
      <c r="E65" s="2"/>
      <c r="F65" s="2"/>
      <c r="G65" s="2"/>
      <c r="H65" s="2"/>
      <c r="I65" s="2"/>
      <c r="J65" s="2"/>
    </row>
    <row r="66" spans="1:10" hidden="1" x14ac:dyDescent="0.2">
      <c r="A66" s="283" t="s">
        <v>1067</v>
      </c>
      <c r="B66" s="283"/>
      <c r="C66" s="283"/>
      <c r="D66" s="2">
        <f>SUM(D61:D65)+3</f>
        <v>5137</v>
      </c>
      <c r="E66" s="2"/>
      <c r="F66" s="2"/>
      <c r="G66" s="2"/>
      <c r="H66" s="2"/>
      <c r="I66" s="2"/>
      <c r="J66" s="2"/>
    </row>
    <row r="67" spans="1:10" x14ac:dyDescent="0.2">
      <c r="A67" s="283"/>
      <c r="B67" s="283"/>
      <c r="C67" s="283"/>
      <c r="D67" s="2"/>
      <c r="E67" s="2"/>
      <c r="F67" s="2"/>
      <c r="G67" s="2"/>
      <c r="H67" s="2"/>
      <c r="I67" s="2"/>
      <c r="J67" s="2"/>
    </row>
    <row r="68" spans="1:10" ht="13.5" x14ac:dyDescent="0.25">
      <c r="A68" s="286" t="s">
        <v>300</v>
      </c>
      <c r="B68" s="283"/>
      <c r="C68" s="283"/>
      <c r="D68" s="2"/>
      <c r="E68" s="2">
        <v>80</v>
      </c>
      <c r="F68" s="2">
        <v>106</v>
      </c>
      <c r="G68" s="2">
        <v>118</v>
      </c>
      <c r="H68" s="2">
        <v>118</v>
      </c>
      <c r="I68" s="2">
        <v>118</v>
      </c>
      <c r="J68" s="2">
        <v>118</v>
      </c>
    </row>
    <row r="69" spans="1:10" hidden="1" x14ac:dyDescent="0.2">
      <c r="A69" s="12" t="s">
        <v>757</v>
      </c>
      <c r="B69" s="2">
        <v>1</v>
      </c>
      <c r="C69" s="2">
        <v>20</v>
      </c>
      <c r="D69" s="2">
        <f>ROUND(B69*C69,0)</f>
        <v>20</v>
      </c>
      <c r="E69" s="2"/>
      <c r="F69" s="2"/>
      <c r="G69" s="2"/>
      <c r="H69" s="2"/>
      <c r="I69" s="2"/>
      <c r="J69" s="2"/>
    </row>
    <row r="70" spans="1:10" hidden="1" x14ac:dyDescent="0.2">
      <c r="A70" s="12" t="s">
        <v>1264</v>
      </c>
      <c r="B70" s="2">
        <v>2</v>
      </c>
      <c r="C70" s="2">
        <v>20</v>
      </c>
      <c r="D70" s="2">
        <f>ROUND(B70*C70,0)</f>
        <v>40</v>
      </c>
      <c r="E70" s="2"/>
      <c r="F70" s="2"/>
      <c r="G70" s="2"/>
      <c r="H70" s="2"/>
      <c r="I70" s="2"/>
      <c r="J70" s="2"/>
    </row>
    <row r="71" spans="1:10" hidden="1" x14ac:dyDescent="0.2">
      <c r="A71" s="30">
        <v>8104</v>
      </c>
      <c r="B71" s="2">
        <v>1</v>
      </c>
      <c r="C71" s="2">
        <v>20</v>
      </c>
      <c r="D71" s="2">
        <f>ROUND(B71*C71,0)</f>
        <v>20</v>
      </c>
      <c r="E71" s="2"/>
      <c r="F71" s="2"/>
      <c r="G71" s="2"/>
      <c r="H71" s="2"/>
      <c r="I71" s="2"/>
      <c r="J71" s="2"/>
    </row>
    <row r="72" spans="1:10" ht="15" hidden="1" x14ac:dyDescent="0.35">
      <c r="A72" s="12" t="s">
        <v>153</v>
      </c>
      <c r="B72" s="2">
        <f>D25</f>
        <v>27000</v>
      </c>
      <c r="C72" s="13">
        <v>1.4E-3</v>
      </c>
      <c r="D72" s="10">
        <f>ROUND(B72*C72,0)</f>
        <v>38</v>
      </c>
      <c r="E72" s="2"/>
      <c r="F72" s="2"/>
      <c r="G72" s="2"/>
      <c r="H72" s="2"/>
      <c r="I72" s="2"/>
      <c r="J72" s="2"/>
    </row>
    <row r="73" spans="1:10" hidden="1" x14ac:dyDescent="0.2">
      <c r="A73" s="283" t="s">
        <v>1067</v>
      </c>
      <c r="B73" s="283"/>
      <c r="C73" s="283"/>
      <c r="D73" s="2">
        <f>SUM(D69:D72)</f>
        <v>118</v>
      </c>
      <c r="E73" s="2"/>
      <c r="F73" s="2"/>
      <c r="G73" s="2"/>
      <c r="H73" s="2"/>
      <c r="I73" s="2"/>
      <c r="J73" s="2"/>
    </row>
    <row r="74" spans="1:10" x14ac:dyDescent="0.2">
      <c r="A74" s="283"/>
      <c r="B74" s="283"/>
      <c r="C74" s="283"/>
      <c r="D74" s="2"/>
      <c r="E74" s="2"/>
      <c r="F74" s="2"/>
      <c r="G74" s="2"/>
      <c r="H74" s="2"/>
      <c r="I74" s="2"/>
      <c r="J74" s="2"/>
    </row>
    <row r="75" spans="1:10" ht="13.5" x14ac:dyDescent="0.25">
      <c r="A75" s="286" t="s">
        <v>301</v>
      </c>
      <c r="B75" s="283"/>
      <c r="C75" s="283"/>
      <c r="D75" s="2"/>
      <c r="E75" s="2">
        <v>1602</v>
      </c>
      <c r="F75" s="2">
        <v>2000</v>
      </c>
      <c r="G75" s="2">
        <v>2000</v>
      </c>
      <c r="H75" s="2">
        <v>2000</v>
      </c>
      <c r="I75" s="2">
        <v>2000</v>
      </c>
      <c r="J75" s="2">
        <v>2000</v>
      </c>
    </row>
    <row r="76" spans="1:10" x14ac:dyDescent="0.2">
      <c r="A76" s="283" t="s">
        <v>302</v>
      </c>
      <c r="B76" s="283"/>
      <c r="C76" s="2"/>
      <c r="D76" s="2">
        <v>2000</v>
      </c>
      <c r="E76" s="258"/>
      <c r="F76" s="2"/>
      <c r="G76" s="2"/>
      <c r="H76" s="2"/>
      <c r="I76" s="2"/>
      <c r="J76" s="2"/>
    </row>
    <row r="77" spans="1:10" x14ac:dyDescent="0.2">
      <c r="A77" s="283"/>
      <c r="B77" s="283"/>
      <c r="C77" s="2"/>
      <c r="D77" s="2"/>
      <c r="E77" s="2"/>
      <c r="F77" s="2"/>
      <c r="G77" s="2"/>
      <c r="H77" s="2"/>
      <c r="I77" s="2"/>
      <c r="J77" s="2"/>
    </row>
    <row r="78" spans="1:10" ht="13.5" x14ac:dyDescent="0.25">
      <c r="A78" s="286" t="s">
        <v>1334</v>
      </c>
      <c r="B78" s="283"/>
      <c r="C78" s="2"/>
      <c r="D78" s="2"/>
      <c r="E78" s="2">
        <v>0</v>
      </c>
      <c r="F78" s="2">
        <v>1250</v>
      </c>
      <c r="G78" s="2">
        <v>1250</v>
      </c>
      <c r="H78" s="2">
        <v>1250</v>
      </c>
      <c r="I78" s="2">
        <v>1250</v>
      </c>
      <c r="J78" s="2">
        <v>1250</v>
      </c>
    </row>
    <row r="79" spans="1:10" x14ac:dyDescent="0.2">
      <c r="A79" s="22" t="s">
        <v>1361</v>
      </c>
      <c r="B79" s="283"/>
      <c r="C79" s="2"/>
      <c r="D79" s="2"/>
      <c r="E79" s="2"/>
      <c r="F79" s="2"/>
      <c r="G79" s="2"/>
      <c r="H79" s="2"/>
      <c r="I79" s="2"/>
      <c r="J79" s="2"/>
    </row>
    <row r="80" spans="1:10" x14ac:dyDescent="0.2">
      <c r="A80" s="22" t="s">
        <v>1710</v>
      </c>
      <c r="B80" s="283"/>
      <c r="C80" s="2"/>
      <c r="D80" s="283">
        <v>500</v>
      </c>
      <c r="E80" s="258"/>
      <c r="F80" s="258"/>
      <c r="G80" s="258"/>
      <c r="H80" s="267"/>
      <c r="I80" s="316"/>
      <c r="J80" s="316"/>
    </row>
    <row r="81" spans="1:10" ht="15" x14ac:dyDescent="0.35">
      <c r="A81" s="22" t="s">
        <v>1799</v>
      </c>
      <c r="B81" s="283"/>
      <c r="C81" s="2"/>
      <c r="D81" s="10">
        <v>750</v>
      </c>
      <c r="E81" s="258"/>
      <c r="F81" s="258"/>
      <c r="G81" s="258"/>
      <c r="H81" s="267"/>
      <c r="I81" s="316"/>
      <c r="J81" s="316"/>
    </row>
    <row r="82" spans="1:10" x14ac:dyDescent="0.2">
      <c r="A82" s="22"/>
      <c r="B82" s="283"/>
      <c r="C82" s="2"/>
      <c r="D82" s="283">
        <f>SUM(D80:D81)</f>
        <v>1250</v>
      </c>
      <c r="E82" s="258"/>
      <c r="F82" s="258"/>
      <c r="G82" s="258"/>
      <c r="H82" s="267"/>
      <c r="I82" s="316"/>
      <c r="J82" s="316"/>
    </row>
    <row r="83" spans="1:10" x14ac:dyDescent="0.2">
      <c r="A83" s="283"/>
      <c r="B83" s="283"/>
      <c r="C83" s="17"/>
      <c r="D83" s="2"/>
      <c r="E83" s="2"/>
      <c r="F83" s="2"/>
      <c r="G83" s="2"/>
      <c r="H83" s="2"/>
      <c r="I83" s="2"/>
      <c r="J83" s="2"/>
    </row>
    <row r="84" spans="1:10" ht="13.5" x14ac:dyDescent="0.25">
      <c r="A84" s="286" t="s">
        <v>1752</v>
      </c>
      <c r="B84" s="283"/>
      <c r="C84" s="17"/>
      <c r="D84" s="2"/>
      <c r="E84" s="2">
        <v>654</v>
      </c>
      <c r="F84" s="2">
        <v>450</v>
      </c>
      <c r="G84" s="2">
        <v>450</v>
      </c>
      <c r="H84" s="2">
        <v>450</v>
      </c>
      <c r="I84" s="2">
        <v>450</v>
      </c>
      <c r="J84" s="2">
        <v>450</v>
      </c>
    </row>
    <row r="85" spans="1:10" x14ac:dyDescent="0.2">
      <c r="A85" s="283" t="s">
        <v>1925</v>
      </c>
      <c r="B85" s="283"/>
      <c r="C85" s="17"/>
      <c r="D85" s="2">
        <v>450</v>
      </c>
      <c r="E85" s="2"/>
      <c r="F85" s="2"/>
      <c r="G85" s="2"/>
      <c r="H85" s="2"/>
      <c r="I85" s="2"/>
      <c r="J85" s="2"/>
    </row>
    <row r="86" spans="1:10" x14ac:dyDescent="0.2">
      <c r="A86" s="283"/>
      <c r="B86" s="283"/>
      <c r="C86" s="17"/>
      <c r="D86" s="2"/>
      <c r="E86" s="2"/>
      <c r="F86" s="2"/>
      <c r="G86" s="2"/>
      <c r="H86" s="2"/>
      <c r="I86" s="2"/>
      <c r="J86" s="2"/>
    </row>
    <row r="87" spans="1:10" ht="13.5" x14ac:dyDescent="0.25">
      <c r="A87" s="286" t="s">
        <v>309</v>
      </c>
      <c r="B87" s="283"/>
      <c r="C87" s="2"/>
      <c r="D87" s="2"/>
      <c r="E87" s="2">
        <v>0</v>
      </c>
      <c r="F87" s="2">
        <v>100</v>
      </c>
      <c r="G87" s="2">
        <v>100</v>
      </c>
      <c r="H87" s="2">
        <v>100</v>
      </c>
      <c r="I87" s="2">
        <v>100</v>
      </c>
      <c r="J87" s="2">
        <v>100</v>
      </c>
    </row>
    <row r="88" spans="1:10" x14ac:dyDescent="0.2">
      <c r="A88" s="283" t="s">
        <v>960</v>
      </c>
      <c r="B88" s="283"/>
      <c r="C88" s="2"/>
      <c r="D88" s="2">
        <v>100</v>
      </c>
      <c r="E88" s="2"/>
      <c r="F88" s="2"/>
      <c r="G88" s="2"/>
      <c r="H88" s="2"/>
      <c r="I88" s="2"/>
      <c r="J88" s="2"/>
    </row>
    <row r="89" spans="1:10" x14ac:dyDescent="0.2">
      <c r="A89" s="283"/>
      <c r="B89" s="283"/>
      <c r="C89" s="2"/>
      <c r="D89" s="2"/>
      <c r="E89" s="2"/>
      <c r="F89" s="2"/>
      <c r="G89" s="2"/>
      <c r="H89" s="2"/>
      <c r="I89" s="2"/>
      <c r="J89" s="2"/>
    </row>
    <row r="90" spans="1:10" ht="13.5" x14ac:dyDescent="0.25">
      <c r="A90" s="286" t="s">
        <v>745</v>
      </c>
      <c r="B90" s="283"/>
      <c r="C90" s="2"/>
      <c r="D90" s="2"/>
      <c r="E90" s="2">
        <v>96</v>
      </c>
      <c r="F90" s="2">
        <v>230</v>
      </c>
      <c r="G90" s="2">
        <v>230</v>
      </c>
      <c r="H90" s="2">
        <v>230</v>
      </c>
      <c r="I90" s="2">
        <v>230</v>
      </c>
      <c r="J90" s="2">
        <v>230</v>
      </c>
    </row>
    <row r="91" spans="1:10" x14ac:dyDescent="0.2">
      <c r="A91" s="283" t="s">
        <v>334</v>
      </c>
      <c r="B91" s="2" t="s">
        <v>338</v>
      </c>
      <c r="C91" s="2"/>
      <c r="D91" s="2">
        <v>230</v>
      </c>
      <c r="E91" s="2"/>
      <c r="F91" s="2"/>
      <c r="G91" s="2"/>
      <c r="H91" s="2"/>
      <c r="I91" s="2"/>
      <c r="J91" s="2"/>
    </row>
    <row r="92" spans="1:10" x14ac:dyDescent="0.2">
      <c r="A92" s="283"/>
      <c r="B92" s="283"/>
      <c r="C92" s="2"/>
      <c r="D92" s="2"/>
      <c r="E92" s="2"/>
      <c r="F92" s="2"/>
      <c r="G92" s="2"/>
      <c r="H92" s="2"/>
      <c r="I92" s="2"/>
      <c r="J92" s="2"/>
    </row>
    <row r="93" spans="1:10" ht="13.5" x14ac:dyDescent="0.25">
      <c r="A93" s="286" t="s">
        <v>1314</v>
      </c>
      <c r="B93" s="283"/>
      <c r="C93" s="2"/>
      <c r="D93" s="2"/>
      <c r="E93" s="2">
        <v>3155</v>
      </c>
      <c r="F93" s="2">
        <v>3040</v>
      </c>
      <c r="G93" s="2">
        <v>3190</v>
      </c>
      <c r="H93" s="2">
        <v>4210</v>
      </c>
      <c r="I93" s="2">
        <v>4210</v>
      </c>
      <c r="J93" s="2">
        <v>4210</v>
      </c>
    </row>
    <row r="94" spans="1:10" x14ac:dyDescent="0.2">
      <c r="A94" s="283" t="s">
        <v>805</v>
      </c>
      <c r="B94" s="283"/>
      <c r="C94" s="2"/>
      <c r="D94" s="2">
        <v>1000</v>
      </c>
      <c r="E94" s="2"/>
      <c r="F94" s="2"/>
      <c r="G94" s="2"/>
      <c r="H94" s="2"/>
      <c r="I94" s="2"/>
      <c r="J94" s="2"/>
    </row>
    <row r="95" spans="1:10" x14ac:dyDescent="0.2">
      <c r="A95" s="283" t="s">
        <v>1756</v>
      </c>
      <c r="B95" s="283"/>
      <c r="C95" s="2"/>
      <c r="D95" s="2">
        <v>150</v>
      </c>
      <c r="E95" s="2"/>
      <c r="F95" s="2"/>
      <c r="G95" s="2"/>
      <c r="H95" s="2"/>
      <c r="I95" s="2"/>
      <c r="J95" s="2"/>
    </row>
    <row r="96" spans="1:10" ht="15" x14ac:dyDescent="0.35">
      <c r="A96" s="283" t="s">
        <v>2173</v>
      </c>
      <c r="B96" s="283"/>
      <c r="C96" s="10"/>
      <c r="D96" s="10">
        <v>3060</v>
      </c>
      <c r="E96" s="2"/>
      <c r="F96" s="2"/>
      <c r="G96" s="2"/>
      <c r="H96" s="2"/>
      <c r="I96" s="2"/>
      <c r="J96" s="2"/>
    </row>
    <row r="97" spans="1:10" x14ac:dyDescent="0.2">
      <c r="A97" s="283" t="s">
        <v>1067</v>
      </c>
      <c r="B97" s="283"/>
      <c r="C97" s="2"/>
      <c r="D97" s="2">
        <f>SUM(D94:D96)</f>
        <v>4210</v>
      </c>
      <c r="E97" s="2"/>
      <c r="F97" s="2"/>
      <c r="G97" s="2"/>
      <c r="H97" s="2"/>
      <c r="I97" s="2"/>
      <c r="J97" s="2"/>
    </row>
    <row r="98" spans="1:10" x14ac:dyDescent="0.2">
      <c r="A98" s="283"/>
      <c r="B98" s="283"/>
      <c r="C98" s="17"/>
      <c r="D98" s="2"/>
      <c r="E98" s="2"/>
      <c r="F98" s="2"/>
      <c r="G98" s="2"/>
      <c r="H98" s="2"/>
      <c r="I98" s="2"/>
      <c r="J98" s="2"/>
    </row>
    <row r="99" spans="1:10" ht="13.5" x14ac:dyDescent="0.25">
      <c r="A99" s="286" t="s">
        <v>105</v>
      </c>
      <c r="B99" s="283"/>
      <c r="C99" s="2"/>
      <c r="D99" s="2"/>
      <c r="E99" s="2">
        <v>2001</v>
      </c>
      <c r="F99" s="2">
        <v>2505</v>
      </c>
      <c r="G99" s="2">
        <v>2505</v>
      </c>
      <c r="H99" s="2">
        <v>2505</v>
      </c>
      <c r="I99" s="2">
        <v>2505</v>
      </c>
      <c r="J99" s="2">
        <v>2505</v>
      </c>
    </row>
    <row r="100" spans="1:10" x14ac:dyDescent="0.2">
      <c r="A100" s="283" t="s">
        <v>106</v>
      </c>
      <c r="B100" s="283"/>
      <c r="C100" s="2"/>
      <c r="D100" s="2">
        <v>550</v>
      </c>
      <c r="E100" s="2"/>
      <c r="F100" s="2"/>
      <c r="G100" s="2"/>
      <c r="H100" s="2"/>
      <c r="I100" s="2"/>
      <c r="J100" s="2"/>
    </row>
    <row r="101" spans="1:10" x14ac:dyDescent="0.2">
      <c r="A101" s="283" t="s">
        <v>1162</v>
      </c>
      <c r="B101" s="283"/>
      <c r="C101" s="2"/>
      <c r="D101" s="2">
        <v>25</v>
      </c>
      <c r="E101" s="2"/>
      <c r="F101" s="2"/>
      <c r="G101" s="2"/>
      <c r="H101" s="2"/>
      <c r="I101" s="2"/>
      <c r="J101" s="2"/>
    </row>
    <row r="102" spans="1:10" x14ac:dyDescent="0.2">
      <c r="A102" s="283" t="s">
        <v>1800</v>
      </c>
      <c r="B102" s="283"/>
      <c r="C102" s="2"/>
      <c r="D102" s="2">
        <v>80</v>
      </c>
      <c r="E102" s="2"/>
      <c r="F102" s="2"/>
      <c r="G102" s="2"/>
      <c r="H102" s="2"/>
      <c r="I102" s="2"/>
      <c r="J102" s="2"/>
    </row>
    <row r="103" spans="1:10" x14ac:dyDescent="0.2">
      <c r="A103" s="283" t="s">
        <v>1531</v>
      </c>
      <c r="B103" s="283"/>
      <c r="C103" s="2"/>
      <c r="D103" s="2">
        <v>150</v>
      </c>
      <c r="E103" s="2"/>
      <c r="F103" s="2"/>
      <c r="G103" s="2"/>
      <c r="H103" s="2"/>
      <c r="I103" s="2"/>
      <c r="J103" s="2"/>
    </row>
    <row r="104" spans="1:10" x14ac:dyDescent="0.2">
      <c r="A104" s="283" t="s">
        <v>1801</v>
      </c>
      <c r="B104" s="283"/>
      <c r="C104" s="2"/>
      <c r="D104" s="2">
        <v>150</v>
      </c>
      <c r="E104" s="2"/>
      <c r="F104" s="2"/>
      <c r="G104" s="2"/>
      <c r="H104" s="2"/>
      <c r="I104" s="2"/>
      <c r="J104" s="2"/>
    </row>
    <row r="105" spans="1:10" x14ac:dyDescent="0.2">
      <c r="A105" s="283" t="s">
        <v>1802</v>
      </c>
      <c r="B105" s="283"/>
      <c r="C105" s="2"/>
      <c r="D105" s="2">
        <v>150</v>
      </c>
      <c r="E105" s="2"/>
      <c r="F105" s="2"/>
      <c r="G105" s="2"/>
      <c r="H105" s="2"/>
      <c r="I105" s="2"/>
      <c r="J105" s="2"/>
    </row>
    <row r="106" spans="1:10" x14ac:dyDescent="0.2">
      <c r="A106" s="283" t="s">
        <v>961</v>
      </c>
      <c r="B106" s="283"/>
      <c r="C106" s="2"/>
      <c r="D106" s="2">
        <v>100</v>
      </c>
      <c r="E106" s="2"/>
      <c r="F106" s="2"/>
      <c r="G106" s="2"/>
      <c r="H106" s="2"/>
      <c r="I106" s="2"/>
      <c r="J106" s="2"/>
    </row>
    <row r="107" spans="1:10" x14ac:dyDescent="0.2">
      <c r="A107" s="283" t="s">
        <v>1634</v>
      </c>
      <c r="B107" s="283"/>
      <c r="C107" s="2"/>
      <c r="D107" s="2">
        <v>100</v>
      </c>
      <c r="E107" s="2"/>
      <c r="F107" s="2"/>
      <c r="G107" s="2"/>
      <c r="H107" s="2"/>
      <c r="I107" s="2"/>
      <c r="J107" s="2"/>
    </row>
    <row r="108" spans="1:10" ht="15" x14ac:dyDescent="0.35">
      <c r="A108" s="283" t="s">
        <v>88</v>
      </c>
      <c r="B108" s="283"/>
      <c r="C108" s="10"/>
      <c r="D108" s="10">
        <v>1200</v>
      </c>
      <c r="E108" s="2"/>
      <c r="F108" s="2"/>
      <c r="G108" s="2"/>
      <c r="H108" s="2"/>
      <c r="I108" s="2"/>
      <c r="J108" s="2"/>
    </row>
    <row r="109" spans="1:10" x14ac:dyDescent="0.2">
      <c r="A109" s="283" t="s">
        <v>1067</v>
      </c>
      <c r="B109" s="283"/>
      <c r="C109" s="2"/>
      <c r="D109" s="2">
        <f>SUM(D100:D108)</f>
        <v>2505</v>
      </c>
      <c r="E109" s="2"/>
      <c r="F109" s="2"/>
      <c r="G109" s="2"/>
      <c r="H109" s="2"/>
      <c r="I109" s="2"/>
      <c r="J109" s="2"/>
    </row>
    <row r="110" spans="1:10" x14ac:dyDescent="0.2">
      <c r="A110" s="283"/>
      <c r="B110" s="283"/>
      <c r="C110" s="17"/>
      <c r="D110" s="2"/>
      <c r="E110" s="2"/>
      <c r="F110" s="258"/>
      <c r="G110" s="258"/>
      <c r="H110" s="267"/>
      <c r="I110" s="316"/>
      <c r="J110" s="316"/>
    </row>
    <row r="111" spans="1:10" ht="13.5" x14ac:dyDescent="0.25">
      <c r="A111" s="16" t="s">
        <v>953</v>
      </c>
      <c r="B111" s="283"/>
      <c r="C111" s="2"/>
      <c r="D111" s="2"/>
      <c r="E111" s="2">
        <v>2866</v>
      </c>
      <c r="F111" s="2">
        <v>3374</v>
      </c>
      <c r="G111" s="2">
        <v>3543</v>
      </c>
      <c r="H111" s="2">
        <v>3543</v>
      </c>
      <c r="I111" s="2">
        <v>3543</v>
      </c>
      <c r="J111" s="2">
        <v>3543</v>
      </c>
    </row>
    <row r="112" spans="1:10" x14ac:dyDescent="0.2">
      <c r="A112" s="283" t="s">
        <v>733</v>
      </c>
      <c r="B112" s="283"/>
      <c r="C112" s="2"/>
      <c r="D112" s="2">
        <v>3543</v>
      </c>
      <c r="E112" s="2"/>
      <c r="F112" s="2"/>
      <c r="G112" s="2"/>
      <c r="H112" s="2"/>
      <c r="I112" s="2"/>
      <c r="J112" s="2"/>
    </row>
    <row r="113" spans="1:10" x14ac:dyDescent="0.2">
      <c r="A113" s="283"/>
      <c r="B113" s="283"/>
      <c r="C113" s="2"/>
      <c r="D113" s="2"/>
      <c r="E113" s="2"/>
      <c r="F113" s="258"/>
      <c r="G113" s="258"/>
      <c r="H113" s="267"/>
      <c r="I113" s="316"/>
      <c r="J113" s="316"/>
    </row>
    <row r="114" spans="1:10" ht="13.5" x14ac:dyDescent="0.25">
      <c r="A114" s="286" t="s">
        <v>603</v>
      </c>
      <c r="B114" s="283"/>
      <c r="C114" s="2"/>
      <c r="D114" s="2"/>
      <c r="E114" s="2">
        <v>1065</v>
      </c>
      <c r="F114" s="2">
        <v>500</v>
      </c>
      <c r="G114" s="2">
        <v>1000</v>
      </c>
      <c r="H114" s="2">
        <v>1000</v>
      </c>
      <c r="I114" s="2">
        <v>1000</v>
      </c>
      <c r="J114" s="2">
        <v>1000</v>
      </c>
    </row>
    <row r="115" spans="1:10" x14ac:dyDescent="0.2">
      <c r="A115" s="283" t="s">
        <v>1300</v>
      </c>
      <c r="B115" s="283"/>
      <c r="C115" s="2"/>
      <c r="D115" s="2">
        <v>1000</v>
      </c>
      <c r="E115" s="2"/>
      <c r="F115" s="2"/>
      <c r="G115" s="2"/>
      <c r="H115" s="2"/>
      <c r="I115" s="2"/>
      <c r="J115" s="2"/>
    </row>
    <row r="116" spans="1:10" x14ac:dyDescent="0.2">
      <c r="A116" s="283"/>
      <c r="B116" s="283"/>
      <c r="C116" s="2"/>
      <c r="D116" s="2"/>
      <c r="E116" s="2"/>
      <c r="F116" s="2"/>
      <c r="G116" s="2"/>
      <c r="H116" s="2"/>
      <c r="I116" s="2"/>
      <c r="J116" s="2"/>
    </row>
    <row r="117" spans="1:10" ht="13.5" x14ac:dyDescent="0.25">
      <c r="A117" s="286" t="s">
        <v>1301</v>
      </c>
      <c r="B117" s="283"/>
      <c r="C117" s="2"/>
      <c r="D117" s="2"/>
      <c r="E117" s="2">
        <v>2836</v>
      </c>
      <c r="F117" s="2">
        <v>5175</v>
      </c>
      <c r="G117" s="2">
        <v>4000</v>
      </c>
      <c r="H117" s="2">
        <v>4000</v>
      </c>
      <c r="I117" s="2">
        <v>4000</v>
      </c>
      <c r="J117" s="2">
        <v>4000</v>
      </c>
    </row>
    <row r="118" spans="1:10" x14ac:dyDescent="0.2">
      <c r="A118" s="283" t="s">
        <v>725</v>
      </c>
      <c r="B118" s="283"/>
      <c r="C118" s="2"/>
      <c r="D118" s="2">
        <v>1350</v>
      </c>
      <c r="E118" s="2"/>
      <c r="F118" s="2"/>
      <c r="G118" s="2"/>
      <c r="H118" s="2"/>
      <c r="I118" s="2"/>
      <c r="J118" s="2"/>
    </row>
    <row r="119" spans="1:10" x14ac:dyDescent="0.2">
      <c r="A119" s="283" t="s">
        <v>1532</v>
      </c>
      <c r="B119" s="283"/>
      <c r="C119" s="2"/>
      <c r="D119" s="2">
        <v>825</v>
      </c>
      <c r="E119" s="2"/>
      <c r="F119" s="2"/>
      <c r="G119" s="2"/>
      <c r="H119" s="2"/>
      <c r="I119" s="2"/>
      <c r="J119" s="2"/>
    </row>
    <row r="120" spans="1:10" ht="15" x14ac:dyDescent="0.35">
      <c r="A120" s="283" t="s">
        <v>1418</v>
      </c>
      <c r="B120" s="283"/>
      <c r="C120" s="2"/>
      <c r="D120" s="10">
        <v>1825</v>
      </c>
      <c r="E120" s="2"/>
      <c r="F120" s="2"/>
      <c r="G120" s="2"/>
      <c r="H120" s="2"/>
      <c r="I120" s="2"/>
      <c r="J120" s="2"/>
    </row>
    <row r="121" spans="1:10" x14ac:dyDescent="0.2">
      <c r="A121" s="283" t="s">
        <v>1067</v>
      </c>
      <c r="B121" s="283"/>
      <c r="C121" s="2"/>
      <c r="D121" s="2">
        <f>SUM(D118:D120)</f>
        <v>4000</v>
      </c>
      <c r="E121" s="2"/>
      <c r="F121" s="2"/>
      <c r="G121" s="2"/>
      <c r="H121" s="2"/>
      <c r="I121" s="2"/>
      <c r="J121" s="2"/>
    </row>
    <row r="122" spans="1:10" x14ac:dyDescent="0.2">
      <c r="A122" s="283"/>
      <c r="B122" s="283"/>
      <c r="C122" s="2"/>
      <c r="D122" s="2"/>
      <c r="E122" s="2"/>
      <c r="F122" s="2"/>
      <c r="G122" s="2"/>
      <c r="H122" s="2"/>
      <c r="I122" s="2"/>
      <c r="J122" s="2"/>
    </row>
    <row r="123" spans="1:10" ht="13.5" x14ac:dyDescent="0.25">
      <c r="A123" s="286" t="s">
        <v>880</v>
      </c>
      <c r="B123" s="283"/>
      <c r="C123" s="2"/>
      <c r="D123" s="2"/>
      <c r="E123" s="2">
        <v>625</v>
      </c>
      <c r="F123" s="2">
        <v>1500</v>
      </c>
      <c r="G123" s="2">
        <v>1500</v>
      </c>
      <c r="H123" s="2">
        <v>1500</v>
      </c>
      <c r="I123" s="2">
        <v>1500</v>
      </c>
      <c r="J123" s="2">
        <v>1500</v>
      </c>
    </row>
    <row r="124" spans="1:10" x14ac:dyDescent="0.2">
      <c r="A124" s="283" t="s">
        <v>1459</v>
      </c>
      <c r="B124" s="283"/>
      <c r="C124" s="2"/>
      <c r="D124" s="2">
        <v>1500</v>
      </c>
      <c r="E124" s="2"/>
      <c r="F124" s="2"/>
      <c r="G124" s="2"/>
      <c r="H124" s="2"/>
      <c r="I124" s="2"/>
      <c r="J124" s="2"/>
    </row>
    <row r="125" spans="1:10" x14ac:dyDescent="0.2">
      <c r="A125" s="283"/>
      <c r="B125" s="283"/>
      <c r="C125" s="2"/>
      <c r="D125" s="2"/>
      <c r="E125" s="2"/>
      <c r="F125" s="2"/>
      <c r="G125" s="2"/>
      <c r="H125" s="2"/>
      <c r="I125" s="2"/>
      <c r="J125" s="2"/>
    </row>
    <row r="126" spans="1:10" ht="13.5" x14ac:dyDescent="0.25">
      <c r="A126" s="286" t="s">
        <v>100</v>
      </c>
      <c r="B126" s="283"/>
      <c r="C126" s="2"/>
      <c r="D126" s="2"/>
      <c r="E126" s="2">
        <f>7377</f>
        <v>7377</v>
      </c>
      <c r="F126" s="2">
        <v>2500</v>
      </c>
      <c r="G126" s="2">
        <v>7500</v>
      </c>
      <c r="H126" s="2">
        <v>7500</v>
      </c>
      <c r="I126" s="2">
        <v>7500</v>
      </c>
      <c r="J126" s="2">
        <v>7500</v>
      </c>
    </row>
    <row r="127" spans="1:10" x14ac:dyDescent="0.2">
      <c r="A127" s="22" t="s">
        <v>1711</v>
      </c>
      <c r="B127" s="283"/>
      <c r="C127" s="2"/>
      <c r="D127" s="2">
        <v>2000</v>
      </c>
      <c r="E127" s="2"/>
      <c r="F127" s="258"/>
      <c r="G127" s="258"/>
      <c r="H127" s="267"/>
      <c r="I127" s="316"/>
      <c r="J127" s="316"/>
    </row>
    <row r="128" spans="1:10" s="258" customFormat="1" x14ac:dyDescent="0.2">
      <c r="A128" s="22" t="s">
        <v>1419</v>
      </c>
      <c r="B128" s="283"/>
      <c r="C128" s="2"/>
      <c r="D128" s="2">
        <v>500</v>
      </c>
      <c r="E128" s="2"/>
      <c r="H128" s="267"/>
      <c r="I128" s="316"/>
      <c r="J128" s="316"/>
    </row>
    <row r="129" spans="1:10" ht="15" x14ac:dyDescent="0.35">
      <c r="A129" s="22" t="s">
        <v>268</v>
      </c>
      <c r="B129" s="283"/>
      <c r="C129" s="2"/>
      <c r="D129" s="10">
        <v>5000</v>
      </c>
      <c r="E129" s="2"/>
      <c r="F129" s="258"/>
      <c r="G129" s="258"/>
      <c r="H129" s="267"/>
      <c r="I129" s="316"/>
      <c r="J129" s="316"/>
    </row>
    <row r="130" spans="1:10" x14ac:dyDescent="0.2">
      <c r="A130" s="22" t="s">
        <v>1067</v>
      </c>
      <c r="B130" s="283"/>
      <c r="C130" s="2"/>
      <c r="D130" s="2">
        <f>SUM(D127:D129)</f>
        <v>7500</v>
      </c>
      <c r="E130" s="2"/>
      <c r="F130" s="258"/>
      <c r="G130" s="258"/>
      <c r="H130" s="267"/>
      <c r="I130" s="316"/>
      <c r="J130" s="316"/>
    </row>
    <row r="131" spans="1:10" x14ac:dyDescent="0.2">
      <c r="A131" s="22"/>
      <c r="B131" s="283"/>
      <c r="C131" s="2"/>
      <c r="D131" s="2"/>
      <c r="E131" s="2"/>
      <c r="F131" s="258"/>
      <c r="G131" s="258"/>
      <c r="H131" s="267"/>
      <c r="I131" s="316"/>
      <c r="J131" s="316"/>
    </row>
    <row r="132" spans="1:10" x14ac:dyDescent="0.2">
      <c r="A132" s="283"/>
      <c r="B132" s="283"/>
      <c r="C132" s="2"/>
      <c r="D132" s="2"/>
      <c r="E132" s="2"/>
      <c r="F132" s="2"/>
      <c r="G132" s="2"/>
      <c r="H132" s="2"/>
      <c r="I132" s="2"/>
      <c r="J132" s="2"/>
    </row>
    <row r="133" spans="1:10" ht="13.5" x14ac:dyDescent="0.25">
      <c r="A133" s="286" t="s">
        <v>881</v>
      </c>
      <c r="B133" s="283"/>
      <c r="C133" s="2"/>
      <c r="D133" s="2"/>
      <c r="E133" s="2">
        <v>0</v>
      </c>
      <c r="F133" s="2">
        <v>100</v>
      </c>
      <c r="G133" s="2">
        <v>100</v>
      </c>
      <c r="H133" s="2">
        <v>100</v>
      </c>
      <c r="I133" s="2">
        <v>100</v>
      </c>
      <c r="J133" s="2">
        <v>100</v>
      </c>
    </row>
    <row r="134" spans="1:10" x14ac:dyDescent="0.2">
      <c r="A134" s="283" t="s">
        <v>1269</v>
      </c>
      <c r="B134" s="283"/>
      <c r="C134" s="2"/>
      <c r="D134" s="2">
        <v>100</v>
      </c>
      <c r="E134" s="2"/>
      <c r="F134" s="2"/>
      <c r="G134" s="2"/>
      <c r="H134" s="2"/>
      <c r="I134" s="2"/>
      <c r="J134" s="2"/>
    </row>
    <row r="135" spans="1:10" x14ac:dyDescent="0.2">
      <c r="A135" s="283"/>
      <c r="B135" s="283"/>
      <c r="C135" s="2"/>
      <c r="D135" s="2"/>
      <c r="E135" s="2"/>
      <c r="F135" s="2"/>
      <c r="G135" s="2"/>
      <c r="H135" s="2"/>
      <c r="I135" s="2"/>
      <c r="J135" s="2"/>
    </row>
    <row r="136" spans="1:10" ht="13.5" x14ac:dyDescent="0.25">
      <c r="A136" s="286" t="s">
        <v>655</v>
      </c>
      <c r="B136" s="283"/>
      <c r="C136" s="2"/>
      <c r="D136" s="2"/>
      <c r="E136" s="2">
        <f>1282+640</f>
        <v>1922</v>
      </c>
      <c r="F136" s="2">
        <v>1500</v>
      </c>
      <c r="G136" s="2">
        <v>1500</v>
      </c>
      <c r="H136" s="2">
        <v>1500</v>
      </c>
      <c r="I136" s="2">
        <v>1500</v>
      </c>
      <c r="J136" s="2">
        <v>1500</v>
      </c>
    </row>
    <row r="137" spans="1:10" x14ac:dyDescent="0.2">
      <c r="A137" s="283" t="s">
        <v>1635</v>
      </c>
      <c r="B137" s="283"/>
      <c r="C137" s="2"/>
      <c r="D137" s="2">
        <v>1500</v>
      </c>
      <c r="E137" s="2"/>
      <c r="F137" s="2"/>
      <c r="G137" s="2"/>
      <c r="H137" s="2"/>
      <c r="I137" s="2"/>
      <c r="J137" s="2"/>
    </row>
    <row r="138" spans="1:10" x14ac:dyDescent="0.2">
      <c r="A138" s="283"/>
      <c r="B138" s="283"/>
      <c r="C138" s="18"/>
      <c r="D138" s="2"/>
      <c r="E138" s="2"/>
      <c r="F138" s="2"/>
      <c r="G138" s="2"/>
      <c r="H138" s="2"/>
      <c r="I138" s="2"/>
      <c r="J138" s="2"/>
    </row>
    <row r="139" spans="1:10" ht="15" x14ac:dyDescent="0.35">
      <c r="A139" s="286" t="s">
        <v>656</v>
      </c>
      <c r="B139" s="283"/>
      <c r="C139" s="2"/>
      <c r="D139" s="10">
        <v>0</v>
      </c>
      <c r="E139" s="10">
        <v>1093</v>
      </c>
      <c r="F139" s="10">
        <v>2000</v>
      </c>
      <c r="G139" s="10">
        <v>2000</v>
      </c>
      <c r="H139" s="10">
        <v>2000</v>
      </c>
      <c r="I139" s="10">
        <v>2000</v>
      </c>
      <c r="J139" s="10">
        <v>2000</v>
      </c>
    </row>
    <row r="140" spans="1:10" x14ac:dyDescent="0.2">
      <c r="A140" s="283" t="s">
        <v>1420</v>
      </c>
      <c r="B140" s="283"/>
      <c r="C140" s="2"/>
      <c r="D140" s="283"/>
      <c r="E140" s="206"/>
      <c r="F140" s="206"/>
      <c r="G140" s="206"/>
      <c r="H140" s="267"/>
      <c r="I140" s="227"/>
    </row>
    <row r="141" spans="1:10" x14ac:dyDescent="0.2">
      <c r="B141" s="206"/>
      <c r="C141" s="2"/>
      <c r="D141" s="2"/>
      <c r="E141" s="3"/>
      <c r="H141" s="267"/>
      <c r="I141" s="227"/>
    </row>
    <row r="142" spans="1:10" x14ac:dyDescent="0.2">
      <c r="A142" s="183" t="s">
        <v>1144</v>
      </c>
      <c r="B142" s="206"/>
      <c r="C142" s="2"/>
      <c r="D142" s="2"/>
      <c r="E142" s="2">
        <f t="shared" ref="E142:J142" si="0">SUM(E6:E141)</f>
        <v>552626</v>
      </c>
      <c r="F142" s="2">
        <f t="shared" si="0"/>
        <v>555913</v>
      </c>
      <c r="G142" s="2">
        <f t="shared" si="0"/>
        <v>577712</v>
      </c>
      <c r="H142" s="2">
        <f t="shared" si="0"/>
        <v>623818</v>
      </c>
      <c r="I142" s="2">
        <f t="shared" si="0"/>
        <v>640310</v>
      </c>
      <c r="J142" s="2">
        <f t="shared" si="0"/>
        <v>640310</v>
      </c>
    </row>
    <row r="143" spans="1:10" x14ac:dyDescent="0.2">
      <c r="B143" s="206"/>
      <c r="C143" s="2"/>
      <c r="D143" s="206"/>
      <c r="H143" s="267"/>
      <c r="I143" s="227"/>
    </row>
    <row r="144" spans="1:10" x14ac:dyDescent="0.2">
      <c r="A144" s="183" t="s">
        <v>511</v>
      </c>
      <c r="E144" s="2">
        <f>SUM(E6:E74)</f>
        <v>527334</v>
      </c>
      <c r="F144" s="2">
        <f>SUM(F6:F74)</f>
        <v>529689</v>
      </c>
      <c r="G144" s="2">
        <f>SUM(G6:G74)</f>
        <v>546844</v>
      </c>
      <c r="H144" s="2">
        <f t="shared" ref="H144" si="1">SUM(H6:H74)</f>
        <v>591930</v>
      </c>
      <c r="I144" s="2">
        <f>SUM(I6:I74)</f>
        <v>608422</v>
      </c>
      <c r="J144" s="2">
        <f>SUM(J6:J74)</f>
        <v>608422</v>
      </c>
    </row>
    <row r="145" spans="1:10" x14ac:dyDescent="0.2">
      <c r="A145" s="183" t="s">
        <v>803</v>
      </c>
      <c r="E145" s="2">
        <f t="shared" ref="E145:J145" si="2">SUM(E75:E136)</f>
        <v>24199</v>
      </c>
      <c r="F145" s="2">
        <f t="shared" si="2"/>
        <v>24224</v>
      </c>
      <c r="G145" s="2">
        <f t="shared" si="2"/>
        <v>28868</v>
      </c>
      <c r="H145" s="2">
        <f t="shared" ref="H145" si="3">SUM(H75:H136)</f>
        <v>29888</v>
      </c>
      <c r="I145" s="2">
        <f>SUM(I75:I136)</f>
        <v>29888</v>
      </c>
      <c r="J145" s="2">
        <f t="shared" si="2"/>
        <v>29888</v>
      </c>
    </row>
    <row r="146" spans="1:10" ht="15" x14ac:dyDescent="0.35">
      <c r="A146" s="183" t="s">
        <v>804</v>
      </c>
      <c r="E146" s="10">
        <f t="shared" ref="E146:J146" si="4">SUM(E139:E141)</f>
        <v>1093</v>
      </c>
      <c r="F146" s="10">
        <f t="shared" si="4"/>
        <v>2000</v>
      </c>
      <c r="G146" s="10">
        <f t="shared" si="4"/>
        <v>2000</v>
      </c>
      <c r="H146" s="10">
        <f t="shared" ref="H146" si="5">SUM(H139:H141)</f>
        <v>2000</v>
      </c>
      <c r="I146" s="10">
        <f>SUM(I139:I141)</f>
        <v>2000</v>
      </c>
      <c r="J146" s="10">
        <f t="shared" si="4"/>
        <v>2000</v>
      </c>
    </row>
    <row r="147" spans="1:10" x14ac:dyDescent="0.2">
      <c r="A147" s="183" t="s">
        <v>1067</v>
      </c>
      <c r="E147" s="2">
        <f t="shared" ref="E147:J147" si="6">SUM(E144:E146)</f>
        <v>552626</v>
      </c>
      <c r="F147" s="2">
        <f t="shared" si="6"/>
        <v>555913</v>
      </c>
      <c r="G147" s="2">
        <f t="shared" si="6"/>
        <v>577712</v>
      </c>
      <c r="H147" s="2">
        <f t="shared" ref="H147" si="7">SUM(H144:H146)</f>
        <v>623818</v>
      </c>
      <c r="I147" s="2">
        <f>SUM(I144:I146)</f>
        <v>640310</v>
      </c>
      <c r="J147" s="2">
        <f t="shared" si="6"/>
        <v>640310</v>
      </c>
    </row>
    <row r="148" spans="1:10" x14ac:dyDescent="0.2">
      <c r="H148" s="267"/>
      <c r="I148" s="227"/>
    </row>
    <row r="149" spans="1:10" x14ac:dyDescent="0.2">
      <c r="H149" s="267"/>
      <c r="I149" s="227"/>
      <c r="J149" s="2">
        <v>16492</v>
      </c>
    </row>
    <row r="150" spans="1:10" x14ac:dyDescent="0.2">
      <c r="H150" s="267"/>
      <c r="I150" s="2">
        <f>I147-H147</f>
        <v>16492</v>
      </c>
      <c r="J150" s="2">
        <f>J147-H147</f>
        <v>16492</v>
      </c>
    </row>
    <row r="151" spans="1:10" x14ac:dyDescent="0.2">
      <c r="H151" s="267"/>
      <c r="I151" s="227"/>
      <c r="J151" s="2">
        <f>J149-J150</f>
        <v>0</v>
      </c>
    </row>
    <row r="152" spans="1:10" x14ac:dyDescent="0.2">
      <c r="H152" s="267"/>
      <c r="I152" s="227"/>
    </row>
    <row r="153" spans="1:10" x14ac:dyDescent="0.2">
      <c r="H153" s="267"/>
      <c r="I153" s="227"/>
    </row>
    <row r="154" spans="1:10" x14ac:dyDescent="0.2">
      <c r="H154" s="267"/>
      <c r="I154" s="227"/>
    </row>
    <row r="155" spans="1:10" x14ac:dyDescent="0.2">
      <c r="H155" s="267"/>
      <c r="I155" s="227"/>
    </row>
    <row r="156" spans="1:10" x14ac:dyDescent="0.2">
      <c r="H156" s="267"/>
      <c r="I156" s="227"/>
    </row>
    <row r="157" spans="1:10" x14ac:dyDescent="0.2">
      <c r="H157" s="267"/>
      <c r="I157" s="227"/>
    </row>
    <row r="158" spans="1:10" x14ac:dyDescent="0.2">
      <c r="H158" s="267"/>
      <c r="I158" s="227"/>
    </row>
    <row r="159" spans="1:10" x14ac:dyDescent="0.2">
      <c r="H159" s="267"/>
      <c r="I159" s="227"/>
    </row>
    <row r="160" spans="1:10" x14ac:dyDescent="0.2">
      <c r="H160" s="267"/>
      <c r="I160" s="227"/>
    </row>
    <row r="161" spans="8:9" x14ac:dyDescent="0.2">
      <c r="H161" s="267"/>
      <c r="I161" s="227"/>
    </row>
    <row r="162" spans="8:9" x14ac:dyDescent="0.2">
      <c r="H162" s="267"/>
      <c r="I162" s="227"/>
    </row>
    <row r="163" spans="8:9" x14ac:dyDescent="0.2">
      <c r="H163" s="267"/>
      <c r="I163" s="227"/>
    </row>
    <row r="164" spans="8:9" x14ac:dyDescent="0.2">
      <c r="H164" s="267"/>
      <c r="I164" s="227"/>
    </row>
    <row r="165" spans="8:9" x14ac:dyDescent="0.2">
      <c r="H165" s="267"/>
      <c r="I165" s="227"/>
    </row>
    <row r="166" spans="8:9" x14ac:dyDescent="0.2">
      <c r="H166" s="267"/>
      <c r="I166" s="227"/>
    </row>
    <row r="167" spans="8:9" x14ac:dyDescent="0.2">
      <c r="H167" s="267"/>
      <c r="I167" s="227"/>
    </row>
    <row r="168" spans="8:9" x14ac:dyDescent="0.2">
      <c r="H168" s="267"/>
      <c r="I168" s="227"/>
    </row>
    <row r="169" spans="8:9" x14ac:dyDescent="0.2">
      <c r="H169" s="267"/>
      <c r="I169" s="227"/>
    </row>
    <row r="170" spans="8:9" x14ac:dyDescent="0.2">
      <c r="H170" s="267"/>
      <c r="I170" s="227"/>
    </row>
    <row r="171" spans="8:9" x14ac:dyDescent="0.2">
      <c r="H171" s="267"/>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2" manualBreakCount="2">
    <brk id="77" max="9" man="1"/>
    <brk id="121"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383"/>
  <sheetViews>
    <sheetView view="pageBreakPreview" zoomScaleNormal="100" zoomScaleSheetLayoutView="100" workbookViewId="0">
      <pane ySplit="5" topLeftCell="A282" activePane="bottomLeft" state="frozen"/>
      <selection activeCell="D43" sqref="D43"/>
      <selection pane="bottomLeft" sqref="A1:J1"/>
    </sheetView>
  </sheetViews>
  <sheetFormatPr defaultColWidth="51.140625" defaultRowHeight="12.75" x14ac:dyDescent="0.2"/>
  <cols>
    <col min="1" max="1" width="51.140625" style="183" customWidth="1"/>
    <col min="2" max="6" width="10.85546875" style="183" customWidth="1"/>
    <col min="7" max="7" width="11.7109375" style="183" bestFit="1" customWidth="1"/>
    <col min="8" max="8" width="12.85546875" style="183" customWidth="1"/>
    <col min="9" max="9" width="11.28515625" style="183" bestFit="1" customWidth="1"/>
    <col min="10" max="10" width="10.85546875" style="183" customWidth="1"/>
    <col min="11" max="73" width="12.7109375" style="183" customWidth="1"/>
    <col min="74" max="16384" width="51.140625" style="183"/>
  </cols>
  <sheetData>
    <row r="1" spans="1:10" x14ac:dyDescent="0.2">
      <c r="A1" s="319" t="s">
        <v>2038</v>
      </c>
      <c r="B1" s="320"/>
      <c r="C1" s="320"/>
      <c r="D1" s="320"/>
      <c r="E1" s="320"/>
      <c r="F1" s="320"/>
      <c r="G1" s="320"/>
      <c r="H1" s="320"/>
      <c r="I1" s="320"/>
      <c r="J1" s="320"/>
    </row>
    <row r="2" spans="1:10" ht="18.75" x14ac:dyDescent="0.3">
      <c r="A2" s="95" t="s">
        <v>1560</v>
      </c>
      <c r="B2" s="95"/>
      <c r="C2" s="95"/>
      <c r="D2" s="95"/>
      <c r="E2" s="95"/>
      <c r="F2" s="95"/>
      <c r="G2" s="229"/>
      <c r="H2" s="229"/>
      <c r="I2" s="229"/>
      <c r="J2" s="229"/>
    </row>
    <row r="3" spans="1:10" x14ac:dyDescent="0.2">
      <c r="A3" s="229"/>
      <c r="B3" s="2"/>
      <c r="C3" s="2"/>
      <c r="D3" s="2"/>
      <c r="E3" s="2"/>
      <c r="F3" s="2"/>
      <c r="G3" s="229"/>
      <c r="H3" s="229"/>
      <c r="I3" s="229"/>
      <c r="J3" s="229"/>
    </row>
    <row r="4" spans="1:10" x14ac:dyDescent="0.2">
      <c r="A4" s="229"/>
      <c r="B4" s="2"/>
      <c r="C4" s="2"/>
      <c r="D4" s="2"/>
      <c r="E4" s="15" t="s">
        <v>199</v>
      </c>
      <c r="F4" s="15" t="s">
        <v>200</v>
      </c>
      <c r="G4" s="15" t="s">
        <v>60</v>
      </c>
      <c r="H4" s="15" t="s">
        <v>351</v>
      </c>
      <c r="I4" s="15" t="s">
        <v>264</v>
      </c>
      <c r="J4" s="15" t="s">
        <v>295</v>
      </c>
    </row>
    <row r="5" spans="1:10" ht="15" x14ac:dyDescent="0.35">
      <c r="A5" s="229"/>
      <c r="B5" s="2"/>
      <c r="C5" s="2"/>
      <c r="D5" s="2"/>
      <c r="E5" s="232" t="s">
        <v>1825</v>
      </c>
      <c r="F5" s="232" t="s">
        <v>1947</v>
      </c>
      <c r="G5" s="232" t="s">
        <v>2039</v>
      </c>
      <c r="H5" s="232" t="s">
        <v>2039</v>
      </c>
      <c r="I5" s="232" t="s">
        <v>2039</v>
      </c>
      <c r="J5" s="232" t="s">
        <v>2039</v>
      </c>
    </row>
    <row r="6" spans="1:10" ht="13.5" x14ac:dyDescent="0.25">
      <c r="A6" s="237" t="s">
        <v>657</v>
      </c>
      <c r="B6" s="214"/>
      <c r="C6" s="214"/>
      <c r="D6" s="214"/>
      <c r="E6" s="214">
        <v>43418</v>
      </c>
      <c r="F6" s="214">
        <v>44650</v>
      </c>
      <c r="G6" s="214">
        <v>46010</v>
      </c>
      <c r="H6" s="214">
        <v>46010</v>
      </c>
      <c r="I6" s="214">
        <v>46010</v>
      </c>
      <c r="J6" s="214">
        <v>46010</v>
      </c>
    </row>
    <row r="7" spans="1:10" x14ac:dyDescent="0.2">
      <c r="A7" s="217" t="s">
        <v>340</v>
      </c>
      <c r="B7" s="214">
        <v>52</v>
      </c>
      <c r="C7" s="214">
        <f>22.12*40</f>
        <v>884.80000000000007</v>
      </c>
      <c r="D7" s="218">
        <f>ROUND(B7*C7,0)</f>
        <v>46010</v>
      </c>
      <c r="E7" s="214"/>
      <c r="F7" s="214"/>
      <c r="G7" s="214"/>
      <c r="H7" s="214"/>
      <c r="I7" s="214"/>
      <c r="J7" s="214"/>
    </row>
    <row r="8" spans="1:10" x14ac:dyDescent="0.2">
      <c r="A8" s="217" t="s">
        <v>1067</v>
      </c>
      <c r="B8" s="214"/>
      <c r="C8" s="214"/>
      <c r="D8" s="214">
        <f>SUM(D7:D7)</f>
        <v>46010</v>
      </c>
      <c r="E8" s="214"/>
      <c r="F8" s="214"/>
      <c r="G8" s="214"/>
      <c r="H8" s="214"/>
      <c r="I8" s="214"/>
      <c r="J8" s="214"/>
    </row>
    <row r="9" spans="1:10" x14ac:dyDescent="0.2">
      <c r="A9" s="217"/>
      <c r="B9" s="214"/>
      <c r="C9" s="214"/>
      <c r="D9" s="214"/>
      <c r="E9" s="214"/>
      <c r="F9" s="214"/>
      <c r="G9" s="214"/>
      <c r="H9" s="214"/>
      <c r="I9" s="214"/>
      <c r="J9" s="214"/>
    </row>
    <row r="10" spans="1:10" ht="13.5" x14ac:dyDescent="0.25">
      <c r="A10" s="237" t="s">
        <v>1154</v>
      </c>
      <c r="B10" s="214"/>
      <c r="C10" s="214"/>
      <c r="D10" s="214"/>
      <c r="E10" s="214">
        <v>265144</v>
      </c>
      <c r="F10" s="214">
        <v>284644</v>
      </c>
      <c r="G10" s="214">
        <v>290655</v>
      </c>
      <c r="H10" s="214">
        <v>290655</v>
      </c>
      <c r="I10" s="214">
        <v>293712</v>
      </c>
      <c r="J10" s="214">
        <v>293712</v>
      </c>
    </row>
    <row r="11" spans="1:10" x14ac:dyDescent="0.2">
      <c r="A11" s="217" t="s">
        <v>201</v>
      </c>
      <c r="B11" s="214">
        <v>52</v>
      </c>
      <c r="C11" s="214">
        <v>1735</v>
      </c>
      <c r="D11" s="214">
        <f>ROUND(B11*C11,0)</f>
        <v>90220</v>
      </c>
      <c r="E11" s="214"/>
      <c r="F11" s="214"/>
      <c r="G11" s="214"/>
      <c r="H11" s="214"/>
      <c r="I11" s="214"/>
      <c r="J11" s="214"/>
    </row>
    <row r="12" spans="1:10" x14ac:dyDescent="0.2">
      <c r="A12" s="217" t="s">
        <v>1009</v>
      </c>
      <c r="B12" s="214">
        <v>52</v>
      </c>
      <c r="C12" s="214">
        <f>31.9*40</f>
        <v>1276</v>
      </c>
      <c r="D12" s="214">
        <f>ROUND(B12*C12,0)</f>
        <v>66352</v>
      </c>
      <c r="E12" s="214"/>
      <c r="F12" s="214"/>
      <c r="G12" s="214"/>
      <c r="H12" s="214"/>
      <c r="I12" s="214"/>
      <c r="J12" s="214"/>
    </row>
    <row r="13" spans="1:10" x14ac:dyDescent="0.2">
      <c r="A13" s="217" t="s">
        <v>202</v>
      </c>
      <c r="B13" s="214">
        <v>52</v>
      </c>
      <c r="C13" s="214">
        <f>32.11*40</f>
        <v>1284.4000000000001</v>
      </c>
      <c r="D13" s="214">
        <f>ROUND(B13*C13,0)</f>
        <v>66789</v>
      </c>
      <c r="E13" s="214"/>
      <c r="F13" s="214"/>
      <c r="G13" s="214"/>
      <c r="H13" s="214"/>
      <c r="I13" s="214"/>
      <c r="J13" s="214"/>
    </row>
    <row r="14" spans="1:10" x14ac:dyDescent="0.2">
      <c r="A14" s="217" t="s">
        <v>1828</v>
      </c>
      <c r="B14" s="214">
        <v>52</v>
      </c>
      <c r="C14" s="214">
        <f>29.57*40</f>
        <v>1182.8</v>
      </c>
      <c r="D14" s="214">
        <f>ROUND(B14*C14,0)</f>
        <v>61506</v>
      </c>
      <c r="E14" s="214"/>
      <c r="F14" s="214"/>
      <c r="G14" s="214"/>
      <c r="H14" s="214"/>
      <c r="I14" s="214"/>
      <c r="J14" s="214"/>
    </row>
    <row r="15" spans="1:10" x14ac:dyDescent="0.2">
      <c r="A15" s="217" t="s">
        <v>616</v>
      </c>
      <c r="B15" s="214">
        <v>112</v>
      </c>
      <c r="C15" s="214">
        <f>AVERAGE(C12:C14)/40*1.5</f>
        <v>46.790000000000006</v>
      </c>
      <c r="D15" s="214">
        <f>+C15*B15</f>
        <v>5240.4800000000005</v>
      </c>
      <c r="E15" s="214"/>
      <c r="F15" s="214"/>
      <c r="G15" s="214"/>
      <c r="H15" s="214"/>
      <c r="I15" s="214"/>
      <c r="J15" s="214"/>
    </row>
    <row r="16" spans="1:10" x14ac:dyDescent="0.2">
      <c r="A16" s="217" t="s">
        <v>818</v>
      </c>
      <c r="B16" s="214"/>
      <c r="C16" s="214"/>
      <c r="D16" s="218">
        <v>3605</v>
      </c>
      <c r="E16" s="214"/>
      <c r="F16" s="214"/>
      <c r="G16" s="214"/>
      <c r="H16" s="214"/>
      <c r="I16" s="214"/>
      <c r="J16" s="214"/>
    </row>
    <row r="17" spans="1:10" x14ac:dyDescent="0.2">
      <c r="A17" s="217" t="s">
        <v>1067</v>
      </c>
      <c r="B17" s="214"/>
      <c r="C17" s="214"/>
      <c r="D17" s="214">
        <f>SUM(D11:D16)</f>
        <v>293712.48</v>
      </c>
      <c r="E17" s="214"/>
      <c r="F17" s="214"/>
      <c r="G17" s="214"/>
      <c r="H17" s="214"/>
      <c r="I17" s="214"/>
      <c r="J17" s="214"/>
    </row>
    <row r="18" spans="1:10" x14ac:dyDescent="0.2">
      <c r="A18" s="217"/>
      <c r="B18" s="214"/>
      <c r="C18" s="214"/>
      <c r="D18" s="214"/>
      <c r="E18" s="214"/>
      <c r="F18" s="214"/>
      <c r="G18" s="214"/>
      <c r="H18" s="214"/>
      <c r="I18" s="214"/>
      <c r="J18" s="214"/>
    </row>
    <row r="19" spans="1:10" ht="13.5" x14ac:dyDescent="0.25">
      <c r="A19" s="237" t="s">
        <v>607</v>
      </c>
      <c r="B19" s="214"/>
      <c r="C19" s="214"/>
      <c r="D19" s="214"/>
      <c r="E19" s="214">
        <v>744990</v>
      </c>
      <c r="F19" s="214">
        <v>857604</v>
      </c>
      <c r="G19" s="214">
        <v>857105</v>
      </c>
      <c r="H19" s="214">
        <v>847350</v>
      </c>
      <c r="I19" s="214">
        <v>847350</v>
      </c>
      <c r="J19" s="214">
        <v>905368</v>
      </c>
    </row>
    <row r="20" spans="1:10" x14ac:dyDescent="0.2">
      <c r="A20" s="217" t="s">
        <v>1747</v>
      </c>
      <c r="B20" s="214">
        <v>52</v>
      </c>
      <c r="C20" s="214">
        <f>24.47*40</f>
        <v>978.8</v>
      </c>
      <c r="D20" s="214">
        <f t="shared" ref="D20:D38" si="0">+C20*B20</f>
        <v>50897.599999999999</v>
      </c>
      <c r="E20" s="214"/>
      <c r="F20" s="214"/>
      <c r="G20" s="214"/>
      <c r="H20" s="214"/>
      <c r="I20" s="214"/>
      <c r="J20" s="214"/>
    </row>
    <row r="21" spans="1:10" x14ac:dyDescent="0.2">
      <c r="A21" s="217" t="s">
        <v>1747</v>
      </c>
      <c r="B21" s="214">
        <v>52</v>
      </c>
      <c r="C21" s="214">
        <f>24.47*40</f>
        <v>978.8</v>
      </c>
      <c r="D21" s="214">
        <f t="shared" si="0"/>
        <v>50897.599999999999</v>
      </c>
      <c r="E21" s="214"/>
      <c r="F21" s="214"/>
      <c r="G21" s="214"/>
      <c r="H21" s="214"/>
      <c r="I21" s="214"/>
      <c r="J21" s="214"/>
    </row>
    <row r="22" spans="1:10" x14ac:dyDescent="0.2">
      <c r="A22" s="217" t="s">
        <v>1747</v>
      </c>
      <c r="B22" s="214">
        <v>52</v>
      </c>
      <c r="C22" s="214">
        <f>23.87*40</f>
        <v>954.80000000000007</v>
      </c>
      <c r="D22" s="214">
        <f t="shared" si="0"/>
        <v>49649.600000000006</v>
      </c>
      <c r="E22" s="214"/>
      <c r="F22" s="214"/>
      <c r="G22" s="214"/>
      <c r="H22" s="214"/>
      <c r="I22" s="214"/>
      <c r="J22" s="214"/>
    </row>
    <row r="23" spans="1:10" x14ac:dyDescent="0.2">
      <c r="A23" s="217" t="s">
        <v>1747</v>
      </c>
      <c r="B23" s="214">
        <v>52</v>
      </c>
      <c r="C23" s="214">
        <f>23.87*40</f>
        <v>954.80000000000007</v>
      </c>
      <c r="D23" s="214">
        <f t="shared" si="0"/>
        <v>49649.600000000006</v>
      </c>
      <c r="E23" s="214"/>
      <c r="F23" s="214"/>
      <c r="G23" s="214"/>
      <c r="H23" s="214"/>
      <c r="I23" s="214"/>
      <c r="J23" s="214"/>
    </row>
    <row r="24" spans="1:10" x14ac:dyDescent="0.2">
      <c r="A24" s="217" t="s">
        <v>1747</v>
      </c>
      <c r="B24" s="214">
        <v>52</v>
      </c>
      <c r="C24" s="214">
        <f>23.29*40</f>
        <v>931.59999999999991</v>
      </c>
      <c r="D24" s="214">
        <f t="shared" si="0"/>
        <v>48443.199999999997</v>
      </c>
      <c r="E24" s="214"/>
      <c r="F24" s="214"/>
      <c r="G24" s="214"/>
      <c r="H24" s="214"/>
      <c r="I24" s="214"/>
      <c r="J24" s="214"/>
    </row>
    <row r="25" spans="1:10" x14ac:dyDescent="0.2">
      <c r="A25" s="217" t="s">
        <v>1747</v>
      </c>
      <c r="B25" s="214">
        <v>52</v>
      </c>
      <c r="C25" s="214">
        <f>22.95*40</f>
        <v>918</v>
      </c>
      <c r="D25" s="214">
        <f t="shared" si="0"/>
        <v>47736</v>
      </c>
      <c r="E25" s="214"/>
      <c r="F25" s="214"/>
      <c r="G25" s="214"/>
      <c r="H25" s="214"/>
      <c r="I25" s="214"/>
      <c r="J25" s="214"/>
    </row>
    <row r="26" spans="1:10" x14ac:dyDescent="0.2">
      <c r="A26" s="217" t="s">
        <v>1747</v>
      </c>
      <c r="B26" s="214">
        <v>52</v>
      </c>
      <c r="C26" s="214">
        <f>22.95*40</f>
        <v>918</v>
      </c>
      <c r="D26" s="214">
        <f t="shared" si="0"/>
        <v>47736</v>
      </c>
      <c r="E26" s="214"/>
      <c r="F26" s="214"/>
      <c r="G26" s="214"/>
      <c r="H26" s="214"/>
      <c r="I26" s="214"/>
      <c r="J26" s="214"/>
    </row>
    <row r="27" spans="1:10" x14ac:dyDescent="0.2">
      <c r="A27" s="217" t="s">
        <v>1747</v>
      </c>
      <c r="B27" s="214">
        <v>52</v>
      </c>
      <c r="C27" s="214">
        <f>22.95*40</f>
        <v>918</v>
      </c>
      <c r="D27" s="214">
        <f t="shared" si="0"/>
        <v>47736</v>
      </c>
      <c r="E27" s="214"/>
      <c r="F27" s="214"/>
      <c r="G27" s="214"/>
      <c r="H27" s="214"/>
      <c r="I27" s="214"/>
      <c r="J27" s="214"/>
    </row>
    <row r="28" spans="1:10" x14ac:dyDescent="0.2">
      <c r="A28" s="217" t="s">
        <v>1747</v>
      </c>
      <c r="B28" s="214">
        <v>52</v>
      </c>
      <c r="C28" s="214">
        <f t="shared" ref="C28:C29" si="1">22.95*40</f>
        <v>918</v>
      </c>
      <c r="D28" s="214">
        <f t="shared" si="0"/>
        <v>47736</v>
      </c>
      <c r="E28" s="214"/>
      <c r="F28" s="214"/>
      <c r="G28" s="214"/>
      <c r="H28" s="214"/>
      <c r="I28" s="214"/>
      <c r="J28" s="214"/>
    </row>
    <row r="29" spans="1:10" s="227" customFormat="1" x14ac:dyDescent="0.2">
      <c r="A29" s="217" t="s">
        <v>1747</v>
      </c>
      <c r="B29" s="214">
        <v>52</v>
      </c>
      <c r="C29" s="214">
        <f t="shared" si="1"/>
        <v>918</v>
      </c>
      <c r="D29" s="214">
        <f>+C29*B29</f>
        <v>47736</v>
      </c>
      <c r="E29" s="214"/>
      <c r="F29" s="214"/>
      <c r="G29" s="214"/>
      <c r="H29" s="214"/>
      <c r="I29" s="214"/>
      <c r="J29" s="214"/>
    </row>
    <row r="30" spans="1:10" x14ac:dyDescent="0.2">
      <c r="A30" s="217" t="s">
        <v>1747</v>
      </c>
      <c r="B30" s="214">
        <v>52</v>
      </c>
      <c r="C30" s="214">
        <f>22.52*40</f>
        <v>900.8</v>
      </c>
      <c r="D30" s="214">
        <f t="shared" si="0"/>
        <v>46841.599999999999</v>
      </c>
      <c r="E30" s="214"/>
      <c r="F30" s="214"/>
      <c r="G30" s="214"/>
      <c r="H30" s="214"/>
      <c r="I30" s="214"/>
      <c r="J30" s="214"/>
    </row>
    <row r="31" spans="1:10" x14ac:dyDescent="0.2">
      <c r="A31" s="217" t="s">
        <v>1747</v>
      </c>
      <c r="B31" s="214">
        <v>52</v>
      </c>
      <c r="C31" s="214">
        <f>22.09*40</f>
        <v>883.6</v>
      </c>
      <c r="D31" s="214">
        <f>+C31*B31</f>
        <v>45947.200000000004</v>
      </c>
      <c r="E31" s="214"/>
      <c r="F31" s="214"/>
      <c r="G31" s="214"/>
      <c r="H31" s="214"/>
      <c r="I31" s="214"/>
      <c r="J31" s="214"/>
    </row>
    <row r="32" spans="1:10" x14ac:dyDescent="0.2">
      <c r="A32" s="217" t="s">
        <v>1747</v>
      </c>
      <c r="B32" s="214">
        <v>52</v>
      </c>
      <c r="C32" s="214">
        <f>22.09*40</f>
        <v>883.6</v>
      </c>
      <c r="D32" s="214">
        <f>+C32*B32</f>
        <v>45947.200000000004</v>
      </c>
      <c r="E32" s="214"/>
      <c r="F32" s="214"/>
      <c r="G32" s="214"/>
      <c r="H32" s="214"/>
      <c r="I32" s="214"/>
      <c r="J32" s="214"/>
    </row>
    <row r="33" spans="1:10" x14ac:dyDescent="0.2">
      <c r="A33" s="217" t="s">
        <v>1748</v>
      </c>
      <c r="B33" s="214">
        <v>52</v>
      </c>
      <c r="C33" s="214">
        <f>25.5*40</f>
        <v>1020</v>
      </c>
      <c r="D33" s="214">
        <f t="shared" si="0"/>
        <v>53040</v>
      </c>
      <c r="E33" s="214"/>
      <c r="F33" s="214"/>
      <c r="G33" s="214"/>
      <c r="H33" s="214"/>
      <c r="I33" s="214"/>
      <c r="J33" s="214"/>
    </row>
    <row r="34" spans="1:10" x14ac:dyDescent="0.2">
      <c r="A34" s="217" t="s">
        <v>1748</v>
      </c>
      <c r="B34" s="214">
        <v>52</v>
      </c>
      <c r="C34" s="214">
        <f>25.5*40</f>
        <v>1020</v>
      </c>
      <c r="D34" s="214">
        <f t="shared" si="0"/>
        <v>53040</v>
      </c>
      <c r="E34" s="214"/>
      <c r="F34" s="214"/>
      <c r="G34" s="214"/>
      <c r="H34" s="214"/>
      <c r="I34" s="214"/>
      <c r="J34" s="214"/>
    </row>
    <row r="35" spans="1:10" x14ac:dyDescent="0.2">
      <c r="A35" s="217" t="s">
        <v>1171</v>
      </c>
      <c r="B35" s="214">
        <v>52</v>
      </c>
      <c r="C35" s="214">
        <f>26.46*40</f>
        <v>1058.4000000000001</v>
      </c>
      <c r="D35" s="214">
        <f t="shared" si="0"/>
        <v>55036.800000000003</v>
      </c>
      <c r="E35" s="214"/>
      <c r="F35" s="214"/>
      <c r="G35" s="214"/>
      <c r="H35" s="214"/>
      <c r="I35" s="214"/>
      <c r="J35" s="214"/>
    </row>
    <row r="36" spans="1:10" x14ac:dyDescent="0.2">
      <c r="A36" s="217" t="s">
        <v>1510</v>
      </c>
      <c r="B36" s="214">
        <v>52</v>
      </c>
      <c r="C36" s="214">
        <f>18.01*40</f>
        <v>720.40000000000009</v>
      </c>
      <c r="D36" s="214">
        <f t="shared" si="0"/>
        <v>37460.800000000003</v>
      </c>
      <c r="E36" s="214"/>
      <c r="F36" s="214"/>
      <c r="G36" s="214"/>
      <c r="H36" s="214"/>
      <c r="I36" s="214"/>
      <c r="J36" s="214"/>
    </row>
    <row r="37" spans="1:10" x14ac:dyDescent="0.2">
      <c r="A37" s="217" t="s">
        <v>1510</v>
      </c>
      <c r="B37" s="214">
        <v>52</v>
      </c>
      <c r="C37" s="214">
        <f t="shared" ref="C37:C38" si="2">18.01*40</f>
        <v>720.40000000000009</v>
      </c>
      <c r="D37" s="214">
        <f t="shared" si="0"/>
        <v>37460.800000000003</v>
      </c>
      <c r="E37" s="214"/>
      <c r="F37" s="214"/>
      <c r="G37" s="214"/>
      <c r="H37" s="214"/>
      <c r="I37" s="214"/>
      <c r="J37" s="214"/>
    </row>
    <row r="38" spans="1:10" x14ac:dyDescent="0.2">
      <c r="A38" s="217" t="s">
        <v>1510</v>
      </c>
      <c r="B38" s="214">
        <v>52</v>
      </c>
      <c r="C38" s="214">
        <f t="shared" si="2"/>
        <v>720.40000000000009</v>
      </c>
      <c r="D38" s="214">
        <f t="shared" si="0"/>
        <v>37460.800000000003</v>
      </c>
      <c r="E38" s="214"/>
      <c r="F38" s="214"/>
      <c r="G38" s="214"/>
      <c r="H38" s="214"/>
      <c r="I38" s="214"/>
      <c r="J38" s="214"/>
    </row>
    <row r="39" spans="1:10" x14ac:dyDescent="0.2">
      <c r="A39" s="217" t="s">
        <v>1497</v>
      </c>
      <c r="B39" s="214"/>
      <c r="C39" s="214"/>
      <c r="D39" s="214">
        <v>3325</v>
      </c>
      <c r="E39" s="214"/>
      <c r="F39" s="214"/>
      <c r="G39" s="214"/>
      <c r="H39" s="214"/>
      <c r="I39" s="214"/>
      <c r="J39" s="214"/>
    </row>
    <row r="40" spans="1:10" x14ac:dyDescent="0.2">
      <c r="A40" s="217" t="s">
        <v>818</v>
      </c>
      <c r="B40" s="214" t="s">
        <v>338</v>
      </c>
      <c r="C40" s="214" t="s">
        <v>719</v>
      </c>
      <c r="D40" s="218">
        <f>1063+527</f>
        <v>1590</v>
      </c>
      <c r="E40" s="214"/>
      <c r="F40" s="214"/>
      <c r="G40" s="214"/>
      <c r="H40" s="214"/>
      <c r="I40" s="214"/>
      <c r="J40" s="214"/>
    </row>
    <row r="41" spans="1:10" x14ac:dyDescent="0.2">
      <c r="A41" s="217" t="s">
        <v>1067</v>
      </c>
      <c r="B41" s="214"/>
      <c r="C41" s="214"/>
      <c r="D41" s="214">
        <f>SUM(D20:D40)</f>
        <v>905367.8</v>
      </c>
      <c r="E41" s="214"/>
      <c r="F41" s="214"/>
      <c r="G41" s="214"/>
      <c r="H41" s="214"/>
      <c r="I41" s="214"/>
      <c r="J41" s="214"/>
    </row>
    <row r="42" spans="1:10" x14ac:dyDescent="0.2">
      <c r="A42" s="217"/>
      <c r="B42" s="214"/>
      <c r="C42" s="214"/>
      <c r="D42" s="214"/>
      <c r="E42" s="214"/>
      <c r="F42" s="214"/>
      <c r="G42" s="214"/>
      <c r="H42" s="214"/>
      <c r="I42" s="214"/>
      <c r="J42" s="214"/>
    </row>
    <row r="43" spans="1:10" ht="13.5" x14ac:dyDescent="0.25">
      <c r="A43" s="237" t="s">
        <v>470</v>
      </c>
      <c r="B43" s="214"/>
      <c r="C43" s="214"/>
      <c r="D43" s="214" t="s">
        <v>338</v>
      </c>
      <c r="E43" s="214">
        <v>22847</v>
      </c>
      <c r="F43" s="214">
        <v>31231</v>
      </c>
      <c r="G43" s="214">
        <v>31231</v>
      </c>
      <c r="H43" s="214">
        <v>31231</v>
      </c>
      <c r="I43" s="214">
        <v>31231</v>
      </c>
      <c r="J43" s="214">
        <v>31231</v>
      </c>
    </row>
    <row r="44" spans="1:10" x14ac:dyDescent="0.2">
      <c r="A44" s="217" t="s">
        <v>438</v>
      </c>
      <c r="B44" s="214"/>
      <c r="C44" s="214"/>
      <c r="D44" s="214"/>
      <c r="E44" s="214"/>
      <c r="F44" s="214"/>
      <c r="G44" s="214"/>
      <c r="H44" s="214"/>
      <c r="I44" s="214"/>
      <c r="J44" s="214"/>
    </row>
    <row r="45" spans="1:10" x14ac:dyDescent="0.2">
      <c r="A45" s="217" t="s">
        <v>441</v>
      </c>
      <c r="B45" s="214" t="s">
        <v>338</v>
      </c>
      <c r="C45" s="214"/>
      <c r="D45" s="214">
        <v>7000</v>
      </c>
      <c r="E45" s="214"/>
      <c r="F45" s="214"/>
      <c r="G45" s="214"/>
      <c r="H45" s="214"/>
      <c r="I45" s="214"/>
      <c r="J45" s="214"/>
    </row>
    <row r="46" spans="1:10" x14ac:dyDescent="0.2">
      <c r="A46" s="217" t="s">
        <v>439</v>
      </c>
      <c r="B46" s="214"/>
      <c r="C46" s="214"/>
      <c r="D46" s="214"/>
      <c r="E46" s="214"/>
      <c r="F46" s="214"/>
      <c r="G46" s="214"/>
      <c r="H46" s="214"/>
      <c r="I46" s="214"/>
      <c r="J46" s="214"/>
    </row>
    <row r="47" spans="1:10" x14ac:dyDescent="0.2">
      <c r="A47" s="217" t="s">
        <v>440</v>
      </c>
      <c r="B47" s="214"/>
      <c r="C47" s="214"/>
      <c r="D47" s="218">
        <f>23000+1231</f>
        <v>24231</v>
      </c>
      <c r="E47" s="214"/>
      <c r="F47" s="214"/>
      <c r="G47" s="214"/>
      <c r="H47" s="214"/>
      <c r="I47" s="214"/>
      <c r="J47" s="214"/>
    </row>
    <row r="48" spans="1:10" x14ac:dyDescent="0.2">
      <c r="A48" s="217" t="s">
        <v>1067</v>
      </c>
      <c r="B48" s="214"/>
      <c r="C48" s="214"/>
      <c r="D48" s="214">
        <f>SUM(D44:D47)</f>
        <v>31231</v>
      </c>
      <c r="E48" s="214"/>
      <c r="F48" s="214"/>
      <c r="G48" s="214"/>
      <c r="H48" s="214"/>
      <c r="I48" s="214"/>
      <c r="J48" s="214"/>
    </row>
    <row r="49" spans="1:10" x14ac:dyDescent="0.2">
      <c r="A49" s="217"/>
      <c r="B49" s="214"/>
      <c r="C49" s="214"/>
      <c r="D49" s="214"/>
      <c r="E49" s="214"/>
      <c r="F49" s="214"/>
      <c r="G49" s="214"/>
      <c r="H49" s="214"/>
      <c r="I49" s="214"/>
      <c r="J49" s="214"/>
    </row>
    <row r="50" spans="1:10" ht="13.5" x14ac:dyDescent="0.25">
      <c r="A50" s="237" t="s">
        <v>645</v>
      </c>
      <c r="B50" s="214"/>
      <c r="C50" s="214"/>
      <c r="D50" s="214"/>
      <c r="E50" s="214">
        <v>21617</v>
      </c>
      <c r="F50" s="214">
        <v>36247</v>
      </c>
      <c r="G50" s="214">
        <v>36740</v>
      </c>
      <c r="H50" s="214">
        <v>36740</v>
      </c>
      <c r="I50" s="214">
        <v>37121</v>
      </c>
      <c r="J50" s="214">
        <v>37121</v>
      </c>
    </row>
    <row r="51" spans="1:10" x14ac:dyDescent="0.2">
      <c r="A51" s="217" t="s">
        <v>1335</v>
      </c>
      <c r="B51" s="214">
        <v>1920</v>
      </c>
      <c r="C51" s="301">
        <v>13.5</v>
      </c>
      <c r="D51" s="214">
        <f>ROUND(B51*C51,0)</f>
        <v>25920</v>
      </c>
      <c r="E51" s="214"/>
      <c r="F51" s="214"/>
      <c r="G51" s="214"/>
      <c r="H51" s="214"/>
      <c r="I51" s="214"/>
      <c r="J51" s="214"/>
    </row>
    <row r="52" spans="1:10" x14ac:dyDescent="0.2">
      <c r="A52" s="217" t="s">
        <v>2007</v>
      </c>
      <c r="B52" s="214">
        <f>12*52</f>
        <v>624</v>
      </c>
      <c r="C52" s="301">
        <v>17.95</v>
      </c>
      <c r="D52" s="218">
        <f>ROUND((B52*C52),0)</f>
        <v>11201</v>
      </c>
      <c r="E52" s="214"/>
      <c r="F52" s="214"/>
      <c r="G52" s="214"/>
      <c r="H52" s="214"/>
      <c r="I52" s="214"/>
      <c r="J52" s="214"/>
    </row>
    <row r="53" spans="1:10" s="208" customFormat="1" x14ac:dyDescent="0.2">
      <c r="A53" s="217"/>
      <c r="B53" s="214"/>
      <c r="C53" s="214"/>
      <c r="D53" s="214">
        <f>SUM(D51:D52)</f>
        <v>37121</v>
      </c>
      <c r="E53" s="214"/>
      <c r="F53" s="214"/>
      <c r="G53" s="214"/>
      <c r="H53" s="214"/>
      <c r="I53" s="214"/>
      <c r="J53" s="214"/>
    </row>
    <row r="54" spans="1:10" x14ac:dyDescent="0.2">
      <c r="A54" s="217" t="s">
        <v>338</v>
      </c>
      <c r="B54" s="214"/>
      <c r="C54" s="214"/>
      <c r="D54" s="214" t="s">
        <v>338</v>
      </c>
      <c r="E54" s="214"/>
      <c r="F54" s="214"/>
      <c r="G54" s="214"/>
      <c r="H54" s="214"/>
      <c r="I54" s="214"/>
      <c r="J54" s="214"/>
    </row>
    <row r="55" spans="1:10" ht="13.5" x14ac:dyDescent="0.25">
      <c r="A55" s="237" t="s">
        <v>653</v>
      </c>
      <c r="B55" s="214"/>
      <c r="C55" s="214"/>
      <c r="D55" s="214" t="s">
        <v>338</v>
      </c>
      <c r="E55" s="214">
        <v>76190</v>
      </c>
      <c r="F55" s="214">
        <v>81500</v>
      </c>
      <c r="G55" s="214">
        <v>81500</v>
      </c>
      <c r="H55" s="214">
        <v>81500</v>
      </c>
      <c r="I55" s="214">
        <v>81500</v>
      </c>
      <c r="J55" s="214">
        <v>81500</v>
      </c>
    </row>
    <row r="56" spans="1:10" x14ac:dyDescent="0.2">
      <c r="A56" s="217" t="s">
        <v>439</v>
      </c>
      <c r="B56" s="214" t="s">
        <v>338</v>
      </c>
      <c r="C56" s="214"/>
      <c r="D56" s="214" t="s">
        <v>338</v>
      </c>
      <c r="E56" s="214"/>
      <c r="F56" s="214"/>
      <c r="G56" s="214"/>
      <c r="H56" s="214"/>
      <c r="I56" s="214"/>
      <c r="J56" s="214"/>
    </row>
    <row r="57" spans="1:10" x14ac:dyDescent="0.2">
      <c r="A57" s="217" t="s">
        <v>440</v>
      </c>
      <c r="B57" s="214"/>
      <c r="C57" s="214"/>
      <c r="D57" s="214">
        <f>76500</f>
        <v>76500</v>
      </c>
      <c r="E57" s="214"/>
      <c r="F57" s="214"/>
      <c r="G57" s="214"/>
      <c r="H57" s="214"/>
      <c r="I57" s="214"/>
      <c r="J57" s="214"/>
    </row>
    <row r="58" spans="1:10" x14ac:dyDescent="0.2">
      <c r="A58" s="217" t="s">
        <v>438</v>
      </c>
      <c r="B58" s="214"/>
      <c r="C58" s="214"/>
      <c r="D58" s="214"/>
      <c r="E58" s="214"/>
      <c r="F58" s="214"/>
      <c r="G58" s="214"/>
      <c r="H58" s="214"/>
      <c r="I58" s="214"/>
      <c r="J58" s="214"/>
    </row>
    <row r="59" spans="1:10" x14ac:dyDescent="0.2">
      <c r="A59" s="217" t="s">
        <v>441</v>
      </c>
      <c r="B59" s="214"/>
      <c r="C59" s="214"/>
      <c r="D59" s="218">
        <v>5000</v>
      </c>
      <c r="E59" s="214"/>
      <c r="F59" s="214"/>
      <c r="G59" s="214"/>
      <c r="H59" s="214"/>
      <c r="I59" s="214"/>
      <c r="J59" s="214"/>
    </row>
    <row r="60" spans="1:10" ht="16.899999999999999" customHeight="1" x14ac:dyDescent="0.2">
      <c r="A60" s="217" t="s">
        <v>1067</v>
      </c>
      <c r="B60" s="214"/>
      <c r="C60" s="214"/>
      <c r="D60" s="214">
        <f>SUM(D56:D59)</f>
        <v>81500</v>
      </c>
      <c r="E60" s="214"/>
      <c r="F60" s="214"/>
      <c r="G60" s="214"/>
      <c r="H60" s="214"/>
      <c r="I60" s="214"/>
      <c r="J60" s="214"/>
    </row>
    <row r="61" spans="1:10" x14ac:dyDescent="0.2">
      <c r="A61" s="217"/>
      <c r="B61" s="214" t="s">
        <v>338</v>
      </c>
      <c r="C61" s="214" t="s">
        <v>338</v>
      </c>
      <c r="D61" s="214" t="s">
        <v>338</v>
      </c>
      <c r="E61" s="214"/>
      <c r="F61" s="214"/>
      <c r="G61" s="214"/>
      <c r="H61" s="214"/>
      <c r="I61" s="214"/>
      <c r="J61" s="214"/>
    </row>
    <row r="62" spans="1:10" ht="13.5" x14ac:dyDescent="0.25">
      <c r="A62" s="237" t="s">
        <v>847</v>
      </c>
      <c r="B62" s="214"/>
      <c r="C62" s="214"/>
      <c r="D62" s="214"/>
      <c r="E62" s="214">
        <v>92237</v>
      </c>
      <c r="F62" s="214">
        <v>102195</v>
      </c>
      <c r="G62" s="214">
        <v>102759</v>
      </c>
      <c r="H62" s="214">
        <v>102012</v>
      </c>
      <c r="I62" s="214">
        <v>102275</v>
      </c>
      <c r="J62" s="214">
        <v>106714</v>
      </c>
    </row>
    <row r="63" spans="1:10" hidden="1" x14ac:dyDescent="0.2">
      <c r="A63" s="217" t="s">
        <v>757</v>
      </c>
      <c r="B63" s="214">
        <f>+D7</f>
        <v>46010</v>
      </c>
      <c r="C63" s="241">
        <v>7.6499999999999999E-2</v>
      </c>
      <c r="D63" s="214">
        <f t="shared" ref="D63:D68" si="3">ROUND(B63*C63,0)</f>
        <v>3520</v>
      </c>
      <c r="E63" s="214"/>
      <c r="F63" s="214"/>
      <c r="G63" s="214"/>
      <c r="H63" s="214"/>
      <c r="I63" s="214"/>
      <c r="J63" s="214"/>
    </row>
    <row r="64" spans="1:10" hidden="1" x14ac:dyDescent="0.2">
      <c r="A64" s="217" t="s">
        <v>1264</v>
      </c>
      <c r="B64" s="214">
        <f>+D17</f>
        <v>293712.48</v>
      </c>
      <c r="C64" s="241">
        <v>7.6499999999999999E-2</v>
      </c>
      <c r="D64" s="214">
        <f t="shared" si="3"/>
        <v>22469</v>
      </c>
      <c r="E64" s="214"/>
      <c r="F64" s="214"/>
      <c r="G64" s="214"/>
      <c r="H64" s="214"/>
      <c r="I64" s="214"/>
      <c r="J64" s="214"/>
    </row>
    <row r="65" spans="1:10" hidden="1" x14ac:dyDescent="0.2">
      <c r="A65" s="217" t="s">
        <v>683</v>
      </c>
      <c r="B65" s="214">
        <f>+D41</f>
        <v>905367.8</v>
      </c>
      <c r="C65" s="241">
        <v>7.6499999999999999E-2</v>
      </c>
      <c r="D65" s="214">
        <f t="shared" si="3"/>
        <v>69261</v>
      </c>
      <c r="E65" s="214"/>
      <c r="F65" s="214"/>
      <c r="G65" s="214"/>
      <c r="H65" s="214"/>
      <c r="I65" s="214"/>
      <c r="J65" s="214"/>
    </row>
    <row r="66" spans="1:10" hidden="1" x14ac:dyDescent="0.2">
      <c r="A66" s="217" t="s">
        <v>758</v>
      </c>
      <c r="B66" s="214">
        <f>+D48</f>
        <v>31231</v>
      </c>
      <c r="C66" s="241">
        <v>7.6499999999999999E-2</v>
      </c>
      <c r="D66" s="214">
        <f t="shared" si="3"/>
        <v>2389</v>
      </c>
      <c r="E66" s="214"/>
      <c r="F66" s="214"/>
      <c r="G66" s="214"/>
      <c r="H66" s="214"/>
      <c r="I66" s="214"/>
      <c r="J66" s="214"/>
    </row>
    <row r="67" spans="1:10" hidden="1" x14ac:dyDescent="0.2">
      <c r="A67" s="217" t="s">
        <v>153</v>
      </c>
      <c r="B67" s="214">
        <f>+D53</f>
        <v>37121</v>
      </c>
      <c r="C67" s="241">
        <v>7.6499999999999999E-2</v>
      </c>
      <c r="D67" s="214">
        <f t="shared" si="3"/>
        <v>2840</v>
      </c>
      <c r="E67" s="214"/>
      <c r="F67" s="214"/>
      <c r="G67" s="214"/>
      <c r="H67" s="214"/>
      <c r="I67" s="214"/>
      <c r="J67" s="214"/>
    </row>
    <row r="68" spans="1:10" hidden="1" x14ac:dyDescent="0.2">
      <c r="A68" s="217" t="s">
        <v>154</v>
      </c>
      <c r="B68" s="214">
        <f>+D60</f>
        <v>81500</v>
      </c>
      <c r="C68" s="241">
        <v>7.6499999999999999E-2</v>
      </c>
      <c r="D68" s="218">
        <f t="shared" si="3"/>
        <v>6235</v>
      </c>
      <c r="E68" s="214"/>
      <c r="F68" s="214"/>
      <c r="G68" s="214"/>
      <c r="H68" s="214"/>
      <c r="I68" s="214"/>
      <c r="J68" s="214"/>
    </row>
    <row r="69" spans="1:10" hidden="1" x14ac:dyDescent="0.2">
      <c r="A69" s="217" t="s">
        <v>1067</v>
      </c>
      <c r="B69" s="214"/>
      <c r="C69" s="241"/>
      <c r="D69" s="214">
        <f>SUM(D63:D68)</f>
        <v>106714</v>
      </c>
      <c r="E69" s="214"/>
      <c r="F69" s="214"/>
      <c r="G69" s="214"/>
      <c r="H69" s="214"/>
      <c r="I69" s="214"/>
      <c r="J69" s="214"/>
    </row>
    <row r="70" spans="1:10" x14ac:dyDescent="0.2">
      <c r="A70" s="217"/>
      <c r="B70" s="214"/>
      <c r="C70" s="241"/>
      <c r="D70" s="214"/>
      <c r="E70" s="214"/>
      <c r="F70" s="214"/>
      <c r="G70" s="214"/>
      <c r="H70" s="214"/>
      <c r="I70" s="214"/>
      <c r="J70" s="214"/>
    </row>
    <row r="71" spans="1:10" ht="13.5" x14ac:dyDescent="0.25">
      <c r="A71" s="237" t="s">
        <v>1216</v>
      </c>
      <c r="B71" s="214"/>
      <c r="C71" s="241"/>
      <c r="D71" s="214"/>
      <c r="E71" s="214">
        <v>163833</v>
      </c>
      <c r="F71" s="214">
        <v>182728</v>
      </c>
      <c r="G71" s="214">
        <v>176770</v>
      </c>
      <c r="H71" s="214">
        <v>175450</v>
      </c>
      <c r="I71" s="214">
        <v>175863</v>
      </c>
      <c r="J71" s="214">
        <v>183713</v>
      </c>
    </row>
    <row r="72" spans="1:10" hidden="1" x14ac:dyDescent="0.2">
      <c r="A72" s="217" t="s">
        <v>757</v>
      </c>
      <c r="B72" s="214">
        <f>+B63</f>
        <v>46010</v>
      </c>
      <c r="C72" s="241">
        <v>0.1353</v>
      </c>
      <c r="D72" s="214">
        <f>ROUND(B72*C72,0)</f>
        <v>6225</v>
      </c>
      <c r="E72" s="214"/>
      <c r="F72" s="214"/>
      <c r="G72" s="214"/>
      <c r="H72" s="214"/>
      <c r="I72" s="214"/>
      <c r="J72" s="214"/>
    </row>
    <row r="73" spans="1:10" hidden="1" x14ac:dyDescent="0.2">
      <c r="A73" s="238">
        <v>8103</v>
      </c>
      <c r="B73" s="214">
        <f>+D17</f>
        <v>293712.48</v>
      </c>
      <c r="C73" s="241">
        <v>0.1353</v>
      </c>
      <c r="D73" s="214">
        <f>ROUND(B73*C73,0)</f>
        <v>39739</v>
      </c>
      <c r="E73" s="214"/>
      <c r="F73" s="214"/>
      <c r="G73" s="214"/>
      <c r="H73" s="214"/>
      <c r="I73" s="214"/>
      <c r="J73" s="214"/>
    </row>
    <row r="74" spans="1:10" hidden="1" x14ac:dyDescent="0.2">
      <c r="A74" s="217" t="s">
        <v>683</v>
      </c>
      <c r="B74" s="214">
        <f>+D41</f>
        <v>905367.8</v>
      </c>
      <c r="C74" s="241">
        <v>0.1353</v>
      </c>
      <c r="D74" s="214">
        <f>ROUND(B74*C74,0)</f>
        <v>122496</v>
      </c>
      <c r="E74" s="214"/>
      <c r="F74" s="214"/>
      <c r="G74" s="214"/>
      <c r="H74" s="214"/>
      <c r="I74" s="214"/>
      <c r="J74" s="214"/>
    </row>
    <row r="75" spans="1:10" hidden="1" x14ac:dyDescent="0.2">
      <c r="A75" s="217" t="s">
        <v>758</v>
      </c>
      <c r="B75" s="214">
        <f>+B66</f>
        <v>31231</v>
      </c>
      <c r="C75" s="241">
        <v>0.1353</v>
      </c>
      <c r="D75" s="214">
        <f>ROUND(B75*C75,0)</f>
        <v>4226</v>
      </c>
      <c r="E75" s="214"/>
      <c r="F75" s="214"/>
      <c r="G75" s="214"/>
      <c r="H75" s="214"/>
      <c r="I75" s="214"/>
      <c r="J75" s="214"/>
    </row>
    <row r="76" spans="1:10" hidden="1" x14ac:dyDescent="0.2">
      <c r="A76" s="217" t="s">
        <v>154</v>
      </c>
      <c r="B76" s="214">
        <f>+D60</f>
        <v>81500</v>
      </c>
      <c r="C76" s="241">
        <v>0.1353</v>
      </c>
      <c r="D76" s="218">
        <f>ROUND(B76*C76,0)</f>
        <v>11027</v>
      </c>
      <c r="E76" s="214"/>
      <c r="F76" s="214"/>
      <c r="G76" s="214"/>
      <c r="H76" s="214"/>
      <c r="I76" s="214"/>
      <c r="J76" s="214"/>
    </row>
    <row r="77" spans="1:10" hidden="1" x14ac:dyDescent="0.2">
      <c r="A77" s="217" t="s">
        <v>1067</v>
      </c>
      <c r="B77" s="214"/>
      <c r="C77" s="214"/>
      <c r="D77" s="214">
        <f>SUM(D72:D76)</f>
        <v>183713</v>
      </c>
      <c r="E77" s="214"/>
      <c r="F77" s="214"/>
      <c r="G77" s="214"/>
      <c r="H77" s="214"/>
      <c r="I77" s="214"/>
      <c r="J77" s="214"/>
    </row>
    <row r="78" spans="1:10" x14ac:dyDescent="0.2">
      <c r="A78" s="217"/>
      <c r="B78" s="214"/>
      <c r="C78" s="214"/>
      <c r="D78" s="214"/>
      <c r="E78" s="214"/>
      <c r="F78" s="214"/>
      <c r="G78" s="214"/>
      <c r="H78" s="214"/>
      <c r="I78" s="214"/>
      <c r="J78" s="214"/>
    </row>
    <row r="79" spans="1:10" ht="13.5" x14ac:dyDescent="0.25">
      <c r="A79" s="237" t="s">
        <v>1217</v>
      </c>
      <c r="B79" s="214"/>
      <c r="C79" s="214"/>
      <c r="D79" s="214"/>
      <c r="E79" s="214">
        <v>389041</v>
      </c>
      <c r="F79" s="214">
        <v>446500</v>
      </c>
      <c r="G79" s="214">
        <v>475875</v>
      </c>
      <c r="H79" s="214">
        <v>475875</v>
      </c>
      <c r="I79" s="214">
        <v>475875</v>
      </c>
      <c r="J79" s="214">
        <v>475875</v>
      </c>
    </row>
    <row r="80" spans="1:10" hidden="1" x14ac:dyDescent="0.2">
      <c r="A80" s="217" t="s">
        <v>258</v>
      </c>
      <c r="B80" s="214">
        <v>19</v>
      </c>
      <c r="C80" s="2">
        <v>20250</v>
      </c>
      <c r="D80" s="214">
        <f>ROUND(B80*C80,0)</f>
        <v>384750</v>
      </c>
      <c r="E80" s="214"/>
      <c r="F80" s="214"/>
      <c r="G80" s="214"/>
      <c r="H80" s="214"/>
      <c r="I80" s="214"/>
      <c r="J80" s="214"/>
    </row>
    <row r="81" spans="1:10" hidden="1" x14ac:dyDescent="0.2">
      <c r="A81" s="217" t="s">
        <v>259</v>
      </c>
      <c r="B81" s="214">
        <v>1</v>
      </c>
      <c r="C81" s="2">
        <v>20250</v>
      </c>
      <c r="D81" s="214">
        <f>ROUND(B81*C81,0)</f>
        <v>20250</v>
      </c>
      <c r="E81" s="214"/>
      <c r="F81" s="214"/>
      <c r="G81" s="214"/>
      <c r="H81" s="214"/>
      <c r="I81" s="214"/>
      <c r="J81" s="214"/>
    </row>
    <row r="82" spans="1:10" hidden="1" x14ac:dyDescent="0.2">
      <c r="A82" s="217" t="s">
        <v>297</v>
      </c>
      <c r="B82" s="214">
        <v>3.5</v>
      </c>
      <c r="C82" s="2">
        <v>20250</v>
      </c>
      <c r="D82" s="218">
        <f>ROUND(B82*C82,0)</f>
        <v>70875</v>
      </c>
      <c r="E82" s="214"/>
      <c r="F82" s="214"/>
      <c r="G82" s="214"/>
      <c r="H82" s="214"/>
      <c r="I82" s="214"/>
      <c r="J82" s="214"/>
    </row>
    <row r="83" spans="1:10" hidden="1" x14ac:dyDescent="0.2">
      <c r="A83" s="217" t="s">
        <v>678</v>
      </c>
      <c r="B83" s="214"/>
      <c r="C83" s="214"/>
      <c r="D83" s="214">
        <f>SUM(D80:D82)</f>
        <v>475875</v>
      </c>
      <c r="E83" s="214"/>
      <c r="F83" s="214"/>
      <c r="G83" s="214"/>
      <c r="H83" s="214"/>
      <c r="I83" s="214"/>
      <c r="J83" s="214"/>
    </row>
    <row r="84" spans="1:10" x14ac:dyDescent="0.2">
      <c r="A84" s="217"/>
      <c r="B84" s="214"/>
      <c r="C84" s="214"/>
      <c r="D84" s="214"/>
      <c r="E84" s="214"/>
      <c r="F84" s="214"/>
      <c r="G84" s="214"/>
      <c r="H84" s="214"/>
      <c r="I84" s="214"/>
      <c r="J84" s="214"/>
    </row>
    <row r="85" spans="1:10" ht="13.5" x14ac:dyDescent="0.25">
      <c r="A85" s="237" t="s">
        <v>1218</v>
      </c>
      <c r="B85" s="214"/>
      <c r="C85" s="214"/>
      <c r="D85" s="214"/>
      <c r="E85" s="214">
        <v>24691</v>
      </c>
      <c r="F85" s="214">
        <v>29700</v>
      </c>
      <c r="G85" s="214">
        <v>29700</v>
      </c>
      <c r="H85" s="214">
        <v>29700</v>
      </c>
      <c r="I85" s="214">
        <v>29700</v>
      </c>
      <c r="J85" s="214">
        <v>29700</v>
      </c>
    </row>
    <row r="86" spans="1:10" hidden="1" x14ac:dyDescent="0.2">
      <c r="A86" s="217" t="s">
        <v>358</v>
      </c>
      <c r="B86" s="214">
        <v>24</v>
      </c>
      <c r="C86" s="214">
        <v>1375</v>
      </c>
      <c r="D86" s="214">
        <f>ROUND(B86*C86,0)</f>
        <v>33000</v>
      </c>
      <c r="E86" s="214"/>
      <c r="F86" s="214"/>
      <c r="G86" s="214"/>
      <c r="H86" s="214"/>
      <c r="I86" s="214"/>
      <c r="J86" s="214"/>
    </row>
    <row r="87" spans="1:10" ht="15" hidden="1" x14ac:dyDescent="0.35">
      <c r="A87" s="217" t="s">
        <v>523</v>
      </c>
      <c r="B87" s="214"/>
      <c r="C87" s="214"/>
      <c r="D87" s="239">
        <f>+D86*-0.1</f>
        <v>-3300</v>
      </c>
      <c r="E87" s="214"/>
      <c r="F87" s="214"/>
      <c r="G87" s="214"/>
      <c r="H87" s="214"/>
      <c r="I87" s="214"/>
      <c r="J87" s="214"/>
    </row>
    <row r="88" spans="1:10" hidden="1" x14ac:dyDescent="0.2">
      <c r="A88" s="217"/>
      <c r="B88" s="214"/>
      <c r="C88" s="214"/>
      <c r="D88" s="214">
        <f>SUM(D86:D87)</f>
        <v>29700</v>
      </c>
      <c r="E88" s="214"/>
      <c r="F88" s="214"/>
      <c r="G88" s="214"/>
      <c r="H88" s="214"/>
      <c r="I88" s="214"/>
      <c r="J88" s="214"/>
    </row>
    <row r="89" spans="1:10" x14ac:dyDescent="0.2">
      <c r="A89" s="217"/>
      <c r="B89" s="214"/>
      <c r="C89" s="214"/>
      <c r="D89" s="214"/>
      <c r="E89" s="214"/>
      <c r="F89" s="214"/>
      <c r="G89" s="214"/>
      <c r="H89" s="214"/>
      <c r="I89" s="214"/>
      <c r="J89" s="214"/>
    </row>
    <row r="90" spans="1:10" ht="13.5" x14ac:dyDescent="0.25">
      <c r="A90" s="237" t="s">
        <v>474</v>
      </c>
      <c r="B90" s="214"/>
      <c r="C90" s="214"/>
      <c r="D90" s="214"/>
      <c r="E90" s="214">
        <v>1093</v>
      </c>
      <c r="F90" s="214">
        <v>1696</v>
      </c>
      <c r="G90" s="214">
        <v>1696</v>
      </c>
      <c r="H90" s="214">
        <v>1696</v>
      </c>
      <c r="I90" s="214">
        <v>1696</v>
      </c>
      <c r="J90" s="214">
        <v>1696</v>
      </c>
    </row>
    <row r="91" spans="1:10" hidden="1" x14ac:dyDescent="0.2">
      <c r="A91" s="217" t="s">
        <v>189</v>
      </c>
      <c r="B91" s="214">
        <v>1</v>
      </c>
      <c r="C91" s="214">
        <v>229</v>
      </c>
      <c r="D91" s="214">
        <f>ROUND(B91*C91,0)</f>
        <v>229</v>
      </c>
      <c r="E91" s="214"/>
      <c r="F91" s="214"/>
      <c r="G91" s="214"/>
      <c r="H91" s="214"/>
      <c r="I91" s="214"/>
      <c r="J91" s="214"/>
    </row>
    <row r="92" spans="1:10" hidden="1" x14ac:dyDescent="0.2">
      <c r="A92" s="217" t="s">
        <v>296</v>
      </c>
      <c r="B92" s="214">
        <v>3.5</v>
      </c>
      <c r="C92" s="214">
        <v>229</v>
      </c>
      <c r="D92" s="214">
        <f>ROUND(B92*C92,0)</f>
        <v>802</v>
      </c>
      <c r="E92" s="214"/>
      <c r="F92" s="214"/>
      <c r="G92" s="214"/>
      <c r="H92" s="214"/>
      <c r="I92" s="214"/>
      <c r="J92" s="214"/>
    </row>
    <row r="93" spans="1:10" hidden="1" x14ac:dyDescent="0.2">
      <c r="A93" s="217" t="s">
        <v>268</v>
      </c>
      <c r="B93" s="214">
        <v>19</v>
      </c>
      <c r="C93" s="214">
        <v>35</v>
      </c>
      <c r="D93" s="218">
        <f>ROUND(B93*C93,0)</f>
        <v>665</v>
      </c>
      <c r="E93" s="214"/>
      <c r="F93" s="214"/>
      <c r="G93" s="214"/>
      <c r="H93" s="214"/>
      <c r="I93" s="214"/>
      <c r="J93" s="214"/>
    </row>
    <row r="94" spans="1:10" hidden="1" x14ac:dyDescent="0.2">
      <c r="A94" s="217" t="s">
        <v>1067</v>
      </c>
      <c r="B94" s="214"/>
      <c r="C94" s="214"/>
      <c r="D94" s="214">
        <f>SUM(D91:D93)</f>
        <v>1696</v>
      </c>
      <c r="E94" s="214"/>
      <c r="F94" s="214"/>
      <c r="G94" s="214"/>
      <c r="H94" s="214"/>
      <c r="I94" s="214"/>
      <c r="J94" s="214"/>
    </row>
    <row r="95" spans="1:10" x14ac:dyDescent="0.2">
      <c r="A95" s="217"/>
      <c r="B95" s="214"/>
      <c r="C95" s="214"/>
      <c r="D95" s="214"/>
      <c r="E95" s="214"/>
      <c r="F95" s="214"/>
      <c r="G95" s="214"/>
      <c r="H95" s="214"/>
      <c r="I95" s="214"/>
      <c r="J95" s="214"/>
    </row>
    <row r="96" spans="1:10" ht="13.5" x14ac:dyDescent="0.25">
      <c r="A96" s="237" t="s">
        <v>843</v>
      </c>
      <c r="B96" s="214"/>
      <c r="C96" s="214"/>
      <c r="D96" s="214"/>
      <c r="E96" s="214">
        <v>9842</v>
      </c>
      <c r="F96" s="214">
        <v>12600</v>
      </c>
      <c r="G96" s="214">
        <v>13560</v>
      </c>
      <c r="H96" s="214">
        <v>13560</v>
      </c>
      <c r="I96" s="214">
        <v>13560</v>
      </c>
      <c r="J96" s="214">
        <v>13560</v>
      </c>
    </row>
    <row r="97" spans="1:10" hidden="1" x14ac:dyDescent="0.2">
      <c r="A97" s="217" t="s">
        <v>189</v>
      </c>
      <c r="B97" s="214">
        <v>1</v>
      </c>
      <c r="C97" s="214">
        <v>565</v>
      </c>
      <c r="D97" s="214">
        <f>ROUND(B97*C97,0)</f>
        <v>565</v>
      </c>
      <c r="E97" s="214"/>
      <c r="F97" s="214"/>
      <c r="G97" s="214"/>
      <c r="H97" s="214"/>
      <c r="I97" s="214"/>
      <c r="J97" s="214"/>
    </row>
    <row r="98" spans="1:10" hidden="1" x14ac:dyDescent="0.2">
      <c r="A98" s="217" t="s">
        <v>1213</v>
      </c>
      <c r="B98" s="214">
        <v>23</v>
      </c>
      <c r="C98" s="214">
        <v>565</v>
      </c>
      <c r="D98" s="218">
        <f>ROUND(B98*C98,0)</f>
        <v>12995</v>
      </c>
      <c r="E98" s="214"/>
      <c r="F98" s="214"/>
      <c r="G98" s="214"/>
      <c r="H98" s="214"/>
      <c r="I98" s="214"/>
      <c r="J98" s="214"/>
    </row>
    <row r="99" spans="1:10" hidden="1" x14ac:dyDescent="0.2">
      <c r="A99" s="217" t="s">
        <v>1067</v>
      </c>
      <c r="B99" s="214"/>
      <c r="C99" s="214"/>
      <c r="D99" s="214">
        <f>SUM(D97:D98)</f>
        <v>13560</v>
      </c>
      <c r="E99" s="214"/>
      <c r="F99" s="214"/>
      <c r="G99" s="214"/>
      <c r="H99" s="214"/>
      <c r="I99" s="214"/>
      <c r="J99" s="214"/>
    </row>
    <row r="100" spans="1:10" x14ac:dyDescent="0.2">
      <c r="A100" s="217"/>
      <c r="B100" s="214"/>
      <c r="C100" s="214"/>
      <c r="D100" s="214"/>
      <c r="E100" s="214"/>
      <c r="F100" s="214"/>
      <c r="G100" s="214"/>
      <c r="H100" s="214"/>
      <c r="I100" s="214"/>
      <c r="J100" s="214"/>
    </row>
    <row r="101" spans="1:10" ht="13.5" x14ac:dyDescent="0.25">
      <c r="A101" s="237" t="s">
        <v>844</v>
      </c>
      <c r="B101" s="214"/>
      <c r="C101" s="214"/>
      <c r="D101" s="214"/>
      <c r="E101" s="214">
        <v>34993</v>
      </c>
      <c r="F101" s="214">
        <v>43620</v>
      </c>
      <c r="G101" s="214">
        <v>44974</v>
      </c>
      <c r="H101" s="214">
        <v>44634</v>
      </c>
      <c r="I101" s="214">
        <v>44741</v>
      </c>
      <c r="J101" s="214">
        <v>46765</v>
      </c>
    </row>
    <row r="102" spans="1:10" hidden="1" x14ac:dyDescent="0.2">
      <c r="A102" s="217" t="s">
        <v>757</v>
      </c>
      <c r="B102" s="214">
        <f>+B72</f>
        <v>46010</v>
      </c>
      <c r="C102" s="300">
        <v>1.89E-3</v>
      </c>
      <c r="D102" s="214">
        <f>ROUND(B102*C102,0)-3</f>
        <v>84</v>
      </c>
      <c r="E102" s="214"/>
      <c r="F102" s="214"/>
      <c r="G102" s="214"/>
      <c r="H102" s="214"/>
      <c r="I102" s="214"/>
      <c r="J102" s="214"/>
    </row>
    <row r="103" spans="1:10" hidden="1" x14ac:dyDescent="0.2">
      <c r="A103" s="217" t="s">
        <v>1264</v>
      </c>
      <c r="B103" s="214">
        <f>+D17</f>
        <v>293712.48</v>
      </c>
      <c r="C103" s="300">
        <v>3.49E-2</v>
      </c>
      <c r="D103" s="214">
        <f>ROUND(B103*C103,0)-25</f>
        <v>10226</v>
      </c>
      <c r="E103" s="214"/>
      <c r="F103" s="214"/>
      <c r="G103" s="214"/>
      <c r="H103" s="214"/>
      <c r="I103" s="214"/>
      <c r="J103" s="214"/>
    </row>
    <row r="104" spans="1:10" hidden="1" x14ac:dyDescent="0.2">
      <c r="A104" s="217" t="s">
        <v>683</v>
      </c>
      <c r="B104" s="214">
        <f>+D41</f>
        <v>905367.8</v>
      </c>
      <c r="C104" s="300">
        <v>3.49E-2</v>
      </c>
      <c r="D104" s="214">
        <f>ROUND(B104*C104,0)</f>
        <v>31597</v>
      </c>
      <c r="E104" s="214"/>
      <c r="F104" s="214"/>
      <c r="G104" s="214"/>
      <c r="H104" s="214"/>
      <c r="I104" s="214"/>
      <c r="J104" s="214"/>
    </row>
    <row r="105" spans="1:10" hidden="1" x14ac:dyDescent="0.2">
      <c r="A105" s="217" t="s">
        <v>1596</v>
      </c>
      <c r="B105" s="214">
        <f>ROUND(+D48,0)</f>
        <v>31231</v>
      </c>
      <c r="C105" s="300">
        <v>3.49E-2</v>
      </c>
      <c r="D105" s="214">
        <f>ROUND(B105*C105,0)</f>
        <v>1090</v>
      </c>
      <c r="E105" s="214"/>
      <c r="F105" s="214"/>
      <c r="G105" s="214"/>
      <c r="H105" s="214"/>
      <c r="I105" s="214"/>
      <c r="J105" s="214"/>
    </row>
    <row r="106" spans="1:10" hidden="1" x14ac:dyDescent="0.2">
      <c r="A106" s="217" t="s">
        <v>153</v>
      </c>
      <c r="B106" s="214">
        <f>+D51</f>
        <v>25920</v>
      </c>
      <c r="C106" s="300">
        <v>3.49E-2</v>
      </c>
      <c r="D106" s="214">
        <f>ROUND(B106*C106,0)</f>
        <v>905</v>
      </c>
      <c r="E106" s="214"/>
      <c r="F106" s="214"/>
      <c r="G106" s="214"/>
      <c r="H106" s="214"/>
      <c r="I106" s="214"/>
      <c r="J106" s="214"/>
    </row>
    <row r="107" spans="1:10" hidden="1" x14ac:dyDescent="0.2">
      <c r="A107" s="217" t="s">
        <v>1597</v>
      </c>
      <c r="B107" s="214">
        <f>ROUND(D60,0)</f>
        <v>81500</v>
      </c>
      <c r="C107" s="300">
        <v>3.49E-2</v>
      </c>
      <c r="D107" s="218">
        <f>ROUND(B107*C107,0)+17</f>
        <v>2861</v>
      </c>
      <c r="E107" s="214"/>
      <c r="F107" s="214"/>
      <c r="G107" s="214"/>
      <c r="H107" s="214"/>
      <c r="I107" s="214"/>
      <c r="J107" s="214"/>
    </row>
    <row r="108" spans="1:10" hidden="1" x14ac:dyDescent="0.2">
      <c r="A108" s="217" t="s">
        <v>1067</v>
      </c>
      <c r="B108" s="214"/>
      <c r="C108" s="214"/>
      <c r="D108" s="214">
        <f>SUM(D102:D107)+2</f>
        <v>46765</v>
      </c>
      <c r="E108" s="214"/>
      <c r="F108" s="214"/>
      <c r="G108" s="214"/>
      <c r="H108" s="214"/>
      <c r="I108" s="214"/>
      <c r="J108" s="214"/>
    </row>
    <row r="109" spans="1:10" x14ac:dyDescent="0.2">
      <c r="A109" s="217"/>
      <c r="B109" s="214"/>
      <c r="C109" s="214"/>
      <c r="D109" s="214"/>
      <c r="E109" s="214"/>
      <c r="F109" s="214"/>
      <c r="G109" s="214"/>
      <c r="H109" s="214"/>
      <c r="I109" s="214"/>
      <c r="J109" s="214"/>
    </row>
    <row r="110" spans="1:10" ht="13.5" x14ac:dyDescent="0.25">
      <c r="A110" s="237" t="s">
        <v>845</v>
      </c>
      <c r="B110" s="214"/>
      <c r="C110" s="214"/>
      <c r="D110" s="214"/>
      <c r="E110" s="214">
        <v>388</v>
      </c>
      <c r="F110" s="214">
        <v>511</v>
      </c>
      <c r="G110" s="214">
        <v>511</v>
      </c>
      <c r="H110" s="214">
        <v>511</v>
      </c>
      <c r="I110" s="214">
        <v>512</v>
      </c>
      <c r="J110" s="214">
        <v>512</v>
      </c>
    </row>
    <row r="111" spans="1:10" hidden="1" x14ac:dyDescent="0.2">
      <c r="A111" s="217" t="s">
        <v>531</v>
      </c>
      <c r="B111" s="214">
        <v>23</v>
      </c>
      <c r="C111" s="214">
        <v>20</v>
      </c>
      <c r="D111" s="214">
        <f>ROUND(B111*C111,0)</f>
        <v>460</v>
      </c>
      <c r="E111" s="214"/>
      <c r="F111" s="214"/>
      <c r="G111" s="214"/>
      <c r="H111" s="214"/>
      <c r="I111" s="214"/>
      <c r="J111" s="214"/>
    </row>
    <row r="112" spans="1:10" hidden="1" x14ac:dyDescent="0.2">
      <c r="A112" s="217" t="s">
        <v>949</v>
      </c>
      <c r="B112" s="214">
        <f>+B67</f>
        <v>37121</v>
      </c>
      <c r="C112" s="214">
        <v>1.4E-3</v>
      </c>
      <c r="D112" s="218">
        <f>ROUND(B112*C112,0)</f>
        <v>52</v>
      </c>
      <c r="E112" s="214"/>
      <c r="F112" s="214"/>
      <c r="G112" s="214"/>
      <c r="H112" s="214"/>
      <c r="I112" s="214"/>
      <c r="J112" s="214"/>
    </row>
    <row r="113" spans="1:10" hidden="1" x14ac:dyDescent="0.2">
      <c r="A113" s="217" t="s">
        <v>1067</v>
      </c>
      <c r="B113" s="214"/>
      <c r="C113" s="214"/>
      <c r="D113" s="214">
        <f>SUM(D111:D112)</f>
        <v>512</v>
      </c>
      <c r="E113" s="214"/>
      <c r="F113" s="214"/>
      <c r="G113" s="214"/>
      <c r="H113" s="214"/>
      <c r="I113" s="214"/>
      <c r="J113" s="214"/>
    </row>
    <row r="114" spans="1:10" x14ac:dyDescent="0.2">
      <c r="A114" s="217"/>
      <c r="B114" s="214"/>
      <c r="C114" s="214"/>
      <c r="D114" s="214"/>
      <c r="E114" s="214"/>
      <c r="F114" s="214"/>
      <c r="G114" s="214"/>
      <c r="H114" s="214"/>
      <c r="I114" s="214"/>
      <c r="J114" s="214"/>
    </row>
    <row r="115" spans="1:10" ht="13.5" x14ac:dyDescent="0.25">
      <c r="A115" s="237" t="s">
        <v>846</v>
      </c>
      <c r="B115" s="214"/>
      <c r="C115" s="214"/>
      <c r="D115" s="214"/>
      <c r="E115" s="214">
        <v>927</v>
      </c>
      <c r="F115" s="214">
        <v>2200</v>
      </c>
      <c r="G115" s="214">
        <v>1500</v>
      </c>
      <c r="H115" s="214">
        <v>1500</v>
      </c>
      <c r="I115" s="214">
        <v>1500</v>
      </c>
      <c r="J115" s="214">
        <v>1500</v>
      </c>
    </row>
    <row r="116" spans="1:10" x14ac:dyDescent="0.2">
      <c r="A116" s="217" t="s">
        <v>1435</v>
      </c>
      <c r="B116" s="214"/>
      <c r="C116" s="214"/>
      <c r="D116" s="214">
        <v>1500</v>
      </c>
      <c r="E116" s="214"/>
      <c r="F116" s="214"/>
      <c r="G116" s="214"/>
      <c r="H116" s="214"/>
      <c r="I116" s="214"/>
      <c r="J116" s="214"/>
    </row>
    <row r="117" spans="1:10" x14ac:dyDescent="0.2">
      <c r="A117" s="217" t="s">
        <v>1535</v>
      </c>
      <c r="B117" s="214"/>
      <c r="C117" s="214"/>
      <c r="D117" s="214"/>
      <c r="E117" s="214"/>
      <c r="F117" s="214"/>
      <c r="G117" s="214"/>
      <c r="H117" s="214"/>
      <c r="I117" s="214"/>
      <c r="J117" s="214"/>
    </row>
    <row r="118" spans="1:10" x14ac:dyDescent="0.2">
      <c r="A118" s="217" t="s">
        <v>338</v>
      </c>
      <c r="B118" s="214"/>
      <c r="C118" s="214"/>
      <c r="D118" s="214" t="s">
        <v>338</v>
      </c>
      <c r="E118" s="214"/>
      <c r="F118" s="214"/>
      <c r="G118" s="214"/>
      <c r="H118" s="214"/>
      <c r="I118" s="214"/>
      <c r="J118" s="214"/>
    </row>
    <row r="119" spans="1:10" ht="13.5" x14ac:dyDescent="0.25">
      <c r="A119" s="237" t="s">
        <v>859</v>
      </c>
      <c r="B119" s="214"/>
      <c r="C119" s="214"/>
      <c r="D119" s="214"/>
      <c r="E119" s="214">
        <v>2614</v>
      </c>
      <c r="F119" s="214">
        <v>1400</v>
      </c>
      <c r="G119" s="214">
        <v>1800</v>
      </c>
      <c r="H119" s="214">
        <v>1800</v>
      </c>
      <c r="I119" s="214">
        <v>1800</v>
      </c>
      <c r="J119" s="214">
        <v>1800</v>
      </c>
    </row>
    <row r="120" spans="1:10" x14ac:dyDescent="0.2">
      <c r="A120" s="217" t="s">
        <v>535</v>
      </c>
      <c r="B120" s="214"/>
      <c r="C120" s="214"/>
      <c r="D120" s="214">
        <v>1800</v>
      </c>
      <c r="E120" s="214"/>
      <c r="F120" s="214"/>
      <c r="G120" s="214"/>
      <c r="H120" s="214"/>
      <c r="I120" s="214"/>
      <c r="J120" s="214"/>
    </row>
    <row r="121" spans="1:10" x14ac:dyDescent="0.2">
      <c r="A121" s="217"/>
      <c r="B121" s="214"/>
      <c r="C121" s="214"/>
      <c r="D121" s="214"/>
      <c r="E121" s="214"/>
      <c r="F121" s="214"/>
      <c r="G121" s="214"/>
      <c r="H121" s="214"/>
      <c r="I121" s="214"/>
      <c r="J121" s="214"/>
    </row>
    <row r="122" spans="1:10" ht="13.5" x14ac:dyDescent="0.25">
      <c r="A122" s="237" t="s">
        <v>860</v>
      </c>
      <c r="B122" s="214"/>
      <c r="C122" s="214"/>
      <c r="D122" s="214"/>
      <c r="E122" s="214">
        <v>6343</v>
      </c>
      <c r="F122" s="214">
        <v>8500</v>
      </c>
      <c r="G122" s="214">
        <v>8500</v>
      </c>
      <c r="H122" s="214">
        <v>8500</v>
      </c>
      <c r="I122" s="214">
        <v>8500</v>
      </c>
      <c r="J122" s="214">
        <v>8500</v>
      </c>
    </row>
    <row r="123" spans="1:10" x14ac:dyDescent="0.2">
      <c r="A123" s="217" t="s">
        <v>861</v>
      </c>
      <c r="B123" s="214"/>
      <c r="C123" s="214"/>
      <c r="D123" s="214">
        <v>5500</v>
      </c>
      <c r="E123" s="214"/>
      <c r="F123" s="214"/>
      <c r="G123" s="214"/>
      <c r="H123" s="214"/>
      <c r="I123" s="214"/>
      <c r="J123" s="214"/>
    </row>
    <row r="124" spans="1:10" x14ac:dyDescent="0.2">
      <c r="A124" s="217" t="s">
        <v>1436</v>
      </c>
      <c r="B124" s="214"/>
      <c r="C124" s="214"/>
      <c r="D124" s="214"/>
      <c r="E124" s="214"/>
      <c r="F124" s="214"/>
      <c r="G124" s="214"/>
      <c r="H124" s="214"/>
      <c r="I124" s="214"/>
      <c r="J124" s="214"/>
    </row>
    <row r="125" spans="1:10" x14ac:dyDescent="0.2">
      <c r="A125" s="217" t="s">
        <v>58</v>
      </c>
      <c r="B125" s="214"/>
      <c r="C125" s="214"/>
      <c r="D125" s="218">
        <v>3000</v>
      </c>
      <c r="E125" s="214"/>
      <c r="F125" s="214"/>
      <c r="G125" s="214"/>
      <c r="H125" s="214"/>
      <c r="I125" s="214"/>
      <c r="J125" s="214"/>
    </row>
    <row r="126" spans="1:10" x14ac:dyDescent="0.2">
      <c r="A126" s="217" t="s">
        <v>1067</v>
      </c>
      <c r="B126" s="214"/>
      <c r="C126" s="214"/>
      <c r="D126" s="214">
        <f>SUM(D123:D125)</f>
        <v>8500</v>
      </c>
      <c r="E126" s="214"/>
      <c r="F126" s="214"/>
      <c r="G126" s="214"/>
      <c r="H126" s="214"/>
      <c r="I126" s="214"/>
      <c r="J126" s="214"/>
    </row>
    <row r="127" spans="1:10" x14ac:dyDescent="0.2">
      <c r="A127" s="217"/>
      <c r="B127" s="214"/>
      <c r="C127" s="214"/>
      <c r="D127" s="214"/>
      <c r="E127" s="214"/>
      <c r="F127" s="214"/>
      <c r="G127" s="214"/>
      <c r="H127" s="214"/>
      <c r="I127" s="214"/>
      <c r="J127" s="214"/>
    </row>
    <row r="128" spans="1:10" ht="13.5" x14ac:dyDescent="0.25">
      <c r="A128" s="237" t="s">
        <v>862</v>
      </c>
      <c r="B128" s="214"/>
      <c r="C128" s="214"/>
      <c r="D128" s="214"/>
      <c r="E128" s="214">
        <v>13064</v>
      </c>
      <c r="F128" s="214">
        <v>11814</v>
      </c>
      <c r="G128" s="214">
        <v>11814</v>
      </c>
      <c r="H128" s="214">
        <v>11814</v>
      </c>
      <c r="I128" s="214">
        <v>11814</v>
      </c>
      <c r="J128" s="214">
        <v>11814</v>
      </c>
    </row>
    <row r="129" spans="1:10" x14ac:dyDescent="0.2">
      <c r="A129" s="217" t="s">
        <v>568</v>
      </c>
      <c r="B129" s="214">
        <v>19</v>
      </c>
      <c r="C129" s="214">
        <v>200</v>
      </c>
      <c r="D129" s="214">
        <f t="shared" ref="D129:D137" si="4">ROUND(B129*C129,0)</f>
        <v>3800</v>
      </c>
      <c r="E129" s="214"/>
      <c r="F129" s="214"/>
      <c r="G129" s="214"/>
      <c r="H129" s="214"/>
      <c r="I129" s="214"/>
      <c r="J129" s="214"/>
    </row>
    <row r="130" spans="1:10" x14ac:dyDescent="0.2">
      <c r="A130" s="217" t="s">
        <v>786</v>
      </c>
      <c r="B130" s="214">
        <v>19</v>
      </c>
      <c r="C130" s="214">
        <v>203</v>
      </c>
      <c r="D130" s="214">
        <f t="shared" si="4"/>
        <v>3857</v>
      </c>
      <c r="E130" s="214"/>
      <c r="F130" s="214"/>
      <c r="G130" s="214"/>
      <c r="H130" s="214"/>
      <c r="I130" s="214"/>
      <c r="J130" s="214"/>
    </row>
    <row r="131" spans="1:10" x14ac:dyDescent="0.2">
      <c r="A131" s="217" t="s">
        <v>907</v>
      </c>
      <c r="B131" s="214">
        <v>3</v>
      </c>
      <c r="C131" s="214">
        <v>275</v>
      </c>
      <c r="D131" s="214">
        <f t="shared" si="4"/>
        <v>825</v>
      </c>
      <c r="E131" s="214"/>
      <c r="F131" s="214"/>
      <c r="G131" s="214"/>
      <c r="H131" s="214"/>
      <c r="I131" s="214"/>
      <c r="J131" s="214"/>
    </row>
    <row r="132" spans="1:10" x14ac:dyDescent="0.2">
      <c r="A132" s="217" t="s">
        <v>908</v>
      </c>
      <c r="B132" s="214">
        <v>2.2999999999999998</v>
      </c>
      <c r="C132" s="214">
        <v>203</v>
      </c>
      <c r="D132" s="214">
        <f t="shared" si="4"/>
        <v>467</v>
      </c>
      <c r="E132" s="214"/>
      <c r="F132" s="214"/>
      <c r="G132" s="214"/>
      <c r="H132" s="214"/>
      <c r="I132" s="214"/>
      <c r="J132" s="214"/>
    </row>
    <row r="133" spans="1:10" x14ac:dyDescent="0.2">
      <c r="A133" s="217" t="s">
        <v>909</v>
      </c>
      <c r="B133" s="214">
        <v>1</v>
      </c>
      <c r="C133" s="214">
        <v>225</v>
      </c>
      <c r="D133" s="214">
        <f t="shared" si="4"/>
        <v>225</v>
      </c>
      <c r="E133" s="214"/>
      <c r="F133" s="214"/>
      <c r="G133" s="214"/>
      <c r="H133" s="214"/>
      <c r="I133" s="214"/>
      <c r="J133" s="214"/>
    </row>
    <row r="134" spans="1:10" x14ac:dyDescent="0.2">
      <c r="A134" s="217" t="s">
        <v>1437</v>
      </c>
      <c r="B134" s="214">
        <v>1</v>
      </c>
      <c r="C134" s="214">
        <v>255</v>
      </c>
      <c r="D134" s="214">
        <f t="shared" si="4"/>
        <v>255</v>
      </c>
      <c r="E134" s="214"/>
      <c r="F134" s="214"/>
      <c r="G134" s="214"/>
      <c r="H134" s="214"/>
      <c r="I134" s="214"/>
      <c r="J134" s="214"/>
    </row>
    <row r="135" spans="1:10" x14ac:dyDescent="0.2">
      <c r="A135" s="217" t="s">
        <v>1643</v>
      </c>
      <c r="B135" s="214">
        <v>4</v>
      </c>
      <c r="C135" s="214">
        <v>150</v>
      </c>
      <c r="D135" s="214">
        <f t="shared" si="4"/>
        <v>600</v>
      </c>
      <c r="E135" s="214"/>
      <c r="F135" s="214"/>
      <c r="G135" s="214"/>
      <c r="H135" s="214"/>
      <c r="I135" s="214"/>
      <c r="J135" s="214"/>
    </row>
    <row r="136" spans="1:10" x14ac:dyDescent="0.2">
      <c r="A136" s="217" t="s">
        <v>910</v>
      </c>
      <c r="B136" s="214">
        <v>24</v>
      </c>
      <c r="C136" s="214">
        <v>60</v>
      </c>
      <c r="D136" s="214">
        <f t="shared" si="4"/>
        <v>1440</v>
      </c>
      <c r="E136" s="214"/>
      <c r="F136" s="214"/>
      <c r="G136" s="214"/>
      <c r="H136" s="214"/>
      <c r="I136" s="214"/>
      <c r="J136" s="214"/>
    </row>
    <row r="137" spans="1:10" s="228" customFormat="1" x14ac:dyDescent="0.2">
      <c r="A137" s="217" t="s">
        <v>2036</v>
      </c>
      <c r="B137" s="214">
        <v>3</v>
      </c>
      <c r="C137" s="214">
        <v>115</v>
      </c>
      <c r="D137" s="218">
        <f t="shared" si="4"/>
        <v>345</v>
      </c>
      <c r="E137" s="214"/>
      <c r="F137" s="214"/>
      <c r="G137" s="214"/>
      <c r="H137" s="214"/>
      <c r="I137" s="214"/>
      <c r="J137" s="214"/>
    </row>
    <row r="138" spans="1:10" x14ac:dyDescent="0.2">
      <c r="A138" s="217" t="s">
        <v>1067</v>
      </c>
      <c r="B138" s="214"/>
      <c r="C138" s="214"/>
      <c r="D138" s="214">
        <f>SUM(D129:D137)</f>
        <v>11814</v>
      </c>
      <c r="E138" s="214"/>
      <c r="F138" s="214"/>
      <c r="G138" s="214"/>
      <c r="H138" s="214"/>
      <c r="I138" s="214"/>
      <c r="J138" s="214"/>
    </row>
    <row r="139" spans="1:10" x14ac:dyDescent="0.2">
      <c r="A139" s="217"/>
      <c r="B139" s="214"/>
      <c r="C139" s="214"/>
      <c r="D139" s="214"/>
      <c r="E139" s="214"/>
      <c r="F139" s="214"/>
      <c r="G139" s="214"/>
      <c r="H139" s="214"/>
      <c r="I139" s="214"/>
      <c r="J139" s="214"/>
    </row>
    <row r="140" spans="1:10" ht="13.5" x14ac:dyDescent="0.25">
      <c r="A140" s="237" t="s">
        <v>921</v>
      </c>
      <c r="B140" s="214"/>
      <c r="C140" s="214"/>
      <c r="D140" s="214"/>
      <c r="E140" s="214">
        <v>3900</v>
      </c>
      <c r="F140" s="214">
        <v>5900</v>
      </c>
      <c r="G140" s="214">
        <v>5900</v>
      </c>
      <c r="H140" s="214">
        <v>5900</v>
      </c>
      <c r="I140" s="214">
        <v>5900</v>
      </c>
      <c r="J140" s="214">
        <v>5900</v>
      </c>
    </row>
    <row r="141" spans="1:10" x14ac:dyDescent="0.2">
      <c r="A141" s="217" t="s">
        <v>2008</v>
      </c>
      <c r="B141" s="214"/>
      <c r="C141" s="214"/>
      <c r="D141" s="214">
        <v>1000</v>
      </c>
      <c r="E141" s="214"/>
      <c r="F141" s="214"/>
      <c r="G141" s="214"/>
      <c r="H141" s="214"/>
      <c r="I141" s="214"/>
      <c r="J141" s="214"/>
    </row>
    <row r="142" spans="1:10" x14ac:dyDescent="0.2">
      <c r="A142" s="217" t="s">
        <v>2009</v>
      </c>
      <c r="B142" s="214"/>
      <c r="C142" s="214"/>
      <c r="D142" s="214">
        <v>2400</v>
      </c>
      <c r="E142" s="214"/>
      <c r="F142" s="214"/>
      <c r="G142" s="214"/>
      <c r="H142" s="214"/>
      <c r="I142" s="214"/>
      <c r="J142" s="214"/>
    </row>
    <row r="143" spans="1:10" x14ac:dyDescent="0.2">
      <c r="A143" s="217" t="s">
        <v>2010</v>
      </c>
      <c r="B143" s="214"/>
      <c r="C143" s="214"/>
      <c r="D143" s="218">
        <v>2500</v>
      </c>
      <c r="E143" s="214"/>
      <c r="F143" s="214"/>
      <c r="G143" s="214"/>
      <c r="H143" s="214"/>
      <c r="I143" s="214"/>
      <c r="J143" s="214"/>
    </row>
    <row r="144" spans="1:10" x14ac:dyDescent="0.2">
      <c r="A144" s="217"/>
      <c r="B144" s="214"/>
      <c r="C144" s="214"/>
      <c r="D144" s="214">
        <f>SUM(D141:D143)</f>
        <v>5900</v>
      </c>
      <c r="E144" s="214"/>
      <c r="F144" s="214"/>
      <c r="G144" s="214"/>
      <c r="H144" s="214"/>
      <c r="I144" s="214"/>
      <c r="J144" s="214"/>
    </row>
    <row r="145" spans="1:10" x14ac:dyDescent="0.2">
      <c r="A145" s="217"/>
      <c r="B145" s="214"/>
      <c r="C145" s="214"/>
      <c r="D145" s="214"/>
      <c r="E145" s="214"/>
      <c r="F145" s="214"/>
      <c r="G145" s="214"/>
      <c r="H145" s="214"/>
      <c r="I145" s="214"/>
      <c r="J145" s="214"/>
    </row>
    <row r="146" spans="1:10" ht="13.5" x14ac:dyDescent="0.25">
      <c r="A146" s="237" t="s">
        <v>1145</v>
      </c>
      <c r="B146" s="214"/>
      <c r="C146" s="214"/>
      <c r="D146" s="214"/>
      <c r="E146" s="214">
        <v>155</v>
      </c>
      <c r="F146" s="214">
        <v>500</v>
      </c>
      <c r="G146" s="214">
        <v>500</v>
      </c>
      <c r="H146" s="214">
        <v>500</v>
      </c>
      <c r="I146" s="214">
        <v>500</v>
      </c>
      <c r="J146" s="214">
        <v>500</v>
      </c>
    </row>
    <row r="147" spans="1:10" x14ac:dyDescent="0.2">
      <c r="A147" s="217" t="s">
        <v>1712</v>
      </c>
      <c r="B147" s="214"/>
      <c r="C147" s="214"/>
      <c r="D147" s="214">
        <v>500</v>
      </c>
      <c r="E147" s="214"/>
      <c r="F147" s="214"/>
      <c r="G147" s="214"/>
      <c r="H147" s="214"/>
      <c r="I147" s="214"/>
      <c r="J147" s="214"/>
    </row>
    <row r="148" spans="1:10" x14ac:dyDescent="0.2">
      <c r="A148" s="217"/>
      <c r="B148" s="214"/>
      <c r="C148" s="214"/>
      <c r="D148" s="214"/>
      <c r="E148" s="214"/>
      <c r="F148" s="214"/>
      <c r="G148" s="214"/>
      <c r="H148" s="214"/>
      <c r="I148" s="214"/>
      <c r="J148" s="214"/>
    </row>
    <row r="149" spans="1:10" ht="13.5" x14ac:dyDescent="0.25">
      <c r="A149" s="237" t="s">
        <v>1320</v>
      </c>
      <c r="B149" s="214"/>
      <c r="C149" s="214"/>
      <c r="D149" s="214"/>
      <c r="E149" s="214">
        <v>35</v>
      </c>
      <c r="F149" s="214">
        <v>50</v>
      </c>
      <c r="G149" s="214">
        <v>50</v>
      </c>
      <c r="H149" s="214">
        <v>50</v>
      </c>
      <c r="I149" s="214">
        <v>50</v>
      </c>
      <c r="J149" s="214">
        <v>50</v>
      </c>
    </row>
    <row r="150" spans="1:10" x14ac:dyDescent="0.2">
      <c r="A150" s="217"/>
      <c r="B150" s="214"/>
      <c r="C150" s="214"/>
      <c r="D150" s="214">
        <v>50</v>
      </c>
      <c r="E150" s="214"/>
      <c r="F150" s="214"/>
      <c r="G150" s="214"/>
      <c r="H150" s="214"/>
      <c r="I150" s="214"/>
      <c r="J150" s="214"/>
    </row>
    <row r="151" spans="1:10" x14ac:dyDescent="0.2">
      <c r="A151" s="217"/>
      <c r="B151" s="214"/>
      <c r="C151" s="214"/>
      <c r="D151" s="214"/>
      <c r="E151" s="214"/>
      <c r="F151" s="214"/>
      <c r="G151" s="214"/>
      <c r="H151" s="214"/>
      <c r="I151" s="214"/>
      <c r="J151" s="214"/>
    </row>
    <row r="152" spans="1:10" ht="13.5" x14ac:dyDescent="0.25">
      <c r="A152" s="237" t="s">
        <v>1146</v>
      </c>
      <c r="B152" s="214"/>
      <c r="C152" s="214"/>
      <c r="D152" s="214"/>
      <c r="E152" s="214">
        <v>13075</v>
      </c>
      <c r="F152" s="214">
        <v>12415</v>
      </c>
      <c r="G152" s="214">
        <v>13300</v>
      </c>
      <c r="H152" s="214">
        <v>13300</v>
      </c>
      <c r="I152" s="214">
        <v>13300</v>
      </c>
      <c r="J152" s="214">
        <v>13300</v>
      </c>
    </row>
    <row r="153" spans="1:10" x14ac:dyDescent="0.2">
      <c r="A153" s="217" t="s">
        <v>137</v>
      </c>
      <c r="B153" s="214"/>
      <c r="C153" s="214"/>
      <c r="D153" s="214">
        <v>9700</v>
      </c>
      <c r="E153" s="214"/>
      <c r="F153" s="214"/>
      <c r="G153" s="214"/>
      <c r="H153" s="214"/>
      <c r="I153" s="214"/>
      <c r="J153" s="214"/>
    </row>
    <row r="154" spans="1:10" x14ac:dyDescent="0.2">
      <c r="A154" s="217" t="s">
        <v>1926</v>
      </c>
      <c r="B154" s="214"/>
      <c r="C154" s="214"/>
      <c r="D154" s="214">
        <v>3600</v>
      </c>
      <c r="E154" s="214"/>
      <c r="F154" s="214"/>
      <c r="G154" s="214"/>
      <c r="H154" s="214"/>
      <c r="I154" s="214"/>
      <c r="J154" s="214"/>
    </row>
    <row r="155" spans="1:10" x14ac:dyDescent="0.2">
      <c r="A155" s="217" t="s">
        <v>1080</v>
      </c>
      <c r="B155" s="214"/>
      <c r="C155" s="214"/>
      <c r="D155" s="218">
        <v>0</v>
      </c>
      <c r="E155" s="214"/>
      <c r="F155" s="214"/>
      <c r="G155" s="214"/>
      <c r="H155" s="214"/>
      <c r="I155" s="214"/>
      <c r="J155" s="214"/>
    </row>
    <row r="156" spans="1:10" x14ac:dyDescent="0.2">
      <c r="A156" s="217" t="s">
        <v>1067</v>
      </c>
      <c r="B156" s="214"/>
      <c r="C156" s="214"/>
      <c r="D156" s="214">
        <f>SUM(D153:D155)</f>
        <v>13300</v>
      </c>
      <c r="E156" s="214"/>
      <c r="F156" s="214"/>
      <c r="G156" s="214"/>
      <c r="H156" s="214"/>
      <c r="I156" s="214"/>
      <c r="J156" s="214"/>
    </row>
    <row r="157" spans="1:10" x14ac:dyDescent="0.2">
      <c r="A157" s="217"/>
      <c r="B157" s="214"/>
      <c r="C157" s="214"/>
      <c r="D157" s="214"/>
      <c r="E157" s="214"/>
      <c r="F157" s="214"/>
      <c r="G157" s="214"/>
      <c r="H157" s="214"/>
      <c r="I157" s="214"/>
      <c r="J157" s="214"/>
    </row>
    <row r="158" spans="1:10" ht="13.5" x14ac:dyDescent="0.25">
      <c r="A158" s="237" t="s">
        <v>526</v>
      </c>
      <c r="B158" s="214"/>
      <c r="C158" s="214"/>
      <c r="D158" s="214"/>
      <c r="E158" s="214">
        <v>16657</v>
      </c>
      <c r="F158" s="214">
        <v>16400</v>
      </c>
      <c r="G158" s="214">
        <v>18600</v>
      </c>
      <c r="H158" s="214">
        <v>18600</v>
      </c>
      <c r="I158" s="214">
        <v>18600</v>
      </c>
      <c r="J158" s="214">
        <v>18600</v>
      </c>
    </row>
    <row r="159" spans="1:10" x14ac:dyDescent="0.2">
      <c r="A159" s="217" t="s">
        <v>137</v>
      </c>
      <c r="B159" s="214"/>
      <c r="C159" s="214"/>
      <c r="D159" s="214">
        <v>9400</v>
      </c>
      <c r="E159" s="214"/>
      <c r="F159" s="214"/>
      <c r="G159" s="214"/>
      <c r="H159" s="214"/>
      <c r="I159" s="214"/>
      <c r="J159" s="214"/>
    </row>
    <row r="160" spans="1:10" x14ac:dyDescent="0.2">
      <c r="A160" s="217" t="s">
        <v>1755</v>
      </c>
      <c r="B160" s="214"/>
      <c r="C160" s="214"/>
      <c r="D160" s="218">
        <v>9200</v>
      </c>
      <c r="E160" s="214"/>
      <c r="F160" s="214"/>
      <c r="G160" s="214"/>
      <c r="H160" s="214"/>
      <c r="I160" s="214"/>
      <c r="J160" s="214"/>
    </row>
    <row r="161" spans="1:10" x14ac:dyDescent="0.2">
      <c r="A161" s="217" t="s">
        <v>1067</v>
      </c>
      <c r="B161" s="214"/>
      <c r="C161" s="214"/>
      <c r="D161" s="214">
        <f>SUM(D159:D160)</f>
        <v>18600</v>
      </c>
      <c r="E161" s="214"/>
      <c r="F161" s="214"/>
      <c r="G161" s="214"/>
      <c r="H161" s="214"/>
      <c r="I161" s="214"/>
      <c r="J161" s="214"/>
    </row>
    <row r="162" spans="1:10" x14ac:dyDescent="0.2">
      <c r="A162" s="217"/>
      <c r="B162" s="214"/>
      <c r="C162" s="214"/>
      <c r="D162" s="214"/>
      <c r="E162" s="214"/>
      <c r="F162" s="214"/>
      <c r="G162" s="214"/>
      <c r="H162" s="214"/>
      <c r="I162" s="214"/>
      <c r="J162" s="214"/>
    </row>
    <row r="163" spans="1:10" ht="13.5" x14ac:dyDescent="0.25">
      <c r="A163" s="237" t="s">
        <v>1296</v>
      </c>
      <c r="B163" s="214"/>
      <c r="C163" s="214"/>
      <c r="D163" s="214"/>
      <c r="E163" s="214">
        <v>2548</v>
      </c>
      <c r="F163" s="214">
        <v>2300</v>
      </c>
      <c r="G163" s="214">
        <v>2750</v>
      </c>
      <c r="H163" s="214">
        <v>2750</v>
      </c>
      <c r="I163" s="214">
        <v>2750</v>
      </c>
      <c r="J163" s="214">
        <v>2750</v>
      </c>
    </row>
    <row r="164" spans="1:10" x14ac:dyDescent="0.2">
      <c r="A164" s="217" t="s">
        <v>797</v>
      </c>
      <c r="B164" s="214"/>
      <c r="C164" s="214"/>
      <c r="D164" s="214">
        <v>2750</v>
      </c>
      <c r="E164" s="214"/>
      <c r="F164" s="214"/>
      <c r="G164" s="214"/>
      <c r="H164" s="214"/>
      <c r="I164" s="214"/>
      <c r="J164" s="214"/>
    </row>
    <row r="165" spans="1:10" x14ac:dyDescent="0.2">
      <c r="A165" s="217"/>
      <c r="B165" s="214"/>
      <c r="C165" s="214"/>
      <c r="D165" s="214"/>
      <c r="E165" s="214"/>
      <c r="F165" s="214"/>
      <c r="G165" s="214"/>
      <c r="H165" s="214"/>
      <c r="I165" s="214"/>
      <c r="J165" s="214"/>
    </row>
    <row r="166" spans="1:10" ht="13.5" x14ac:dyDescent="0.25">
      <c r="A166" s="237" t="s">
        <v>138</v>
      </c>
      <c r="B166" s="214"/>
      <c r="C166" s="214"/>
      <c r="D166" s="214"/>
      <c r="E166" s="214">
        <v>296</v>
      </c>
      <c r="F166" s="214">
        <v>304</v>
      </c>
      <c r="G166" s="214">
        <v>340</v>
      </c>
      <c r="H166" s="214">
        <v>340</v>
      </c>
      <c r="I166" s="214">
        <v>340</v>
      </c>
      <c r="J166" s="214">
        <v>340</v>
      </c>
    </row>
    <row r="167" spans="1:10" x14ac:dyDescent="0.2">
      <c r="A167" s="217" t="s">
        <v>797</v>
      </c>
      <c r="B167" s="214"/>
      <c r="C167" s="214"/>
      <c r="D167" s="214">
        <v>340</v>
      </c>
      <c r="E167" s="214"/>
      <c r="F167" s="214"/>
      <c r="G167" s="214"/>
      <c r="H167" s="214"/>
      <c r="I167" s="214"/>
      <c r="J167" s="214"/>
    </row>
    <row r="168" spans="1:10" x14ac:dyDescent="0.2">
      <c r="A168" s="217"/>
      <c r="B168" s="214"/>
      <c r="C168" s="214"/>
      <c r="D168" s="214"/>
      <c r="E168" s="214"/>
      <c r="F168" s="214"/>
      <c r="G168" s="214"/>
      <c r="H168" s="214"/>
      <c r="I168" s="214"/>
      <c r="J168" s="214"/>
    </row>
    <row r="169" spans="1:10" ht="13.5" x14ac:dyDescent="0.25">
      <c r="A169" s="237" t="s">
        <v>1297</v>
      </c>
      <c r="B169" s="214"/>
      <c r="C169" s="214"/>
      <c r="D169" s="214"/>
      <c r="E169" s="214">
        <v>76125</v>
      </c>
      <c r="F169" s="214">
        <v>84625</v>
      </c>
      <c r="G169" s="214">
        <v>123775</v>
      </c>
      <c r="H169" s="214">
        <v>123775</v>
      </c>
      <c r="I169" s="214">
        <v>123775</v>
      </c>
      <c r="J169" s="214">
        <v>123775</v>
      </c>
    </row>
    <row r="170" spans="1:10" x14ac:dyDescent="0.2">
      <c r="A170" s="217" t="s">
        <v>1101</v>
      </c>
      <c r="B170" s="214">
        <v>7500</v>
      </c>
      <c r="C170" s="301">
        <v>3.5</v>
      </c>
      <c r="D170" s="214">
        <f>ROUND(B170*C170,0)</f>
        <v>26250</v>
      </c>
      <c r="E170" s="214"/>
      <c r="F170" s="214"/>
      <c r="G170" s="214"/>
      <c r="H170" s="214"/>
      <c r="I170" s="214"/>
      <c r="J170" s="214"/>
    </row>
    <row r="171" spans="1:10" x14ac:dyDescent="0.2">
      <c r="A171" s="217" t="s">
        <v>1100</v>
      </c>
      <c r="B171" s="214">
        <v>23500</v>
      </c>
      <c r="C171" s="301">
        <v>4.1500000000000004</v>
      </c>
      <c r="D171" s="218">
        <f>ROUND(B171*C171,0)</f>
        <v>97525</v>
      </c>
      <c r="E171" s="214"/>
      <c r="F171" s="214"/>
      <c r="G171" s="214"/>
      <c r="H171" s="214"/>
      <c r="I171" s="214"/>
      <c r="J171" s="214"/>
    </row>
    <row r="172" spans="1:10" x14ac:dyDescent="0.2">
      <c r="A172" s="217" t="s">
        <v>1067</v>
      </c>
      <c r="B172" s="214"/>
      <c r="C172" s="214"/>
      <c r="D172" s="214">
        <f>SUM(D170:D171)</f>
        <v>123775</v>
      </c>
      <c r="E172" s="214"/>
      <c r="F172" s="214"/>
      <c r="G172" s="214"/>
      <c r="H172" s="214"/>
      <c r="I172" s="214"/>
      <c r="J172" s="214"/>
    </row>
    <row r="173" spans="1:10" x14ac:dyDescent="0.2">
      <c r="A173" s="217"/>
      <c r="B173" s="214"/>
      <c r="C173" s="214"/>
      <c r="D173" s="214"/>
      <c r="E173" s="214"/>
      <c r="F173" s="214"/>
      <c r="G173" s="214"/>
      <c r="H173" s="214"/>
      <c r="I173" s="214"/>
      <c r="J173" s="214"/>
    </row>
    <row r="174" spans="1:10" ht="13.5" x14ac:dyDescent="0.25">
      <c r="A174" s="237" t="s">
        <v>1298</v>
      </c>
      <c r="B174" s="214"/>
      <c r="C174" s="214"/>
      <c r="D174" s="214"/>
      <c r="E174" s="214">
        <v>10485</v>
      </c>
      <c r="F174" s="214">
        <v>9218</v>
      </c>
      <c r="G174" s="214">
        <v>10850</v>
      </c>
      <c r="H174" s="214">
        <v>10850</v>
      </c>
      <c r="I174" s="214">
        <v>10850</v>
      </c>
      <c r="J174" s="214">
        <v>10850</v>
      </c>
    </row>
    <row r="175" spans="1:10" x14ac:dyDescent="0.2">
      <c r="A175" s="217" t="s">
        <v>805</v>
      </c>
      <c r="B175" s="214"/>
      <c r="C175" s="214"/>
      <c r="D175" s="214">
        <v>3500</v>
      </c>
      <c r="E175" s="214"/>
      <c r="F175" s="214"/>
      <c r="G175" s="214"/>
      <c r="H175" s="214"/>
      <c r="I175" s="214"/>
      <c r="J175" s="214"/>
    </row>
    <row r="176" spans="1:10" x14ac:dyDescent="0.2">
      <c r="A176" s="217" t="s">
        <v>1756</v>
      </c>
      <c r="B176" s="214">
        <v>1</v>
      </c>
      <c r="C176" s="214"/>
      <c r="D176" s="214">
        <v>150</v>
      </c>
      <c r="E176" s="214"/>
      <c r="F176" s="214"/>
      <c r="G176" s="214"/>
      <c r="H176" s="214"/>
      <c r="I176" s="214"/>
      <c r="J176" s="214"/>
    </row>
    <row r="177" spans="1:10" x14ac:dyDescent="0.2">
      <c r="A177" s="217" t="s">
        <v>1962</v>
      </c>
      <c r="B177" s="214">
        <v>4</v>
      </c>
      <c r="C177" s="214"/>
      <c r="D177" s="214">
        <v>3600</v>
      </c>
      <c r="E177" s="214"/>
      <c r="F177" s="214"/>
      <c r="G177" s="214"/>
      <c r="H177" s="214"/>
      <c r="I177" s="214"/>
      <c r="J177" s="214"/>
    </row>
    <row r="178" spans="1:10" x14ac:dyDescent="0.2">
      <c r="A178" s="217" t="s">
        <v>536</v>
      </c>
      <c r="B178" s="214">
        <v>12</v>
      </c>
      <c r="C178" s="214">
        <v>300</v>
      </c>
      <c r="D178" s="218">
        <f>B178*C178</f>
        <v>3600</v>
      </c>
      <c r="E178" s="214"/>
      <c r="F178" s="214"/>
      <c r="G178" s="214"/>
      <c r="H178" s="214"/>
      <c r="I178" s="214"/>
      <c r="J178" s="214"/>
    </row>
    <row r="179" spans="1:10" x14ac:dyDescent="0.2">
      <c r="A179" s="217"/>
      <c r="B179" s="214"/>
      <c r="C179" s="214"/>
      <c r="D179" s="214">
        <f>SUM(D175:D178)</f>
        <v>10850</v>
      </c>
      <c r="E179" s="214"/>
      <c r="F179" s="214"/>
      <c r="G179" s="214"/>
      <c r="H179" s="214"/>
      <c r="I179" s="214"/>
      <c r="J179" s="214"/>
    </row>
    <row r="180" spans="1:10" x14ac:dyDescent="0.2">
      <c r="A180" s="217"/>
      <c r="B180" s="214"/>
      <c r="C180" s="214"/>
      <c r="D180" s="214"/>
      <c r="E180" s="214"/>
      <c r="F180" s="214"/>
      <c r="G180" s="214"/>
      <c r="H180" s="214"/>
      <c r="I180" s="214"/>
      <c r="J180" s="214"/>
    </row>
    <row r="181" spans="1:10" ht="13.5" x14ac:dyDescent="0.25">
      <c r="A181" s="237" t="s">
        <v>433</v>
      </c>
      <c r="B181" s="214"/>
      <c r="C181" s="214"/>
      <c r="D181" s="214"/>
      <c r="E181" s="214">
        <v>1113</v>
      </c>
      <c r="F181" s="214">
        <v>680</v>
      </c>
      <c r="G181" s="214">
        <v>680</v>
      </c>
      <c r="H181" s="214">
        <v>680</v>
      </c>
      <c r="I181" s="214">
        <v>680</v>
      </c>
      <c r="J181" s="214">
        <v>680</v>
      </c>
    </row>
    <row r="182" spans="1:10" x14ac:dyDescent="0.2">
      <c r="A182" s="217" t="s">
        <v>2011</v>
      </c>
      <c r="B182" s="214" t="s">
        <v>338</v>
      </c>
      <c r="C182" s="214"/>
      <c r="D182" s="214">
        <v>680</v>
      </c>
      <c r="E182" s="214"/>
      <c r="F182" s="214"/>
      <c r="G182" s="214"/>
      <c r="H182" s="214"/>
      <c r="I182" s="214"/>
      <c r="J182" s="214"/>
    </row>
    <row r="183" spans="1:10" x14ac:dyDescent="0.2">
      <c r="A183" s="217"/>
      <c r="B183" s="214"/>
      <c r="C183" s="214"/>
      <c r="D183" s="214"/>
      <c r="E183" s="214"/>
      <c r="F183" s="214"/>
      <c r="G183" s="214"/>
      <c r="H183" s="214"/>
      <c r="I183" s="214"/>
      <c r="J183" s="214"/>
    </row>
    <row r="184" spans="1:10" ht="13.5" x14ac:dyDescent="0.25">
      <c r="A184" s="237" t="s">
        <v>1229</v>
      </c>
      <c r="B184" s="214"/>
      <c r="C184" s="214"/>
      <c r="D184" s="214"/>
      <c r="E184" s="214">
        <v>39852</v>
      </c>
      <c r="F184" s="214">
        <v>45573</v>
      </c>
      <c r="G184" s="214">
        <v>47852</v>
      </c>
      <c r="H184" s="214">
        <v>47852</v>
      </c>
      <c r="I184" s="214">
        <v>47852</v>
      </c>
      <c r="J184" s="214">
        <v>47852</v>
      </c>
    </row>
    <row r="185" spans="1:10" x14ac:dyDescent="0.2">
      <c r="A185" s="217" t="s">
        <v>1406</v>
      </c>
      <c r="B185" s="214"/>
      <c r="C185" s="214"/>
      <c r="D185" s="214">
        <v>47852</v>
      </c>
      <c r="E185" s="214"/>
      <c r="F185" s="214"/>
      <c r="G185" s="214"/>
      <c r="H185" s="214"/>
      <c r="I185" s="214"/>
      <c r="J185" s="214"/>
    </row>
    <row r="186" spans="1:10" x14ac:dyDescent="0.2">
      <c r="A186" s="217"/>
      <c r="B186" s="214"/>
      <c r="C186" s="214"/>
      <c r="D186" s="214"/>
      <c r="E186" s="214"/>
      <c r="F186" s="214"/>
      <c r="G186" s="214"/>
      <c r="H186" s="214"/>
      <c r="I186" s="214"/>
      <c r="J186" s="214"/>
    </row>
    <row r="187" spans="1:10" ht="13.5" x14ac:dyDescent="0.25">
      <c r="A187" s="237" t="s">
        <v>1230</v>
      </c>
      <c r="B187" s="214"/>
      <c r="C187" s="214"/>
      <c r="D187" s="214"/>
      <c r="E187" s="214">
        <v>348</v>
      </c>
      <c r="F187" s="214">
        <v>500</v>
      </c>
      <c r="G187" s="214">
        <v>3500</v>
      </c>
      <c r="H187" s="214">
        <v>3500</v>
      </c>
      <c r="I187" s="214">
        <v>3500</v>
      </c>
      <c r="J187" s="214">
        <v>3500</v>
      </c>
    </row>
    <row r="188" spans="1:10" x14ac:dyDescent="0.2">
      <c r="A188" s="217" t="s">
        <v>1438</v>
      </c>
      <c r="B188" s="214"/>
      <c r="C188" s="214"/>
      <c r="D188" s="214">
        <v>500</v>
      </c>
      <c r="E188" s="214"/>
      <c r="F188" s="214"/>
      <c r="G188" s="214"/>
      <c r="H188" s="214"/>
      <c r="I188" s="214"/>
      <c r="J188" s="214"/>
    </row>
    <row r="189" spans="1:10" x14ac:dyDescent="0.2">
      <c r="A189" s="217" t="s">
        <v>2087</v>
      </c>
      <c r="B189" s="214"/>
      <c r="C189" s="214"/>
      <c r="D189" s="218">
        <v>3000</v>
      </c>
      <c r="E189" s="214"/>
      <c r="F189" s="214"/>
      <c r="G189" s="214"/>
      <c r="H189" s="214"/>
      <c r="I189" s="214"/>
      <c r="J189" s="214"/>
    </row>
    <row r="190" spans="1:10" x14ac:dyDescent="0.2">
      <c r="A190" s="217"/>
      <c r="B190" s="214"/>
      <c r="C190" s="214"/>
      <c r="D190" s="214">
        <f>SUM(D188:D189)</f>
        <v>3500</v>
      </c>
      <c r="E190" s="214"/>
      <c r="F190" s="214"/>
      <c r="G190" s="214"/>
      <c r="H190" s="214"/>
      <c r="I190" s="214"/>
      <c r="J190" s="214"/>
    </row>
    <row r="191" spans="1:10" x14ac:dyDescent="0.2">
      <c r="A191" s="217"/>
      <c r="B191" s="214"/>
      <c r="C191" s="214"/>
      <c r="D191" s="214"/>
      <c r="E191" s="214"/>
      <c r="F191" s="214"/>
      <c r="G191" s="214"/>
      <c r="H191" s="214"/>
      <c r="I191" s="214"/>
      <c r="J191" s="214"/>
    </row>
    <row r="192" spans="1:10" ht="13.5" x14ac:dyDescent="0.25">
      <c r="A192" s="237" t="s">
        <v>248</v>
      </c>
      <c r="B192" s="214"/>
      <c r="C192" s="214"/>
      <c r="D192" s="214" t="s">
        <v>338</v>
      </c>
      <c r="E192" s="214">
        <v>9893</v>
      </c>
      <c r="F192" s="214">
        <v>7000</v>
      </c>
      <c r="G192" s="214">
        <v>9000</v>
      </c>
      <c r="H192" s="214">
        <v>9000</v>
      </c>
      <c r="I192" s="214">
        <v>9000</v>
      </c>
      <c r="J192" s="214">
        <v>9000</v>
      </c>
    </row>
    <row r="193" spans="1:10" x14ac:dyDescent="0.2">
      <c r="A193" s="217" t="s">
        <v>249</v>
      </c>
      <c r="B193" s="214"/>
      <c r="C193" s="214"/>
      <c r="D193" s="214"/>
      <c r="E193" s="214"/>
      <c r="F193" s="214"/>
      <c r="G193" s="214"/>
      <c r="H193" s="214"/>
      <c r="I193" s="214"/>
      <c r="J193" s="214"/>
    </row>
    <row r="194" spans="1:10" x14ac:dyDescent="0.2">
      <c r="A194" s="217" t="s">
        <v>1439</v>
      </c>
      <c r="B194" s="214"/>
      <c r="C194" s="214"/>
      <c r="D194" s="214">
        <v>6000</v>
      </c>
      <c r="E194" s="214"/>
      <c r="F194" s="214"/>
      <c r="G194" s="214"/>
      <c r="H194" s="214"/>
      <c r="I194" s="214"/>
      <c r="J194" s="214"/>
    </row>
    <row r="195" spans="1:10" x14ac:dyDescent="0.2">
      <c r="A195" s="217" t="s">
        <v>1536</v>
      </c>
      <c r="B195" s="214"/>
      <c r="C195" s="214"/>
      <c r="D195" s="218">
        <v>3000</v>
      </c>
      <c r="E195" s="214"/>
      <c r="F195" s="214"/>
      <c r="G195" s="214"/>
      <c r="H195" s="214"/>
      <c r="I195" s="214"/>
      <c r="J195" s="214"/>
    </row>
    <row r="196" spans="1:10" x14ac:dyDescent="0.2">
      <c r="A196" s="217" t="s">
        <v>1067</v>
      </c>
      <c r="B196" s="214"/>
      <c r="C196" s="214"/>
      <c r="D196" s="214">
        <f>SUM(D194:D195)</f>
        <v>9000</v>
      </c>
      <c r="E196" s="214"/>
      <c r="F196" s="214"/>
      <c r="G196" s="214"/>
      <c r="H196" s="214"/>
      <c r="I196" s="214"/>
      <c r="J196" s="214"/>
    </row>
    <row r="197" spans="1:10" x14ac:dyDescent="0.2">
      <c r="A197" s="217"/>
      <c r="B197" s="214"/>
      <c r="C197" s="214"/>
      <c r="D197" s="214"/>
      <c r="E197" s="214"/>
      <c r="F197" s="214"/>
      <c r="G197" s="214"/>
      <c r="H197" s="214"/>
      <c r="I197" s="214"/>
      <c r="J197" s="214"/>
    </row>
    <row r="198" spans="1:10" ht="13.5" x14ac:dyDescent="0.25">
      <c r="A198" s="237" t="s">
        <v>1247</v>
      </c>
      <c r="B198" s="214"/>
      <c r="C198" s="214"/>
      <c r="D198" s="214"/>
      <c r="E198" s="214">
        <v>8221</v>
      </c>
      <c r="F198" s="214">
        <v>15050</v>
      </c>
      <c r="G198" s="214">
        <v>15050</v>
      </c>
      <c r="H198" s="214">
        <v>15050</v>
      </c>
      <c r="I198" s="214">
        <v>15050</v>
      </c>
      <c r="J198" s="214">
        <v>15050</v>
      </c>
    </row>
    <row r="199" spans="1:10" x14ac:dyDescent="0.2">
      <c r="A199" s="217" t="s">
        <v>1188</v>
      </c>
      <c r="B199" s="214"/>
      <c r="C199" s="214"/>
      <c r="D199" s="214" t="s">
        <v>338</v>
      </c>
      <c r="E199" s="214"/>
      <c r="F199" s="214"/>
      <c r="G199" s="214"/>
      <c r="H199" s="214"/>
      <c r="I199" s="214"/>
      <c r="J199" s="214"/>
    </row>
    <row r="200" spans="1:10" x14ac:dyDescent="0.2">
      <c r="A200" s="217" t="s">
        <v>20</v>
      </c>
      <c r="B200" s="214"/>
      <c r="C200" s="214"/>
      <c r="D200" s="214">
        <v>500</v>
      </c>
      <c r="E200" s="214"/>
      <c r="F200" s="214"/>
      <c r="G200" s="214"/>
      <c r="H200" s="214"/>
      <c r="I200" s="214"/>
      <c r="J200" s="214"/>
    </row>
    <row r="201" spans="1:10" x14ac:dyDescent="0.2">
      <c r="A201" s="217" t="s">
        <v>89</v>
      </c>
      <c r="B201" s="214"/>
      <c r="C201" s="214"/>
      <c r="D201" s="214">
        <v>600</v>
      </c>
      <c r="E201" s="214"/>
      <c r="F201" s="214"/>
      <c r="G201" s="214"/>
      <c r="H201" s="214"/>
      <c r="I201" s="214"/>
      <c r="J201" s="214"/>
    </row>
    <row r="202" spans="1:10" x14ac:dyDescent="0.2">
      <c r="A202" s="217" t="s">
        <v>1537</v>
      </c>
      <c r="B202" s="214"/>
      <c r="C202" s="214"/>
      <c r="D202" s="214"/>
      <c r="E202" s="214"/>
      <c r="F202" s="214"/>
      <c r="G202" s="214"/>
      <c r="H202" s="214"/>
      <c r="I202" s="214"/>
      <c r="J202" s="214"/>
    </row>
    <row r="203" spans="1:10" x14ac:dyDescent="0.2">
      <c r="A203" s="217" t="s">
        <v>467</v>
      </c>
      <c r="B203" s="214"/>
      <c r="C203" s="214"/>
      <c r="D203" s="214">
        <v>200</v>
      </c>
      <c r="E203" s="214"/>
      <c r="F203" s="214"/>
      <c r="G203" s="214"/>
      <c r="H203" s="214"/>
      <c r="I203" s="214"/>
      <c r="J203" s="214"/>
    </row>
    <row r="204" spans="1:10" x14ac:dyDescent="0.2">
      <c r="A204" s="217" t="s">
        <v>468</v>
      </c>
      <c r="B204" s="214"/>
      <c r="C204" s="214"/>
      <c r="D204" s="214">
        <v>600</v>
      </c>
      <c r="E204" s="214"/>
      <c r="F204" s="214"/>
      <c r="G204" s="214"/>
      <c r="H204" s="214"/>
      <c r="I204" s="214"/>
      <c r="J204" s="214"/>
    </row>
    <row r="205" spans="1:10" x14ac:dyDescent="0.2">
      <c r="A205" s="217" t="s">
        <v>469</v>
      </c>
      <c r="B205" s="214"/>
      <c r="C205" s="214"/>
      <c r="D205" s="214">
        <v>100</v>
      </c>
      <c r="E205" s="214"/>
      <c r="F205" s="214"/>
      <c r="G205" s="214"/>
      <c r="H205" s="214"/>
      <c r="I205" s="214"/>
      <c r="J205" s="214"/>
    </row>
    <row r="206" spans="1:10" x14ac:dyDescent="0.2">
      <c r="A206" s="217" t="s">
        <v>891</v>
      </c>
      <c r="B206" s="214"/>
      <c r="C206" s="214"/>
      <c r="D206" s="214">
        <v>50</v>
      </c>
      <c r="E206" s="214"/>
      <c r="F206" s="214"/>
      <c r="G206" s="214"/>
      <c r="H206" s="214"/>
      <c r="I206" s="214"/>
      <c r="J206" s="214"/>
    </row>
    <row r="207" spans="1:10" x14ac:dyDescent="0.2">
      <c r="A207" s="217" t="s">
        <v>1440</v>
      </c>
      <c r="B207" s="214"/>
      <c r="C207" s="214"/>
      <c r="D207" s="214">
        <v>2000</v>
      </c>
      <c r="E207" s="214"/>
      <c r="F207" s="214"/>
      <c r="G207" s="214"/>
      <c r="H207" s="214"/>
      <c r="I207" s="214"/>
      <c r="J207" s="214"/>
    </row>
    <row r="208" spans="1:10" x14ac:dyDescent="0.2">
      <c r="A208" s="217" t="s">
        <v>1441</v>
      </c>
      <c r="B208" s="214"/>
      <c r="C208" s="214"/>
      <c r="D208" s="214">
        <v>4100</v>
      </c>
      <c r="E208" s="214"/>
      <c r="F208" s="214"/>
      <c r="G208" s="214"/>
      <c r="H208" s="214"/>
      <c r="I208" s="214"/>
      <c r="J208" s="214"/>
    </row>
    <row r="209" spans="1:10" x14ac:dyDescent="0.2">
      <c r="A209" s="217" t="s">
        <v>265</v>
      </c>
      <c r="B209" s="214"/>
      <c r="C209" s="214"/>
      <c r="D209" s="214">
        <v>900</v>
      </c>
      <c r="E209" s="214"/>
      <c r="F209" s="214"/>
      <c r="G209" s="214"/>
      <c r="H209" s="214"/>
      <c r="I209" s="214"/>
      <c r="J209" s="214"/>
    </row>
    <row r="210" spans="1:10" x14ac:dyDescent="0.2">
      <c r="A210" s="217" t="s">
        <v>1792</v>
      </c>
      <c r="B210" s="214"/>
      <c r="C210" s="214"/>
      <c r="D210" s="214">
        <v>0</v>
      </c>
      <c r="E210" s="214"/>
      <c r="F210" s="214"/>
      <c r="G210" s="214"/>
      <c r="H210" s="214"/>
      <c r="I210" s="214"/>
      <c r="J210" s="214"/>
    </row>
    <row r="211" spans="1:10" x14ac:dyDescent="0.2">
      <c r="A211" s="217" t="s">
        <v>266</v>
      </c>
      <c r="B211" s="214"/>
      <c r="C211" s="214"/>
      <c r="D211" s="214">
        <v>500</v>
      </c>
      <c r="E211" s="214"/>
      <c r="F211" s="214"/>
      <c r="G211" s="214"/>
      <c r="H211" s="214"/>
      <c r="I211" s="214"/>
      <c r="J211" s="214"/>
    </row>
    <row r="212" spans="1:10" x14ac:dyDescent="0.2">
      <c r="A212" s="217" t="s">
        <v>1927</v>
      </c>
      <c r="B212" s="214"/>
      <c r="C212" s="214"/>
      <c r="D212" s="214">
        <v>500</v>
      </c>
      <c r="E212" s="214"/>
      <c r="F212" s="214"/>
      <c r="G212" s="214"/>
      <c r="H212" s="214"/>
      <c r="I212" s="214"/>
      <c r="J212" s="214"/>
    </row>
    <row r="213" spans="1:10" x14ac:dyDescent="0.2">
      <c r="A213" s="217" t="s">
        <v>1644</v>
      </c>
      <c r="B213" s="214"/>
      <c r="C213" s="214"/>
      <c r="D213" s="218">
        <v>5000</v>
      </c>
      <c r="E213" s="214"/>
      <c r="F213" s="214"/>
      <c r="G213" s="214"/>
      <c r="H213" s="214"/>
      <c r="I213" s="214"/>
      <c r="J213" s="214"/>
    </row>
    <row r="214" spans="1:10" x14ac:dyDescent="0.2">
      <c r="A214" s="217" t="s">
        <v>1067</v>
      </c>
      <c r="B214" s="214"/>
      <c r="C214" s="214"/>
      <c r="D214" s="214">
        <f>SUM(D200:D213)</f>
        <v>15050</v>
      </c>
      <c r="E214" s="214"/>
      <c r="F214" s="214"/>
      <c r="G214" s="214"/>
      <c r="H214" s="214"/>
      <c r="I214" s="214"/>
      <c r="J214" s="214"/>
    </row>
    <row r="215" spans="1:10" x14ac:dyDescent="0.2">
      <c r="A215" s="217"/>
      <c r="B215" s="214"/>
      <c r="C215" s="214"/>
      <c r="D215" s="214"/>
      <c r="E215" s="214"/>
      <c r="F215" s="214"/>
      <c r="G215" s="214"/>
      <c r="H215" s="214"/>
      <c r="I215" s="214"/>
      <c r="J215" s="214"/>
    </row>
    <row r="216" spans="1:10" ht="13.5" x14ac:dyDescent="0.25">
      <c r="A216" s="237" t="s">
        <v>371</v>
      </c>
      <c r="B216" s="214"/>
      <c r="C216" s="214"/>
      <c r="D216" s="214"/>
      <c r="E216" s="214">
        <v>126633</v>
      </c>
      <c r="F216" s="214">
        <v>135000</v>
      </c>
      <c r="G216" s="214">
        <v>141500</v>
      </c>
      <c r="H216" s="214">
        <v>141500</v>
      </c>
      <c r="I216" s="214">
        <v>141500</v>
      </c>
      <c r="J216" s="214">
        <v>141500</v>
      </c>
    </row>
    <row r="217" spans="1:10" x14ac:dyDescent="0.2">
      <c r="A217" s="217" t="s">
        <v>1449</v>
      </c>
      <c r="B217" s="214"/>
      <c r="C217" s="214"/>
      <c r="D217" s="214">
        <v>141500</v>
      </c>
      <c r="E217" s="214"/>
      <c r="F217" s="214"/>
      <c r="G217" s="214"/>
      <c r="H217" s="214"/>
      <c r="I217" s="214"/>
      <c r="J217" s="214"/>
    </row>
    <row r="218" spans="1:10" x14ac:dyDescent="0.2">
      <c r="A218" s="217"/>
      <c r="B218" s="214"/>
      <c r="C218" s="214"/>
      <c r="D218" s="214"/>
      <c r="E218" s="214"/>
      <c r="F218" s="214"/>
      <c r="G218" s="214"/>
      <c r="H218" s="214"/>
      <c r="I218" s="214"/>
      <c r="J218" s="214"/>
    </row>
    <row r="219" spans="1:10" ht="13.5" x14ac:dyDescent="0.25">
      <c r="A219" s="237" t="s">
        <v>1160</v>
      </c>
      <c r="B219" s="214"/>
      <c r="C219" s="214"/>
      <c r="D219" s="214"/>
      <c r="E219" s="214">
        <v>3038</v>
      </c>
      <c r="F219" s="214">
        <v>4870</v>
      </c>
      <c r="G219" s="214">
        <v>4870</v>
      </c>
      <c r="H219" s="214">
        <v>4870</v>
      </c>
      <c r="I219" s="214">
        <v>4870</v>
      </c>
      <c r="J219" s="214">
        <v>4870</v>
      </c>
    </row>
    <row r="220" spans="1:10" x14ac:dyDescent="0.2">
      <c r="A220" s="217" t="s">
        <v>50</v>
      </c>
      <c r="B220" s="214"/>
      <c r="C220" s="214"/>
      <c r="D220" s="214"/>
      <c r="E220" s="214"/>
      <c r="F220" s="214"/>
      <c r="G220" s="214"/>
      <c r="H220" s="214"/>
      <c r="I220" s="214"/>
      <c r="J220" s="214"/>
    </row>
    <row r="221" spans="1:10" x14ac:dyDescent="0.2">
      <c r="A221" s="217" t="s">
        <v>1928</v>
      </c>
      <c r="B221" s="214"/>
      <c r="C221" s="214"/>
      <c r="D221" s="214">
        <v>3370</v>
      </c>
      <c r="E221" s="214"/>
      <c r="F221" s="214"/>
      <c r="G221" s="214"/>
      <c r="H221" s="214"/>
      <c r="I221" s="214"/>
      <c r="J221" s="214"/>
    </row>
    <row r="222" spans="1:10" x14ac:dyDescent="0.2">
      <c r="A222" s="217" t="s">
        <v>45</v>
      </c>
      <c r="B222" s="214"/>
      <c r="C222" s="214"/>
      <c r="D222" s="218">
        <v>1500</v>
      </c>
      <c r="E222" s="214"/>
      <c r="F222" s="214"/>
      <c r="G222" s="214"/>
      <c r="H222" s="214"/>
      <c r="I222" s="214"/>
      <c r="J222" s="214"/>
    </row>
    <row r="223" spans="1:10" x14ac:dyDescent="0.2">
      <c r="A223" s="217" t="s">
        <v>1067</v>
      </c>
      <c r="B223" s="214"/>
      <c r="C223" s="214"/>
      <c r="D223" s="214">
        <f>SUM(D220:D222)</f>
        <v>4870</v>
      </c>
      <c r="E223" s="214"/>
      <c r="F223" s="214"/>
      <c r="G223" s="214"/>
      <c r="H223" s="214"/>
      <c r="I223" s="214"/>
      <c r="J223" s="214"/>
    </row>
    <row r="224" spans="1:10" x14ac:dyDescent="0.2">
      <c r="A224" s="217"/>
      <c r="B224" s="214"/>
      <c r="C224" s="214"/>
      <c r="D224" s="214"/>
      <c r="E224" s="214"/>
      <c r="F224" s="214"/>
      <c r="G224" s="214"/>
      <c r="H224" s="214"/>
      <c r="I224" s="214"/>
      <c r="J224" s="214"/>
    </row>
    <row r="225" spans="1:10" ht="13.5" x14ac:dyDescent="0.25">
      <c r="A225" s="237" t="s">
        <v>1116</v>
      </c>
      <c r="B225" s="214"/>
      <c r="C225" s="214"/>
      <c r="D225" s="214"/>
      <c r="E225" s="214">
        <v>5615</v>
      </c>
      <c r="F225" s="214">
        <v>11160</v>
      </c>
      <c r="G225" s="214">
        <v>11160</v>
      </c>
      <c r="H225" s="214">
        <v>11160</v>
      </c>
      <c r="I225" s="214">
        <v>11160</v>
      </c>
      <c r="J225" s="214">
        <v>11160</v>
      </c>
    </row>
    <row r="226" spans="1:10" x14ac:dyDescent="0.2">
      <c r="A226" s="217" t="s">
        <v>1371</v>
      </c>
      <c r="B226" s="214"/>
      <c r="C226" s="214"/>
      <c r="D226" s="214">
        <f>15000-10000</f>
        <v>5000</v>
      </c>
      <c r="E226" s="214"/>
      <c r="F226" s="214"/>
      <c r="G226" s="214"/>
      <c r="H226" s="214"/>
      <c r="I226" s="214"/>
      <c r="J226" s="214"/>
    </row>
    <row r="227" spans="1:10" x14ac:dyDescent="0.2">
      <c r="A227" s="217" t="s">
        <v>1336</v>
      </c>
      <c r="B227" s="214"/>
      <c r="C227" s="214"/>
      <c r="D227" s="218">
        <v>6160</v>
      </c>
      <c r="E227" s="214"/>
      <c r="F227" s="214"/>
      <c r="G227" s="214"/>
      <c r="H227" s="214"/>
      <c r="I227" s="214"/>
      <c r="J227" s="214"/>
    </row>
    <row r="228" spans="1:10" x14ac:dyDescent="0.2">
      <c r="A228" s="217" t="s">
        <v>1067</v>
      </c>
      <c r="B228" s="214"/>
      <c r="C228" s="214"/>
      <c r="D228" s="214">
        <f>SUM(D226:D227)</f>
        <v>11160</v>
      </c>
      <c r="E228" s="214"/>
      <c r="F228" s="214"/>
      <c r="G228" s="214"/>
      <c r="H228" s="214"/>
      <c r="I228" s="214"/>
      <c r="J228" s="214"/>
    </row>
    <row r="229" spans="1:10" x14ac:dyDescent="0.2">
      <c r="A229" s="217"/>
      <c r="B229" s="214"/>
      <c r="C229" s="214"/>
      <c r="D229" s="214"/>
      <c r="E229" s="214"/>
      <c r="F229" s="214"/>
      <c r="G229" s="214"/>
      <c r="H229" s="214"/>
      <c r="I229" s="214"/>
      <c r="J229" s="214"/>
    </row>
    <row r="230" spans="1:10" ht="13.5" x14ac:dyDescent="0.25">
      <c r="A230" s="237" t="s">
        <v>1117</v>
      </c>
      <c r="B230" s="214"/>
      <c r="C230" s="214"/>
      <c r="D230" s="214"/>
      <c r="E230" s="214">
        <v>190330</v>
      </c>
      <c r="F230" s="214">
        <v>194480</v>
      </c>
      <c r="G230" s="214">
        <v>201135</v>
      </c>
      <c r="H230" s="214">
        <v>201135</v>
      </c>
      <c r="I230" s="214">
        <v>201135</v>
      </c>
      <c r="J230" s="214">
        <v>201135</v>
      </c>
    </row>
    <row r="231" spans="1:10" x14ac:dyDescent="0.2">
      <c r="A231" s="217" t="s">
        <v>2088</v>
      </c>
      <c r="B231" s="214"/>
      <c r="C231" s="214"/>
      <c r="D231" s="214">
        <f>2000*79.22</f>
        <v>158440</v>
      </c>
      <c r="E231" s="214"/>
      <c r="F231" s="214"/>
      <c r="G231" s="214"/>
      <c r="H231" s="214"/>
      <c r="I231" s="214"/>
      <c r="J231" s="214"/>
    </row>
    <row r="232" spans="1:10" x14ac:dyDescent="0.2">
      <c r="A232" s="217" t="s">
        <v>2089</v>
      </c>
      <c r="B232" s="214"/>
      <c r="C232" s="214"/>
      <c r="D232" s="214">
        <f>110*89.5</f>
        <v>9845</v>
      </c>
      <c r="E232" s="214"/>
      <c r="F232" s="214"/>
      <c r="G232" s="214"/>
      <c r="H232" s="214"/>
      <c r="I232" s="214"/>
      <c r="J232" s="214"/>
    </row>
    <row r="233" spans="1:10" x14ac:dyDescent="0.2">
      <c r="A233" s="217" t="s">
        <v>2090</v>
      </c>
      <c r="B233" s="214"/>
      <c r="C233" s="214"/>
      <c r="D233" s="214">
        <v>18000</v>
      </c>
      <c r="E233" s="214"/>
      <c r="F233" s="214"/>
      <c r="G233" s="214"/>
      <c r="H233" s="214"/>
      <c r="I233" s="214"/>
      <c r="J233" s="214"/>
    </row>
    <row r="234" spans="1:10" x14ac:dyDescent="0.2">
      <c r="A234" s="217" t="s">
        <v>2091</v>
      </c>
      <c r="B234" s="214"/>
      <c r="C234" s="214"/>
      <c r="D234" s="214">
        <v>6250</v>
      </c>
      <c r="E234" s="214"/>
      <c r="F234" s="214"/>
      <c r="G234" s="214"/>
      <c r="H234" s="214"/>
      <c r="I234" s="214"/>
      <c r="J234" s="214"/>
    </row>
    <row r="235" spans="1:10" x14ac:dyDescent="0.2">
      <c r="A235" s="217" t="s">
        <v>2012</v>
      </c>
      <c r="B235" s="214"/>
      <c r="C235" s="214"/>
      <c r="D235" s="218">
        <v>8600</v>
      </c>
      <c r="E235" s="214"/>
      <c r="F235" s="214"/>
      <c r="G235" s="214"/>
      <c r="H235" s="214"/>
      <c r="I235" s="214"/>
      <c r="J235" s="214"/>
    </row>
    <row r="236" spans="1:10" x14ac:dyDescent="0.2">
      <c r="A236" s="217"/>
      <c r="B236" s="214"/>
      <c r="C236" s="214"/>
      <c r="D236" s="214">
        <f>SUM(D231:D235)</f>
        <v>201135</v>
      </c>
      <c r="E236" s="214"/>
      <c r="F236" s="214"/>
      <c r="G236" s="214"/>
      <c r="H236" s="214"/>
      <c r="I236" s="214"/>
      <c r="J236" s="214"/>
    </row>
    <row r="237" spans="1:10" x14ac:dyDescent="0.2">
      <c r="A237" s="217"/>
      <c r="B237" s="214"/>
      <c r="C237" s="214"/>
      <c r="D237" s="214"/>
      <c r="E237" s="214"/>
      <c r="F237" s="214"/>
      <c r="G237" s="214"/>
      <c r="H237" s="214"/>
      <c r="I237" s="214"/>
      <c r="J237" s="214"/>
    </row>
    <row r="238" spans="1:10" ht="13.5" x14ac:dyDescent="0.25">
      <c r="A238" s="237" t="s">
        <v>916</v>
      </c>
      <c r="B238" s="214"/>
      <c r="C238" s="214"/>
      <c r="D238" s="214"/>
      <c r="E238" s="214">
        <v>5077</v>
      </c>
      <c r="F238" s="214">
        <v>2500</v>
      </c>
      <c r="G238" s="214">
        <v>5000</v>
      </c>
      <c r="H238" s="214">
        <v>5000</v>
      </c>
      <c r="I238" s="214">
        <v>5000</v>
      </c>
      <c r="J238" s="214">
        <v>5000</v>
      </c>
    </row>
    <row r="239" spans="1:10" x14ac:dyDescent="0.2">
      <c r="A239" s="217" t="s">
        <v>71</v>
      </c>
      <c r="B239" s="214"/>
      <c r="C239" s="214"/>
      <c r="D239" s="214">
        <v>5000</v>
      </c>
      <c r="E239" s="214"/>
      <c r="F239" s="214"/>
      <c r="G239" s="214"/>
      <c r="H239" s="214"/>
      <c r="I239" s="214"/>
      <c r="J239" s="214"/>
    </row>
    <row r="240" spans="1:10" x14ac:dyDescent="0.2">
      <c r="A240" s="217"/>
      <c r="B240" s="214"/>
      <c r="C240" s="214"/>
      <c r="D240" s="214"/>
      <c r="E240" s="214"/>
      <c r="F240" s="214"/>
      <c r="G240" s="214"/>
      <c r="H240" s="214"/>
      <c r="I240" s="214"/>
      <c r="J240" s="214"/>
    </row>
    <row r="241" spans="1:10" ht="13.5" x14ac:dyDescent="0.25">
      <c r="A241" s="237" t="s">
        <v>1136</v>
      </c>
      <c r="B241" s="214"/>
      <c r="C241" s="214"/>
      <c r="D241" s="214"/>
      <c r="E241" s="214">
        <v>13832</v>
      </c>
      <c r="F241" s="214">
        <v>14000</v>
      </c>
      <c r="G241" s="214">
        <v>14000</v>
      </c>
      <c r="H241" s="214">
        <v>14000</v>
      </c>
      <c r="I241" s="214">
        <v>14000</v>
      </c>
      <c r="J241" s="214">
        <v>14000</v>
      </c>
    </row>
    <row r="242" spans="1:10" x14ac:dyDescent="0.2">
      <c r="A242" s="217" t="s">
        <v>1137</v>
      </c>
      <c r="B242" s="214"/>
      <c r="C242" s="214"/>
      <c r="D242" s="214">
        <v>14000</v>
      </c>
      <c r="E242" s="214"/>
      <c r="F242" s="214"/>
      <c r="G242" s="214"/>
      <c r="H242" s="214"/>
      <c r="I242" s="214"/>
      <c r="J242" s="214"/>
    </row>
    <row r="243" spans="1:10" x14ac:dyDescent="0.2">
      <c r="A243" s="217" t="s">
        <v>1442</v>
      </c>
      <c r="B243" s="214"/>
      <c r="C243" s="214"/>
      <c r="D243" s="214"/>
      <c r="E243" s="214"/>
      <c r="F243" s="214"/>
      <c r="G243" s="214"/>
      <c r="H243" s="214"/>
      <c r="I243" s="214"/>
      <c r="J243" s="214"/>
    </row>
    <row r="244" spans="1:10" x14ac:dyDescent="0.2">
      <c r="A244" s="217"/>
      <c r="B244" s="214"/>
      <c r="C244" s="214"/>
      <c r="D244" s="214"/>
      <c r="E244" s="214"/>
      <c r="F244" s="214"/>
      <c r="G244" s="214"/>
      <c r="H244" s="214"/>
      <c r="I244" s="214"/>
      <c r="J244" s="214"/>
    </row>
    <row r="245" spans="1:10" ht="13.5" x14ac:dyDescent="0.25">
      <c r="A245" s="237" t="s">
        <v>883</v>
      </c>
      <c r="B245" s="214"/>
      <c r="C245" s="214"/>
      <c r="D245" s="214"/>
      <c r="E245" s="214">
        <v>5910</v>
      </c>
      <c r="F245" s="214">
        <v>12500</v>
      </c>
      <c r="G245" s="214">
        <v>9000</v>
      </c>
      <c r="H245" s="214">
        <v>9000</v>
      </c>
      <c r="I245" s="214">
        <v>9000</v>
      </c>
      <c r="J245" s="214">
        <v>9000</v>
      </c>
    </row>
    <row r="246" spans="1:10" x14ac:dyDescent="0.2">
      <c r="A246" s="217" t="s">
        <v>1032</v>
      </c>
      <c r="B246" s="214"/>
      <c r="C246" s="214"/>
      <c r="D246" s="214">
        <v>9000</v>
      </c>
      <c r="E246" s="214"/>
      <c r="F246" s="214"/>
      <c r="G246" s="214"/>
      <c r="H246" s="214"/>
      <c r="I246" s="214"/>
      <c r="J246" s="214"/>
    </row>
    <row r="247" spans="1:10" x14ac:dyDescent="0.2">
      <c r="A247" s="217"/>
      <c r="B247" s="214"/>
      <c r="C247" s="214"/>
      <c r="D247" s="214"/>
      <c r="E247" s="214"/>
      <c r="F247" s="214"/>
      <c r="G247" s="214"/>
      <c r="H247" s="214"/>
      <c r="I247" s="214"/>
      <c r="J247" s="214"/>
    </row>
    <row r="248" spans="1:10" ht="13.5" x14ac:dyDescent="0.25">
      <c r="A248" s="237" t="s">
        <v>136</v>
      </c>
      <c r="B248" s="214"/>
      <c r="C248" s="214"/>
      <c r="D248" s="214"/>
      <c r="E248" s="214">
        <v>3635</v>
      </c>
      <c r="F248" s="214">
        <v>7500</v>
      </c>
      <c r="G248" s="214">
        <v>7500</v>
      </c>
      <c r="H248" s="214">
        <v>7500</v>
      </c>
      <c r="I248" s="214">
        <v>7500</v>
      </c>
      <c r="J248" s="214">
        <v>7500</v>
      </c>
    </row>
    <row r="249" spans="1:10" x14ac:dyDescent="0.2">
      <c r="A249" s="217" t="s">
        <v>30</v>
      </c>
      <c r="B249" s="214"/>
      <c r="C249" s="214"/>
      <c r="D249" s="214">
        <v>7500</v>
      </c>
      <c r="E249" s="214"/>
      <c r="F249" s="214"/>
      <c r="G249" s="214"/>
      <c r="H249" s="214"/>
      <c r="I249" s="214"/>
      <c r="J249" s="214"/>
    </row>
    <row r="250" spans="1:10" x14ac:dyDescent="0.2">
      <c r="A250" s="217" t="s">
        <v>1090</v>
      </c>
      <c r="B250" s="214"/>
      <c r="C250" s="214"/>
      <c r="D250" s="214"/>
      <c r="E250" s="214"/>
      <c r="F250" s="214"/>
      <c r="G250" s="214"/>
      <c r="H250" s="214"/>
      <c r="I250" s="214"/>
      <c r="J250" s="214"/>
    </row>
    <row r="251" spans="1:10" x14ac:dyDescent="0.2">
      <c r="A251" s="217" t="s">
        <v>1091</v>
      </c>
      <c r="B251" s="214"/>
      <c r="C251" s="214"/>
      <c r="D251" s="214"/>
      <c r="E251" s="214"/>
      <c r="F251" s="214"/>
      <c r="G251" s="214"/>
      <c r="H251" s="214"/>
      <c r="I251" s="214"/>
      <c r="J251" s="214"/>
    </row>
    <row r="252" spans="1:10" x14ac:dyDescent="0.2">
      <c r="A252" s="217"/>
      <c r="B252" s="214"/>
      <c r="C252" s="214"/>
      <c r="D252" s="214"/>
      <c r="E252" s="214"/>
      <c r="F252" s="214"/>
      <c r="G252" s="214"/>
      <c r="H252" s="214"/>
      <c r="I252" s="214"/>
      <c r="J252" s="214"/>
    </row>
    <row r="253" spans="1:10" ht="13.5" x14ac:dyDescent="0.25">
      <c r="A253" s="237" t="s">
        <v>1271</v>
      </c>
      <c r="B253" s="214"/>
      <c r="C253" s="214"/>
      <c r="D253" s="214"/>
      <c r="E253" s="214">
        <v>900</v>
      </c>
      <c r="F253" s="214">
        <v>1500</v>
      </c>
      <c r="G253" s="214">
        <v>1500</v>
      </c>
      <c r="H253" s="214">
        <v>1500</v>
      </c>
      <c r="I253" s="214">
        <v>1500</v>
      </c>
      <c r="J253" s="214">
        <v>1500</v>
      </c>
    </row>
    <row r="254" spans="1:10" x14ac:dyDescent="0.2">
      <c r="A254" s="217" t="s">
        <v>1793</v>
      </c>
      <c r="B254" s="214"/>
      <c r="C254" s="214"/>
      <c r="D254" s="214">
        <v>1000</v>
      </c>
      <c r="E254" s="214"/>
      <c r="F254" s="214"/>
      <c r="G254" s="214"/>
      <c r="H254" s="214"/>
      <c r="I254" s="214"/>
      <c r="J254" s="214"/>
    </row>
    <row r="255" spans="1:10" x14ac:dyDescent="0.2">
      <c r="A255" s="217" t="s">
        <v>1794</v>
      </c>
      <c r="B255" s="214"/>
      <c r="C255" s="214"/>
      <c r="D255" s="218">
        <v>500</v>
      </c>
      <c r="E255" s="214"/>
      <c r="F255" s="214"/>
      <c r="G255" s="214"/>
      <c r="H255" s="214"/>
      <c r="I255" s="214"/>
      <c r="J255" s="214"/>
    </row>
    <row r="256" spans="1:10" x14ac:dyDescent="0.2">
      <c r="A256" s="217"/>
      <c r="B256" s="214"/>
      <c r="C256" s="214"/>
      <c r="D256" s="214">
        <f>SUM(D254:D255)</f>
        <v>1500</v>
      </c>
      <c r="E256" s="214"/>
      <c r="F256" s="214"/>
      <c r="G256" s="214"/>
      <c r="H256" s="214"/>
      <c r="I256" s="214"/>
      <c r="J256" s="214"/>
    </row>
    <row r="257" spans="1:10" x14ac:dyDescent="0.2">
      <c r="A257" s="217" t="s">
        <v>338</v>
      </c>
      <c r="B257" s="214"/>
      <c r="C257" s="214"/>
      <c r="D257" s="214"/>
      <c r="E257" s="214"/>
      <c r="F257" s="214"/>
      <c r="G257" s="214"/>
      <c r="H257" s="214"/>
      <c r="I257" s="214"/>
      <c r="J257" s="214"/>
    </row>
    <row r="258" spans="1:10" ht="13.5" x14ac:dyDescent="0.25">
      <c r="A258" s="237" t="s">
        <v>1272</v>
      </c>
      <c r="B258" s="214"/>
      <c r="C258" s="214"/>
      <c r="D258" s="214"/>
      <c r="E258" s="214">
        <v>1760</v>
      </c>
      <c r="F258" s="214">
        <v>3000</v>
      </c>
      <c r="G258" s="214">
        <v>3000</v>
      </c>
      <c r="H258" s="214">
        <v>3000</v>
      </c>
      <c r="I258" s="214">
        <v>3000</v>
      </c>
      <c r="J258" s="214">
        <v>3000</v>
      </c>
    </row>
    <row r="259" spans="1:10" x14ac:dyDescent="0.2">
      <c r="A259" s="217" t="s">
        <v>1443</v>
      </c>
      <c r="B259" s="214"/>
      <c r="C259" s="214"/>
      <c r="D259" s="214">
        <v>3000</v>
      </c>
      <c r="E259" s="214"/>
      <c r="F259" s="214"/>
      <c r="G259" s="214"/>
      <c r="H259" s="214"/>
      <c r="I259" s="214"/>
      <c r="J259" s="214"/>
    </row>
    <row r="260" spans="1:10" x14ac:dyDescent="0.2">
      <c r="A260" s="217" t="s">
        <v>338</v>
      </c>
      <c r="B260" s="214"/>
      <c r="C260" s="214"/>
      <c r="D260" s="214" t="s">
        <v>338</v>
      </c>
      <c r="E260" s="214"/>
      <c r="F260" s="214"/>
      <c r="G260" s="214"/>
      <c r="H260" s="214"/>
      <c r="I260" s="214"/>
      <c r="J260" s="214"/>
    </row>
    <row r="261" spans="1:10" ht="13.5" x14ac:dyDescent="0.25">
      <c r="A261" s="237" t="s">
        <v>1273</v>
      </c>
      <c r="B261" s="214"/>
      <c r="C261" s="214"/>
      <c r="D261" s="214" t="s">
        <v>338</v>
      </c>
      <c r="E261" s="214">
        <v>18843</v>
      </c>
      <c r="F261" s="214">
        <v>15000</v>
      </c>
      <c r="G261" s="214">
        <v>19000</v>
      </c>
      <c r="H261" s="214">
        <v>19000</v>
      </c>
      <c r="I261" s="214">
        <v>19000</v>
      </c>
      <c r="J261" s="214">
        <v>19000</v>
      </c>
    </row>
    <row r="262" spans="1:10" x14ac:dyDescent="0.2">
      <c r="A262" s="217" t="s">
        <v>46</v>
      </c>
      <c r="B262" s="214"/>
      <c r="C262" s="214"/>
      <c r="D262" s="214" t="s">
        <v>338</v>
      </c>
      <c r="E262" s="214"/>
      <c r="F262" s="214"/>
      <c r="G262" s="214"/>
      <c r="H262" s="214"/>
      <c r="I262" s="214"/>
      <c r="J262" s="214"/>
    </row>
    <row r="263" spans="1:10" x14ac:dyDescent="0.2">
      <c r="A263" s="217" t="s">
        <v>1444</v>
      </c>
      <c r="B263" s="214"/>
      <c r="C263" s="214"/>
      <c r="D263" s="214">
        <v>10000</v>
      </c>
      <c r="E263" s="214"/>
      <c r="F263" s="214"/>
      <c r="G263" s="214"/>
      <c r="H263" s="214"/>
      <c r="I263" s="214"/>
      <c r="J263" s="214"/>
    </row>
    <row r="264" spans="1:10" x14ac:dyDescent="0.2">
      <c r="A264" s="217" t="s">
        <v>1337</v>
      </c>
      <c r="B264" s="214"/>
      <c r="C264" s="214"/>
      <c r="D264" s="218">
        <v>9000</v>
      </c>
      <c r="E264" s="214"/>
      <c r="F264" s="214"/>
      <c r="G264" s="214"/>
      <c r="H264" s="214"/>
      <c r="I264" s="214"/>
      <c r="J264" s="214"/>
    </row>
    <row r="265" spans="1:10" x14ac:dyDescent="0.2">
      <c r="A265" s="217" t="s">
        <v>1067</v>
      </c>
      <c r="B265" s="214"/>
      <c r="C265" s="214"/>
      <c r="D265" s="214">
        <f>SUM(D263:D264)</f>
        <v>19000</v>
      </c>
      <c r="E265" s="214"/>
      <c r="F265" s="214"/>
      <c r="G265" s="214"/>
      <c r="H265" s="214"/>
      <c r="I265" s="214"/>
      <c r="J265" s="214"/>
    </row>
    <row r="266" spans="1:10" x14ac:dyDescent="0.2">
      <c r="A266" s="217"/>
      <c r="B266" s="214"/>
      <c r="C266" s="214"/>
      <c r="D266" s="214"/>
      <c r="E266" s="214"/>
      <c r="F266" s="214"/>
      <c r="G266" s="214"/>
      <c r="H266" s="214"/>
      <c r="I266" s="214"/>
      <c r="J266" s="214"/>
    </row>
    <row r="267" spans="1:10" ht="13.5" x14ac:dyDescent="0.25">
      <c r="A267" s="237" t="s">
        <v>917</v>
      </c>
      <c r="B267" s="214"/>
      <c r="C267" s="214"/>
      <c r="D267" s="214"/>
      <c r="E267" s="214">
        <v>114550</v>
      </c>
      <c r="F267" s="214">
        <v>126795</v>
      </c>
      <c r="G267" s="214">
        <v>192795</v>
      </c>
      <c r="H267" s="214">
        <v>142795</v>
      </c>
      <c r="I267" s="214">
        <v>142795</v>
      </c>
      <c r="J267" s="214">
        <v>142795</v>
      </c>
    </row>
    <row r="268" spans="1:10" x14ac:dyDescent="0.2">
      <c r="A268" s="217" t="s">
        <v>397</v>
      </c>
      <c r="B268" s="214"/>
      <c r="C268" s="214"/>
      <c r="D268" s="214">
        <v>49000</v>
      </c>
      <c r="E268" s="214"/>
      <c r="F268" s="214"/>
      <c r="G268" s="214"/>
      <c r="H268" s="214"/>
      <c r="I268" s="214"/>
      <c r="J268" s="214"/>
    </row>
    <row r="269" spans="1:10" x14ac:dyDescent="0.2">
      <c r="A269" s="217" t="s">
        <v>2013</v>
      </c>
      <c r="B269" s="214"/>
      <c r="C269" s="214"/>
      <c r="D269" s="214">
        <v>1650</v>
      </c>
      <c r="E269" s="214"/>
      <c r="F269" s="214"/>
      <c r="G269" s="214"/>
      <c r="H269" s="214"/>
      <c r="I269" s="214"/>
      <c r="J269" s="214"/>
    </row>
    <row r="270" spans="1:10" x14ac:dyDescent="0.2">
      <c r="A270" s="217" t="s">
        <v>492</v>
      </c>
      <c r="B270" s="214"/>
      <c r="C270" s="214"/>
      <c r="D270" s="214">
        <v>75000</v>
      </c>
      <c r="E270" s="214"/>
      <c r="F270" s="214"/>
      <c r="G270" s="214"/>
      <c r="H270" s="214"/>
      <c r="I270" s="214"/>
      <c r="J270" s="214"/>
    </row>
    <row r="271" spans="1:10" x14ac:dyDescent="0.2">
      <c r="A271" s="217" t="s">
        <v>1338</v>
      </c>
      <c r="B271" s="214"/>
      <c r="C271" s="214"/>
      <c r="D271" s="214">
        <v>0</v>
      </c>
      <c r="E271" s="214"/>
      <c r="F271" s="214"/>
      <c r="G271" s="214"/>
      <c r="H271" s="214"/>
      <c r="I271" s="214"/>
      <c r="J271" s="214"/>
    </row>
    <row r="272" spans="1:10" x14ac:dyDescent="0.2">
      <c r="A272" s="217" t="s">
        <v>47</v>
      </c>
      <c r="B272" s="214"/>
      <c r="C272" s="214"/>
      <c r="D272" s="214">
        <v>1800</v>
      </c>
      <c r="E272" s="214"/>
      <c r="F272" s="214"/>
      <c r="G272" s="214"/>
      <c r="H272" s="214"/>
      <c r="I272" s="214"/>
      <c r="J272" s="214"/>
    </row>
    <row r="273" spans="1:10" x14ac:dyDescent="0.2">
      <c r="A273" s="217" t="s">
        <v>48</v>
      </c>
      <c r="B273" s="214"/>
      <c r="C273" s="214"/>
      <c r="D273" s="214">
        <v>1700</v>
      </c>
      <c r="E273" s="214"/>
      <c r="F273" s="214"/>
      <c r="G273" s="214"/>
      <c r="H273" s="214"/>
      <c r="I273" s="214"/>
      <c r="J273" s="214"/>
    </row>
    <row r="274" spans="1:10" x14ac:dyDescent="0.2">
      <c r="A274" s="217" t="s">
        <v>49</v>
      </c>
      <c r="B274" s="214"/>
      <c r="C274" s="214"/>
      <c r="D274" s="214">
        <v>300</v>
      </c>
      <c r="E274" s="214"/>
      <c r="F274" s="214"/>
      <c r="G274" s="214"/>
      <c r="H274" s="214"/>
      <c r="I274" s="214"/>
      <c r="J274" s="214"/>
    </row>
    <row r="275" spans="1:10" x14ac:dyDescent="0.2">
      <c r="A275" s="217" t="s">
        <v>1445</v>
      </c>
      <c r="B275" s="214"/>
      <c r="C275" s="214"/>
      <c r="D275" s="214">
        <v>2000</v>
      </c>
      <c r="E275" s="214"/>
      <c r="F275" s="214"/>
      <c r="G275" s="214"/>
      <c r="H275" s="214"/>
      <c r="I275" s="214"/>
      <c r="J275" s="214"/>
    </row>
    <row r="276" spans="1:10" x14ac:dyDescent="0.2">
      <c r="A276" s="217" t="s">
        <v>115</v>
      </c>
      <c r="B276" s="214"/>
      <c r="C276" s="214"/>
      <c r="D276" s="214">
        <v>7245</v>
      </c>
      <c r="E276" s="214"/>
      <c r="F276" s="214"/>
      <c r="G276" s="214"/>
      <c r="H276" s="214"/>
      <c r="I276" s="214"/>
      <c r="J276" s="214"/>
    </row>
    <row r="277" spans="1:10" x14ac:dyDescent="0.2">
      <c r="A277" s="217" t="s">
        <v>1538</v>
      </c>
      <c r="B277" s="214"/>
      <c r="C277" s="214"/>
      <c r="D277" s="214">
        <v>600</v>
      </c>
      <c r="E277" s="214"/>
      <c r="F277" s="214"/>
      <c r="G277" s="214"/>
      <c r="H277" s="214"/>
      <c r="I277" s="214"/>
      <c r="J277" s="214"/>
    </row>
    <row r="278" spans="1:10" x14ac:dyDescent="0.2">
      <c r="A278" s="217" t="s">
        <v>345</v>
      </c>
      <c r="B278" s="214"/>
      <c r="C278" s="214"/>
      <c r="D278" s="214">
        <v>2500</v>
      </c>
      <c r="E278" s="214"/>
      <c r="F278" s="214"/>
      <c r="G278" s="214"/>
      <c r="H278" s="214"/>
      <c r="I278" s="214"/>
      <c r="J278" s="214"/>
    </row>
    <row r="279" spans="1:10" x14ac:dyDescent="0.2">
      <c r="A279" s="217" t="s">
        <v>491</v>
      </c>
      <c r="B279" s="214"/>
      <c r="C279" s="214"/>
      <c r="D279" s="218">
        <v>1000</v>
      </c>
      <c r="E279" s="214"/>
      <c r="F279" s="214"/>
      <c r="G279" s="214"/>
      <c r="H279" s="214"/>
      <c r="I279" s="214"/>
      <c r="J279" s="214"/>
    </row>
    <row r="280" spans="1:10" x14ac:dyDescent="0.2">
      <c r="A280" s="217" t="s">
        <v>1067</v>
      </c>
      <c r="B280" s="214"/>
      <c r="C280" s="214"/>
      <c r="D280" s="214">
        <f>SUM(D268:D279)</f>
        <v>142795</v>
      </c>
      <c r="E280" s="214"/>
      <c r="F280" s="214"/>
      <c r="G280" s="214"/>
      <c r="H280" s="214"/>
      <c r="I280" s="214"/>
      <c r="J280" s="214"/>
    </row>
    <row r="281" spans="1:10" x14ac:dyDescent="0.2">
      <c r="A281" s="217"/>
      <c r="B281" s="214"/>
      <c r="C281" s="214"/>
      <c r="D281" s="214"/>
      <c r="E281" s="214"/>
      <c r="F281" s="214"/>
      <c r="G281" s="214"/>
      <c r="H281" s="214"/>
      <c r="I281" s="214"/>
      <c r="J281" s="214"/>
    </row>
    <row r="282" spans="1:10" ht="13.5" x14ac:dyDescent="0.25">
      <c r="A282" s="237" t="s">
        <v>493</v>
      </c>
      <c r="B282" s="214"/>
      <c r="C282" s="214"/>
      <c r="D282" s="214"/>
      <c r="E282" s="214">
        <v>50005</v>
      </c>
      <c r="F282" s="214">
        <v>53000</v>
      </c>
      <c r="G282" s="214">
        <v>53000</v>
      </c>
      <c r="H282" s="214">
        <v>53000</v>
      </c>
      <c r="I282" s="214">
        <v>53000</v>
      </c>
      <c r="J282" s="214">
        <v>53000</v>
      </c>
    </row>
    <row r="283" spans="1:10" x14ac:dyDescent="0.2">
      <c r="A283" s="217" t="s">
        <v>695</v>
      </c>
      <c r="B283" s="214" t="s">
        <v>338</v>
      </c>
      <c r="C283" s="214"/>
      <c r="D283" s="214">
        <v>51000</v>
      </c>
      <c r="E283" s="214"/>
      <c r="F283" s="214"/>
      <c r="G283" s="214"/>
      <c r="H283" s="214"/>
      <c r="I283" s="214"/>
      <c r="J283" s="214"/>
    </row>
    <row r="284" spans="1:10" x14ac:dyDescent="0.2">
      <c r="A284" s="217" t="s">
        <v>1929</v>
      </c>
      <c r="B284" s="214"/>
      <c r="C284" s="214"/>
      <c r="D284" s="218">
        <v>2000</v>
      </c>
      <c r="E284" s="214"/>
      <c r="F284" s="214"/>
      <c r="G284" s="214"/>
      <c r="H284" s="214"/>
      <c r="I284" s="214"/>
      <c r="J284" s="214"/>
    </row>
    <row r="285" spans="1:10" x14ac:dyDescent="0.2">
      <c r="A285" s="217"/>
      <c r="B285" s="214"/>
      <c r="C285" s="214"/>
      <c r="D285" s="214">
        <f>SUM(D283:D284)</f>
        <v>53000</v>
      </c>
      <c r="E285" s="214"/>
      <c r="F285" s="214"/>
      <c r="G285" s="214"/>
      <c r="H285" s="214"/>
      <c r="I285" s="214"/>
      <c r="J285" s="214"/>
    </row>
    <row r="286" spans="1:10" x14ac:dyDescent="0.2">
      <c r="A286" s="217"/>
      <c r="B286" s="214"/>
      <c r="C286" s="214"/>
      <c r="D286" s="214"/>
      <c r="E286" s="214"/>
      <c r="F286" s="214"/>
      <c r="G286" s="214"/>
      <c r="H286" s="214"/>
      <c r="I286" s="214"/>
      <c r="J286" s="214"/>
    </row>
    <row r="287" spans="1:10" ht="13.5" x14ac:dyDescent="0.25">
      <c r="A287" s="237" t="s">
        <v>1189</v>
      </c>
      <c r="B287" s="214"/>
      <c r="C287" s="214"/>
      <c r="D287" s="214"/>
      <c r="E287" s="214">
        <v>4275</v>
      </c>
      <c r="F287" s="214">
        <v>20000</v>
      </c>
      <c r="G287" s="214">
        <v>20000</v>
      </c>
      <c r="H287" s="214">
        <v>20000</v>
      </c>
      <c r="I287" s="214">
        <v>20000</v>
      </c>
      <c r="J287" s="214">
        <v>20000</v>
      </c>
    </row>
    <row r="288" spans="1:10" x14ac:dyDescent="0.2">
      <c r="A288" s="217" t="s">
        <v>1172</v>
      </c>
      <c r="B288" s="214" t="s">
        <v>338</v>
      </c>
      <c r="C288" s="214"/>
      <c r="D288" s="214">
        <v>5000</v>
      </c>
      <c r="E288" s="214"/>
      <c r="F288" s="214"/>
      <c r="G288" s="214"/>
      <c r="H288" s="214"/>
      <c r="I288" s="214"/>
      <c r="J288" s="214"/>
    </row>
    <row r="289" spans="1:10" x14ac:dyDescent="0.2">
      <c r="A289" s="217" t="s">
        <v>1190</v>
      </c>
      <c r="B289" s="214"/>
      <c r="C289" s="214"/>
      <c r="D289" s="218">
        <v>15000</v>
      </c>
      <c r="E289" s="214"/>
      <c r="F289" s="214"/>
      <c r="G289" s="214"/>
      <c r="H289" s="214"/>
      <c r="I289" s="214"/>
      <c r="J289" s="214"/>
    </row>
    <row r="290" spans="1:10" x14ac:dyDescent="0.2">
      <c r="A290" s="217" t="s">
        <v>1067</v>
      </c>
      <c r="B290" s="214"/>
      <c r="C290" s="214"/>
      <c r="D290" s="214">
        <f>SUM(D288:D289)</f>
        <v>20000</v>
      </c>
      <c r="E290" s="214"/>
      <c r="F290" s="214"/>
      <c r="G290" s="214"/>
      <c r="H290" s="214"/>
      <c r="I290" s="214"/>
      <c r="J290" s="214"/>
    </row>
    <row r="291" spans="1:10" x14ac:dyDescent="0.2">
      <c r="A291" s="217"/>
      <c r="B291" s="214"/>
      <c r="C291" s="214" t="s">
        <v>338</v>
      </c>
      <c r="D291" s="214" t="s">
        <v>338</v>
      </c>
      <c r="E291" s="214"/>
      <c r="F291" s="214"/>
      <c r="G291" s="214"/>
      <c r="H291" s="214"/>
      <c r="I291" s="214"/>
      <c r="J291" s="214"/>
    </row>
    <row r="292" spans="1:10" ht="13.5" x14ac:dyDescent="0.25">
      <c r="A292" s="237" t="s">
        <v>1033</v>
      </c>
      <c r="B292" s="214"/>
      <c r="C292" s="214"/>
      <c r="D292" s="214"/>
      <c r="E292" s="214">
        <v>56461</v>
      </c>
      <c r="F292" s="214">
        <v>51870</v>
      </c>
      <c r="G292" s="214">
        <v>53570</v>
      </c>
      <c r="H292" s="214">
        <v>53570</v>
      </c>
      <c r="I292" s="214">
        <v>53570</v>
      </c>
      <c r="J292" s="214">
        <v>53570</v>
      </c>
    </row>
    <row r="293" spans="1:10" x14ac:dyDescent="0.2">
      <c r="A293" s="217" t="s">
        <v>110</v>
      </c>
      <c r="B293" s="214"/>
      <c r="C293" s="214"/>
      <c r="D293" s="214">
        <v>500</v>
      </c>
      <c r="E293" s="214"/>
      <c r="F293" s="214"/>
      <c r="G293" s="214"/>
      <c r="H293" s="214"/>
      <c r="I293" s="214"/>
      <c r="J293" s="214"/>
    </row>
    <row r="294" spans="1:10" x14ac:dyDescent="0.2">
      <c r="A294" s="217" t="s">
        <v>629</v>
      </c>
      <c r="B294" s="214"/>
      <c r="C294" s="214"/>
      <c r="D294" s="214">
        <v>14550</v>
      </c>
      <c r="E294" s="214"/>
      <c r="F294" s="214"/>
      <c r="G294" s="214"/>
      <c r="H294" s="214"/>
      <c r="I294" s="214"/>
      <c r="J294" s="214"/>
    </row>
    <row r="295" spans="1:10" x14ac:dyDescent="0.2">
      <c r="A295" s="217" t="s">
        <v>2014</v>
      </c>
      <c r="B295" s="214"/>
      <c r="C295" s="214"/>
      <c r="D295" s="214">
        <v>2760</v>
      </c>
      <c r="E295" s="214"/>
      <c r="F295" s="214"/>
      <c r="G295" s="214"/>
      <c r="H295" s="214"/>
      <c r="I295" s="214"/>
      <c r="J295" s="214"/>
    </row>
    <row r="296" spans="1:10" x14ac:dyDescent="0.2">
      <c r="A296" s="217" t="s">
        <v>928</v>
      </c>
      <c r="B296" s="214"/>
      <c r="C296" s="214"/>
      <c r="D296" s="214" t="s">
        <v>338</v>
      </c>
      <c r="E296" s="214"/>
      <c r="F296" s="214"/>
      <c r="G296" s="214"/>
      <c r="H296" s="214"/>
      <c r="I296" s="214"/>
      <c r="J296" s="214"/>
    </row>
    <row r="297" spans="1:10" x14ac:dyDescent="0.2">
      <c r="A297" s="217" t="s">
        <v>164</v>
      </c>
      <c r="B297" s="214"/>
      <c r="C297" s="214"/>
      <c r="D297" s="214">
        <v>1510</v>
      </c>
      <c r="E297" s="214"/>
      <c r="F297" s="214"/>
      <c r="G297" s="214"/>
      <c r="H297" s="214"/>
      <c r="I297" s="214"/>
      <c r="J297" s="214"/>
    </row>
    <row r="298" spans="1:10" x14ac:dyDescent="0.2">
      <c r="A298" s="217" t="s">
        <v>111</v>
      </c>
      <c r="B298" s="214"/>
      <c r="C298" s="214"/>
      <c r="D298" s="214">
        <f>6500*1.1</f>
        <v>7150.0000000000009</v>
      </c>
      <c r="E298" s="214"/>
      <c r="F298" s="214"/>
      <c r="G298" s="214"/>
      <c r="H298" s="214"/>
      <c r="I298" s="214"/>
      <c r="J298" s="214"/>
    </row>
    <row r="299" spans="1:10" x14ac:dyDescent="0.2">
      <c r="A299" s="217" t="s">
        <v>61</v>
      </c>
      <c r="B299" s="214"/>
      <c r="C299" s="214"/>
      <c r="D299" s="214">
        <f>8500*1.1</f>
        <v>9350</v>
      </c>
      <c r="E299" s="214"/>
      <c r="F299" s="214"/>
      <c r="G299" s="214"/>
      <c r="H299" s="214"/>
      <c r="I299" s="214"/>
      <c r="J299" s="214"/>
    </row>
    <row r="300" spans="1:10" x14ac:dyDescent="0.2">
      <c r="A300" s="217" t="s">
        <v>116</v>
      </c>
      <c r="B300" s="214"/>
      <c r="C300" s="214"/>
      <c r="D300" s="214">
        <v>3000</v>
      </c>
      <c r="E300" s="214"/>
      <c r="F300" s="214"/>
      <c r="G300" s="214"/>
      <c r="H300" s="214"/>
      <c r="I300" s="214"/>
      <c r="J300" s="214"/>
    </row>
    <row r="301" spans="1:10" x14ac:dyDescent="0.2">
      <c r="A301" s="217" t="s">
        <v>165</v>
      </c>
      <c r="B301" s="214"/>
      <c r="C301" s="214"/>
      <c r="D301" s="214">
        <f>2000*1.1</f>
        <v>2200</v>
      </c>
      <c r="E301" s="214"/>
      <c r="F301" s="214"/>
      <c r="G301" s="214"/>
      <c r="H301" s="214"/>
      <c r="I301" s="214"/>
      <c r="J301" s="214"/>
    </row>
    <row r="302" spans="1:10" x14ac:dyDescent="0.2">
      <c r="A302" s="217" t="s">
        <v>166</v>
      </c>
      <c r="B302" s="214"/>
      <c r="C302" s="214"/>
      <c r="D302" s="214">
        <v>7750</v>
      </c>
      <c r="E302" s="214"/>
      <c r="F302" s="214"/>
      <c r="G302" s="214"/>
      <c r="H302" s="214"/>
      <c r="I302" s="214"/>
      <c r="J302" s="214"/>
    </row>
    <row r="303" spans="1:10" x14ac:dyDescent="0.2">
      <c r="A303" s="217" t="s">
        <v>167</v>
      </c>
      <c r="B303" s="214"/>
      <c r="C303" s="214"/>
      <c r="D303" s="214">
        <v>300</v>
      </c>
      <c r="E303" s="214"/>
      <c r="F303" s="214"/>
      <c r="G303" s="214"/>
      <c r="H303" s="214"/>
      <c r="I303" s="214"/>
      <c r="J303" s="214"/>
    </row>
    <row r="304" spans="1:10" x14ac:dyDescent="0.2">
      <c r="A304" s="217" t="s">
        <v>1539</v>
      </c>
      <c r="B304" s="214"/>
      <c r="C304" s="214"/>
      <c r="D304" s="214">
        <v>1000</v>
      </c>
      <c r="E304" s="214"/>
      <c r="F304" s="214"/>
      <c r="G304" s="214"/>
      <c r="H304" s="214"/>
      <c r="I304" s="214"/>
      <c r="J304" s="214"/>
    </row>
    <row r="305" spans="1:10" x14ac:dyDescent="0.2">
      <c r="A305" s="217" t="s">
        <v>1645</v>
      </c>
      <c r="B305" s="214"/>
      <c r="C305" s="214"/>
      <c r="D305" s="214">
        <v>3500</v>
      </c>
      <c r="E305" s="214"/>
      <c r="F305" s="214"/>
      <c r="G305" s="214"/>
      <c r="H305" s="214"/>
      <c r="I305" s="214"/>
      <c r="J305" s="214"/>
    </row>
    <row r="306" spans="1:10" s="192" customFormat="1" x14ac:dyDescent="0.2">
      <c r="A306" s="217" t="s">
        <v>2023</v>
      </c>
      <c r="B306" s="214"/>
      <c r="C306" s="214"/>
      <c r="D306" s="315"/>
      <c r="E306" s="214"/>
      <c r="F306" s="214"/>
      <c r="G306" s="214"/>
      <c r="H306" s="214"/>
      <c r="I306" s="214"/>
      <c r="J306" s="214"/>
    </row>
    <row r="307" spans="1:10" s="192" customFormat="1" x14ac:dyDescent="0.2">
      <c r="A307" s="217" t="s">
        <v>1067</v>
      </c>
      <c r="B307" s="214"/>
      <c r="C307" s="214"/>
      <c r="D307" s="214">
        <f>SUM(D293:D305)</f>
        <v>53570</v>
      </c>
      <c r="E307" s="214"/>
      <c r="F307" s="214"/>
      <c r="G307" s="214"/>
      <c r="H307" s="214"/>
      <c r="I307" s="214"/>
      <c r="J307" s="214"/>
    </row>
    <row r="308" spans="1:10" s="192" customFormat="1" x14ac:dyDescent="0.2">
      <c r="A308" s="217"/>
      <c r="B308" s="214"/>
      <c r="C308" s="214"/>
      <c r="D308" s="214"/>
      <c r="E308" s="214"/>
      <c r="F308" s="214"/>
      <c r="G308" s="214"/>
      <c r="H308" s="214"/>
      <c r="I308" s="214"/>
      <c r="J308" s="214"/>
    </row>
    <row r="309" spans="1:10" ht="13.5" x14ac:dyDescent="0.25">
      <c r="A309" s="237" t="s">
        <v>680</v>
      </c>
      <c r="B309" s="214"/>
      <c r="C309" s="214" t="s">
        <v>338</v>
      </c>
      <c r="D309" s="214" t="s">
        <v>338</v>
      </c>
      <c r="E309" s="214">
        <v>2500</v>
      </c>
      <c r="F309" s="214">
        <v>12000</v>
      </c>
      <c r="G309" s="214">
        <v>12000</v>
      </c>
      <c r="H309" s="214">
        <v>12000</v>
      </c>
      <c r="I309" s="214">
        <v>12000</v>
      </c>
      <c r="J309" s="214">
        <v>12000</v>
      </c>
    </row>
    <row r="310" spans="1:10" x14ac:dyDescent="0.2">
      <c r="A310" s="217" t="s">
        <v>1175</v>
      </c>
      <c r="B310" s="214"/>
      <c r="C310" s="214"/>
      <c r="D310" s="214">
        <v>12000</v>
      </c>
      <c r="E310" s="214"/>
      <c r="F310" s="214"/>
      <c r="G310" s="214"/>
      <c r="H310" s="214"/>
      <c r="I310" s="214"/>
      <c r="J310" s="214"/>
    </row>
    <row r="311" spans="1:10" x14ac:dyDescent="0.2">
      <c r="A311" s="217"/>
      <c r="B311" s="214"/>
      <c r="C311" s="214"/>
      <c r="D311" s="214"/>
      <c r="E311" s="214"/>
      <c r="F311" s="214"/>
      <c r="G311" s="214"/>
      <c r="H311" s="214"/>
      <c r="I311" s="214"/>
      <c r="J311" s="214"/>
    </row>
    <row r="312" spans="1:10" ht="13.5" x14ac:dyDescent="0.25">
      <c r="A312" s="237" t="s">
        <v>377</v>
      </c>
      <c r="B312" s="214"/>
      <c r="C312" s="214"/>
      <c r="D312" s="214"/>
      <c r="E312" s="214">
        <v>0</v>
      </c>
      <c r="F312" s="214">
        <v>4000</v>
      </c>
      <c r="G312" s="214">
        <v>4000</v>
      </c>
      <c r="H312" s="214">
        <v>4000</v>
      </c>
      <c r="I312" s="214">
        <v>4000</v>
      </c>
      <c r="J312" s="214">
        <v>4000</v>
      </c>
    </row>
    <row r="313" spans="1:10" x14ac:dyDescent="0.2">
      <c r="A313" s="217" t="s">
        <v>1034</v>
      </c>
      <c r="B313" s="214"/>
      <c r="C313" s="214"/>
      <c r="D313" s="214"/>
      <c r="E313" s="214"/>
      <c r="F313" s="214"/>
      <c r="G313" s="214"/>
      <c r="H313" s="214"/>
      <c r="I313" s="214"/>
      <c r="J313" s="214"/>
    </row>
    <row r="314" spans="1:10" x14ac:dyDescent="0.2">
      <c r="A314" s="217" t="s">
        <v>1035</v>
      </c>
      <c r="B314" s="214"/>
      <c r="C314" s="214"/>
      <c r="D314" s="214">
        <v>4000</v>
      </c>
      <c r="E314" s="214"/>
      <c r="F314" s="214"/>
      <c r="G314" s="214"/>
      <c r="H314" s="214"/>
      <c r="I314" s="214"/>
      <c r="J314" s="214"/>
    </row>
    <row r="315" spans="1:10" x14ac:dyDescent="0.2">
      <c r="A315" s="217"/>
      <c r="B315" s="214"/>
      <c r="C315" s="214"/>
      <c r="D315" s="214"/>
      <c r="E315" s="214"/>
      <c r="F315" s="214"/>
      <c r="G315" s="214"/>
      <c r="H315" s="214"/>
      <c r="I315" s="214"/>
      <c r="J315" s="214"/>
    </row>
    <row r="316" spans="1:10" ht="13.5" x14ac:dyDescent="0.25">
      <c r="A316" s="237" t="s">
        <v>1949</v>
      </c>
      <c r="B316" s="214"/>
      <c r="C316" s="214" t="s">
        <v>338</v>
      </c>
      <c r="D316" s="214" t="s">
        <v>338</v>
      </c>
      <c r="E316" s="214">
        <v>0</v>
      </c>
      <c r="F316" s="214">
        <v>0</v>
      </c>
      <c r="G316" s="214">
        <v>1000</v>
      </c>
      <c r="H316" s="214">
        <v>1000</v>
      </c>
      <c r="I316" s="214">
        <v>1000</v>
      </c>
      <c r="J316" s="214">
        <v>1000</v>
      </c>
    </row>
    <row r="317" spans="1:10" x14ac:dyDescent="0.2">
      <c r="A317" s="217"/>
      <c r="B317" s="214"/>
      <c r="C317" s="214"/>
      <c r="D317" s="214">
        <v>1000</v>
      </c>
      <c r="E317" s="214"/>
      <c r="F317" s="214"/>
      <c r="G317" s="214"/>
      <c r="H317" s="214"/>
      <c r="I317" s="214"/>
      <c r="J317" s="214"/>
    </row>
    <row r="318" spans="1:10" x14ac:dyDescent="0.2">
      <c r="A318" s="217"/>
      <c r="B318" s="214"/>
      <c r="C318" s="214"/>
      <c r="D318" s="214"/>
      <c r="E318" s="214"/>
      <c r="F318" s="214"/>
      <c r="G318" s="214"/>
      <c r="H318" s="214"/>
      <c r="I318" s="214"/>
      <c r="J318" s="214"/>
    </row>
    <row r="319" spans="1:10" ht="13.5" x14ac:dyDescent="0.25">
      <c r="A319" s="237" t="s">
        <v>219</v>
      </c>
      <c r="B319" s="214"/>
      <c r="C319" s="214"/>
      <c r="D319" s="214"/>
      <c r="E319" s="214">
        <v>1302</v>
      </c>
      <c r="F319" s="214">
        <v>4000</v>
      </c>
      <c r="G319" s="214">
        <v>4000</v>
      </c>
      <c r="H319" s="214">
        <v>4000</v>
      </c>
      <c r="I319" s="214">
        <v>4000</v>
      </c>
      <c r="J319" s="214">
        <v>4000</v>
      </c>
    </row>
    <row r="320" spans="1:10" x14ac:dyDescent="0.2">
      <c r="A320" s="217" t="s">
        <v>1446</v>
      </c>
      <c r="B320" s="214"/>
      <c r="C320" s="214"/>
      <c r="D320" s="214">
        <v>4000</v>
      </c>
      <c r="E320" s="214"/>
      <c r="F320" s="214"/>
      <c r="G320" s="214"/>
      <c r="H320" s="214"/>
      <c r="I320" s="214"/>
      <c r="J320" s="214"/>
    </row>
    <row r="321" spans="1:10" x14ac:dyDescent="0.2">
      <c r="A321" s="217" t="s">
        <v>1498</v>
      </c>
      <c r="B321" s="214"/>
      <c r="C321" s="214"/>
      <c r="D321" s="214"/>
      <c r="E321" s="214"/>
      <c r="F321" s="214"/>
      <c r="G321" s="214"/>
      <c r="H321" s="214"/>
      <c r="I321" s="214"/>
      <c r="J321" s="214"/>
    </row>
    <row r="322" spans="1:10" x14ac:dyDescent="0.2">
      <c r="A322" s="217"/>
      <c r="B322" s="214"/>
      <c r="C322" s="214"/>
      <c r="D322" s="214"/>
      <c r="E322" s="214"/>
      <c r="F322" s="214"/>
      <c r="G322" s="214"/>
      <c r="H322" s="214"/>
      <c r="I322" s="214"/>
      <c r="J322" s="214"/>
    </row>
    <row r="323" spans="1:10" ht="13.5" x14ac:dyDescent="0.25">
      <c r="A323" s="237" t="s">
        <v>563</v>
      </c>
      <c r="B323" s="214"/>
      <c r="C323" s="214"/>
      <c r="D323" s="214" t="s">
        <v>338</v>
      </c>
      <c r="E323" s="214">
        <v>0</v>
      </c>
      <c r="F323" s="214">
        <v>0</v>
      </c>
      <c r="G323" s="214">
        <v>1462000</v>
      </c>
      <c r="H323" s="214">
        <v>1437000</v>
      </c>
      <c r="I323" s="214">
        <v>1437000</v>
      </c>
      <c r="J323" s="214">
        <v>1437000</v>
      </c>
    </row>
    <row r="324" spans="1:10" x14ac:dyDescent="0.2">
      <c r="A324" s="217" t="s">
        <v>2092</v>
      </c>
      <c r="B324" s="214"/>
      <c r="C324" s="214"/>
      <c r="D324" s="214">
        <v>12000</v>
      </c>
      <c r="E324" s="214"/>
      <c r="F324" s="214"/>
      <c r="G324" s="214"/>
      <c r="H324" s="214"/>
      <c r="I324" s="214"/>
      <c r="J324" s="214"/>
    </row>
    <row r="325" spans="1:10" x14ac:dyDescent="0.2">
      <c r="A325" s="217" t="s">
        <v>2093</v>
      </c>
      <c r="B325" s="214"/>
      <c r="C325" s="214"/>
      <c r="D325" s="214">
        <v>1400000</v>
      </c>
      <c r="E325" s="214"/>
      <c r="F325" s="214"/>
      <c r="G325" s="214"/>
      <c r="H325" s="214"/>
      <c r="I325" s="214"/>
      <c r="J325" s="214"/>
    </row>
    <row r="326" spans="1:10" x14ac:dyDescent="0.2">
      <c r="A326" s="217" t="s">
        <v>2094</v>
      </c>
      <c r="B326" s="214"/>
      <c r="C326" s="214"/>
      <c r="D326" s="214">
        <v>25000</v>
      </c>
      <c r="E326" s="214"/>
      <c r="F326" s="214"/>
      <c r="G326" s="214"/>
      <c r="H326" s="214"/>
      <c r="I326" s="214"/>
      <c r="J326" s="214"/>
    </row>
    <row r="327" spans="1:10" x14ac:dyDescent="0.2">
      <c r="A327" s="217" t="s">
        <v>1795</v>
      </c>
      <c r="B327" s="214"/>
      <c r="C327" s="214"/>
      <c r="D327" s="218">
        <v>0</v>
      </c>
      <c r="E327" s="214"/>
      <c r="F327" s="214"/>
      <c r="G327" s="214"/>
      <c r="H327" s="214"/>
      <c r="I327" s="214"/>
      <c r="J327" s="214"/>
    </row>
    <row r="328" spans="1:10" x14ac:dyDescent="0.2">
      <c r="A328" s="217"/>
      <c r="B328" s="214"/>
      <c r="C328" s="214"/>
      <c r="D328" s="214">
        <f>SUM(D324:D327)</f>
        <v>1437000</v>
      </c>
      <c r="E328" s="214"/>
      <c r="F328" s="214"/>
      <c r="G328" s="214"/>
      <c r="H328" s="214"/>
      <c r="I328" s="214"/>
      <c r="J328" s="214"/>
    </row>
    <row r="329" spans="1:10" s="192" customFormat="1" x14ac:dyDescent="0.2">
      <c r="A329" s="217"/>
      <c r="B329" s="214"/>
      <c r="C329" s="214"/>
      <c r="D329" s="214"/>
      <c r="E329" s="214"/>
      <c r="F329" s="214"/>
      <c r="G329" s="214"/>
      <c r="H329" s="214"/>
      <c r="I329" s="214"/>
      <c r="J329" s="214"/>
    </row>
    <row r="330" spans="1:10" s="192" customFormat="1" ht="13.5" x14ac:dyDescent="0.25">
      <c r="A330" s="237" t="s">
        <v>1463</v>
      </c>
      <c r="B330" s="214"/>
      <c r="C330" s="214"/>
      <c r="D330" s="214"/>
      <c r="E330" s="214">
        <v>599</v>
      </c>
      <c r="F330" s="214">
        <v>0</v>
      </c>
      <c r="G330" s="214">
        <v>0</v>
      </c>
      <c r="H330" s="214">
        <v>0</v>
      </c>
      <c r="I330" s="214">
        <v>0</v>
      </c>
      <c r="J330" s="214">
        <v>0</v>
      </c>
    </row>
    <row r="331" spans="1:10" s="192" customFormat="1" hidden="1" x14ac:dyDescent="0.2">
      <c r="A331" s="217"/>
      <c r="B331" s="214"/>
      <c r="C331" s="214"/>
      <c r="D331" s="214">
        <v>0</v>
      </c>
      <c r="E331" s="214"/>
      <c r="F331" s="214"/>
      <c r="G331" s="214"/>
      <c r="H331" s="214"/>
      <c r="I331" s="214"/>
      <c r="J331" s="214"/>
    </row>
    <row r="332" spans="1:10" s="192" customFormat="1" hidden="1" x14ac:dyDescent="0.2">
      <c r="A332" s="217"/>
      <c r="B332" s="214"/>
      <c r="C332" s="214"/>
      <c r="D332" s="214">
        <f>SUM(D331:D331)</f>
        <v>0</v>
      </c>
      <c r="E332" s="214"/>
      <c r="F332" s="214"/>
      <c r="G332" s="214"/>
      <c r="H332" s="214"/>
      <c r="I332" s="214"/>
      <c r="J332" s="214"/>
    </row>
    <row r="333" spans="1:10" x14ac:dyDescent="0.2">
      <c r="A333" s="217"/>
      <c r="B333" s="214"/>
      <c r="C333" s="214"/>
      <c r="D333" s="214"/>
      <c r="E333" s="214"/>
      <c r="F333" s="214"/>
      <c r="G333" s="214"/>
      <c r="H333" s="214"/>
      <c r="I333" s="214"/>
      <c r="J333" s="214"/>
    </row>
    <row r="334" spans="1:10" ht="13.5" x14ac:dyDescent="0.25">
      <c r="A334" s="237" t="s">
        <v>1455</v>
      </c>
      <c r="B334" s="214"/>
      <c r="C334" s="214"/>
      <c r="D334" s="214" t="s">
        <v>338</v>
      </c>
      <c r="E334" s="214">
        <v>1654579</v>
      </c>
      <c r="F334" s="214">
        <v>1160000</v>
      </c>
      <c r="G334" s="214">
        <v>2135000</v>
      </c>
      <c r="H334" s="214">
        <v>1960000</v>
      </c>
      <c r="I334" s="214">
        <v>1960000</v>
      </c>
      <c r="J334" s="214">
        <v>1960000</v>
      </c>
    </row>
    <row r="335" spans="1:10" x14ac:dyDescent="0.2">
      <c r="A335" s="217" t="s">
        <v>177</v>
      </c>
      <c r="B335" s="214"/>
      <c r="C335" s="214"/>
      <c r="D335" s="214">
        <v>1825000</v>
      </c>
      <c r="E335" s="214"/>
      <c r="F335" s="214"/>
      <c r="G335" s="214"/>
      <c r="H335" s="214"/>
      <c r="I335" s="214"/>
      <c r="J335" s="214"/>
    </row>
    <row r="336" spans="1:10" x14ac:dyDescent="0.2">
      <c r="A336" s="217" t="s">
        <v>51</v>
      </c>
      <c r="B336" s="214"/>
      <c r="C336" s="214"/>
      <c r="D336" s="218">
        <v>135000</v>
      </c>
      <c r="E336" s="214"/>
      <c r="F336" s="214"/>
      <c r="G336" s="214"/>
      <c r="H336" s="214"/>
      <c r="I336" s="214"/>
      <c r="J336" s="214"/>
    </row>
    <row r="337" spans="1:10" x14ac:dyDescent="0.2">
      <c r="A337" s="217" t="s">
        <v>1067</v>
      </c>
      <c r="B337" s="214"/>
      <c r="C337" s="214"/>
      <c r="D337" s="214">
        <f>SUM(D335:D336)</f>
        <v>1960000</v>
      </c>
      <c r="E337" s="214"/>
      <c r="F337" s="214"/>
      <c r="G337" s="214"/>
      <c r="H337" s="214"/>
      <c r="I337" s="214"/>
      <c r="J337" s="214"/>
    </row>
    <row r="338" spans="1:10" hidden="1" x14ac:dyDescent="0.2">
      <c r="A338" s="217"/>
      <c r="B338" s="214"/>
      <c r="C338" s="214"/>
      <c r="D338" s="214"/>
      <c r="E338" s="214"/>
      <c r="F338" s="214"/>
      <c r="G338" s="214"/>
      <c r="H338" s="214"/>
      <c r="I338" s="214"/>
      <c r="J338" s="214"/>
    </row>
    <row r="339" spans="1:10" x14ac:dyDescent="0.2">
      <c r="A339" s="217"/>
      <c r="B339" s="214"/>
      <c r="C339" s="214"/>
      <c r="D339" s="214"/>
      <c r="E339" s="214"/>
      <c r="F339" s="214"/>
      <c r="G339" s="214"/>
      <c r="H339" s="214"/>
      <c r="I339" s="214"/>
      <c r="J339" s="214"/>
    </row>
    <row r="340" spans="1:10" ht="13.5" x14ac:dyDescent="0.25">
      <c r="A340" s="237" t="s">
        <v>1950</v>
      </c>
      <c r="B340" s="214"/>
      <c r="C340" s="214"/>
      <c r="D340" s="214"/>
      <c r="E340" s="214">
        <v>0</v>
      </c>
      <c r="F340" s="214">
        <v>28000</v>
      </c>
      <c r="G340" s="214">
        <v>0</v>
      </c>
      <c r="H340" s="214">
        <v>0</v>
      </c>
      <c r="I340" s="214">
        <v>0</v>
      </c>
      <c r="J340" s="214">
        <v>0</v>
      </c>
    </row>
    <row r="341" spans="1:10" s="228" customFormat="1" x14ac:dyDescent="0.2">
      <c r="A341" s="217" t="s">
        <v>2095</v>
      </c>
      <c r="B341" s="214"/>
      <c r="C341" s="214"/>
      <c r="D341" s="218"/>
      <c r="E341" s="214"/>
      <c r="F341" s="214"/>
      <c r="G341" s="214"/>
      <c r="H341" s="214"/>
      <c r="I341" s="214"/>
      <c r="J341" s="214"/>
    </row>
    <row r="342" spans="1:10" s="228" customFormat="1" x14ac:dyDescent="0.2">
      <c r="A342" s="217" t="s">
        <v>513</v>
      </c>
      <c r="B342" s="214"/>
      <c r="C342" s="214"/>
      <c r="D342" s="214">
        <f>SUM(D341)</f>
        <v>0</v>
      </c>
      <c r="E342" s="214"/>
      <c r="F342" s="214"/>
      <c r="G342" s="214"/>
      <c r="H342" s="214"/>
      <c r="I342" s="214"/>
      <c r="J342" s="214"/>
    </row>
    <row r="343" spans="1:10" s="228" customFormat="1" x14ac:dyDescent="0.2">
      <c r="A343" s="217"/>
      <c r="B343" s="214"/>
      <c r="C343" s="214"/>
      <c r="D343" s="214"/>
      <c r="E343" s="214"/>
      <c r="F343" s="214"/>
      <c r="G343" s="214"/>
      <c r="H343" s="214"/>
      <c r="I343" s="214"/>
      <c r="J343" s="214"/>
    </row>
    <row r="344" spans="1:10" s="228" customFormat="1" ht="13.5" x14ac:dyDescent="0.25">
      <c r="A344" s="237" t="s">
        <v>659</v>
      </c>
      <c r="B344" s="214"/>
      <c r="C344" s="214"/>
      <c r="D344" s="214"/>
      <c r="E344" s="214">
        <v>66695</v>
      </c>
      <c r="F344" s="214">
        <v>0</v>
      </c>
      <c r="G344" s="214">
        <v>7500</v>
      </c>
      <c r="H344" s="214">
        <v>7500</v>
      </c>
      <c r="I344" s="214">
        <v>7500</v>
      </c>
      <c r="J344" s="214">
        <v>7500</v>
      </c>
    </row>
    <row r="345" spans="1:10" s="228" customFormat="1" x14ac:dyDescent="0.2">
      <c r="A345" s="217" t="s">
        <v>2096</v>
      </c>
      <c r="B345" s="214"/>
      <c r="C345" s="214"/>
      <c r="D345" s="214">
        <v>7500</v>
      </c>
      <c r="E345" s="214"/>
      <c r="F345" s="214"/>
      <c r="G345" s="214"/>
      <c r="H345" s="214"/>
      <c r="I345" s="214"/>
      <c r="J345" s="214"/>
    </row>
    <row r="346" spans="1:10" s="228" customFormat="1" x14ac:dyDescent="0.2">
      <c r="A346" s="217" t="s">
        <v>1796</v>
      </c>
      <c r="B346" s="214"/>
      <c r="C346" s="214"/>
      <c r="D346" s="218">
        <v>0</v>
      </c>
      <c r="E346" s="214"/>
      <c r="F346" s="2"/>
      <c r="G346" s="214"/>
      <c r="H346" s="214"/>
      <c r="I346" s="214"/>
      <c r="J346" s="214"/>
    </row>
    <row r="347" spans="1:10" x14ac:dyDescent="0.2">
      <c r="A347" s="217"/>
      <c r="B347" s="214"/>
      <c r="C347" s="214"/>
      <c r="D347" s="214">
        <f>SUM(D345:D346)</f>
        <v>7500</v>
      </c>
      <c r="E347" s="214"/>
      <c r="F347" s="2"/>
      <c r="G347" s="214"/>
      <c r="H347" s="214"/>
      <c r="I347" s="214"/>
      <c r="J347" s="214"/>
    </row>
    <row r="348" spans="1:10" x14ac:dyDescent="0.2">
      <c r="A348" s="217"/>
      <c r="B348" s="214"/>
      <c r="C348" s="214"/>
      <c r="D348" s="214"/>
      <c r="E348" s="214"/>
      <c r="F348" s="2"/>
      <c r="G348" s="214"/>
      <c r="H348" s="214"/>
      <c r="I348" s="214"/>
      <c r="J348" s="214"/>
    </row>
    <row r="349" spans="1:10" ht="15" x14ac:dyDescent="0.35">
      <c r="A349" s="260" t="s">
        <v>660</v>
      </c>
      <c r="B349" s="259" t="s">
        <v>1825</v>
      </c>
      <c r="C349" s="259" t="s">
        <v>1947</v>
      </c>
      <c r="D349" s="259" t="s">
        <v>2039</v>
      </c>
      <c r="E349" s="214"/>
      <c r="F349" s="2"/>
      <c r="G349" s="214"/>
      <c r="H349" s="214"/>
      <c r="I349" s="214"/>
      <c r="J349" s="214"/>
    </row>
    <row r="350" spans="1:10" s="258" customFormat="1" x14ac:dyDescent="0.2">
      <c r="A350" s="258" t="s">
        <v>922</v>
      </c>
      <c r="B350" s="2">
        <v>400000</v>
      </c>
      <c r="C350" s="2">
        <v>425000</v>
      </c>
      <c r="D350" s="2">
        <v>425000</v>
      </c>
      <c r="E350" s="214"/>
      <c r="F350" s="2"/>
      <c r="G350" s="214"/>
      <c r="H350" s="214"/>
      <c r="I350" s="214"/>
      <c r="J350" s="214"/>
    </row>
    <row r="351" spans="1:10" s="258" customFormat="1" x14ac:dyDescent="0.2">
      <c r="A351" s="258" t="s">
        <v>1447</v>
      </c>
      <c r="B351" s="2">
        <v>5000</v>
      </c>
      <c r="C351" s="2">
        <v>5000</v>
      </c>
      <c r="D351" s="2">
        <v>5000</v>
      </c>
      <c r="E351" s="214"/>
      <c r="F351" s="2"/>
      <c r="G351" s="214"/>
      <c r="H351" s="214"/>
      <c r="I351" s="214"/>
      <c r="J351" s="214"/>
    </row>
    <row r="352" spans="1:10" s="258" customFormat="1" x14ac:dyDescent="0.2">
      <c r="A352" s="258" t="s">
        <v>679</v>
      </c>
      <c r="B352" s="2">
        <v>50000</v>
      </c>
      <c r="C352" s="2">
        <v>50000</v>
      </c>
      <c r="D352" s="2">
        <v>50000</v>
      </c>
      <c r="E352" s="214"/>
      <c r="F352" s="2"/>
      <c r="G352" s="214"/>
      <c r="H352" s="214"/>
      <c r="I352" s="214"/>
      <c r="J352" s="214"/>
    </row>
    <row r="353" spans="1:11" s="258" customFormat="1" x14ac:dyDescent="0.2">
      <c r="A353" s="258" t="s">
        <v>1456</v>
      </c>
      <c r="B353" s="17">
        <v>545000</v>
      </c>
      <c r="C353" s="17">
        <v>595000</v>
      </c>
      <c r="D353" s="17">
        <v>595000</v>
      </c>
      <c r="E353" s="214"/>
      <c r="F353" s="2"/>
      <c r="G353" s="214"/>
      <c r="H353" s="214"/>
      <c r="I353" s="214"/>
      <c r="J353" s="214"/>
    </row>
    <row r="354" spans="1:11" s="258" customFormat="1" x14ac:dyDescent="0.2">
      <c r="A354" s="258" t="s">
        <v>1067</v>
      </c>
      <c r="B354" s="2">
        <f>SUM(B350:B353)</f>
        <v>1000000</v>
      </c>
      <c r="C354" s="2">
        <f t="shared" ref="C354:D354" si="5">SUM(C350:C353)</f>
        <v>1075000</v>
      </c>
      <c r="D354" s="2">
        <f t="shared" si="5"/>
        <v>1075000</v>
      </c>
      <c r="E354" s="218">
        <v>1000000</v>
      </c>
      <c r="F354" s="218">
        <v>1075000</v>
      </c>
      <c r="G354" s="218">
        <v>1075000</v>
      </c>
      <c r="H354" s="218">
        <v>1075000</v>
      </c>
      <c r="I354" s="218">
        <v>1075000</v>
      </c>
      <c r="J354" s="218">
        <v>1075000</v>
      </c>
    </row>
    <row r="355" spans="1:11" ht="15" x14ac:dyDescent="0.35">
      <c r="A355" s="229"/>
      <c r="B355" s="229"/>
      <c r="C355" s="10"/>
      <c r="D355" s="2"/>
      <c r="E355" s="229"/>
      <c r="F355" s="229"/>
      <c r="G355" s="229"/>
      <c r="H355" s="267"/>
      <c r="I355" s="229"/>
      <c r="J355" s="229"/>
    </row>
    <row r="356" spans="1:11" x14ac:dyDescent="0.2">
      <c r="A356" s="19" t="s">
        <v>1144</v>
      </c>
      <c r="B356" s="229"/>
      <c r="C356" s="2"/>
      <c r="D356" s="57"/>
      <c r="E356" s="2">
        <f t="shared" ref="E356:J356" si="6">SUM(E6:E354)</f>
        <v>5422514</v>
      </c>
      <c r="F356" s="2">
        <f t="shared" si="6"/>
        <v>5316030</v>
      </c>
      <c r="G356" s="2">
        <f t="shared" si="6"/>
        <v>7902377</v>
      </c>
      <c r="H356" s="2">
        <f t="shared" si="6"/>
        <v>7640215</v>
      </c>
      <c r="I356" s="2">
        <f t="shared" si="6"/>
        <v>7644437</v>
      </c>
      <c r="J356" s="2">
        <f t="shared" si="6"/>
        <v>7716768</v>
      </c>
    </row>
    <row r="357" spans="1:11" x14ac:dyDescent="0.2">
      <c r="A357" s="19"/>
      <c r="B357" s="229"/>
      <c r="C357" s="2"/>
      <c r="D357" s="57"/>
      <c r="E357" s="2"/>
      <c r="F357" s="2"/>
      <c r="G357" s="2"/>
      <c r="H357" s="2"/>
      <c r="I357" s="2"/>
      <c r="J357" s="2"/>
    </row>
    <row r="358" spans="1:11" x14ac:dyDescent="0.2">
      <c r="A358" s="229" t="s">
        <v>511</v>
      </c>
      <c r="B358" s="229"/>
      <c r="C358" s="57"/>
      <c r="D358" s="57"/>
      <c r="E358" s="2">
        <f t="shared" ref="E358:J358" si="7">SUM(E6:E114)</f>
        <v>1890324</v>
      </c>
      <c r="F358" s="2">
        <f t="shared" si="7"/>
        <v>2155426</v>
      </c>
      <c r="G358" s="2">
        <f t="shared" si="7"/>
        <v>2189086</v>
      </c>
      <c r="H358" s="2">
        <f t="shared" si="7"/>
        <v>2176924</v>
      </c>
      <c r="I358" s="2">
        <f t="shared" si="7"/>
        <v>2181146</v>
      </c>
      <c r="J358" s="2">
        <f t="shared" si="7"/>
        <v>2253477</v>
      </c>
      <c r="K358" s="2">
        <f>+G358-F358</f>
        <v>33660</v>
      </c>
    </row>
    <row r="359" spans="1:11" x14ac:dyDescent="0.2">
      <c r="A359" s="229" t="s">
        <v>803</v>
      </c>
      <c r="B359" s="229"/>
      <c r="C359" s="57"/>
      <c r="D359" s="57"/>
      <c r="E359" s="2">
        <f>SUM(E115:E311)</f>
        <v>809015</v>
      </c>
      <c r="F359" s="2">
        <f>SUM(F115:F313)</f>
        <v>893604</v>
      </c>
      <c r="G359" s="2">
        <f>SUM(G115:G314)</f>
        <v>1028791</v>
      </c>
      <c r="H359" s="2">
        <f>SUM(H115:H314)</f>
        <v>978791</v>
      </c>
      <c r="I359" s="2">
        <f>SUM(I115:I320)</f>
        <v>983791</v>
      </c>
      <c r="J359" s="2">
        <f>SUM(J115:J320)</f>
        <v>983791</v>
      </c>
      <c r="K359" s="2">
        <f>+G359-F359</f>
        <v>135187</v>
      </c>
    </row>
    <row r="360" spans="1:11" ht="15" x14ac:dyDescent="0.35">
      <c r="A360" s="229" t="s">
        <v>804</v>
      </c>
      <c r="B360" s="229"/>
      <c r="C360" s="229"/>
      <c r="D360" s="229"/>
      <c r="E360" s="10">
        <f>SUM(E313:E354)</f>
        <v>2723175</v>
      </c>
      <c r="F360" s="10">
        <f>SUM(F313:F354)</f>
        <v>2267000</v>
      </c>
      <c r="G360" s="10">
        <f>SUM(G313:G355)</f>
        <v>4684500</v>
      </c>
      <c r="H360" s="10">
        <f>SUM(H313:H355)</f>
        <v>4484500</v>
      </c>
      <c r="I360" s="10">
        <f>SUM(I323:I354)</f>
        <v>4479500</v>
      </c>
      <c r="J360" s="10">
        <f>SUM(J322:J354)</f>
        <v>4479500</v>
      </c>
      <c r="K360" s="2">
        <f>+G360-F360</f>
        <v>2417500</v>
      </c>
    </row>
    <row r="361" spans="1:11" x14ac:dyDescent="0.2">
      <c r="A361" s="229" t="s">
        <v>1067</v>
      </c>
      <c r="B361" s="229"/>
      <c r="C361" s="229"/>
      <c r="D361" s="229"/>
      <c r="E361" s="2">
        <f t="shared" ref="E361:J361" si="8">SUM(E358:E360)</f>
        <v>5422514</v>
      </c>
      <c r="F361" s="2">
        <f t="shared" si="8"/>
        <v>5316030</v>
      </c>
      <c r="G361" s="2">
        <f>SUM(G358:G360)</f>
        <v>7902377</v>
      </c>
      <c r="H361" s="2">
        <f t="shared" ref="H361" si="9">SUM(H358:H360)</f>
        <v>7640215</v>
      </c>
      <c r="I361" s="2">
        <f>SUM(I358:I360)</f>
        <v>7644437</v>
      </c>
      <c r="J361" s="2">
        <f t="shared" si="8"/>
        <v>7716768</v>
      </c>
    </row>
    <row r="362" spans="1:11" x14ac:dyDescent="0.2">
      <c r="A362" s="229"/>
      <c r="B362" s="229"/>
      <c r="C362" s="229"/>
      <c r="D362" s="229"/>
      <c r="E362" s="229"/>
      <c r="F362" s="229"/>
      <c r="G362" s="229"/>
      <c r="H362" s="267"/>
      <c r="I362" s="229"/>
      <c r="J362" s="229"/>
    </row>
    <row r="363" spans="1:11" x14ac:dyDescent="0.2">
      <c r="A363" s="229"/>
      <c r="B363" s="229"/>
      <c r="C363" s="229"/>
      <c r="D363" s="229"/>
      <c r="E363" s="229"/>
      <c r="F363" s="229"/>
      <c r="G363" s="2"/>
      <c r="H363" s="2"/>
      <c r="I363" s="229"/>
      <c r="J363" s="2">
        <v>72331</v>
      </c>
    </row>
    <row r="364" spans="1:11" x14ac:dyDescent="0.2">
      <c r="A364" s="229"/>
      <c r="B364" s="229"/>
      <c r="C364" s="229"/>
      <c r="D364" s="229"/>
      <c r="E364" s="229"/>
      <c r="F364" s="229"/>
      <c r="G364" s="229"/>
      <c r="H364" s="267"/>
      <c r="I364" s="2"/>
      <c r="J364" s="2">
        <f>J361-I361</f>
        <v>72331</v>
      </c>
    </row>
    <row r="365" spans="1:11" x14ac:dyDescent="0.2">
      <c r="A365" s="229"/>
      <c r="B365" s="229"/>
      <c r="C365" s="229"/>
      <c r="D365" s="229"/>
      <c r="E365" s="229"/>
      <c r="F365" s="229"/>
      <c r="G365" s="229"/>
      <c r="H365" s="267"/>
      <c r="I365" s="229"/>
      <c r="J365" s="2">
        <f>J363-J364</f>
        <v>0</v>
      </c>
    </row>
    <row r="366" spans="1:11" x14ac:dyDescent="0.2">
      <c r="A366" s="229"/>
      <c r="B366" s="229"/>
      <c r="C366" s="229"/>
      <c r="D366" s="229"/>
      <c r="E366" s="229"/>
      <c r="F366" s="229"/>
      <c r="G366" s="229"/>
      <c r="H366" s="267"/>
      <c r="I366" s="229"/>
      <c r="J366" s="229"/>
    </row>
    <row r="367" spans="1:11" x14ac:dyDescent="0.2">
      <c r="A367" s="229"/>
      <c r="B367" s="229"/>
      <c r="C367" s="229"/>
      <c r="D367" s="229"/>
      <c r="E367" s="229"/>
      <c r="F367" s="229"/>
      <c r="G367" s="229"/>
      <c r="H367" s="267"/>
      <c r="I367" s="229"/>
      <c r="J367" s="229"/>
    </row>
    <row r="368" spans="1:11" x14ac:dyDescent="0.2">
      <c r="A368" s="229"/>
      <c r="B368" s="229"/>
      <c r="C368" s="229"/>
      <c r="D368" s="229"/>
      <c r="E368" s="229"/>
      <c r="F368" s="229"/>
      <c r="G368" s="229"/>
      <c r="H368" s="267"/>
      <c r="I368" s="229"/>
      <c r="J368" s="229"/>
    </row>
    <row r="369" spans="1:10" x14ac:dyDescent="0.2">
      <c r="A369" s="229"/>
      <c r="B369" s="229"/>
      <c r="C369" s="229"/>
      <c r="D369" s="229"/>
      <c r="E369" s="229"/>
      <c r="F369" s="229"/>
      <c r="G369" s="229"/>
      <c r="H369" s="267"/>
      <c r="I369" s="229"/>
      <c r="J369" s="229"/>
    </row>
    <row r="370" spans="1:10" x14ac:dyDescent="0.2">
      <c r="A370" s="229"/>
      <c r="B370" s="229"/>
      <c r="C370" s="229"/>
      <c r="D370" s="229"/>
      <c r="E370" s="229"/>
      <c r="F370" s="229"/>
      <c r="G370" s="229"/>
      <c r="H370" s="267"/>
      <c r="I370" s="229"/>
      <c r="J370" s="229"/>
    </row>
    <row r="371" spans="1:10" x14ac:dyDescent="0.2">
      <c r="A371" s="229"/>
      <c r="B371" s="229"/>
      <c r="C371" s="229"/>
      <c r="D371" s="229"/>
      <c r="E371" s="229"/>
      <c r="F371" s="229"/>
      <c r="G371" s="229"/>
      <c r="H371" s="267"/>
      <c r="I371" s="229"/>
      <c r="J371" s="229"/>
    </row>
    <row r="372" spans="1:10" x14ac:dyDescent="0.2">
      <c r="A372" s="229"/>
      <c r="B372" s="229"/>
      <c r="C372" s="229"/>
      <c r="D372" s="229"/>
      <c r="E372" s="229"/>
      <c r="F372" s="229"/>
      <c r="G372" s="229"/>
      <c r="H372" s="267"/>
      <c r="I372" s="229"/>
      <c r="J372" s="229"/>
    </row>
    <row r="373" spans="1:10" x14ac:dyDescent="0.2">
      <c r="A373" s="229"/>
      <c r="B373" s="229"/>
      <c r="C373" s="229"/>
      <c r="D373" s="229"/>
      <c r="E373" s="229"/>
      <c r="F373" s="229"/>
      <c r="G373" s="229"/>
      <c r="H373" s="267"/>
      <c r="I373" s="229"/>
      <c r="J373" s="229"/>
    </row>
    <row r="374" spans="1:10" x14ac:dyDescent="0.2">
      <c r="A374" s="229"/>
      <c r="B374" s="229"/>
      <c r="C374" s="229"/>
      <c r="D374" s="229"/>
      <c r="E374" s="229"/>
      <c r="F374" s="229"/>
      <c r="G374" s="229"/>
      <c r="H374" s="267"/>
      <c r="I374" s="229"/>
      <c r="J374" s="229"/>
    </row>
    <row r="375" spans="1:10" x14ac:dyDescent="0.2">
      <c r="A375" s="229"/>
      <c r="B375" s="229"/>
      <c r="C375" s="229"/>
      <c r="D375" s="229"/>
      <c r="E375" s="229"/>
      <c r="F375" s="229"/>
      <c r="G375" s="229"/>
      <c r="H375" s="267"/>
      <c r="I375" s="229"/>
      <c r="J375" s="229"/>
    </row>
    <row r="376" spans="1:10" x14ac:dyDescent="0.2">
      <c r="A376" s="229"/>
      <c r="B376" s="229"/>
      <c r="C376" s="229"/>
      <c r="D376" s="229"/>
      <c r="E376" s="229"/>
      <c r="F376" s="229"/>
      <c r="G376" s="229"/>
      <c r="H376" s="229"/>
      <c r="I376" s="229"/>
      <c r="J376" s="229"/>
    </row>
    <row r="377" spans="1:10" x14ac:dyDescent="0.2">
      <c r="A377" s="229"/>
      <c r="B377" s="229"/>
      <c r="C377" s="229"/>
      <c r="D377" s="229"/>
      <c r="E377" s="229"/>
      <c r="F377" s="229"/>
      <c r="G377" s="229"/>
      <c r="H377" s="229"/>
      <c r="I377" s="229"/>
      <c r="J377" s="229"/>
    </row>
    <row r="378" spans="1:10" x14ac:dyDescent="0.2">
      <c r="I378" s="227"/>
    </row>
    <row r="379" spans="1:10" x14ac:dyDescent="0.2">
      <c r="I379" s="227"/>
    </row>
    <row r="380" spans="1:10" x14ac:dyDescent="0.2">
      <c r="I380" s="227"/>
    </row>
    <row r="381" spans="1:10" x14ac:dyDescent="0.2">
      <c r="I381" s="227"/>
    </row>
    <row r="382" spans="1:10" x14ac:dyDescent="0.2">
      <c r="I382" s="227"/>
    </row>
    <row r="383" spans="1:10" x14ac:dyDescent="0.2">
      <c r="I383" s="227"/>
    </row>
  </sheetData>
  <mergeCells count="1">
    <mergeCell ref="A1:J1"/>
  </mergeCells>
  <phoneticPr fontId="0" type="noConversion"/>
  <printOptions gridLines="1"/>
  <pageMargins left="0.75" right="0.16" top="0.51" bottom="0.22" header="0.5" footer="0"/>
  <pageSetup scale="82" fitToHeight="25" orientation="landscape" r:id="rId1"/>
  <headerFooter alignWithMargins="0"/>
  <rowBreaks count="3" manualBreakCount="3">
    <brk id="183" max="9" man="1"/>
    <brk id="229" max="9" man="1"/>
    <brk id="26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330"/>
  <sheetViews>
    <sheetView view="pageBreakPreview" zoomScaleNormal="100" zoomScaleSheetLayoutView="100" workbookViewId="0">
      <pane ySplit="5" topLeftCell="A209" activePane="bottomLeft" state="frozen"/>
      <selection pane="bottomLeft" sqref="A1:J1"/>
    </sheetView>
  </sheetViews>
  <sheetFormatPr defaultColWidth="8.85546875" defaultRowHeight="12.75" x14ac:dyDescent="0.2"/>
  <cols>
    <col min="1" max="1" width="50" style="183" bestFit="1" customWidth="1"/>
    <col min="2" max="2" width="8.85546875" style="183" customWidth="1"/>
    <col min="3" max="3" width="9" style="183" bestFit="1" customWidth="1"/>
    <col min="4" max="4" width="11.42578125" style="2" bestFit="1" customWidth="1"/>
    <col min="5" max="5" width="10.42578125" style="183" bestFit="1" customWidth="1"/>
    <col min="6" max="6" width="10.28515625" style="183" bestFit="1" customWidth="1"/>
    <col min="7" max="7" width="10.85546875" style="183" bestFit="1" customWidth="1"/>
    <col min="8" max="8" width="14" style="2" customWidth="1"/>
    <col min="9" max="9" width="10.28515625" style="183" bestFit="1" customWidth="1"/>
    <col min="10" max="10" width="10.85546875" style="183" customWidth="1"/>
    <col min="11" max="16384" width="8.85546875" style="183"/>
  </cols>
  <sheetData>
    <row r="1" spans="1:11" x14ac:dyDescent="0.2">
      <c r="A1" s="319" t="s">
        <v>2038</v>
      </c>
      <c r="B1" s="320"/>
      <c r="C1" s="320"/>
      <c r="D1" s="320"/>
      <c r="E1" s="320"/>
      <c r="F1" s="320"/>
      <c r="G1" s="320"/>
      <c r="H1" s="320"/>
      <c r="I1" s="320"/>
      <c r="J1" s="320"/>
    </row>
    <row r="2" spans="1:11" ht="18.75" x14ac:dyDescent="0.3">
      <c r="A2" s="95" t="s">
        <v>1567</v>
      </c>
      <c r="B2" s="95"/>
      <c r="C2" s="95"/>
      <c r="D2" s="95"/>
      <c r="E2" s="95"/>
      <c r="F2" s="95"/>
    </row>
    <row r="3" spans="1:11" x14ac:dyDescent="0.2">
      <c r="A3" s="229"/>
      <c r="B3" s="2"/>
      <c r="C3" s="2"/>
      <c r="E3" s="2"/>
      <c r="F3" s="2"/>
      <c r="G3" s="229"/>
      <c r="I3" s="229"/>
      <c r="J3" s="229"/>
      <c r="K3" s="229"/>
    </row>
    <row r="4" spans="1:11" x14ac:dyDescent="0.2">
      <c r="A4" s="229"/>
      <c r="B4" s="2"/>
      <c r="C4" s="2"/>
      <c r="E4" s="15" t="s">
        <v>199</v>
      </c>
      <c r="F4" s="15" t="s">
        <v>200</v>
      </c>
      <c r="G4" s="15" t="s">
        <v>60</v>
      </c>
      <c r="H4" s="15" t="s">
        <v>351</v>
      </c>
      <c r="I4" s="15" t="s">
        <v>264</v>
      </c>
      <c r="J4" s="15" t="s">
        <v>295</v>
      </c>
      <c r="K4" s="229"/>
    </row>
    <row r="5" spans="1:11" ht="15" x14ac:dyDescent="0.35">
      <c r="A5" s="229"/>
      <c r="B5" s="2"/>
      <c r="C5" s="2"/>
      <c r="E5" s="232" t="s">
        <v>1825</v>
      </c>
      <c r="F5" s="232" t="s">
        <v>1947</v>
      </c>
      <c r="G5" s="232" t="s">
        <v>2039</v>
      </c>
      <c r="H5" s="232" t="s">
        <v>2039</v>
      </c>
      <c r="I5" s="232" t="s">
        <v>2039</v>
      </c>
      <c r="J5" s="232" t="s">
        <v>2039</v>
      </c>
      <c r="K5" s="229"/>
    </row>
    <row r="6" spans="1:11" ht="13.5" x14ac:dyDescent="0.25">
      <c r="A6" s="230" t="s">
        <v>451</v>
      </c>
      <c r="B6" s="2"/>
      <c r="C6" s="2"/>
      <c r="E6" s="2">
        <v>112035</v>
      </c>
      <c r="F6" s="2">
        <v>117360</v>
      </c>
      <c r="G6" s="2">
        <v>123718</v>
      </c>
      <c r="H6" s="2">
        <v>123718</v>
      </c>
      <c r="I6" s="2">
        <v>123718</v>
      </c>
      <c r="J6" s="2">
        <v>123718</v>
      </c>
      <c r="K6" s="229"/>
    </row>
    <row r="7" spans="1:11" x14ac:dyDescent="0.2">
      <c r="A7" s="229" t="s">
        <v>863</v>
      </c>
      <c r="B7" s="2">
        <v>52</v>
      </c>
      <c r="C7" s="2">
        <f>33.46*40</f>
        <v>1338.4</v>
      </c>
      <c r="D7" s="2">
        <f>ROUND(B7*C7,0)</f>
        <v>69597</v>
      </c>
      <c r="E7" s="2"/>
      <c r="F7" s="2"/>
      <c r="G7" s="2"/>
      <c r="I7" s="2"/>
      <c r="J7" s="2"/>
      <c r="K7" s="229"/>
    </row>
    <row r="8" spans="1:11" x14ac:dyDescent="0.2">
      <c r="A8" s="229" t="s">
        <v>864</v>
      </c>
      <c r="B8" s="2">
        <v>52</v>
      </c>
      <c r="C8" s="2">
        <f>24.46*40</f>
        <v>978.40000000000009</v>
      </c>
      <c r="D8" s="2">
        <f>ROUND(B8*C8,0)</f>
        <v>50877</v>
      </c>
      <c r="E8" s="2"/>
      <c r="F8" s="2"/>
      <c r="G8" s="2"/>
      <c r="I8" s="2"/>
      <c r="J8" s="2"/>
      <c r="K8" s="229"/>
    </row>
    <row r="9" spans="1:11" x14ac:dyDescent="0.2">
      <c r="A9" s="229" t="s">
        <v>806</v>
      </c>
      <c r="B9" s="2">
        <v>56</v>
      </c>
      <c r="C9" s="11">
        <f>+C7/40</f>
        <v>33.46</v>
      </c>
      <c r="D9" s="2">
        <f>ROUND(B9*C9,0)</f>
        <v>1874</v>
      </c>
      <c r="E9" s="2"/>
      <c r="F9" s="2"/>
      <c r="G9" s="2"/>
      <c r="I9" s="2"/>
      <c r="J9" s="2"/>
      <c r="K9" s="229"/>
    </row>
    <row r="10" spans="1:11" x14ac:dyDescent="0.2">
      <c r="A10" s="229" t="s">
        <v>807</v>
      </c>
      <c r="B10" s="2">
        <v>56</v>
      </c>
      <c r="C10" s="11">
        <f>+C8/40</f>
        <v>24.46</v>
      </c>
      <c r="D10" s="2">
        <f>ROUND(B10*C10,0)</f>
        <v>1370</v>
      </c>
      <c r="E10" s="2"/>
      <c r="F10" s="2"/>
      <c r="G10" s="2"/>
      <c r="I10" s="2"/>
      <c r="J10" s="2"/>
      <c r="K10" s="229"/>
    </row>
    <row r="11" spans="1:11" ht="15" x14ac:dyDescent="0.35">
      <c r="A11" s="229" t="s">
        <v>818</v>
      </c>
      <c r="B11" s="2"/>
      <c r="C11" s="2"/>
      <c r="D11" s="10">
        <v>0</v>
      </c>
      <c r="E11" s="2"/>
      <c r="F11" s="2"/>
      <c r="G11" s="2"/>
      <c r="I11" s="2"/>
      <c r="J11" s="2"/>
      <c r="K11" s="229"/>
    </row>
    <row r="12" spans="1:11" x14ac:dyDescent="0.2">
      <c r="A12" s="229" t="s">
        <v>1067</v>
      </c>
      <c r="B12" s="2"/>
      <c r="C12" s="2"/>
      <c r="D12" s="2">
        <f>SUM(D7:D11)</f>
        <v>123718</v>
      </c>
      <c r="E12" s="2"/>
      <c r="F12" s="2"/>
      <c r="G12" s="2"/>
      <c r="I12" s="2"/>
      <c r="J12" s="2"/>
      <c r="K12" s="229"/>
    </row>
    <row r="13" spans="1:11" x14ac:dyDescent="0.2">
      <c r="A13" s="229"/>
      <c r="B13" s="2"/>
      <c r="C13" s="2"/>
      <c r="E13" s="2"/>
      <c r="F13" s="2"/>
      <c r="G13" s="2"/>
      <c r="I13" s="2"/>
      <c r="J13" s="2"/>
      <c r="K13" s="229"/>
    </row>
    <row r="14" spans="1:11" ht="13.5" x14ac:dyDescent="0.25">
      <c r="A14" s="230" t="s">
        <v>452</v>
      </c>
      <c r="B14" s="2"/>
      <c r="C14" s="2"/>
      <c r="D14" s="2">
        <f t="shared" ref="D14:D20" si="0">ROUND(B14*C14,0)</f>
        <v>0</v>
      </c>
      <c r="E14" s="2">
        <v>188312</v>
      </c>
      <c r="F14" s="2">
        <v>200024</v>
      </c>
      <c r="G14" s="2">
        <v>199992</v>
      </c>
      <c r="H14" s="2">
        <v>199992</v>
      </c>
      <c r="I14" s="2">
        <v>199992</v>
      </c>
      <c r="J14" s="2">
        <v>210131</v>
      </c>
      <c r="K14" s="229"/>
    </row>
    <row r="15" spans="1:11" x14ac:dyDescent="0.2">
      <c r="A15" s="107" t="s">
        <v>1686</v>
      </c>
      <c r="B15" s="2">
        <v>52</v>
      </c>
      <c r="C15" s="298">
        <f>26.09*40</f>
        <v>1043.5999999999999</v>
      </c>
      <c r="D15" s="2">
        <f t="shared" si="0"/>
        <v>54267</v>
      </c>
      <c r="E15" s="2"/>
      <c r="F15" s="2"/>
      <c r="G15" s="2"/>
      <c r="I15" s="2"/>
      <c r="J15" s="2"/>
      <c r="K15" s="229"/>
    </row>
    <row r="16" spans="1:11" x14ac:dyDescent="0.2">
      <c r="A16" s="107" t="s">
        <v>1686</v>
      </c>
      <c r="B16" s="2">
        <v>52</v>
      </c>
      <c r="C16" s="298">
        <f>25.59*40</f>
        <v>1023.6</v>
      </c>
      <c r="D16" s="2">
        <f t="shared" si="0"/>
        <v>53227</v>
      </c>
      <c r="E16" s="2"/>
      <c r="F16" s="2"/>
      <c r="G16" s="2"/>
      <c r="I16" s="2"/>
      <c r="J16" s="2"/>
      <c r="K16" s="229"/>
    </row>
    <row r="17" spans="1:11" x14ac:dyDescent="0.2">
      <c r="A17" s="107" t="s">
        <v>1687</v>
      </c>
      <c r="B17" s="2">
        <v>52</v>
      </c>
      <c r="C17" s="298">
        <f>22.36*40</f>
        <v>894.4</v>
      </c>
      <c r="D17" s="2">
        <f t="shared" si="0"/>
        <v>46509</v>
      </c>
      <c r="E17" s="2"/>
      <c r="F17" s="2"/>
      <c r="G17" s="2"/>
      <c r="I17" s="2"/>
      <c r="J17" s="2"/>
      <c r="K17" s="229"/>
    </row>
    <row r="18" spans="1:11" x14ac:dyDescent="0.2">
      <c r="A18" s="107" t="s">
        <v>1687</v>
      </c>
      <c r="B18" s="2">
        <v>52</v>
      </c>
      <c r="C18" s="298">
        <f>22.36*40</f>
        <v>894.4</v>
      </c>
      <c r="D18" s="2">
        <f t="shared" si="0"/>
        <v>46509</v>
      </c>
      <c r="E18" s="2"/>
      <c r="F18" s="2"/>
      <c r="G18" s="2"/>
      <c r="I18" s="2"/>
      <c r="J18" s="2"/>
      <c r="K18" s="229"/>
    </row>
    <row r="19" spans="1:11" x14ac:dyDescent="0.2">
      <c r="A19" s="229" t="s">
        <v>595</v>
      </c>
      <c r="B19" s="2">
        <v>1664</v>
      </c>
      <c r="C19" s="11">
        <v>1</v>
      </c>
      <c r="D19" s="2">
        <f t="shared" si="0"/>
        <v>1664</v>
      </c>
      <c r="E19" s="2"/>
      <c r="F19" s="2"/>
      <c r="G19" s="2"/>
      <c r="I19" s="2"/>
      <c r="J19" s="2"/>
      <c r="K19" s="229"/>
    </row>
    <row r="20" spans="1:11" x14ac:dyDescent="0.2">
      <c r="A20" s="229" t="s">
        <v>596</v>
      </c>
      <c r="B20" s="2">
        <v>224</v>
      </c>
      <c r="C20" s="11">
        <f>SUM(C15:C19)/40/4</f>
        <v>24.106249999999999</v>
      </c>
      <c r="D20" s="2">
        <f t="shared" si="0"/>
        <v>5400</v>
      </c>
      <c r="E20" s="2"/>
      <c r="F20" s="2"/>
      <c r="G20" s="2"/>
      <c r="I20" s="2"/>
      <c r="J20" s="2"/>
      <c r="K20" s="229"/>
    </row>
    <row r="21" spans="1:11" ht="15" x14ac:dyDescent="0.35">
      <c r="A21" s="229" t="s">
        <v>818</v>
      </c>
      <c r="B21" s="2" t="s">
        <v>338</v>
      </c>
      <c r="C21" s="40" t="s">
        <v>338</v>
      </c>
      <c r="D21" s="10">
        <f>1152+1403</f>
        <v>2555</v>
      </c>
      <c r="E21" s="2"/>
      <c r="F21" s="2"/>
      <c r="G21" s="2"/>
      <c r="I21" s="2"/>
      <c r="J21" s="2"/>
      <c r="K21" s="229"/>
    </row>
    <row r="22" spans="1:11" x14ac:dyDescent="0.2">
      <c r="A22" s="229" t="s">
        <v>1067</v>
      </c>
      <c r="B22" s="2"/>
      <c r="C22" s="2"/>
      <c r="D22" s="2">
        <f>SUM(D15:D21)</f>
        <v>210131</v>
      </c>
      <c r="E22" s="2"/>
      <c r="F22" s="2"/>
      <c r="G22" s="2"/>
      <c r="I22" s="2"/>
      <c r="J22" s="2"/>
      <c r="K22" s="229"/>
    </row>
    <row r="23" spans="1:11" x14ac:dyDescent="0.2">
      <c r="A23" s="229"/>
      <c r="B23" s="229"/>
      <c r="C23" s="229"/>
      <c r="E23" s="2"/>
      <c r="F23" s="2"/>
      <c r="G23" s="2"/>
      <c r="I23" s="2"/>
      <c r="J23" s="2"/>
      <c r="K23" s="229"/>
    </row>
    <row r="24" spans="1:11" ht="13.5" x14ac:dyDescent="0.25">
      <c r="A24" s="230" t="s">
        <v>453</v>
      </c>
      <c r="B24" s="229"/>
      <c r="C24" s="229"/>
      <c r="E24" s="2">
        <v>21934</v>
      </c>
      <c r="F24" s="2">
        <v>14615</v>
      </c>
      <c r="G24" s="2">
        <v>15407</v>
      </c>
      <c r="H24" s="2">
        <v>15407</v>
      </c>
      <c r="I24" s="2">
        <v>15407</v>
      </c>
      <c r="J24" s="2">
        <v>15407</v>
      </c>
      <c r="K24" s="229"/>
    </row>
    <row r="25" spans="1:11" x14ac:dyDescent="0.2">
      <c r="A25" s="229" t="s">
        <v>1339</v>
      </c>
      <c r="B25" s="2">
        <v>354.67</v>
      </c>
      <c r="C25" s="11">
        <f>+(C7+C8)/40/2*1.5</f>
        <v>43.44</v>
      </c>
      <c r="D25" s="2">
        <f>ROUND(B25*C25,0)</f>
        <v>15407</v>
      </c>
      <c r="E25" s="2"/>
      <c r="F25" s="2"/>
      <c r="G25" s="2"/>
      <c r="I25" s="2"/>
      <c r="J25" s="2"/>
      <c r="K25" s="229"/>
    </row>
    <row r="26" spans="1:11" x14ac:dyDescent="0.2">
      <c r="A26" s="229" t="s">
        <v>338</v>
      </c>
      <c r="B26" s="2"/>
      <c r="C26" s="11"/>
      <c r="E26" s="2"/>
      <c r="F26" s="2"/>
      <c r="G26" s="2"/>
      <c r="I26" s="2"/>
      <c r="J26" s="2"/>
      <c r="K26" s="229"/>
    </row>
    <row r="27" spans="1:11" ht="13.5" x14ac:dyDescent="0.25">
      <c r="A27" s="230" t="s">
        <v>1491</v>
      </c>
      <c r="B27" s="229"/>
      <c r="C27" s="229"/>
      <c r="E27" s="2">
        <v>13889</v>
      </c>
      <c r="F27" s="2">
        <v>18431</v>
      </c>
      <c r="G27" s="2">
        <v>18768</v>
      </c>
      <c r="H27" s="2">
        <v>18768</v>
      </c>
      <c r="I27" s="2">
        <v>18768</v>
      </c>
      <c r="J27" s="2">
        <v>18768</v>
      </c>
      <c r="K27" s="229"/>
    </row>
    <row r="28" spans="1:11" x14ac:dyDescent="0.2">
      <c r="A28" s="22" t="s">
        <v>1417</v>
      </c>
      <c r="B28" s="229">
        <v>1020</v>
      </c>
      <c r="C28" s="128">
        <v>13.38</v>
      </c>
      <c r="D28" s="2">
        <f>+C28*B28</f>
        <v>13647.6</v>
      </c>
      <c r="E28" s="2"/>
      <c r="F28" s="231"/>
      <c r="G28" s="229"/>
      <c r="H28" s="267"/>
      <c r="I28" s="316"/>
      <c r="J28" s="316"/>
      <c r="K28" s="229"/>
    </row>
    <row r="29" spans="1:11" x14ac:dyDescent="0.2">
      <c r="A29" s="22" t="s">
        <v>1941</v>
      </c>
      <c r="B29" s="229" t="s">
        <v>1930</v>
      </c>
      <c r="C29" s="128">
        <v>16</v>
      </c>
      <c r="D29" s="31">
        <f>20*16*16</f>
        <v>5120</v>
      </c>
      <c r="E29" s="2"/>
      <c r="F29" s="231"/>
      <c r="G29" s="229"/>
      <c r="H29" s="267"/>
      <c r="I29" s="316"/>
      <c r="J29" s="316"/>
      <c r="K29" s="229"/>
    </row>
    <row r="30" spans="1:11" x14ac:dyDescent="0.2">
      <c r="A30" s="22"/>
      <c r="B30" s="229"/>
      <c r="C30" s="128"/>
      <c r="D30" s="2">
        <f>SUM(D28:D29)</f>
        <v>18767.599999999999</v>
      </c>
      <c r="E30" s="2"/>
      <c r="F30" s="231"/>
      <c r="G30" s="229"/>
      <c r="H30" s="267"/>
      <c r="I30" s="316"/>
      <c r="J30" s="316"/>
      <c r="K30" s="229"/>
    </row>
    <row r="31" spans="1:11" x14ac:dyDescent="0.2">
      <c r="A31" s="229"/>
      <c r="B31" s="2"/>
      <c r="C31" s="11"/>
      <c r="E31" s="2"/>
      <c r="F31" s="2"/>
      <c r="G31" s="2"/>
      <c r="I31" s="2"/>
      <c r="J31" s="2"/>
      <c r="K31" s="229"/>
    </row>
    <row r="32" spans="1:11" ht="13.5" x14ac:dyDescent="0.25">
      <c r="A32" s="230" t="s">
        <v>481</v>
      </c>
      <c r="B32" s="229"/>
      <c r="C32" s="229"/>
      <c r="E32" s="2">
        <v>54468</v>
      </c>
      <c r="F32" s="2">
        <v>34631</v>
      </c>
      <c r="G32" s="2">
        <v>34626</v>
      </c>
      <c r="H32" s="2">
        <v>34626</v>
      </c>
      <c r="I32" s="2">
        <v>34626</v>
      </c>
      <c r="J32" s="2">
        <v>36159</v>
      </c>
      <c r="K32" s="229"/>
    </row>
    <row r="33" spans="1:11" x14ac:dyDescent="0.2">
      <c r="A33" s="229" t="s">
        <v>1340</v>
      </c>
      <c r="B33" s="2" t="s">
        <v>338</v>
      </c>
      <c r="C33" s="11" t="s">
        <v>338</v>
      </c>
      <c r="D33" s="2" t="s">
        <v>338</v>
      </c>
      <c r="E33" s="2"/>
      <c r="F33" s="2"/>
      <c r="G33" s="2"/>
      <c r="I33" s="2"/>
      <c r="J33" s="2"/>
      <c r="K33" s="229"/>
    </row>
    <row r="34" spans="1:11" x14ac:dyDescent="0.2">
      <c r="A34" s="229" t="s">
        <v>608</v>
      </c>
      <c r="B34" s="2">
        <v>1000</v>
      </c>
      <c r="C34" s="11">
        <f>+C20*1.5</f>
        <v>36.159374999999997</v>
      </c>
      <c r="D34" s="2">
        <f>ROUND(B34*C34,0)</f>
        <v>36159</v>
      </c>
      <c r="E34" s="2"/>
      <c r="F34" s="2"/>
      <c r="G34" s="2"/>
      <c r="I34" s="2"/>
      <c r="J34" s="2"/>
      <c r="K34" s="229"/>
    </row>
    <row r="35" spans="1:11" ht="13.15" customHeight="1" x14ac:dyDescent="0.2">
      <c r="A35" s="229"/>
      <c r="B35" s="2"/>
      <c r="C35" s="11"/>
      <c r="E35" s="2"/>
      <c r="F35" s="2"/>
      <c r="G35" s="2"/>
      <c r="I35" s="2"/>
      <c r="J35" s="2"/>
      <c r="K35" s="229"/>
    </row>
    <row r="36" spans="1:11" ht="13.5" x14ac:dyDescent="0.25">
      <c r="A36" s="230" t="s">
        <v>482</v>
      </c>
      <c r="B36" s="229"/>
      <c r="C36" s="229"/>
      <c r="E36" s="2">
        <v>30568</v>
      </c>
      <c r="F36" s="2">
        <v>29065</v>
      </c>
      <c r="G36" s="2">
        <v>29635</v>
      </c>
      <c r="H36" s="2">
        <v>29635</v>
      </c>
      <c r="I36" s="2">
        <v>29635</v>
      </c>
      <c r="J36" s="2">
        <v>30528</v>
      </c>
      <c r="K36" s="229"/>
    </row>
    <row r="37" spans="1:11" hidden="1" x14ac:dyDescent="0.2">
      <c r="A37" s="12" t="s">
        <v>1264</v>
      </c>
      <c r="B37" s="2">
        <f>+D12</f>
        <v>123718</v>
      </c>
      <c r="C37" s="13">
        <v>7.6499999999999999E-2</v>
      </c>
      <c r="D37" s="2">
        <f>ROUND(B37*C37,0)</f>
        <v>9464</v>
      </c>
      <c r="E37" s="2"/>
      <c r="F37" s="2"/>
      <c r="G37" s="2"/>
      <c r="I37" s="2"/>
      <c r="J37" s="2"/>
      <c r="K37" s="229"/>
    </row>
    <row r="38" spans="1:11" hidden="1" x14ac:dyDescent="0.2">
      <c r="A38" s="12" t="s">
        <v>683</v>
      </c>
      <c r="B38" s="2">
        <f>+D22</f>
        <v>210131</v>
      </c>
      <c r="C38" s="13">
        <v>7.6499999999999999E-2</v>
      </c>
      <c r="D38" s="2">
        <f>ROUND(B38*C38,0)</f>
        <v>16075</v>
      </c>
      <c r="E38" s="2"/>
      <c r="F38" s="2"/>
      <c r="G38" s="2"/>
      <c r="I38" s="2"/>
      <c r="J38" s="2"/>
      <c r="K38" s="229"/>
    </row>
    <row r="39" spans="1:11" hidden="1" x14ac:dyDescent="0.2">
      <c r="A39" s="12" t="s">
        <v>758</v>
      </c>
      <c r="B39" s="2">
        <f>+D25</f>
        <v>15407</v>
      </c>
      <c r="C39" s="13">
        <v>7.6499999999999999E-2</v>
      </c>
      <c r="D39" s="2">
        <f>ROUND(B39*C39,0)</f>
        <v>1179</v>
      </c>
      <c r="E39" s="2"/>
      <c r="F39" s="2"/>
      <c r="G39" s="2"/>
      <c r="I39" s="2"/>
      <c r="J39" s="2"/>
      <c r="K39" s="229"/>
    </row>
    <row r="40" spans="1:11" hidden="1" x14ac:dyDescent="0.2">
      <c r="A40" s="12" t="s">
        <v>153</v>
      </c>
      <c r="B40" s="2">
        <f>+D28</f>
        <v>13647.6</v>
      </c>
      <c r="C40" s="13">
        <v>7.6499999999999999E-2</v>
      </c>
      <c r="D40" s="2">
        <f>ROUND(B40*C40,0)</f>
        <v>1044</v>
      </c>
      <c r="E40" s="2"/>
      <c r="F40" s="2"/>
      <c r="G40" s="2"/>
      <c r="I40" s="2"/>
      <c r="J40" s="2"/>
      <c r="K40" s="229"/>
    </row>
    <row r="41" spans="1:11" ht="15" hidden="1" x14ac:dyDescent="0.35">
      <c r="A41" s="12" t="s">
        <v>154</v>
      </c>
      <c r="B41" s="2">
        <f>+D34</f>
        <v>36159</v>
      </c>
      <c r="C41" s="13">
        <v>7.6499999999999999E-2</v>
      </c>
      <c r="D41" s="10">
        <f>ROUND(B41*C41,0)</f>
        <v>2766</v>
      </c>
      <c r="E41" s="2"/>
      <c r="F41" s="2"/>
      <c r="G41" s="2"/>
      <c r="I41" s="2"/>
      <c r="J41" s="2"/>
      <c r="K41" s="229"/>
    </row>
    <row r="42" spans="1:11" hidden="1" x14ac:dyDescent="0.2">
      <c r="A42" s="229" t="s">
        <v>93</v>
      </c>
      <c r="B42" s="229"/>
      <c r="C42" s="229"/>
      <c r="D42" s="2">
        <f>SUM(D37:D41)</f>
        <v>30528</v>
      </c>
      <c r="E42" s="2"/>
      <c r="F42" s="2"/>
      <c r="G42" s="2"/>
      <c r="I42" s="2"/>
      <c r="J42" s="2"/>
      <c r="K42" s="229"/>
    </row>
    <row r="43" spans="1:11" x14ac:dyDescent="0.2">
      <c r="A43" s="283"/>
      <c r="B43" s="2"/>
      <c r="C43" s="283"/>
      <c r="E43" s="2"/>
      <c r="F43" s="2"/>
      <c r="G43" s="2"/>
      <c r="I43" s="2"/>
      <c r="J43" s="2"/>
      <c r="K43" s="229"/>
    </row>
    <row r="44" spans="1:11" ht="13.15" customHeight="1" x14ac:dyDescent="0.25">
      <c r="A44" s="286" t="s">
        <v>483</v>
      </c>
      <c r="B44" s="283"/>
      <c r="C44" s="283"/>
      <c r="E44" s="2">
        <v>54200</v>
      </c>
      <c r="F44" s="2">
        <v>51548</v>
      </c>
      <c r="G44" s="2">
        <v>50568</v>
      </c>
      <c r="H44" s="2">
        <v>50568</v>
      </c>
      <c r="I44" s="2">
        <v>50568</v>
      </c>
      <c r="J44" s="2">
        <v>52147</v>
      </c>
      <c r="K44" s="229"/>
    </row>
    <row r="45" spans="1:11" ht="13.15" hidden="1" customHeight="1" x14ac:dyDescent="0.2">
      <c r="A45" s="283" t="s">
        <v>609</v>
      </c>
      <c r="B45" s="2">
        <f>+D7+D9+D11</f>
        <v>71471</v>
      </c>
      <c r="C45" s="299">
        <v>0.1353</v>
      </c>
      <c r="D45" s="2">
        <f>ROUND(B45*C45,0)</f>
        <v>9670</v>
      </c>
      <c r="E45" s="2"/>
      <c r="F45" s="2"/>
      <c r="G45" s="2"/>
      <c r="I45" s="2"/>
      <c r="J45" s="2"/>
      <c r="K45" s="229"/>
    </row>
    <row r="46" spans="1:11" ht="13.15" hidden="1" customHeight="1" x14ac:dyDescent="0.2">
      <c r="A46" s="283" t="s">
        <v>432</v>
      </c>
      <c r="B46" s="2">
        <f>+D8+D10</f>
        <v>52247</v>
      </c>
      <c r="C46" s="299">
        <v>0.1353</v>
      </c>
      <c r="D46" s="2">
        <f>ROUND(B46*C46,0)</f>
        <v>7069</v>
      </c>
      <c r="E46" s="2"/>
      <c r="F46" s="2"/>
      <c r="G46" s="2"/>
      <c r="I46" s="2"/>
      <c r="J46" s="2"/>
      <c r="K46" s="229"/>
    </row>
    <row r="47" spans="1:11" ht="13.15" hidden="1" customHeight="1" x14ac:dyDescent="0.2">
      <c r="A47" s="12" t="s">
        <v>683</v>
      </c>
      <c r="B47" s="2">
        <f>+D22</f>
        <v>210131</v>
      </c>
      <c r="C47" s="299">
        <v>0.1353</v>
      </c>
      <c r="D47" s="2">
        <f>ROUND(B47*C47,0)</f>
        <v>28431</v>
      </c>
      <c r="E47" s="2"/>
      <c r="F47" s="2"/>
      <c r="G47" s="2"/>
      <c r="I47" s="2"/>
      <c r="J47" s="2"/>
      <c r="K47" s="229"/>
    </row>
    <row r="48" spans="1:11" ht="13.15" hidden="1" customHeight="1" x14ac:dyDescent="0.2">
      <c r="A48" s="12" t="s">
        <v>758</v>
      </c>
      <c r="B48" s="2">
        <f>+D25</f>
        <v>15407</v>
      </c>
      <c r="C48" s="299">
        <v>0.1353</v>
      </c>
      <c r="D48" s="2">
        <f>ROUND(B48*C48,0)</f>
        <v>2085</v>
      </c>
      <c r="E48" s="2"/>
      <c r="F48" s="2"/>
      <c r="G48" s="2"/>
      <c r="I48" s="2"/>
      <c r="J48" s="2"/>
      <c r="K48" s="229"/>
    </row>
    <row r="49" spans="1:11" ht="13.15" hidden="1" customHeight="1" x14ac:dyDescent="0.35">
      <c r="A49" s="12" t="s">
        <v>154</v>
      </c>
      <c r="B49" s="2">
        <f>+D34</f>
        <v>36159</v>
      </c>
      <c r="C49" s="299">
        <v>0.1353</v>
      </c>
      <c r="D49" s="10">
        <f>ROUND(B49*C49,0)</f>
        <v>4892</v>
      </c>
      <c r="E49" s="2"/>
      <c r="F49" s="2"/>
      <c r="G49" s="2"/>
      <c r="I49" s="2"/>
      <c r="J49" s="2"/>
      <c r="K49" s="229"/>
    </row>
    <row r="50" spans="1:11" ht="13.15" hidden="1" customHeight="1" x14ac:dyDescent="0.2">
      <c r="A50" s="283" t="s">
        <v>1067</v>
      </c>
      <c r="B50" s="283"/>
      <c r="C50" s="283"/>
      <c r="D50" s="2">
        <f>SUM(D45:D49)</f>
        <v>52147</v>
      </c>
      <c r="E50" s="2"/>
      <c r="F50" s="2"/>
      <c r="G50" s="2"/>
      <c r="I50" s="2"/>
      <c r="J50" s="2"/>
      <c r="K50" s="229"/>
    </row>
    <row r="51" spans="1:11" ht="13.15" customHeight="1" x14ac:dyDescent="0.2">
      <c r="A51" s="283"/>
      <c r="B51" s="283"/>
      <c r="C51" s="283"/>
      <c r="E51" s="2"/>
      <c r="F51" s="2"/>
      <c r="G51" s="2"/>
      <c r="I51" s="2"/>
      <c r="J51" s="2"/>
      <c r="K51" s="229"/>
    </row>
    <row r="52" spans="1:11" ht="13.15" customHeight="1" x14ac:dyDescent="0.25">
      <c r="A52" s="286" t="s">
        <v>484</v>
      </c>
      <c r="B52" s="283"/>
      <c r="C52" s="283"/>
      <c r="E52" s="2">
        <v>113455</v>
      </c>
      <c r="F52" s="2">
        <v>114000</v>
      </c>
      <c r="G52" s="2">
        <v>121500</v>
      </c>
      <c r="H52" s="2">
        <v>121500</v>
      </c>
      <c r="I52" s="2">
        <v>121500</v>
      </c>
      <c r="J52" s="2">
        <v>121500</v>
      </c>
      <c r="K52" s="229"/>
    </row>
    <row r="53" spans="1:11" ht="13.15" hidden="1" customHeight="1" x14ac:dyDescent="0.2">
      <c r="A53" s="283" t="s">
        <v>1945</v>
      </c>
      <c r="B53" s="2">
        <v>4</v>
      </c>
      <c r="C53" s="2">
        <v>20250</v>
      </c>
      <c r="D53" s="2">
        <f>ROUND(B53*C53,0)</f>
        <v>81000</v>
      </c>
      <c r="E53" s="2"/>
      <c r="F53" s="2"/>
      <c r="G53" s="2"/>
      <c r="I53" s="2"/>
      <c r="J53" s="2"/>
      <c r="K53" s="229"/>
    </row>
    <row r="54" spans="1:11" ht="13.15" hidden="1" customHeight="1" x14ac:dyDescent="0.35">
      <c r="A54" s="283" t="s">
        <v>297</v>
      </c>
      <c r="B54" s="2">
        <v>2</v>
      </c>
      <c r="C54" s="2">
        <v>20250</v>
      </c>
      <c r="D54" s="10">
        <f>ROUND(B54*C54,0)</f>
        <v>40500</v>
      </c>
      <c r="E54" s="2"/>
      <c r="F54" s="2"/>
      <c r="G54" s="2"/>
      <c r="I54" s="2"/>
      <c r="J54" s="2"/>
      <c r="K54" s="229"/>
    </row>
    <row r="55" spans="1:11" ht="13.15" hidden="1" customHeight="1" x14ac:dyDescent="0.2">
      <c r="A55" s="283" t="s">
        <v>678</v>
      </c>
      <c r="B55" s="2"/>
      <c r="C55" s="2"/>
      <c r="D55" s="2">
        <f>SUM(D53:D54)</f>
        <v>121500</v>
      </c>
      <c r="E55" s="2"/>
      <c r="F55" s="2"/>
      <c r="G55" s="2"/>
      <c r="I55" s="2"/>
      <c r="J55" s="2"/>
      <c r="K55" s="229"/>
    </row>
    <row r="56" spans="1:11" ht="13.15" customHeight="1" x14ac:dyDescent="0.2">
      <c r="A56" s="283"/>
      <c r="B56" s="2"/>
      <c r="C56" s="283"/>
      <c r="E56" s="2"/>
      <c r="F56" s="2"/>
      <c r="G56" s="2"/>
      <c r="I56" s="2"/>
      <c r="J56" s="2"/>
      <c r="K56" s="229"/>
    </row>
    <row r="57" spans="1:11" ht="13.15" customHeight="1" x14ac:dyDescent="0.25">
      <c r="A57" s="286" t="s">
        <v>485</v>
      </c>
      <c r="B57" s="2"/>
      <c r="C57" s="283"/>
      <c r="E57" s="2">
        <v>7471</v>
      </c>
      <c r="F57" s="2">
        <v>7425</v>
      </c>
      <c r="G57" s="2">
        <v>7425</v>
      </c>
      <c r="H57" s="2">
        <v>7425</v>
      </c>
      <c r="I57" s="2">
        <v>7425</v>
      </c>
      <c r="J57" s="2">
        <v>7425</v>
      </c>
      <c r="K57" s="229"/>
    </row>
    <row r="58" spans="1:11" ht="13.15" hidden="1" customHeight="1" x14ac:dyDescent="0.2">
      <c r="A58" s="283" t="s">
        <v>358</v>
      </c>
      <c r="B58" s="2">
        <v>6</v>
      </c>
      <c r="C58" s="2">
        <v>1375</v>
      </c>
      <c r="D58" s="2">
        <f>ROUND(B58*C58,0)</f>
        <v>8250</v>
      </c>
      <c r="E58" s="2"/>
      <c r="F58" s="2"/>
      <c r="G58" s="2"/>
      <c r="I58" s="2"/>
      <c r="J58" s="2"/>
      <c r="K58" s="229"/>
    </row>
    <row r="59" spans="1:11" ht="13.15" hidden="1" customHeight="1" x14ac:dyDescent="0.35">
      <c r="A59" s="283" t="s">
        <v>1458</v>
      </c>
      <c r="B59" s="2"/>
      <c r="C59" s="2"/>
      <c r="D59" s="10">
        <f>+D58*-0.1</f>
        <v>-825</v>
      </c>
      <c r="E59" s="2"/>
      <c r="F59" s="2"/>
      <c r="G59" s="2"/>
      <c r="I59" s="2"/>
      <c r="J59" s="2"/>
      <c r="K59" s="229"/>
    </row>
    <row r="60" spans="1:11" ht="13.15" hidden="1" customHeight="1" x14ac:dyDescent="0.2">
      <c r="A60" s="283"/>
      <c r="B60" s="2"/>
      <c r="C60" s="2"/>
      <c r="D60" s="2">
        <f>SUM(D58:D59)</f>
        <v>7425</v>
      </c>
      <c r="E60" s="2"/>
      <c r="F60" s="2"/>
      <c r="G60" s="2"/>
      <c r="I60" s="2"/>
      <c r="J60" s="2"/>
      <c r="K60" s="229"/>
    </row>
    <row r="61" spans="1:11" ht="13.15" customHeight="1" x14ac:dyDescent="0.2">
      <c r="A61" s="283"/>
      <c r="B61" s="283"/>
      <c r="C61" s="283"/>
      <c r="E61" s="2"/>
      <c r="F61" s="2"/>
      <c r="G61" s="2"/>
      <c r="I61" s="2"/>
      <c r="J61" s="2"/>
      <c r="K61" s="229"/>
    </row>
    <row r="62" spans="1:11" ht="13.15" customHeight="1" x14ac:dyDescent="0.25">
      <c r="A62" s="286" t="s">
        <v>486</v>
      </c>
      <c r="B62" s="283"/>
      <c r="C62" s="283"/>
      <c r="E62" s="2">
        <v>346</v>
      </c>
      <c r="F62" s="2">
        <v>620</v>
      </c>
      <c r="G62" s="2">
        <v>620</v>
      </c>
      <c r="H62" s="2">
        <v>620</v>
      </c>
      <c r="I62" s="2">
        <v>620</v>
      </c>
      <c r="J62" s="2">
        <v>620</v>
      </c>
      <c r="K62" s="229"/>
    </row>
    <row r="63" spans="1:11" ht="13.15" hidden="1" customHeight="1" x14ac:dyDescent="0.2">
      <c r="A63" s="283" t="s">
        <v>296</v>
      </c>
      <c r="B63" s="2">
        <v>2</v>
      </c>
      <c r="C63" s="2">
        <v>240</v>
      </c>
      <c r="D63" s="2">
        <f>ROUND(B63*C63,0)</f>
        <v>480</v>
      </c>
      <c r="E63" s="2"/>
      <c r="F63" s="2"/>
      <c r="G63" s="2"/>
      <c r="I63" s="2"/>
      <c r="J63" s="2"/>
      <c r="K63" s="229"/>
    </row>
    <row r="64" spans="1:11" ht="13.15" hidden="1" customHeight="1" x14ac:dyDescent="0.35">
      <c r="A64" s="283" t="s">
        <v>898</v>
      </c>
      <c r="B64" s="2">
        <v>4</v>
      </c>
      <c r="C64" s="2">
        <v>35</v>
      </c>
      <c r="D64" s="10">
        <f>ROUND(B64*C64,0)</f>
        <v>140</v>
      </c>
      <c r="E64" s="2"/>
      <c r="F64" s="2"/>
      <c r="G64" s="2"/>
      <c r="I64" s="2"/>
      <c r="J64" s="2"/>
      <c r="K64" s="229"/>
    </row>
    <row r="65" spans="1:11" ht="13.15" hidden="1" customHeight="1" x14ac:dyDescent="0.2">
      <c r="A65" s="283" t="s">
        <v>1067</v>
      </c>
      <c r="B65" s="283"/>
      <c r="C65" s="283"/>
      <c r="D65" s="2">
        <f>SUM(D63:D64)</f>
        <v>620</v>
      </c>
      <c r="E65" s="2"/>
      <c r="F65" s="2"/>
      <c r="G65" s="2"/>
      <c r="I65" s="2"/>
      <c r="J65" s="2"/>
      <c r="K65" s="229"/>
    </row>
    <row r="66" spans="1:11" ht="13.15" customHeight="1" x14ac:dyDescent="0.2">
      <c r="A66" s="283"/>
      <c r="B66" s="283"/>
      <c r="C66" s="283"/>
      <c r="E66" s="2"/>
      <c r="F66" s="2"/>
      <c r="G66" s="2"/>
      <c r="I66" s="2"/>
      <c r="J66" s="2"/>
      <c r="K66" s="229"/>
    </row>
    <row r="67" spans="1:11" ht="13.15" customHeight="1" x14ac:dyDescent="0.25">
      <c r="A67" s="286" t="s">
        <v>487</v>
      </c>
      <c r="B67" s="283"/>
      <c r="C67" s="283"/>
      <c r="E67" s="2">
        <v>2771</v>
      </c>
      <c r="F67" s="2">
        <v>3150</v>
      </c>
      <c r="G67" s="2">
        <v>3390</v>
      </c>
      <c r="H67" s="2">
        <v>3390</v>
      </c>
      <c r="I67" s="2">
        <v>3390</v>
      </c>
      <c r="J67" s="2">
        <v>3390</v>
      </c>
      <c r="K67" s="229"/>
    </row>
    <row r="68" spans="1:11" ht="13.15" hidden="1" customHeight="1" x14ac:dyDescent="0.2">
      <c r="A68" s="283" t="s">
        <v>699</v>
      </c>
      <c r="B68" s="2">
        <v>6</v>
      </c>
      <c r="C68" s="2">
        <v>565</v>
      </c>
      <c r="D68" s="2">
        <f>ROUND(B68*C68,0)</f>
        <v>3390</v>
      </c>
      <c r="E68" s="2"/>
      <c r="F68" s="2"/>
      <c r="G68" s="2"/>
      <c r="I68" s="2"/>
      <c r="J68" s="2"/>
      <c r="K68" s="229"/>
    </row>
    <row r="69" spans="1:11" ht="13.15" customHeight="1" x14ac:dyDescent="0.2">
      <c r="A69" s="283"/>
      <c r="B69" s="283"/>
      <c r="C69" s="283"/>
      <c r="E69" s="2"/>
      <c r="F69" s="2"/>
      <c r="G69" s="2"/>
      <c r="I69" s="2"/>
      <c r="J69" s="2"/>
      <c r="K69" s="229"/>
    </row>
    <row r="70" spans="1:11" ht="13.5" x14ac:dyDescent="0.25">
      <c r="A70" s="286" t="s">
        <v>488</v>
      </c>
      <c r="B70" s="283"/>
      <c r="C70" s="283"/>
      <c r="E70" s="2">
        <v>8872</v>
      </c>
      <c r="F70" s="2">
        <v>9614</v>
      </c>
      <c r="G70" s="2">
        <v>8973</v>
      </c>
      <c r="H70" s="2">
        <v>8973</v>
      </c>
      <c r="I70" s="2">
        <v>8973</v>
      </c>
      <c r="J70" s="2">
        <v>9243</v>
      </c>
      <c r="K70" s="229"/>
    </row>
    <row r="71" spans="1:11" hidden="1" x14ac:dyDescent="0.2">
      <c r="A71" s="12" t="s">
        <v>1264</v>
      </c>
      <c r="B71" s="2">
        <f>+D12</f>
        <v>123718</v>
      </c>
      <c r="C71" s="13">
        <v>2.316E-2</v>
      </c>
      <c r="D71" s="2">
        <f>ROUND(B71*C71,0)</f>
        <v>2865</v>
      </c>
      <c r="E71" s="2"/>
      <c r="F71" s="2"/>
      <c r="G71" s="2"/>
      <c r="I71" s="2"/>
      <c r="J71" s="2"/>
      <c r="K71" s="229"/>
    </row>
    <row r="72" spans="1:11" hidden="1" x14ac:dyDescent="0.2">
      <c r="A72" s="12" t="s">
        <v>683</v>
      </c>
      <c r="B72" s="2">
        <f>+B47</f>
        <v>210131</v>
      </c>
      <c r="C72" s="13">
        <v>2.316E-2</v>
      </c>
      <c r="D72" s="2">
        <f>ROUND(B72*C72,0)</f>
        <v>4867</v>
      </c>
      <c r="E72" s="2"/>
      <c r="F72" s="2"/>
      <c r="G72" s="2"/>
      <c r="I72" s="2"/>
      <c r="J72" s="2"/>
      <c r="K72" s="229"/>
    </row>
    <row r="73" spans="1:11" hidden="1" x14ac:dyDescent="0.2">
      <c r="A73" s="12" t="s">
        <v>1596</v>
      </c>
      <c r="B73" s="2">
        <f>ROUND(+D25,0)</f>
        <v>15407</v>
      </c>
      <c r="C73" s="13">
        <v>2.316E-2</v>
      </c>
      <c r="D73" s="2">
        <f>ROUND(B73*C73,0)</f>
        <v>357</v>
      </c>
      <c r="E73" s="2"/>
      <c r="F73" s="2"/>
      <c r="G73" s="2"/>
      <c r="I73" s="2"/>
      <c r="J73" s="2"/>
      <c r="K73" s="229"/>
    </row>
    <row r="74" spans="1:11" hidden="1" x14ac:dyDescent="0.2">
      <c r="A74" s="30">
        <v>8107</v>
      </c>
      <c r="B74" s="2">
        <f>+D28</f>
        <v>13647.6</v>
      </c>
      <c r="C74" s="13">
        <v>2.316E-2</v>
      </c>
      <c r="D74" s="2">
        <f>ROUND(B74*C74,0)</f>
        <v>316</v>
      </c>
      <c r="E74" s="2"/>
      <c r="F74" s="2"/>
      <c r="G74" s="2"/>
      <c r="I74" s="2"/>
      <c r="J74" s="2"/>
      <c r="K74" s="229"/>
    </row>
    <row r="75" spans="1:11" ht="15" hidden="1" x14ac:dyDescent="0.35">
      <c r="A75" s="12" t="s">
        <v>1597</v>
      </c>
      <c r="B75" s="2">
        <f>ROUND(+D34,0)</f>
        <v>36159</v>
      </c>
      <c r="C75" s="13">
        <v>2.316E-2</v>
      </c>
      <c r="D75" s="10">
        <f>ROUND(B75*C75,0)</f>
        <v>837</v>
      </c>
      <c r="E75" s="2"/>
      <c r="F75" s="2"/>
      <c r="G75" s="2"/>
      <c r="I75" s="2"/>
      <c r="J75" s="2"/>
      <c r="K75" s="229"/>
    </row>
    <row r="76" spans="1:11" hidden="1" x14ac:dyDescent="0.2">
      <c r="A76" s="283" t="s">
        <v>1067</v>
      </c>
      <c r="B76" s="283"/>
      <c r="C76" s="283"/>
      <c r="D76" s="2">
        <f>SUM(D71:D75)+1</f>
        <v>9243</v>
      </c>
      <c r="E76" s="2"/>
      <c r="F76" s="2"/>
      <c r="G76" s="2"/>
      <c r="I76" s="2"/>
      <c r="J76" s="2"/>
      <c r="K76" s="229"/>
    </row>
    <row r="77" spans="1:11" x14ac:dyDescent="0.2">
      <c r="A77" s="283"/>
      <c r="B77" s="283"/>
      <c r="C77" s="283"/>
      <c r="E77" s="2"/>
      <c r="F77" s="2"/>
      <c r="G77" s="2"/>
      <c r="I77" s="2"/>
      <c r="J77" s="2"/>
      <c r="K77" s="229"/>
    </row>
    <row r="78" spans="1:11" ht="13.5" x14ac:dyDescent="0.25">
      <c r="A78" s="286" t="s">
        <v>489</v>
      </c>
      <c r="B78" s="283"/>
      <c r="C78" s="283"/>
      <c r="E78" s="2">
        <v>78</v>
      </c>
      <c r="F78" s="2">
        <v>139</v>
      </c>
      <c r="G78" s="2">
        <v>139</v>
      </c>
      <c r="H78" s="2">
        <v>139</v>
      </c>
      <c r="I78" s="2">
        <v>139</v>
      </c>
      <c r="J78" s="2">
        <v>139</v>
      </c>
      <c r="K78" s="229"/>
    </row>
    <row r="79" spans="1:11" hidden="1" x14ac:dyDescent="0.2">
      <c r="A79" s="12" t="s">
        <v>1264</v>
      </c>
      <c r="B79" s="2">
        <v>2</v>
      </c>
      <c r="C79" s="2">
        <v>20</v>
      </c>
      <c r="D79" s="2">
        <f>ROUND(B79*C79,0)</f>
        <v>40</v>
      </c>
      <c r="E79" s="2"/>
      <c r="F79" s="2"/>
      <c r="G79" s="2"/>
      <c r="I79" s="2"/>
      <c r="J79" s="2"/>
      <c r="K79" s="229"/>
    </row>
    <row r="80" spans="1:11" hidden="1" x14ac:dyDescent="0.2">
      <c r="A80" s="12" t="s">
        <v>683</v>
      </c>
      <c r="B80" s="2">
        <v>4</v>
      </c>
      <c r="C80" s="2">
        <v>20</v>
      </c>
      <c r="D80" s="2">
        <f>ROUND(B80*C80,0)</f>
        <v>80</v>
      </c>
      <c r="E80" s="2"/>
      <c r="F80" s="2"/>
      <c r="G80" s="2"/>
      <c r="I80" s="2"/>
      <c r="J80" s="2"/>
      <c r="K80" s="229"/>
    </row>
    <row r="81" spans="1:11" ht="15" hidden="1" x14ac:dyDescent="0.35">
      <c r="A81" s="12" t="s">
        <v>153</v>
      </c>
      <c r="B81" s="2">
        <f>+D28</f>
        <v>13647.6</v>
      </c>
      <c r="C81" s="13">
        <v>1.4E-3</v>
      </c>
      <c r="D81" s="10">
        <f>ROUND(B81*C81,0)</f>
        <v>19</v>
      </c>
      <c r="E81" s="2"/>
      <c r="F81" s="2"/>
      <c r="G81" s="2"/>
      <c r="I81" s="2"/>
      <c r="J81" s="2"/>
      <c r="K81" s="229"/>
    </row>
    <row r="82" spans="1:11" hidden="1" x14ac:dyDescent="0.2">
      <c r="A82" s="283" t="s">
        <v>1067</v>
      </c>
      <c r="B82" s="283"/>
      <c r="C82" s="283"/>
      <c r="D82" s="2">
        <f>SUM(D79:D81)</f>
        <v>139</v>
      </c>
      <c r="E82" s="2"/>
      <c r="F82" s="2"/>
      <c r="G82" s="2"/>
      <c r="I82" s="2"/>
      <c r="J82" s="2"/>
      <c r="K82" s="229"/>
    </row>
    <row r="83" spans="1:11" x14ac:dyDescent="0.2">
      <c r="A83" s="283"/>
      <c r="B83" s="283"/>
      <c r="C83" s="283"/>
      <c r="E83" s="2"/>
      <c r="F83" s="2"/>
      <c r="G83" s="2"/>
      <c r="I83" s="2"/>
      <c r="J83" s="2"/>
      <c r="K83" s="229"/>
    </row>
    <row r="84" spans="1:11" ht="13.5" x14ac:dyDescent="0.25">
      <c r="A84" s="286" t="s">
        <v>1020</v>
      </c>
      <c r="B84" s="283"/>
      <c r="C84" s="283"/>
      <c r="E84" s="2">
        <v>1222</v>
      </c>
      <c r="F84" s="2">
        <v>1000</v>
      </c>
      <c r="G84" s="2">
        <v>1200</v>
      </c>
      <c r="H84" s="2">
        <v>1200</v>
      </c>
      <c r="I84" s="2">
        <v>1200</v>
      </c>
      <c r="J84" s="2">
        <v>1200</v>
      </c>
      <c r="K84" s="2"/>
    </row>
    <row r="85" spans="1:11" x14ac:dyDescent="0.2">
      <c r="A85" s="283" t="s">
        <v>1341</v>
      </c>
      <c r="B85" s="283"/>
      <c r="C85" s="283"/>
      <c r="D85" s="2" t="s">
        <v>338</v>
      </c>
      <c r="E85" s="2"/>
      <c r="F85" s="2"/>
      <c r="G85" s="2"/>
      <c r="I85" s="2"/>
      <c r="J85" s="2"/>
      <c r="K85" s="2"/>
    </row>
    <row r="86" spans="1:11" x14ac:dyDescent="0.2">
      <c r="A86" s="283" t="s">
        <v>1409</v>
      </c>
      <c r="B86" s="283"/>
      <c r="C86" s="2"/>
      <c r="D86" s="2">
        <v>1200</v>
      </c>
      <c r="E86" s="2"/>
      <c r="F86" s="2"/>
      <c r="G86" s="2"/>
      <c r="I86" s="2"/>
      <c r="J86" s="2"/>
      <c r="K86" s="2"/>
    </row>
    <row r="87" spans="1:11" x14ac:dyDescent="0.2">
      <c r="A87" s="283"/>
      <c r="B87" s="2"/>
      <c r="C87" s="2"/>
      <c r="E87" s="2"/>
      <c r="F87" s="2"/>
      <c r="G87" s="2"/>
      <c r="I87" s="2"/>
      <c r="J87" s="2"/>
      <c r="K87" s="2"/>
    </row>
    <row r="88" spans="1:11" ht="13.5" x14ac:dyDescent="0.25">
      <c r="A88" s="286" t="s">
        <v>1021</v>
      </c>
      <c r="B88" s="283"/>
      <c r="C88" s="2"/>
      <c r="E88" s="2">
        <v>1043</v>
      </c>
      <c r="F88" s="2">
        <v>650</v>
      </c>
      <c r="G88" s="2">
        <v>1050</v>
      </c>
      <c r="H88" s="2">
        <v>1050</v>
      </c>
      <c r="I88" s="2">
        <v>1050</v>
      </c>
      <c r="J88" s="2">
        <v>1050</v>
      </c>
      <c r="K88" s="2"/>
    </row>
    <row r="89" spans="1:11" x14ac:dyDescent="0.2">
      <c r="A89" s="283" t="s">
        <v>865</v>
      </c>
      <c r="B89" s="283"/>
      <c r="C89" s="2"/>
      <c r="D89" s="2">
        <v>1050</v>
      </c>
      <c r="E89" s="2"/>
      <c r="F89" s="2"/>
      <c r="G89" s="2"/>
      <c r="I89" s="2"/>
      <c r="J89" s="2"/>
      <c r="K89" s="2"/>
    </row>
    <row r="90" spans="1:11" x14ac:dyDescent="0.2">
      <c r="A90" s="283"/>
      <c r="B90" s="283"/>
      <c r="C90" s="2"/>
      <c r="E90" s="2"/>
      <c r="F90" s="2"/>
      <c r="G90" s="2"/>
      <c r="I90" s="2"/>
      <c r="J90" s="2"/>
      <c r="K90" s="2"/>
    </row>
    <row r="91" spans="1:11" ht="13.5" x14ac:dyDescent="0.25">
      <c r="A91" s="286" t="s">
        <v>1022</v>
      </c>
      <c r="B91" s="283"/>
      <c r="C91" s="2"/>
      <c r="E91" s="2">
        <v>4911</v>
      </c>
      <c r="F91" s="2">
        <v>6500</v>
      </c>
      <c r="G91" s="2">
        <v>5000</v>
      </c>
      <c r="H91" s="2">
        <v>5000</v>
      </c>
      <c r="I91" s="2">
        <v>5000</v>
      </c>
      <c r="J91" s="2">
        <v>5000</v>
      </c>
      <c r="K91" s="2"/>
    </row>
    <row r="92" spans="1:11" x14ac:dyDescent="0.2">
      <c r="A92" s="5" t="s">
        <v>814</v>
      </c>
      <c r="B92" s="5"/>
      <c r="C92" s="2"/>
      <c r="E92" s="2"/>
      <c r="F92" s="2"/>
      <c r="G92" s="2"/>
      <c r="I92" s="2"/>
      <c r="J92" s="2"/>
      <c r="K92" s="2"/>
    </row>
    <row r="93" spans="1:11" x14ac:dyDescent="0.2">
      <c r="A93" s="5" t="s">
        <v>1342</v>
      </c>
      <c r="B93" s="5"/>
      <c r="C93" s="2"/>
      <c r="D93" s="2">
        <v>5000</v>
      </c>
      <c r="E93" s="2"/>
      <c r="F93" s="2"/>
      <c r="G93" s="2"/>
      <c r="I93" s="2"/>
      <c r="J93" s="2"/>
      <c r="K93" s="2"/>
    </row>
    <row r="94" spans="1:11" x14ac:dyDescent="0.2">
      <c r="A94" s="283" t="s">
        <v>338</v>
      </c>
      <c r="B94" s="283"/>
      <c r="C94" s="2"/>
      <c r="E94" s="2"/>
      <c r="F94" s="2"/>
      <c r="G94" s="2"/>
      <c r="I94" s="2"/>
      <c r="J94" s="2"/>
      <c r="K94" s="2"/>
    </row>
    <row r="95" spans="1:11" ht="13.5" x14ac:dyDescent="0.25">
      <c r="A95" s="286" t="s">
        <v>541</v>
      </c>
      <c r="B95" s="283"/>
      <c r="C95" s="283"/>
      <c r="D95" s="2" t="s">
        <v>338</v>
      </c>
      <c r="E95" s="2">
        <v>4017</v>
      </c>
      <c r="F95" s="2">
        <v>3302</v>
      </c>
      <c r="G95" s="2">
        <v>3072</v>
      </c>
      <c r="H95" s="2">
        <v>3072</v>
      </c>
      <c r="I95" s="2">
        <v>3072</v>
      </c>
      <c r="J95" s="2">
        <v>3072</v>
      </c>
      <c r="K95" s="2"/>
    </row>
    <row r="96" spans="1:11" x14ac:dyDescent="0.2">
      <c r="A96" s="283" t="s">
        <v>1256</v>
      </c>
      <c r="B96" s="2">
        <v>1</v>
      </c>
      <c r="C96" s="283">
        <v>200</v>
      </c>
      <c r="D96" s="2">
        <f>+C96*B96</f>
        <v>200</v>
      </c>
      <c r="E96" s="2"/>
      <c r="F96" s="2"/>
      <c r="G96" s="2"/>
      <c r="I96" s="2"/>
      <c r="J96" s="2"/>
      <c r="K96" s="2"/>
    </row>
    <row r="97" spans="1:11" x14ac:dyDescent="0.2">
      <c r="A97" s="283" t="s">
        <v>1257</v>
      </c>
      <c r="B97" s="2">
        <v>2</v>
      </c>
      <c r="C97" s="2">
        <v>230</v>
      </c>
      <c r="D97" s="2">
        <f>+C97*B97</f>
        <v>460</v>
      </c>
      <c r="E97" s="2"/>
      <c r="F97" s="2"/>
      <c r="G97" s="2"/>
      <c r="I97" s="2"/>
      <c r="J97" s="2"/>
      <c r="K97" s="2"/>
    </row>
    <row r="98" spans="1:11" x14ac:dyDescent="0.2">
      <c r="A98" s="283" t="s">
        <v>1258</v>
      </c>
      <c r="B98" s="2">
        <v>4</v>
      </c>
      <c r="C98" s="2">
        <v>275</v>
      </c>
      <c r="D98" s="2">
        <f>+C98*B98</f>
        <v>1100</v>
      </c>
      <c r="E98" s="2"/>
      <c r="F98" s="2"/>
      <c r="G98" s="2"/>
      <c r="I98" s="2"/>
      <c r="J98" s="2"/>
      <c r="K98" s="2"/>
    </row>
    <row r="99" spans="1:11" x14ac:dyDescent="0.2">
      <c r="A99" s="283" t="s">
        <v>107</v>
      </c>
      <c r="B99" s="2">
        <v>4</v>
      </c>
      <c r="C99" s="2">
        <v>203</v>
      </c>
      <c r="D99" s="2">
        <f>+C99*B99</f>
        <v>812</v>
      </c>
      <c r="E99" s="2"/>
      <c r="F99" s="2"/>
      <c r="G99" s="2"/>
      <c r="I99" s="2"/>
      <c r="J99" s="2"/>
      <c r="K99" s="2"/>
    </row>
    <row r="100" spans="1:11" x14ac:dyDescent="0.2">
      <c r="A100" s="283" t="s">
        <v>325</v>
      </c>
      <c r="B100" s="2"/>
      <c r="C100" s="2"/>
      <c r="D100" s="2">
        <v>500</v>
      </c>
      <c r="E100" s="2"/>
      <c r="F100" s="2"/>
      <c r="G100" s="2"/>
      <c r="I100" s="2"/>
      <c r="J100" s="2"/>
      <c r="K100" s="2"/>
    </row>
    <row r="101" spans="1:11" s="229" customFormat="1" ht="15" x14ac:dyDescent="0.35">
      <c r="A101" s="283" t="s">
        <v>2034</v>
      </c>
      <c r="B101" s="2">
        <v>0</v>
      </c>
      <c r="C101" s="2">
        <v>115</v>
      </c>
      <c r="D101" s="10">
        <f>+C101*B101</f>
        <v>0</v>
      </c>
      <c r="E101" s="2"/>
      <c r="F101" s="2"/>
      <c r="G101" s="2"/>
      <c r="H101" s="2"/>
      <c r="I101" s="2"/>
      <c r="J101" s="2"/>
      <c r="K101" s="2"/>
    </row>
    <row r="102" spans="1:11" x14ac:dyDescent="0.2">
      <c r="A102" s="283" t="s">
        <v>1067</v>
      </c>
      <c r="B102" s="2" t="s">
        <v>338</v>
      </c>
      <c r="C102" s="2" t="s">
        <v>338</v>
      </c>
      <c r="D102" s="2">
        <f>SUM(D96:D101)</f>
        <v>3072</v>
      </c>
      <c r="E102" s="2"/>
      <c r="F102" s="2"/>
      <c r="G102" s="2"/>
      <c r="I102" s="2"/>
      <c r="J102" s="2"/>
      <c r="K102" s="2"/>
    </row>
    <row r="103" spans="1:11" x14ac:dyDescent="0.2">
      <c r="A103" s="283"/>
      <c r="B103" s="283"/>
      <c r="C103" s="283"/>
      <c r="E103" s="2"/>
      <c r="F103" s="2"/>
      <c r="G103" s="2"/>
      <c r="I103" s="2"/>
      <c r="J103" s="2"/>
      <c r="K103" s="2"/>
    </row>
    <row r="104" spans="1:11" ht="13.5" x14ac:dyDescent="0.25">
      <c r="A104" s="286" t="s">
        <v>172</v>
      </c>
      <c r="B104" s="283"/>
      <c r="C104" s="283"/>
      <c r="E104" s="2">
        <v>0</v>
      </c>
      <c r="F104" s="2">
        <v>1300</v>
      </c>
      <c r="G104" s="2">
        <v>1300</v>
      </c>
      <c r="H104" s="2">
        <v>1300</v>
      </c>
      <c r="I104" s="2">
        <v>1300</v>
      </c>
      <c r="J104" s="2">
        <v>1300</v>
      </c>
      <c r="K104" s="2"/>
    </row>
    <row r="105" spans="1:11" x14ac:dyDescent="0.2">
      <c r="A105" s="283" t="s">
        <v>1931</v>
      </c>
      <c r="B105" s="283"/>
      <c r="C105" s="283"/>
      <c r="D105" s="2">
        <v>800</v>
      </c>
      <c r="E105" s="2"/>
      <c r="F105" s="2"/>
      <c r="G105" s="2"/>
      <c r="I105" s="2"/>
      <c r="J105" s="2"/>
      <c r="K105" s="2"/>
    </row>
    <row r="106" spans="1:11" ht="15" x14ac:dyDescent="0.35">
      <c r="A106" s="283" t="s">
        <v>1410</v>
      </c>
      <c r="B106" s="283"/>
      <c r="C106" s="2"/>
      <c r="D106" s="10">
        <v>500</v>
      </c>
      <c r="E106" s="2"/>
      <c r="F106" s="2"/>
      <c r="G106" s="2"/>
      <c r="I106" s="2"/>
      <c r="J106" s="2"/>
      <c r="K106" s="2"/>
    </row>
    <row r="107" spans="1:11" ht="15" x14ac:dyDescent="0.35">
      <c r="A107" s="283" t="s">
        <v>1067</v>
      </c>
      <c r="B107" s="283"/>
      <c r="C107" s="10"/>
      <c r="D107" s="2">
        <f>SUM(D105:D106)</f>
        <v>1300</v>
      </c>
      <c r="E107" s="2"/>
      <c r="F107" s="2"/>
      <c r="G107" s="2"/>
      <c r="I107" s="2"/>
      <c r="J107" s="2"/>
      <c r="K107" s="2"/>
    </row>
    <row r="108" spans="1:11" x14ac:dyDescent="0.2">
      <c r="A108" s="283"/>
      <c r="B108" s="2"/>
      <c r="C108" s="2"/>
      <c r="E108" s="2"/>
      <c r="F108" s="2"/>
      <c r="G108" s="2"/>
      <c r="I108" s="2"/>
      <c r="J108" s="2"/>
      <c r="K108" s="2"/>
    </row>
    <row r="109" spans="1:11" ht="13.5" x14ac:dyDescent="0.25">
      <c r="A109" s="286" t="s">
        <v>173</v>
      </c>
      <c r="B109" s="283"/>
      <c r="C109" s="2"/>
      <c r="E109" s="2">
        <v>3220</v>
      </c>
      <c r="F109" s="2">
        <v>3600</v>
      </c>
      <c r="G109" s="2">
        <v>3600</v>
      </c>
      <c r="H109" s="2">
        <v>3600</v>
      </c>
      <c r="I109" s="2">
        <v>3600</v>
      </c>
      <c r="J109" s="2">
        <v>3600</v>
      </c>
      <c r="K109" s="2"/>
    </row>
    <row r="110" spans="1:11" x14ac:dyDescent="0.2">
      <c r="A110" s="283" t="s">
        <v>923</v>
      </c>
      <c r="B110" s="283"/>
      <c r="C110" s="2"/>
      <c r="D110" s="2">
        <v>3600</v>
      </c>
      <c r="E110" s="2"/>
      <c r="F110" s="2"/>
      <c r="G110" s="2"/>
      <c r="I110" s="2"/>
      <c r="J110" s="2"/>
      <c r="K110" s="2"/>
    </row>
    <row r="111" spans="1:11" x14ac:dyDescent="0.2">
      <c r="A111" s="283"/>
      <c r="B111" s="283"/>
      <c r="C111" s="2"/>
      <c r="E111" s="2"/>
      <c r="F111" s="2"/>
      <c r="G111" s="2"/>
      <c r="I111" s="2"/>
      <c r="J111" s="2"/>
      <c r="K111" s="2"/>
    </row>
    <row r="112" spans="1:11" ht="13.5" x14ac:dyDescent="0.25">
      <c r="A112" s="286" t="s">
        <v>101</v>
      </c>
      <c r="B112" s="283"/>
      <c r="C112" s="2"/>
      <c r="D112" s="2">
        <v>20</v>
      </c>
      <c r="E112" s="2">
        <v>0</v>
      </c>
      <c r="F112" s="2">
        <v>20</v>
      </c>
      <c r="G112" s="2">
        <v>20</v>
      </c>
      <c r="H112" s="2">
        <v>20</v>
      </c>
      <c r="I112" s="2">
        <v>20</v>
      </c>
      <c r="J112" s="2">
        <v>20</v>
      </c>
      <c r="K112" s="2"/>
    </row>
    <row r="113" spans="1:11" x14ac:dyDescent="0.2">
      <c r="A113" s="283"/>
      <c r="B113" s="2"/>
      <c r="C113" s="17"/>
      <c r="D113" s="17"/>
      <c r="E113" s="2"/>
      <c r="F113" s="2"/>
      <c r="G113" s="2"/>
      <c r="I113" s="2"/>
      <c r="J113" s="2"/>
      <c r="K113" s="2"/>
    </row>
    <row r="114" spans="1:11" ht="13.5" x14ac:dyDescent="0.25">
      <c r="A114" s="286" t="s">
        <v>174</v>
      </c>
      <c r="B114" s="283"/>
      <c r="C114" s="2"/>
      <c r="E114" s="2">
        <v>15565</v>
      </c>
      <c r="F114" s="2">
        <v>17100</v>
      </c>
      <c r="G114" s="2">
        <v>16500</v>
      </c>
      <c r="H114" s="2">
        <v>16500</v>
      </c>
      <c r="I114" s="2">
        <v>16500</v>
      </c>
      <c r="J114" s="2">
        <v>16500</v>
      </c>
      <c r="K114" s="2"/>
    </row>
    <row r="115" spans="1:11" x14ac:dyDescent="0.2">
      <c r="A115" s="283" t="s">
        <v>1790</v>
      </c>
      <c r="B115" s="283"/>
      <c r="C115" s="2"/>
      <c r="D115" s="2">
        <v>7500</v>
      </c>
      <c r="E115" s="2"/>
      <c r="F115" s="2"/>
      <c r="G115" s="2"/>
      <c r="I115" s="2"/>
      <c r="J115" s="2"/>
      <c r="K115" s="2"/>
    </row>
    <row r="116" spans="1:11" x14ac:dyDescent="0.2">
      <c r="A116" s="283" t="s">
        <v>924</v>
      </c>
      <c r="B116" s="283"/>
      <c r="C116" s="2"/>
      <c r="D116" s="2">
        <v>6300</v>
      </c>
      <c r="E116" s="2"/>
      <c r="F116" s="2"/>
      <c r="G116" s="2"/>
      <c r="I116" s="2"/>
      <c r="J116" s="2"/>
      <c r="K116" s="2"/>
    </row>
    <row r="117" spans="1:11" ht="15" x14ac:dyDescent="0.35">
      <c r="A117" s="283" t="s">
        <v>1757</v>
      </c>
      <c r="B117" s="283"/>
      <c r="C117" s="2"/>
      <c r="D117" s="10">
        <v>2700</v>
      </c>
      <c r="E117" s="2"/>
      <c r="F117" s="2"/>
      <c r="G117" s="2"/>
      <c r="I117" s="2"/>
      <c r="J117" s="2"/>
      <c r="K117" s="2"/>
    </row>
    <row r="118" spans="1:11" ht="15" x14ac:dyDescent="0.35">
      <c r="A118" s="283" t="s">
        <v>1067</v>
      </c>
      <c r="B118" s="283"/>
      <c r="C118" s="10"/>
      <c r="D118" s="2">
        <f>SUM(D115:D117)</f>
        <v>16500</v>
      </c>
      <c r="E118" s="2"/>
      <c r="F118" s="2"/>
      <c r="G118" s="2"/>
      <c r="I118" s="2"/>
      <c r="J118" s="2"/>
      <c r="K118" s="2"/>
    </row>
    <row r="119" spans="1:11" ht="15" x14ac:dyDescent="0.35">
      <c r="A119" s="283"/>
      <c r="B119" s="283"/>
      <c r="C119" s="10"/>
      <c r="E119" s="2"/>
      <c r="F119" s="2"/>
      <c r="G119" s="2"/>
      <c r="I119" s="2"/>
      <c r="J119" s="2"/>
      <c r="K119" s="2"/>
    </row>
    <row r="120" spans="1:11" ht="13.5" x14ac:dyDescent="0.25">
      <c r="A120" s="286" t="s">
        <v>175</v>
      </c>
      <c r="B120" s="283"/>
      <c r="C120" s="283"/>
      <c r="E120" s="2">
        <v>49992</v>
      </c>
      <c r="F120" s="2">
        <v>55170</v>
      </c>
      <c r="G120" s="2">
        <v>73300</v>
      </c>
      <c r="H120" s="2">
        <v>73300</v>
      </c>
      <c r="I120" s="2">
        <v>73300</v>
      </c>
      <c r="J120" s="2">
        <v>73300</v>
      </c>
      <c r="K120" s="2"/>
    </row>
    <row r="121" spans="1:11" x14ac:dyDescent="0.2">
      <c r="A121" s="283" t="s">
        <v>1411</v>
      </c>
      <c r="B121" s="41">
        <v>16000</v>
      </c>
      <c r="C121" s="11">
        <v>4.1500000000000004</v>
      </c>
      <c r="D121" s="2">
        <f>ROUND(B121*C121,0)</f>
        <v>66400</v>
      </c>
      <c r="E121" s="2"/>
      <c r="F121" s="2"/>
      <c r="G121" s="2"/>
      <c r="I121" s="2"/>
      <c r="J121" s="2"/>
      <c r="K121" s="2"/>
    </row>
    <row r="122" spans="1:11" x14ac:dyDescent="0.2">
      <c r="A122" s="283" t="s">
        <v>1412</v>
      </c>
      <c r="B122" s="2">
        <v>1200</v>
      </c>
      <c r="C122" s="11">
        <v>3.5</v>
      </c>
      <c r="D122" s="2">
        <f>ROUND(B122*C122,0)</f>
        <v>4200</v>
      </c>
      <c r="E122" s="2"/>
      <c r="F122" s="2"/>
      <c r="G122" s="2"/>
      <c r="I122" s="2"/>
      <c r="J122" s="2"/>
      <c r="K122" s="2"/>
    </row>
    <row r="123" spans="1:11" ht="15" x14ac:dyDescent="0.35">
      <c r="A123" s="283" t="s">
        <v>1932</v>
      </c>
      <c r="B123" s="2">
        <v>600</v>
      </c>
      <c r="C123" s="11">
        <v>4.5</v>
      </c>
      <c r="D123" s="10">
        <f>ROUND(B123*C123,0)</f>
        <v>2700</v>
      </c>
      <c r="E123" s="2"/>
      <c r="F123" s="2"/>
      <c r="G123" s="2"/>
      <c r="I123" s="2"/>
      <c r="J123" s="2"/>
      <c r="K123" s="2"/>
    </row>
    <row r="124" spans="1:11" x14ac:dyDescent="0.2">
      <c r="A124" s="283" t="s">
        <v>1067</v>
      </c>
      <c r="B124" s="2"/>
      <c r="C124" s="13"/>
      <c r="D124" s="2">
        <f>SUM(D121:D123)</f>
        <v>73300</v>
      </c>
      <c r="E124" s="2"/>
      <c r="F124" s="2"/>
      <c r="G124" s="2"/>
      <c r="I124" s="2"/>
      <c r="J124" s="2"/>
      <c r="K124" s="2"/>
    </row>
    <row r="125" spans="1:11" x14ac:dyDescent="0.2">
      <c r="A125" s="283"/>
      <c r="B125" s="283"/>
      <c r="C125" s="283"/>
      <c r="E125" s="2"/>
      <c r="F125" s="2"/>
      <c r="G125" s="2"/>
      <c r="I125" s="2"/>
      <c r="J125" s="2"/>
      <c r="K125" s="2"/>
    </row>
    <row r="126" spans="1:11" ht="13.5" x14ac:dyDescent="0.25">
      <c r="A126" s="286" t="s">
        <v>360</v>
      </c>
      <c r="B126" s="283"/>
      <c r="C126" s="283"/>
      <c r="E126" s="2">
        <v>4502</v>
      </c>
      <c r="F126" s="2">
        <v>4610</v>
      </c>
      <c r="G126" s="2">
        <v>4610</v>
      </c>
      <c r="H126" s="2">
        <v>4610</v>
      </c>
      <c r="I126" s="2">
        <v>4610</v>
      </c>
      <c r="J126" s="2">
        <v>4610</v>
      </c>
      <c r="K126" s="2"/>
    </row>
    <row r="127" spans="1:11" x14ac:dyDescent="0.2">
      <c r="A127" s="283" t="s">
        <v>805</v>
      </c>
      <c r="B127" s="283"/>
      <c r="C127" s="283"/>
      <c r="D127" s="2">
        <v>1850</v>
      </c>
      <c r="E127" s="2"/>
      <c r="F127" s="2"/>
      <c r="G127" s="2"/>
      <c r="I127" s="2"/>
      <c r="J127" s="2"/>
      <c r="K127" s="2"/>
    </row>
    <row r="128" spans="1:11" x14ac:dyDescent="0.2">
      <c r="A128" s="283" t="s">
        <v>1963</v>
      </c>
      <c r="B128" s="283"/>
      <c r="C128" s="2"/>
      <c r="D128" s="2">
        <v>960</v>
      </c>
      <c r="E128" s="2"/>
      <c r="F128" s="2"/>
      <c r="G128" s="2"/>
      <c r="I128" s="2"/>
      <c r="J128" s="2"/>
      <c r="K128" s="2"/>
    </row>
    <row r="129" spans="1:11" x14ac:dyDescent="0.2">
      <c r="A129" s="283" t="s">
        <v>1533</v>
      </c>
      <c r="B129" s="283"/>
      <c r="C129" s="2"/>
      <c r="D129" s="2">
        <v>1800</v>
      </c>
      <c r="E129" s="2"/>
      <c r="F129" s="2"/>
      <c r="G129" s="2"/>
      <c r="I129" s="2"/>
      <c r="J129" s="2"/>
      <c r="K129" s="2"/>
    </row>
    <row r="130" spans="1:11" ht="15" x14ac:dyDescent="0.35">
      <c r="A130" s="283" t="s">
        <v>582</v>
      </c>
      <c r="B130" s="283"/>
      <c r="C130" s="2"/>
      <c r="D130" s="10">
        <v>0</v>
      </c>
      <c r="E130" s="2"/>
      <c r="F130" s="2"/>
      <c r="G130" s="2"/>
      <c r="I130" s="2"/>
      <c r="J130" s="2"/>
      <c r="K130" s="2"/>
    </row>
    <row r="131" spans="1:11" ht="15" x14ac:dyDescent="0.35">
      <c r="A131" s="283" t="s">
        <v>1067</v>
      </c>
      <c r="B131" s="2" t="s">
        <v>338</v>
      </c>
      <c r="C131" s="10"/>
      <c r="D131" s="2">
        <f>SUM(D127:D130)</f>
        <v>4610</v>
      </c>
      <c r="E131" s="2"/>
      <c r="F131" s="2"/>
      <c r="G131" s="2"/>
      <c r="I131" s="2"/>
      <c r="J131" s="2"/>
      <c r="K131" s="2"/>
    </row>
    <row r="132" spans="1:11" x14ac:dyDescent="0.2">
      <c r="A132" s="283"/>
      <c r="B132" s="2"/>
      <c r="C132" s="2"/>
      <c r="E132" s="2"/>
      <c r="F132" s="2"/>
      <c r="G132" s="2"/>
      <c r="I132" s="2"/>
      <c r="J132" s="2"/>
      <c r="K132" s="2"/>
    </row>
    <row r="133" spans="1:11" ht="13.5" x14ac:dyDescent="0.25">
      <c r="A133" s="286" t="s">
        <v>361</v>
      </c>
      <c r="B133" s="283"/>
      <c r="C133" s="283"/>
      <c r="E133" s="2">
        <v>19316</v>
      </c>
      <c r="F133" s="2">
        <v>19826</v>
      </c>
      <c r="G133" s="2">
        <v>20711</v>
      </c>
      <c r="H133" s="2">
        <v>20711</v>
      </c>
      <c r="I133" s="2">
        <v>20711</v>
      </c>
      <c r="J133" s="2">
        <v>20711</v>
      </c>
      <c r="K133" s="2"/>
    </row>
    <row r="134" spans="1:11" x14ac:dyDescent="0.2">
      <c r="A134" s="283" t="s">
        <v>422</v>
      </c>
      <c r="B134" s="283"/>
      <c r="C134" s="283"/>
      <c r="D134" s="2">
        <v>17535</v>
      </c>
      <c r="E134" s="2"/>
      <c r="F134" s="2"/>
      <c r="G134" s="2"/>
      <c r="I134" s="2"/>
      <c r="J134" s="2"/>
      <c r="K134" s="2"/>
    </row>
    <row r="135" spans="1:11" x14ac:dyDescent="0.2">
      <c r="A135" s="283" t="s">
        <v>106</v>
      </c>
      <c r="B135" s="2" t="s">
        <v>338</v>
      </c>
      <c r="C135" s="2"/>
      <c r="D135" s="2">
        <v>170</v>
      </c>
      <c r="E135" s="2"/>
      <c r="F135" s="2"/>
      <c r="G135" s="2"/>
      <c r="I135" s="2"/>
      <c r="J135" s="2"/>
      <c r="K135" s="2"/>
    </row>
    <row r="136" spans="1:11" x14ac:dyDescent="0.2">
      <c r="A136" s="283" t="s">
        <v>1646</v>
      </c>
      <c r="B136" s="2"/>
      <c r="C136" s="2"/>
      <c r="D136" s="2">
        <v>1800</v>
      </c>
      <c r="E136" s="2"/>
      <c r="F136" s="2"/>
      <c r="G136" s="2"/>
      <c r="I136" s="2"/>
      <c r="J136" s="2"/>
      <c r="K136" s="2"/>
    </row>
    <row r="137" spans="1:11" x14ac:dyDescent="0.2">
      <c r="A137" s="283" t="s">
        <v>519</v>
      </c>
      <c r="B137" s="2"/>
      <c r="C137" s="2"/>
      <c r="D137" s="2">
        <v>180</v>
      </c>
      <c r="E137" s="2"/>
      <c r="F137" s="2"/>
      <c r="G137" s="2"/>
      <c r="I137" s="2"/>
      <c r="J137" s="2"/>
      <c r="K137" s="2"/>
    </row>
    <row r="138" spans="1:11" x14ac:dyDescent="0.2">
      <c r="A138" s="283" t="s">
        <v>1115</v>
      </c>
      <c r="B138" s="2">
        <v>6</v>
      </c>
      <c r="C138" s="2">
        <v>96</v>
      </c>
      <c r="D138" s="2">
        <f>C138*B138</f>
        <v>576</v>
      </c>
      <c r="E138" s="2"/>
      <c r="F138" s="2"/>
      <c r="G138" s="2"/>
      <c r="I138" s="2"/>
      <c r="J138" s="2"/>
      <c r="K138" s="2"/>
    </row>
    <row r="139" spans="1:11" ht="15" x14ac:dyDescent="0.35">
      <c r="A139" s="283" t="s">
        <v>1238</v>
      </c>
      <c r="B139" s="2">
        <v>9</v>
      </c>
      <c r="C139" s="2">
        <v>50</v>
      </c>
      <c r="D139" s="10">
        <f>C139*B139</f>
        <v>450</v>
      </c>
      <c r="E139" s="2"/>
      <c r="F139" s="2"/>
      <c r="G139" s="2"/>
      <c r="I139" s="2"/>
      <c r="J139" s="2"/>
      <c r="K139" s="2"/>
    </row>
    <row r="140" spans="1:11" x14ac:dyDescent="0.2">
      <c r="A140" s="283" t="s">
        <v>1067</v>
      </c>
      <c r="B140" s="2"/>
      <c r="C140" s="2"/>
      <c r="D140" s="2">
        <f>SUM(D134:D139)</f>
        <v>20711</v>
      </c>
      <c r="E140" s="2"/>
      <c r="F140" s="2"/>
      <c r="G140" s="2"/>
      <c r="I140" s="2"/>
      <c r="J140" s="2"/>
      <c r="K140" s="2"/>
    </row>
    <row r="141" spans="1:11" x14ac:dyDescent="0.2">
      <c r="A141" s="283" t="s">
        <v>338</v>
      </c>
      <c r="B141" s="2"/>
      <c r="C141" s="11"/>
      <c r="E141" s="2"/>
      <c r="F141" s="2"/>
      <c r="G141" s="2"/>
      <c r="I141" s="2"/>
      <c r="J141" s="2"/>
      <c r="K141" s="2"/>
    </row>
    <row r="142" spans="1:11" ht="13.5" x14ac:dyDescent="0.25">
      <c r="A142" s="16" t="s">
        <v>362</v>
      </c>
      <c r="B142" s="283"/>
      <c r="C142" s="283"/>
      <c r="D142" s="2" t="s">
        <v>338</v>
      </c>
      <c r="E142" s="2">
        <v>7418</v>
      </c>
      <c r="F142" s="2">
        <v>10721</v>
      </c>
      <c r="G142" s="2">
        <v>11257</v>
      </c>
      <c r="H142" s="2">
        <v>11257</v>
      </c>
      <c r="I142" s="2">
        <v>11257</v>
      </c>
      <c r="J142" s="2">
        <v>11257</v>
      </c>
      <c r="K142" s="2"/>
    </row>
    <row r="143" spans="1:11" x14ac:dyDescent="0.2">
      <c r="A143" s="283" t="s">
        <v>900</v>
      </c>
      <c r="B143" s="283"/>
      <c r="C143" s="283"/>
      <c r="D143" s="2">
        <v>11257</v>
      </c>
      <c r="E143" s="2"/>
      <c r="F143" s="2"/>
      <c r="G143" s="2"/>
      <c r="I143" s="2"/>
      <c r="J143" s="2"/>
      <c r="K143" s="2"/>
    </row>
    <row r="144" spans="1:11" x14ac:dyDescent="0.2">
      <c r="A144" s="283"/>
      <c r="B144" s="283"/>
      <c r="C144" s="2"/>
      <c r="E144" s="2"/>
      <c r="F144" s="2"/>
      <c r="G144" s="2"/>
      <c r="I144" s="2"/>
      <c r="J144" s="2"/>
      <c r="K144" s="2"/>
    </row>
    <row r="145" spans="1:11" ht="13.5" x14ac:dyDescent="0.25">
      <c r="A145" s="286" t="s">
        <v>363</v>
      </c>
      <c r="B145" s="283"/>
      <c r="C145" s="2"/>
      <c r="E145" s="2">
        <v>0</v>
      </c>
      <c r="F145" s="2">
        <v>500</v>
      </c>
      <c r="G145" s="2">
        <v>500</v>
      </c>
      <c r="H145" s="2">
        <v>500</v>
      </c>
      <c r="I145" s="2">
        <v>500</v>
      </c>
      <c r="J145" s="2">
        <v>500</v>
      </c>
      <c r="K145" s="2"/>
    </row>
    <row r="146" spans="1:11" x14ac:dyDescent="0.2">
      <c r="A146" s="283" t="s">
        <v>424</v>
      </c>
      <c r="B146" s="283"/>
      <c r="C146" s="2"/>
      <c r="D146" s="2">
        <v>500</v>
      </c>
      <c r="E146" s="2"/>
      <c r="F146" s="2"/>
      <c r="G146" s="2"/>
      <c r="I146" s="2"/>
      <c r="J146" s="2"/>
      <c r="K146" s="2"/>
    </row>
    <row r="147" spans="1:11" x14ac:dyDescent="0.2">
      <c r="A147" s="283"/>
      <c r="B147" s="283"/>
      <c r="C147" s="2"/>
      <c r="E147" s="2"/>
      <c r="F147" s="2"/>
      <c r="G147" s="2"/>
      <c r="I147" s="2"/>
      <c r="J147" s="2"/>
      <c r="K147" s="2"/>
    </row>
    <row r="148" spans="1:11" ht="13.5" x14ac:dyDescent="0.25">
      <c r="A148" s="286" t="s">
        <v>247</v>
      </c>
      <c r="B148" s="283"/>
      <c r="C148" s="2"/>
      <c r="E148" s="2">
        <v>2991</v>
      </c>
      <c r="F148" s="2">
        <v>7500</v>
      </c>
      <c r="G148" s="2">
        <v>7500</v>
      </c>
      <c r="H148" s="2">
        <v>7500</v>
      </c>
      <c r="I148" s="2">
        <v>7500</v>
      </c>
      <c r="J148" s="2">
        <v>7500</v>
      </c>
      <c r="K148" s="2"/>
    </row>
    <row r="149" spans="1:11" x14ac:dyDescent="0.2">
      <c r="A149" s="283" t="s">
        <v>1413</v>
      </c>
      <c r="B149" s="283"/>
      <c r="C149" s="2"/>
      <c r="D149" s="2">
        <v>5500</v>
      </c>
      <c r="E149" s="2"/>
      <c r="F149" s="2"/>
      <c r="G149" s="2"/>
      <c r="I149" s="2"/>
      <c r="J149" s="2"/>
      <c r="K149" s="2"/>
    </row>
    <row r="150" spans="1:11" x14ac:dyDescent="0.2">
      <c r="A150" s="283" t="s">
        <v>1933</v>
      </c>
      <c r="B150" s="283"/>
      <c r="C150" s="2"/>
      <c r="D150" s="31">
        <v>2000</v>
      </c>
      <c r="E150" s="2"/>
      <c r="F150" s="2"/>
      <c r="G150" s="2"/>
      <c r="I150" s="2"/>
      <c r="J150" s="2"/>
      <c r="K150" s="2"/>
    </row>
    <row r="151" spans="1:11" x14ac:dyDescent="0.2">
      <c r="A151" s="283"/>
      <c r="B151" s="283"/>
      <c r="C151" s="2"/>
      <c r="D151" s="2">
        <f>SUM(D149:D150)</f>
        <v>7500</v>
      </c>
      <c r="E151" s="2"/>
      <c r="F151" s="2"/>
      <c r="G151" s="2"/>
      <c r="I151" s="2"/>
      <c r="J151" s="2"/>
      <c r="K151" s="2"/>
    </row>
    <row r="152" spans="1:11" x14ac:dyDescent="0.2">
      <c r="A152" s="283"/>
      <c r="B152" s="283"/>
      <c r="C152" s="2"/>
      <c r="E152" s="2"/>
      <c r="F152" s="2"/>
      <c r="G152" s="2"/>
      <c r="I152" s="2"/>
      <c r="J152" s="2"/>
      <c r="K152" s="2"/>
    </row>
    <row r="153" spans="1:11" ht="13.5" x14ac:dyDescent="0.25">
      <c r="A153" s="286" t="s">
        <v>966</v>
      </c>
      <c r="B153" s="283"/>
      <c r="C153" s="2"/>
      <c r="E153" s="2">
        <v>229</v>
      </c>
      <c r="F153" s="2">
        <v>500</v>
      </c>
      <c r="G153" s="2">
        <v>500</v>
      </c>
      <c r="H153" s="2">
        <v>500</v>
      </c>
      <c r="I153" s="2">
        <v>500</v>
      </c>
      <c r="J153" s="2">
        <v>500</v>
      </c>
      <c r="K153" s="2"/>
    </row>
    <row r="154" spans="1:11" x14ac:dyDescent="0.2">
      <c r="A154" s="283" t="s">
        <v>1414</v>
      </c>
      <c r="B154" s="283"/>
      <c r="C154" s="2"/>
      <c r="D154" s="2">
        <v>500</v>
      </c>
      <c r="E154" s="2"/>
      <c r="F154" s="2"/>
      <c r="G154" s="2"/>
      <c r="I154" s="2"/>
      <c r="J154" s="2"/>
      <c r="K154" s="2"/>
    </row>
    <row r="155" spans="1:11" ht="15" x14ac:dyDescent="0.35">
      <c r="A155" s="283" t="s">
        <v>925</v>
      </c>
      <c r="B155" s="283"/>
      <c r="C155" s="2"/>
      <c r="D155" s="10">
        <v>0</v>
      </c>
      <c r="E155" s="2"/>
      <c r="F155" s="2"/>
      <c r="G155" s="2"/>
      <c r="I155" s="2"/>
      <c r="J155" s="2"/>
      <c r="K155" s="2"/>
    </row>
    <row r="156" spans="1:11" ht="15" x14ac:dyDescent="0.35">
      <c r="A156" s="283" t="s">
        <v>1067</v>
      </c>
      <c r="B156" s="283"/>
      <c r="C156" s="10"/>
      <c r="D156" s="2">
        <f>SUM(D154:D155)</f>
        <v>500</v>
      </c>
      <c r="E156" s="2"/>
      <c r="F156" s="2"/>
      <c r="G156" s="2"/>
      <c r="I156" s="2"/>
      <c r="J156" s="2"/>
      <c r="K156" s="2"/>
    </row>
    <row r="157" spans="1:11" x14ac:dyDescent="0.2">
      <c r="A157" s="283"/>
      <c r="B157" s="283"/>
      <c r="C157" s="2"/>
      <c r="E157" s="2"/>
      <c r="F157" s="2"/>
      <c r="G157" s="2"/>
      <c r="I157" s="2"/>
      <c r="J157" s="2"/>
      <c r="K157" s="2"/>
    </row>
    <row r="158" spans="1:11" ht="13.5" x14ac:dyDescent="0.25">
      <c r="A158" s="286" t="s">
        <v>967</v>
      </c>
      <c r="B158" s="283"/>
      <c r="C158" s="2"/>
      <c r="E158" s="2">
        <v>43720</v>
      </c>
      <c r="F158" s="2">
        <v>30000</v>
      </c>
      <c r="G158" s="2">
        <v>38500</v>
      </c>
      <c r="H158" s="2">
        <v>38500</v>
      </c>
      <c r="I158" s="2">
        <v>38500</v>
      </c>
      <c r="J158" s="2">
        <v>38500</v>
      </c>
      <c r="K158" s="2"/>
    </row>
    <row r="159" spans="1:11" x14ac:dyDescent="0.2">
      <c r="A159" s="283" t="s">
        <v>799</v>
      </c>
      <c r="B159" s="283"/>
      <c r="C159" s="2"/>
      <c r="D159" s="2">
        <v>38500</v>
      </c>
      <c r="E159" s="2"/>
      <c r="F159" s="2"/>
      <c r="G159" s="2"/>
      <c r="I159" s="2"/>
      <c r="J159" s="2"/>
      <c r="K159" s="2"/>
    </row>
    <row r="160" spans="1:11" x14ac:dyDescent="0.2">
      <c r="A160" s="283"/>
      <c r="B160" s="2"/>
      <c r="C160" s="2"/>
      <c r="E160" s="2"/>
      <c r="F160" s="2"/>
      <c r="G160" s="2"/>
      <c r="I160" s="2"/>
      <c r="J160" s="2"/>
      <c r="K160" s="2"/>
    </row>
    <row r="161" spans="1:11" ht="13.5" x14ac:dyDescent="0.25">
      <c r="A161" s="286" t="s">
        <v>364</v>
      </c>
      <c r="B161" s="283"/>
      <c r="C161" s="2"/>
      <c r="E161" s="2">
        <v>4897</v>
      </c>
      <c r="F161" s="2">
        <v>5300</v>
      </c>
      <c r="G161" s="2">
        <v>5300</v>
      </c>
      <c r="H161" s="2">
        <v>5300</v>
      </c>
      <c r="I161" s="2">
        <v>5300</v>
      </c>
      <c r="J161" s="2">
        <v>5300</v>
      </c>
      <c r="K161" s="2"/>
    </row>
    <row r="162" spans="1:11" x14ac:dyDescent="0.2">
      <c r="A162" s="283" t="s">
        <v>1415</v>
      </c>
      <c r="B162" s="283"/>
      <c r="C162" s="2"/>
      <c r="D162" s="2">
        <v>2500</v>
      </c>
      <c r="E162" s="2"/>
      <c r="F162" s="2"/>
      <c r="G162" s="2"/>
      <c r="I162" s="2"/>
      <c r="J162" s="2"/>
      <c r="K162" s="2"/>
    </row>
    <row r="163" spans="1:11" x14ac:dyDescent="0.2">
      <c r="A163" s="283" t="s">
        <v>1647</v>
      </c>
      <c r="B163" s="283"/>
      <c r="C163" s="2"/>
      <c r="D163" s="31">
        <v>2800</v>
      </c>
      <c r="E163" s="2"/>
      <c r="F163" s="2"/>
      <c r="G163" s="2"/>
      <c r="I163" s="2"/>
      <c r="J163" s="2"/>
      <c r="K163" s="2"/>
    </row>
    <row r="164" spans="1:11" s="192" customFormat="1" x14ac:dyDescent="0.2">
      <c r="A164" s="283"/>
      <c r="B164" s="283"/>
      <c r="C164" s="2"/>
      <c r="D164" s="2">
        <f>SUM(D162:D163)</f>
        <v>5300</v>
      </c>
      <c r="E164" s="2"/>
      <c r="F164" s="2"/>
      <c r="G164" s="2"/>
      <c r="H164" s="2"/>
      <c r="I164" s="2"/>
      <c r="J164" s="2"/>
      <c r="K164" s="2"/>
    </row>
    <row r="165" spans="1:11" s="192" customFormat="1" x14ac:dyDescent="0.2">
      <c r="A165" s="283"/>
      <c r="B165" s="283"/>
      <c r="C165" s="2"/>
      <c r="D165" s="3"/>
      <c r="E165" s="2"/>
      <c r="F165" s="2"/>
      <c r="G165" s="2"/>
      <c r="H165" s="2"/>
      <c r="I165" s="2"/>
      <c r="J165" s="2"/>
      <c r="K165" s="2"/>
    </row>
    <row r="166" spans="1:11" s="192" customFormat="1" ht="13.5" x14ac:dyDescent="0.25">
      <c r="A166" s="286" t="s">
        <v>466</v>
      </c>
      <c r="B166" s="283"/>
      <c r="C166" s="2"/>
      <c r="D166" s="2"/>
      <c r="E166" s="2">
        <v>0</v>
      </c>
      <c r="F166" s="2">
        <v>300</v>
      </c>
      <c r="G166" s="2">
        <v>300</v>
      </c>
      <c r="H166" s="2">
        <v>300</v>
      </c>
      <c r="I166" s="2">
        <v>300</v>
      </c>
      <c r="J166" s="2">
        <v>300</v>
      </c>
      <c r="K166" s="2"/>
    </row>
    <row r="167" spans="1:11" x14ac:dyDescent="0.2">
      <c r="A167" s="283" t="s">
        <v>1648</v>
      </c>
      <c r="B167" s="283"/>
      <c r="C167" s="2"/>
      <c r="D167" s="2">
        <v>300</v>
      </c>
      <c r="E167" s="2"/>
      <c r="F167" s="283"/>
      <c r="G167" s="283"/>
      <c r="H167" s="267"/>
      <c r="I167" s="316"/>
      <c r="J167" s="316"/>
      <c r="K167" s="2"/>
    </row>
    <row r="168" spans="1:11" x14ac:dyDescent="0.2">
      <c r="A168" s="283"/>
      <c r="B168" s="283"/>
      <c r="C168" s="2"/>
      <c r="E168" s="2"/>
      <c r="F168" s="2"/>
      <c r="G168" s="2"/>
      <c r="I168" s="2"/>
      <c r="J168" s="2"/>
      <c r="K168" s="2"/>
    </row>
    <row r="169" spans="1:11" ht="13.5" x14ac:dyDescent="0.25">
      <c r="A169" s="286" t="s">
        <v>1951</v>
      </c>
      <c r="B169" s="283"/>
      <c r="C169" s="2"/>
      <c r="E169" s="2">
        <v>0</v>
      </c>
      <c r="F169" s="2">
        <v>0</v>
      </c>
      <c r="G169" s="2">
        <v>0</v>
      </c>
      <c r="H169" s="2">
        <v>0</v>
      </c>
      <c r="I169" s="2">
        <v>0</v>
      </c>
      <c r="J169" s="2">
        <v>0</v>
      </c>
      <c r="K169" s="2"/>
    </row>
    <row r="170" spans="1:11" x14ac:dyDescent="0.2">
      <c r="A170" s="283"/>
      <c r="B170" s="283"/>
      <c r="C170" s="2"/>
      <c r="D170" s="2">
        <v>0</v>
      </c>
      <c r="E170" s="2"/>
      <c r="F170" s="283"/>
      <c r="G170" s="283"/>
      <c r="H170" s="267"/>
      <c r="I170" s="316"/>
      <c r="J170" s="316"/>
      <c r="K170" s="2"/>
    </row>
    <row r="171" spans="1:11" x14ac:dyDescent="0.2">
      <c r="A171" s="283"/>
      <c r="B171" s="283"/>
      <c r="C171" s="2"/>
      <c r="E171" s="2"/>
      <c r="F171" s="2"/>
      <c r="G171" s="2"/>
      <c r="I171" s="2"/>
      <c r="J171" s="2"/>
      <c r="K171" s="2"/>
    </row>
    <row r="172" spans="1:11" ht="13.5" x14ac:dyDescent="0.25">
      <c r="A172" s="286" t="s">
        <v>1310</v>
      </c>
      <c r="B172" s="283"/>
      <c r="C172" s="2"/>
      <c r="E172" s="2">
        <v>0</v>
      </c>
      <c r="F172" s="2">
        <v>300</v>
      </c>
      <c r="G172" s="2">
        <v>150</v>
      </c>
      <c r="H172" s="2">
        <v>150</v>
      </c>
      <c r="I172" s="2">
        <v>150</v>
      </c>
      <c r="J172" s="2">
        <v>150</v>
      </c>
      <c r="K172" s="2"/>
    </row>
    <row r="173" spans="1:11" x14ac:dyDescent="0.2">
      <c r="A173" s="283" t="s">
        <v>108</v>
      </c>
      <c r="B173" s="283"/>
      <c r="C173" s="2"/>
      <c r="D173" s="2">
        <v>150</v>
      </c>
      <c r="E173" s="2"/>
      <c r="F173" s="283"/>
      <c r="G173" s="283"/>
      <c r="H173" s="267"/>
      <c r="I173" s="316"/>
      <c r="J173" s="316"/>
      <c r="K173" s="2"/>
    </row>
    <row r="174" spans="1:11" x14ac:dyDescent="0.2">
      <c r="A174" s="283"/>
      <c r="B174" s="283"/>
      <c r="C174" s="2"/>
      <c r="E174" s="2"/>
      <c r="F174" s="2"/>
      <c r="G174" s="2"/>
      <c r="I174" s="2"/>
      <c r="J174" s="2"/>
      <c r="K174" s="2"/>
    </row>
    <row r="175" spans="1:11" ht="13.5" x14ac:dyDescent="0.25">
      <c r="A175" s="286" t="s">
        <v>1180</v>
      </c>
      <c r="B175" s="2"/>
      <c r="C175" s="283"/>
      <c r="E175" s="2">
        <v>708789</v>
      </c>
      <c r="F175" s="2">
        <v>839550</v>
      </c>
      <c r="G175" s="2">
        <v>765238</v>
      </c>
      <c r="H175" s="2">
        <v>765238</v>
      </c>
      <c r="I175" s="2">
        <v>765238</v>
      </c>
      <c r="J175" s="2">
        <v>765238</v>
      </c>
      <c r="K175" s="2"/>
    </row>
    <row r="176" spans="1:11" x14ac:dyDescent="0.2">
      <c r="A176" s="29" t="s">
        <v>2002</v>
      </c>
      <c r="B176" s="2">
        <v>6600</v>
      </c>
      <c r="C176" s="11">
        <f>(80.5*5.5+83*6.5)/12</f>
        <v>81.854166666666671</v>
      </c>
      <c r="D176" s="2">
        <f>B176*C176</f>
        <v>540237.5</v>
      </c>
      <c r="E176" s="2"/>
      <c r="F176" s="283"/>
      <c r="G176" s="283"/>
      <c r="H176" s="267"/>
      <c r="I176" s="316"/>
      <c r="J176" s="316"/>
      <c r="K176" s="2"/>
    </row>
    <row r="177" spans="1:11" ht="15" x14ac:dyDescent="0.35">
      <c r="A177" s="283" t="s">
        <v>2097</v>
      </c>
      <c r="B177" s="2">
        <v>1500</v>
      </c>
      <c r="C177" s="11">
        <v>150</v>
      </c>
      <c r="D177" s="10">
        <f>B177*C177</f>
        <v>225000</v>
      </c>
      <c r="E177" s="2"/>
      <c r="F177" s="283"/>
      <c r="G177" s="283"/>
      <c r="H177" s="267"/>
      <c r="I177" s="316"/>
      <c r="J177" s="316"/>
      <c r="K177" s="2"/>
    </row>
    <row r="178" spans="1:11" x14ac:dyDescent="0.2">
      <c r="A178" s="283" t="s">
        <v>1067</v>
      </c>
      <c r="B178" s="2"/>
      <c r="C178" s="11"/>
      <c r="D178" s="2">
        <f>SUM(D176:D177)</f>
        <v>765237.5</v>
      </c>
      <c r="E178" s="2"/>
      <c r="F178" s="283"/>
      <c r="G178" s="283"/>
      <c r="H178" s="267"/>
      <c r="I178" s="316"/>
      <c r="J178" s="316"/>
      <c r="K178" s="2"/>
    </row>
    <row r="179" spans="1:11" x14ac:dyDescent="0.2">
      <c r="A179" s="283"/>
      <c r="B179" s="2"/>
      <c r="C179" s="11"/>
      <c r="E179" s="2"/>
      <c r="F179" s="283"/>
      <c r="G179" s="283"/>
      <c r="H179" s="267"/>
      <c r="I179" s="316"/>
      <c r="J179" s="316"/>
      <c r="K179" s="2"/>
    </row>
    <row r="180" spans="1:11" ht="13.5" x14ac:dyDescent="0.25">
      <c r="A180" s="75" t="s">
        <v>1462</v>
      </c>
      <c r="B180" s="2"/>
      <c r="C180" s="11"/>
      <c r="E180" s="2">
        <v>142553</v>
      </c>
      <c r="F180" s="283">
        <v>0</v>
      </c>
      <c r="G180" s="2">
        <v>147125</v>
      </c>
      <c r="H180" s="2">
        <v>147125</v>
      </c>
      <c r="I180" s="2">
        <v>147125</v>
      </c>
      <c r="J180" s="2">
        <v>147125</v>
      </c>
      <c r="K180" s="2"/>
    </row>
    <row r="181" spans="1:11" ht="25.5" x14ac:dyDescent="0.2">
      <c r="A181" s="29" t="s">
        <v>2003</v>
      </c>
      <c r="B181" s="2">
        <v>1500</v>
      </c>
      <c r="C181" s="11">
        <f>(97*5.5+99*6.5)/12</f>
        <v>98.083333333333329</v>
      </c>
      <c r="D181" s="2">
        <f>B181*C181</f>
        <v>147125</v>
      </c>
      <c r="E181" s="2"/>
      <c r="F181" s="283"/>
      <c r="G181" s="283"/>
      <c r="H181" s="267"/>
      <c r="I181" s="316"/>
      <c r="J181" s="316"/>
      <c r="K181" s="2"/>
    </row>
    <row r="182" spans="1:11" x14ac:dyDescent="0.2">
      <c r="A182" s="283"/>
      <c r="B182" s="2"/>
      <c r="C182" s="11"/>
      <c r="E182" s="2"/>
      <c r="F182" s="283"/>
      <c r="G182" s="283"/>
      <c r="H182" s="267"/>
      <c r="I182" s="316"/>
      <c r="J182" s="316"/>
      <c r="K182" s="2"/>
    </row>
    <row r="183" spans="1:11" ht="13.5" x14ac:dyDescent="0.25">
      <c r="A183" s="286" t="s">
        <v>1311</v>
      </c>
      <c r="B183" s="283"/>
      <c r="C183" s="283"/>
      <c r="E183" s="2">
        <v>9220</v>
      </c>
      <c r="F183" s="2">
        <v>20340</v>
      </c>
      <c r="G183" s="2">
        <v>20340</v>
      </c>
      <c r="H183" s="2">
        <v>20340</v>
      </c>
      <c r="I183" s="2">
        <v>20340</v>
      </c>
      <c r="J183" s="2">
        <v>20340</v>
      </c>
      <c r="K183" s="2"/>
    </row>
    <row r="184" spans="1:11" x14ac:dyDescent="0.2">
      <c r="A184" s="283" t="s">
        <v>1265</v>
      </c>
      <c r="B184" s="283"/>
      <c r="C184" s="283"/>
      <c r="D184" s="7">
        <v>500</v>
      </c>
      <c r="E184" s="283"/>
      <c r="F184" s="283"/>
      <c r="G184" s="283"/>
      <c r="H184" s="267"/>
      <c r="I184" s="316"/>
      <c r="J184" s="316"/>
      <c r="K184" s="2"/>
    </row>
    <row r="185" spans="1:11" x14ac:dyDescent="0.2">
      <c r="A185" s="283" t="s">
        <v>1266</v>
      </c>
      <c r="B185" s="283"/>
      <c r="C185" s="2"/>
      <c r="D185" s="2">
        <v>300</v>
      </c>
      <c r="E185" s="2"/>
      <c r="F185" s="2"/>
      <c r="G185" s="2"/>
      <c r="I185" s="2"/>
      <c r="J185" s="2"/>
      <c r="K185" s="2"/>
    </row>
    <row r="186" spans="1:11" x14ac:dyDescent="0.2">
      <c r="A186" s="283" t="s">
        <v>1267</v>
      </c>
      <c r="B186" s="283"/>
      <c r="C186" s="2"/>
      <c r="D186" s="2">
        <v>200</v>
      </c>
      <c r="E186" s="2"/>
      <c r="F186" s="2"/>
      <c r="G186" s="2"/>
      <c r="I186" s="2"/>
      <c r="J186" s="2"/>
      <c r="K186" s="2"/>
    </row>
    <row r="187" spans="1:11" x14ac:dyDescent="0.2">
      <c r="A187" s="283" t="s">
        <v>819</v>
      </c>
      <c r="B187" s="283"/>
      <c r="C187" s="2"/>
      <c r="D187" s="2">
        <v>840</v>
      </c>
      <c r="E187" s="2"/>
      <c r="F187" s="2"/>
      <c r="G187" s="2"/>
      <c r="I187" s="2"/>
      <c r="J187" s="2"/>
      <c r="K187" s="2"/>
    </row>
    <row r="188" spans="1:11" x14ac:dyDescent="0.2">
      <c r="A188" s="283" t="s">
        <v>509</v>
      </c>
      <c r="B188" s="283"/>
      <c r="C188" s="2"/>
      <c r="D188" s="2">
        <v>500</v>
      </c>
      <c r="E188" s="2"/>
      <c r="F188" s="283"/>
      <c r="G188" s="283"/>
      <c r="H188" s="267"/>
      <c r="I188" s="316"/>
      <c r="J188" s="316"/>
      <c r="K188" s="2"/>
    </row>
    <row r="189" spans="1:11" x14ac:dyDescent="0.2">
      <c r="A189" s="283" t="s">
        <v>1028</v>
      </c>
      <c r="B189" s="283"/>
      <c r="C189" s="2"/>
      <c r="D189" s="3">
        <v>3000</v>
      </c>
      <c r="E189" s="2"/>
      <c r="F189" s="2"/>
      <c r="G189" s="2"/>
      <c r="I189" s="2"/>
      <c r="J189" s="2"/>
      <c r="K189" s="2"/>
    </row>
    <row r="190" spans="1:11" ht="15" x14ac:dyDescent="0.35">
      <c r="A190" s="283" t="s">
        <v>1791</v>
      </c>
      <c r="B190" s="283"/>
      <c r="C190" s="2"/>
      <c r="D190" s="10">
        <v>15000</v>
      </c>
      <c r="E190" s="2"/>
      <c r="F190" s="2"/>
      <c r="G190" s="2"/>
      <c r="I190" s="2"/>
      <c r="J190" s="2"/>
      <c r="K190" s="2"/>
    </row>
    <row r="191" spans="1:11" ht="15" x14ac:dyDescent="0.35">
      <c r="A191" s="283" t="s">
        <v>1067</v>
      </c>
      <c r="B191" s="283"/>
      <c r="C191" s="10"/>
      <c r="D191" s="2">
        <f>SUM(D184:D190)</f>
        <v>20340</v>
      </c>
      <c r="E191" s="2"/>
      <c r="F191" s="283"/>
      <c r="G191" s="283"/>
      <c r="H191" s="267"/>
      <c r="I191" s="316"/>
      <c r="J191" s="316"/>
      <c r="K191" s="2"/>
    </row>
    <row r="192" spans="1:11" x14ac:dyDescent="0.2">
      <c r="A192" s="283"/>
      <c r="B192" s="283"/>
      <c r="C192" s="2"/>
      <c r="E192" s="2"/>
      <c r="F192" s="283"/>
      <c r="G192" s="283"/>
      <c r="H192" s="267"/>
      <c r="I192" s="316"/>
      <c r="J192" s="316"/>
      <c r="K192" s="2"/>
    </row>
    <row r="193" spans="1:11" ht="13.5" x14ac:dyDescent="0.25">
      <c r="A193" s="286" t="s">
        <v>602</v>
      </c>
      <c r="B193" s="283"/>
      <c r="C193" s="2"/>
      <c r="E193" s="2">
        <v>29373</v>
      </c>
      <c r="F193" s="2">
        <v>42000</v>
      </c>
      <c r="G193" s="2">
        <v>42000</v>
      </c>
      <c r="H193" s="2">
        <v>42000</v>
      </c>
      <c r="I193" s="2">
        <v>42000</v>
      </c>
      <c r="J193" s="2">
        <v>42000</v>
      </c>
      <c r="K193" s="2"/>
    </row>
    <row r="194" spans="1:11" x14ac:dyDescent="0.2">
      <c r="A194" s="283" t="s">
        <v>1343</v>
      </c>
      <c r="B194" s="283"/>
      <c r="C194" s="2"/>
      <c r="D194" s="2">
        <v>12000</v>
      </c>
      <c r="E194" s="2"/>
      <c r="F194" s="2"/>
      <c r="G194" s="2"/>
      <c r="I194" s="2"/>
      <c r="J194" s="2"/>
      <c r="K194" s="2"/>
    </row>
    <row r="195" spans="1:11" x14ac:dyDescent="0.2">
      <c r="A195" s="283" t="s">
        <v>1344</v>
      </c>
      <c r="B195" s="283"/>
      <c r="C195" s="2"/>
      <c r="D195" s="2">
        <v>26000</v>
      </c>
      <c r="E195" s="2"/>
      <c r="F195" s="2"/>
      <c r="G195" s="2"/>
      <c r="I195" s="2"/>
      <c r="J195" s="2"/>
      <c r="K195" s="2"/>
    </row>
    <row r="196" spans="1:11" ht="15" x14ac:dyDescent="0.35">
      <c r="A196" s="283" t="s">
        <v>1345</v>
      </c>
      <c r="B196" s="283"/>
      <c r="C196" s="2"/>
      <c r="D196" s="10">
        <v>4000</v>
      </c>
      <c r="E196" s="2"/>
      <c r="F196" s="2"/>
      <c r="G196" s="2"/>
      <c r="I196" s="2"/>
      <c r="J196" s="2"/>
      <c r="K196" s="2"/>
    </row>
    <row r="197" spans="1:11" x14ac:dyDescent="0.2">
      <c r="A197" s="283"/>
      <c r="B197" s="283"/>
      <c r="C197" s="2"/>
      <c r="D197" s="2">
        <f>SUM(D194:D196)</f>
        <v>42000</v>
      </c>
      <c r="E197" s="2"/>
      <c r="F197" s="2"/>
      <c r="G197" s="2"/>
      <c r="I197" s="2"/>
      <c r="J197" s="2"/>
      <c r="K197" s="2"/>
    </row>
    <row r="198" spans="1:11" ht="13.5" x14ac:dyDescent="0.25">
      <c r="A198" s="286"/>
      <c r="B198" s="2"/>
      <c r="C198" s="11"/>
      <c r="E198" s="2"/>
      <c r="F198" s="283"/>
      <c r="G198" s="283"/>
      <c r="H198" s="267"/>
      <c r="I198" s="316"/>
      <c r="J198" s="316"/>
      <c r="K198" s="2"/>
    </row>
    <row r="199" spans="1:11" ht="13.5" x14ac:dyDescent="0.25">
      <c r="A199" s="286" t="s">
        <v>1312</v>
      </c>
      <c r="B199" s="283"/>
      <c r="C199" s="2"/>
      <c r="E199" s="2">
        <v>26633</v>
      </c>
      <c r="F199" s="2">
        <v>76700</v>
      </c>
      <c r="G199" s="2">
        <v>76700</v>
      </c>
      <c r="H199" s="2">
        <v>76700</v>
      </c>
      <c r="I199" s="2">
        <v>76700</v>
      </c>
      <c r="J199" s="2">
        <v>76700</v>
      </c>
      <c r="K199" s="2"/>
    </row>
    <row r="200" spans="1:11" x14ac:dyDescent="0.2">
      <c r="A200" s="283" t="s">
        <v>31</v>
      </c>
      <c r="B200" s="283"/>
      <c r="C200" s="2"/>
      <c r="D200" s="2">
        <v>15000</v>
      </c>
      <c r="E200" s="2"/>
      <c r="F200" s="2"/>
      <c r="G200" s="2"/>
      <c r="I200" s="2"/>
      <c r="J200" s="2"/>
      <c r="K200" s="2"/>
    </row>
    <row r="201" spans="1:11" x14ac:dyDescent="0.2">
      <c r="A201" s="283" t="s">
        <v>820</v>
      </c>
      <c r="B201" s="283"/>
      <c r="C201" s="2"/>
      <c r="D201" s="2">
        <v>7700</v>
      </c>
      <c r="E201" s="2"/>
      <c r="F201" s="2"/>
      <c r="G201" s="2"/>
      <c r="I201" s="2"/>
      <c r="J201" s="2"/>
      <c r="K201" s="2"/>
    </row>
    <row r="202" spans="1:11" x14ac:dyDescent="0.2">
      <c r="A202" s="283" t="s">
        <v>390</v>
      </c>
      <c r="B202" s="283"/>
      <c r="C202" s="2"/>
      <c r="D202" s="2">
        <v>30000</v>
      </c>
      <c r="E202" s="2"/>
      <c r="F202" s="2"/>
      <c r="G202" s="2"/>
      <c r="I202" s="2"/>
      <c r="J202" s="2"/>
      <c r="K202" s="2"/>
    </row>
    <row r="203" spans="1:11" x14ac:dyDescent="0.2">
      <c r="A203" s="283" t="s">
        <v>85</v>
      </c>
      <c r="B203" s="283"/>
      <c r="C203" s="2"/>
      <c r="D203" s="2">
        <v>19000</v>
      </c>
      <c r="E203" s="2"/>
      <c r="F203" s="2"/>
      <c r="G203" s="2"/>
      <c r="I203" s="2"/>
      <c r="J203" s="2"/>
      <c r="K203" s="2"/>
    </row>
    <row r="204" spans="1:11" x14ac:dyDescent="0.2">
      <c r="A204" s="283" t="s">
        <v>1416</v>
      </c>
      <c r="B204" s="283"/>
      <c r="C204" s="2"/>
      <c r="D204" s="2">
        <v>4000</v>
      </c>
      <c r="E204" s="2"/>
      <c r="F204" s="2"/>
      <c r="G204" s="2"/>
      <c r="I204" s="2"/>
      <c r="J204" s="2"/>
      <c r="K204" s="2"/>
    </row>
    <row r="205" spans="1:11" ht="15" x14ac:dyDescent="0.35">
      <c r="A205" s="283" t="s">
        <v>1934</v>
      </c>
      <c r="B205" s="283"/>
      <c r="C205" s="2"/>
      <c r="D205" s="10">
        <v>1000</v>
      </c>
      <c r="E205" s="2"/>
      <c r="F205" s="2"/>
      <c r="G205" s="2"/>
      <c r="I205" s="2"/>
      <c r="J205" s="2"/>
      <c r="K205" s="2"/>
    </row>
    <row r="206" spans="1:11" ht="15" x14ac:dyDescent="0.35">
      <c r="A206" s="283" t="s">
        <v>1067</v>
      </c>
      <c r="B206" s="283"/>
      <c r="C206" s="10"/>
      <c r="D206" s="2">
        <f>SUM(D200:D205)</f>
        <v>76700</v>
      </c>
      <c r="E206" s="2"/>
      <c r="F206" s="2"/>
      <c r="G206" s="2"/>
      <c r="I206" s="2"/>
      <c r="J206" s="2"/>
      <c r="K206" s="2"/>
    </row>
    <row r="207" spans="1:11" ht="15" x14ac:dyDescent="0.35">
      <c r="A207" s="283"/>
      <c r="B207" s="283"/>
      <c r="C207" s="10"/>
      <c r="E207" s="2"/>
      <c r="F207" s="2"/>
      <c r="G207" s="2"/>
      <c r="I207" s="2"/>
      <c r="J207" s="2"/>
      <c r="K207" s="2"/>
    </row>
    <row r="208" spans="1:11" ht="15" x14ac:dyDescent="0.35">
      <c r="A208" s="286" t="s">
        <v>1673</v>
      </c>
      <c r="B208" s="283"/>
      <c r="C208" s="10"/>
      <c r="E208" s="2">
        <v>302</v>
      </c>
      <c r="F208" s="2">
        <v>250</v>
      </c>
      <c r="G208" s="2">
        <v>250</v>
      </c>
      <c r="H208" s="2">
        <v>250</v>
      </c>
      <c r="I208" s="2">
        <v>250</v>
      </c>
      <c r="J208" s="2">
        <v>250</v>
      </c>
      <c r="K208" s="2"/>
    </row>
    <row r="209" spans="1:11" ht="15" x14ac:dyDescent="0.35">
      <c r="A209" s="22" t="s">
        <v>2004</v>
      </c>
      <c r="B209" s="283"/>
      <c r="C209" s="10"/>
      <c r="D209" s="2">
        <v>250</v>
      </c>
      <c r="E209" s="2"/>
      <c r="F209" s="2"/>
      <c r="G209" s="2"/>
      <c r="I209" s="2"/>
      <c r="J209" s="2"/>
      <c r="K209" s="2"/>
    </row>
    <row r="210" spans="1:11" x14ac:dyDescent="0.2">
      <c r="A210" s="283"/>
      <c r="B210" s="283"/>
      <c r="C210" s="2"/>
      <c r="E210" s="2"/>
      <c r="F210" s="283"/>
      <c r="G210" s="283"/>
      <c r="H210" s="267"/>
      <c r="I210" s="316"/>
      <c r="J210" s="316"/>
      <c r="K210" s="2"/>
    </row>
    <row r="211" spans="1:11" ht="13.5" x14ac:dyDescent="0.25">
      <c r="A211" s="50" t="s">
        <v>1534</v>
      </c>
      <c r="B211" s="283"/>
      <c r="C211" s="2"/>
      <c r="E211" s="2">
        <v>1342</v>
      </c>
      <c r="F211" s="2">
        <v>2000</v>
      </c>
      <c r="G211" s="2">
        <v>97000</v>
      </c>
      <c r="H211" s="2">
        <v>97000</v>
      </c>
      <c r="I211" s="2">
        <v>97000</v>
      </c>
      <c r="J211" s="2">
        <v>97000</v>
      </c>
      <c r="K211" s="2"/>
    </row>
    <row r="212" spans="1:11" x14ac:dyDescent="0.2">
      <c r="A212" s="283" t="s">
        <v>2005</v>
      </c>
      <c r="B212" s="283"/>
      <c r="C212" s="2"/>
      <c r="D212" s="2">
        <v>95000</v>
      </c>
      <c r="E212" s="2"/>
      <c r="F212" s="2"/>
      <c r="G212" s="2"/>
      <c r="I212" s="2"/>
      <c r="J212" s="2"/>
      <c r="K212" s="2"/>
    </row>
    <row r="213" spans="1:11" ht="15" x14ac:dyDescent="0.35">
      <c r="A213" s="283" t="s">
        <v>2006</v>
      </c>
      <c r="B213" s="283"/>
      <c r="C213" s="2"/>
      <c r="D213" s="10">
        <v>2000</v>
      </c>
      <c r="E213" s="2"/>
      <c r="F213" s="2"/>
      <c r="G213" s="2"/>
      <c r="I213" s="2"/>
      <c r="J213" s="2"/>
      <c r="K213" s="2"/>
    </row>
    <row r="214" spans="1:11" ht="15" x14ac:dyDescent="0.35">
      <c r="A214" s="283"/>
      <c r="B214" s="283"/>
      <c r="C214" s="10"/>
      <c r="D214" s="2">
        <f>SUM(D212:D213)</f>
        <v>97000</v>
      </c>
      <c r="E214" s="2"/>
      <c r="F214" s="2"/>
      <c r="G214" s="2"/>
      <c r="I214" s="2"/>
      <c r="J214" s="2"/>
      <c r="K214" s="2"/>
    </row>
    <row r="215" spans="1:11" ht="13.5" x14ac:dyDescent="0.25">
      <c r="A215" s="50" t="s">
        <v>1503</v>
      </c>
      <c r="B215" s="283"/>
      <c r="C215" s="2"/>
      <c r="E215" s="2"/>
      <c r="F215" s="2">
        <v>0</v>
      </c>
      <c r="G215" s="2">
        <v>0</v>
      </c>
      <c r="H215" s="2">
        <v>0</v>
      </c>
      <c r="I215" s="2">
        <v>0</v>
      </c>
      <c r="J215" s="2">
        <v>0</v>
      </c>
      <c r="K215" s="2"/>
    </row>
    <row r="216" spans="1:11" ht="13.5" x14ac:dyDescent="0.25">
      <c r="A216" s="50"/>
      <c r="B216" s="283"/>
      <c r="C216" s="2"/>
      <c r="E216" s="2"/>
      <c r="F216" s="283"/>
      <c r="G216" s="283"/>
      <c r="H216" s="267"/>
      <c r="I216" s="316"/>
      <c r="J216" s="316"/>
      <c r="K216" s="2"/>
    </row>
    <row r="217" spans="1:11" ht="13.5" x14ac:dyDescent="0.25">
      <c r="A217" s="286" t="s">
        <v>1461</v>
      </c>
      <c r="B217" s="283"/>
      <c r="C217" s="2"/>
      <c r="E217" s="2">
        <v>439</v>
      </c>
      <c r="F217" s="2">
        <v>0</v>
      </c>
      <c r="G217" s="2">
        <v>0</v>
      </c>
      <c r="H217" s="2">
        <v>0</v>
      </c>
      <c r="I217" s="2">
        <v>0</v>
      </c>
      <c r="J217" s="2">
        <v>0</v>
      </c>
      <c r="K217" s="2"/>
    </row>
    <row r="218" spans="1:11" x14ac:dyDescent="0.2">
      <c r="A218" s="283"/>
      <c r="B218" s="283"/>
      <c r="C218" s="2"/>
      <c r="E218" s="2"/>
      <c r="F218" s="283"/>
      <c r="G218" s="283"/>
      <c r="H218" s="267"/>
      <c r="I218" s="316"/>
      <c r="J218" s="316"/>
      <c r="K218" s="2"/>
    </row>
    <row r="219" spans="1:11" ht="13.5" x14ac:dyDescent="0.25">
      <c r="A219" s="286" t="s">
        <v>2037</v>
      </c>
      <c r="B219" s="283"/>
      <c r="C219" s="2"/>
      <c r="E219" s="2">
        <v>0</v>
      </c>
      <c r="F219" s="111">
        <v>0</v>
      </c>
      <c r="G219" s="111">
        <v>20000</v>
      </c>
      <c r="H219" s="111">
        <v>0</v>
      </c>
      <c r="I219" s="111">
        <v>0</v>
      </c>
      <c r="J219" s="111">
        <v>0</v>
      </c>
      <c r="K219" s="2"/>
    </row>
    <row r="220" spans="1:11" s="206" customFormat="1" x14ac:dyDescent="0.2">
      <c r="A220" s="22" t="s">
        <v>2015</v>
      </c>
      <c r="B220" s="283"/>
      <c r="C220" s="2"/>
      <c r="D220" s="2">
        <v>20000</v>
      </c>
      <c r="E220" s="2"/>
      <c r="F220" s="283"/>
      <c r="G220" s="283"/>
      <c r="H220" s="229"/>
      <c r="I220" s="316"/>
      <c r="J220" s="316"/>
      <c r="K220" s="2"/>
    </row>
    <row r="221" spans="1:11" s="206" customFormat="1" ht="13.5" x14ac:dyDescent="0.25">
      <c r="A221" s="286"/>
      <c r="B221" s="283"/>
      <c r="C221" s="2"/>
      <c r="D221" s="2"/>
      <c r="E221" s="2"/>
      <c r="F221" s="283"/>
      <c r="G221" s="283"/>
      <c r="H221" s="229"/>
      <c r="I221" s="316"/>
      <c r="J221" s="316"/>
      <c r="K221" s="2"/>
    </row>
    <row r="222" spans="1:11" ht="13.5" x14ac:dyDescent="0.25">
      <c r="A222" s="286" t="s">
        <v>718</v>
      </c>
      <c r="B222" s="2"/>
      <c r="C222" s="2"/>
      <c r="E222" s="2"/>
      <c r="F222" s="283"/>
      <c r="G222" s="283"/>
      <c r="H222" s="229"/>
      <c r="I222" s="316"/>
      <c r="J222" s="316"/>
      <c r="K222" s="2"/>
    </row>
    <row r="223" spans="1:11" ht="15" x14ac:dyDescent="0.35">
      <c r="A223" s="283" t="s">
        <v>963</v>
      </c>
      <c r="B223" s="2"/>
      <c r="C223" s="2">
        <v>100000</v>
      </c>
      <c r="E223" s="264">
        <v>125000</v>
      </c>
      <c r="F223" s="264">
        <v>100000</v>
      </c>
      <c r="G223" s="264">
        <v>100000</v>
      </c>
      <c r="H223" s="264">
        <v>100000</v>
      </c>
      <c r="I223" s="264">
        <v>100000</v>
      </c>
      <c r="J223" s="264">
        <v>100000</v>
      </c>
      <c r="K223" s="229"/>
    </row>
    <row r="224" spans="1:11" x14ac:dyDescent="0.2">
      <c r="A224" s="283"/>
      <c r="B224" s="283"/>
      <c r="C224" s="283"/>
      <c r="E224" s="283"/>
      <c r="F224" s="283"/>
      <c r="G224" s="283"/>
      <c r="H224" s="229"/>
      <c r="I224" s="229"/>
      <c r="J224" s="229"/>
      <c r="K224" s="229"/>
    </row>
    <row r="225" spans="1:11" x14ac:dyDescent="0.2">
      <c r="A225" s="229" t="s">
        <v>417</v>
      </c>
      <c r="B225" s="229"/>
      <c r="C225" s="229"/>
      <c r="E225" s="2">
        <f>SUM(E6:E224)</f>
        <v>1815093</v>
      </c>
      <c r="F225" s="2">
        <f t="shared" ref="F225:I225" si="1">SUM(F6:F224)</f>
        <v>1849661</v>
      </c>
      <c r="G225" s="2">
        <f t="shared" si="1"/>
        <v>2077784</v>
      </c>
      <c r="H225" s="2">
        <f t="shared" si="1"/>
        <v>2057784</v>
      </c>
      <c r="I225" s="2">
        <f t="shared" si="1"/>
        <v>2057784</v>
      </c>
      <c r="J225" s="2">
        <f>SUM(J6:J224)</f>
        <v>2072198</v>
      </c>
      <c r="K225" s="229"/>
    </row>
    <row r="226" spans="1:11" x14ac:dyDescent="0.2">
      <c r="A226" s="229"/>
      <c r="B226" s="229"/>
      <c r="C226" s="229"/>
      <c r="E226" s="229"/>
      <c r="F226" s="229"/>
      <c r="G226" s="229"/>
      <c r="H226" s="229"/>
      <c r="I226" s="229"/>
      <c r="J226" s="2"/>
      <c r="K226" s="229"/>
    </row>
    <row r="227" spans="1:11" x14ac:dyDescent="0.2">
      <c r="A227" s="229"/>
      <c r="B227" s="229"/>
      <c r="C227" s="229"/>
      <c r="E227" s="229"/>
      <c r="F227" s="229"/>
      <c r="G227" s="229"/>
      <c r="H227" s="229"/>
      <c r="I227" s="229"/>
      <c r="J227" s="2"/>
      <c r="K227" s="229"/>
    </row>
    <row r="228" spans="1:11" x14ac:dyDescent="0.2">
      <c r="A228" s="229" t="s">
        <v>511</v>
      </c>
      <c r="B228" s="229"/>
      <c r="C228" s="229"/>
      <c r="E228" s="2">
        <f t="shared" ref="E228:J228" si="2">SUM(E6:E82)</f>
        <v>608399</v>
      </c>
      <c r="F228" s="2">
        <f t="shared" si="2"/>
        <v>600622</v>
      </c>
      <c r="G228" s="2">
        <f t="shared" si="2"/>
        <v>614761</v>
      </c>
      <c r="H228" s="2">
        <f t="shared" si="2"/>
        <v>614761</v>
      </c>
      <c r="I228" s="2">
        <f t="shared" si="2"/>
        <v>614761</v>
      </c>
      <c r="J228" s="2">
        <f t="shared" si="2"/>
        <v>629175</v>
      </c>
      <c r="K228" s="229"/>
    </row>
    <row r="229" spans="1:11" x14ac:dyDescent="0.2">
      <c r="A229" s="229" t="s">
        <v>803</v>
      </c>
      <c r="B229" s="229"/>
      <c r="C229" s="229"/>
      <c r="E229" s="2">
        <f>SUM(E84:E208)</f>
        <v>1079913</v>
      </c>
      <c r="F229" s="2">
        <f>SUM(F84:F209)</f>
        <v>1147039</v>
      </c>
      <c r="G229" s="2">
        <f>SUM(G84:G208)</f>
        <v>1246023</v>
      </c>
      <c r="H229" s="2">
        <f>SUM(H84:H208)</f>
        <v>1246023</v>
      </c>
      <c r="I229" s="2">
        <f>SUM(I84:I208)</f>
        <v>1246023</v>
      </c>
      <c r="J229" s="2">
        <f>SUM(J84:J208)</f>
        <v>1246023</v>
      </c>
      <c r="K229" s="229"/>
    </row>
    <row r="230" spans="1:11" ht="15" x14ac:dyDescent="0.35">
      <c r="A230" s="229" t="s">
        <v>804</v>
      </c>
      <c r="B230" s="229"/>
      <c r="C230" s="229"/>
      <c r="E230" s="10">
        <f>SUM(E209:E224)</f>
        <v>126781</v>
      </c>
      <c r="F230" s="10">
        <f>SUM(F209:F224)</f>
        <v>102000</v>
      </c>
      <c r="G230" s="10">
        <f>SUM(G210:G224)</f>
        <v>217000</v>
      </c>
      <c r="H230" s="10">
        <f>SUM(H210:H223)</f>
        <v>197000</v>
      </c>
      <c r="I230" s="10">
        <f>SUM(I210:I223)</f>
        <v>197000</v>
      </c>
      <c r="J230" s="10">
        <f>SUM(J211:J224)</f>
        <v>197000</v>
      </c>
      <c r="K230" s="229"/>
    </row>
    <row r="231" spans="1:11" x14ac:dyDescent="0.2">
      <c r="A231" s="229" t="s">
        <v>1067</v>
      </c>
      <c r="B231" s="229"/>
      <c r="C231" s="229"/>
      <c r="E231" s="2">
        <f t="shared" ref="E231:J231" si="3">SUM(E228:E230)</f>
        <v>1815093</v>
      </c>
      <c r="F231" s="2">
        <f t="shared" si="3"/>
        <v>1849661</v>
      </c>
      <c r="G231" s="2">
        <f>SUM(G228:G230)</f>
        <v>2077784</v>
      </c>
      <c r="H231" s="2">
        <f>SUM(H228:H230)</f>
        <v>2057784</v>
      </c>
      <c r="I231" s="2">
        <f>SUM(I228:I230)</f>
        <v>2057784</v>
      </c>
      <c r="J231" s="2">
        <f t="shared" si="3"/>
        <v>2072198</v>
      </c>
      <c r="K231" s="229"/>
    </row>
    <row r="232" spans="1:11" s="318" customFormat="1" x14ac:dyDescent="0.2">
      <c r="D232" s="2"/>
      <c r="E232" s="2"/>
      <c r="F232" s="2"/>
      <c r="G232" s="2"/>
      <c r="H232" s="2"/>
      <c r="I232" s="2"/>
      <c r="J232" s="2"/>
    </row>
    <row r="233" spans="1:11" x14ac:dyDescent="0.2">
      <c r="A233" s="229"/>
      <c r="B233" s="229"/>
      <c r="C233" s="229"/>
      <c r="E233" s="229"/>
      <c r="F233" s="229"/>
      <c r="G233" s="229"/>
      <c r="H233" s="229"/>
      <c r="I233" s="229"/>
      <c r="J233" s="111">
        <v>14414</v>
      </c>
      <c r="K233" s="229"/>
    </row>
    <row r="234" spans="1:11" x14ac:dyDescent="0.2">
      <c r="A234" s="229"/>
      <c r="B234" s="229"/>
      <c r="C234" s="229"/>
      <c r="E234" s="229"/>
      <c r="F234" s="229"/>
      <c r="G234" s="229"/>
      <c r="H234" s="229"/>
      <c r="I234" s="229"/>
      <c r="J234" s="111">
        <f>+J231-I231</f>
        <v>14414</v>
      </c>
      <c r="K234" s="229"/>
    </row>
    <row r="235" spans="1:11" x14ac:dyDescent="0.2">
      <c r="A235" s="229"/>
      <c r="B235" s="229"/>
      <c r="C235" s="229"/>
      <c r="E235" s="229"/>
      <c r="F235" s="229"/>
      <c r="G235" s="229"/>
      <c r="H235" s="229"/>
      <c r="I235" s="229"/>
      <c r="J235" s="2">
        <f>J233-J234</f>
        <v>0</v>
      </c>
      <c r="K235" s="229"/>
    </row>
    <row r="236" spans="1:11" x14ac:dyDescent="0.2">
      <c r="A236" s="229"/>
      <c r="B236" s="229"/>
      <c r="C236" s="229"/>
      <c r="E236" s="229"/>
      <c r="F236" s="229"/>
      <c r="G236" s="229"/>
      <c r="H236" s="229"/>
      <c r="I236" s="229"/>
      <c r="J236" s="229"/>
      <c r="K236" s="229"/>
    </row>
    <row r="237" spans="1:11" x14ac:dyDescent="0.2">
      <c r="A237" s="229"/>
      <c r="B237" s="229"/>
      <c r="C237" s="229"/>
      <c r="E237" s="229"/>
      <c r="F237" s="229"/>
      <c r="G237" s="229"/>
      <c r="H237" s="229"/>
      <c r="I237" s="229"/>
      <c r="J237" s="229"/>
      <c r="K237" s="229"/>
    </row>
    <row r="238" spans="1:11" x14ac:dyDescent="0.2">
      <c r="A238" s="229"/>
      <c r="B238" s="229"/>
      <c r="C238" s="229"/>
      <c r="E238" s="229"/>
      <c r="F238" s="229"/>
      <c r="G238" s="229"/>
      <c r="H238" s="229"/>
      <c r="I238" s="229"/>
      <c r="J238" s="229"/>
      <c r="K238" s="229"/>
    </row>
    <row r="239" spans="1:11" x14ac:dyDescent="0.2">
      <c r="A239" s="229"/>
      <c r="B239" s="229"/>
      <c r="C239" s="229"/>
      <c r="E239" s="229"/>
      <c r="F239" s="229"/>
      <c r="G239" s="229"/>
      <c r="H239" s="229"/>
      <c r="I239" s="229"/>
      <c r="J239" s="229"/>
      <c r="K239" s="229"/>
    </row>
    <row r="240" spans="1:11" x14ac:dyDescent="0.2">
      <c r="A240" s="229"/>
      <c r="B240" s="229"/>
      <c r="C240" s="229"/>
      <c r="E240" s="229"/>
      <c r="F240" s="229"/>
      <c r="G240" s="229"/>
      <c r="H240" s="229"/>
      <c r="I240" s="229"/>
      <c r="J240" s="229"/>
      <c r="K240" s="229"/>
    </row>
    <row r="241" spans="1:11" x14ac:dyDescent="0.2">
      <c r="A241" s="229"/>
      <c r="B241" s="229"/>
      <c r="C241" s="229"/>
      <c r="E241" s="229"/>
      <c r="F241" s="229"/>
      <c r="G241" s="229"/>
      <c r="H241" s="229"/>
      <c r="I241" s="229"/>
      <c r="J241" s="229"/>
      <c r="K241" s="229"/>
    </row>
    <row r="242" spans="1:11" x14ac:dyDescent="0.2">
      <c r="A242" s="229"/>
      <c r="B242" s="229"/>
      <c r="C242" s="229"/>
      <c r="E242" s="229"/>
      <c r="F242" s="229"/>
      <c r="G242" s="229"/>
      <c r="H242" s="229"/>
      <c r="I242" s="229"/>
      <c r="J242" s="229"/>
      <c r="K242" s="229"/>
    </row>
    <row r="243" spans="1:11" x14ac:dyDescent="0.2">
      <c r="A243" s="229"/>
      <c r="B243" s="229"/>
      <c r="C243" s="229"/>
      <c r="E243" s="229"/>
      <c r="F243" s="229"/>
      <c r="G243" s="229"/>
      <c r="I243" s="2"/>
      <c r="J243" s="229"/>
      <c r="K243" s="229"/>
    </row>
    <row r="244" spans="1:11" x14ac:dyDescent="0.2">
      <c r="A244" s="229"/>
      <c r="B244" s="229"/>
      <c r="C244" s="229"/>
      <c r="E244" s="229"/>
      <c r="F244" s="229"/>
      <c r="G244" s="229"/>
      <c r="I244" s="2"/>
      <c r="J244" s="229"/>
      <c r="K244" s="229"/>
    </row>
    <row r="245" spans="1:11" x14ac:dyDescent="0.2">
      <c r="A245" s="229"/>
      <c r="B245" s="229"/>
      <c r="C245" s="229"/>
      <c r="E245" s="229"/>
      <c r="F245" s="229"/>
      <c r="G245" s="229"/>
      <c r="I245" s="2"/>
      <c r="J245" s="229"/>
      <c r="K245" s="229"/>
    </row>
    <row r="246" spans="1:11" x14ac:dyDescent="0.2">
      <c r="A246" s="229"/>
      <c r="B246" s="229"/>
      <c r="C246" s="229"/>
      <c r="E246" s="229"/>
      <c r="F246" s="229"/>
      <c r="G246" s="229"/>
      <c r="I246" s="2"/>
      <c r="J246" s="229"/>
      <c r="K246" s="229"/>
    </row>
    <row r="247" spans="1:11" x14ac:dyDescent="0.2">
      <c r="A247" s="229"/>
      <c r="B247" s="229"/>
      <c r="C247" s="229"/>
      <c r="E247" s="229"/>
      <c r="F247" s="229"/>
      <c r="G247" s="229"/>
      <c r="I247" s="2"/>
      <c r="J247" s="229"/>
      <c r="K247" s="229"/>
    </row>
    <row r="248" spans="1:11" x14ac:dyDescent="0.2">
      <c r="A248" s="229"/>
      <c r="B248" s="229"/>
      <c r="C248" s="229"/>
      <c r="E248" s="229"/>
      <c r="F248" s="229"/>
      <c r="G248" s="229"/>
      <c r="I248" s="2"/>
      <c r="J248" s="229"/>
      <c r="K248" s="229"/>
    </row>
    <row r="249" spans="1:11" x14ac:dyDescent="0.2">
      <c r="A249" s="229"/>
      <c r="B249" s="229"/>
      <c r="C249" s="229"/>
      <c r="E249" s="229"/>
      <c r="F249" s="229"/>
      <c r="G249" s="229"/>
      <c r="I249" s="2"/>
      <c r="J249" s="229"/>
      <c r="K249" s="229"/>
    </row>
    <row r="250" spans="1:11" x14ac:dyDescent="0.2">
      <c r="A250" s="229"/>
      <c r="B250" s="229"/>
      <c r="C250" s="229"/>
      <c r="E250" s="229"/>
      <c r="F250" s="229"/>
      <c r="G250" s="229"/>
      <c r="I250" s="2"/>
      <c r="J250" s="229"/>
      <c r="K250" s="229"/>
    </row>
    <row r="251" spans="1:11" x14ac:dyDescent="0.2">
      <c r="A251" s="229"/>
      <c r="B251" s="229"/>
      <c r="C251" s="229"/>
      <c r="E251" s="229"/>
      <c r="F251" s="229"/>
      <c r="G251" s="229"/>
      <c r="I251" s="2"/>
      <c r="J251" s="229"/>
      <c r="K251" s="229"/>
    </row>
    <row r="252" spans="1:11" x14ac:dyDescent="0.2">
      <c r="A252" s="229"/>
      <c r="B252" s="229"/>
      <c r="C252" s="229"/>
      <c r="E252" s="229"/>
      <c r="F252" s="229"/>
      <c r="G252" s="229"/>
      <c r="I252" s="2"/>
      <c r="J252" s="229"/>
      <c r="K252" s="229"/>
    </row>
    <row r="253" spans="1:11" x14ac:dyDescent="0.2">
      <c r="A253" s="229"/>
      <c r="B253" s="229"/>
      <c r="C253" s="229"/>
      <c r="E253" s="229"/>
      <c r="F253" s="229"/>
      <c r="G253" s="229"/>
      <c r="I253" s="2"/>
      <c r="J253" s="229"/>
      <c r="K253" s="229"/>
    </row>
    <row r="254" spans="1:11" x14ac:dyDescent="0.2">
      <c r="A254" s="229"/>
      <c r="B254" s="229"/>
      <c r="C254" s="229"/>
      <c r="E254" s="229"/>
      <c r="F254" s="229"/>
      <c r="G254" s="229"/>
      <c r="I254" s="2"/>
      <c r="J254" s="229"/>
      <c r="K254" s="229"/>
    </row>
    <row r="255" spans="1:11" x14ac:dyDescent="0.2">
      <c r="A255" s="229"/>
      <c r="B255" s="229"/>
      <c r="C255" s="229"/>
      <c r="E255" s="229"/>
      <c r="F255" s="229"/>
      <c r="G255" s="229"/>
      <c r="I255" s="2"/>
      <c r="J255" s="229"/>
      <c r="K255" s="229"/>
    </row>
    <row r="256" spans="1:11" x14ac:dyDescent="0.2">
      <c r="A256" s="229"/>
      <c r="B256" s="229"/>
      <c r="C256" s="229"/>
      <c r="E256" s="229"/>
      <c r="F256" s="229"/>
      <c r="G256" s="229"/>
      <c r="I256" s="2"/>
      <c r="J256" s="229"/>
      <c r="K256" s="229"/>
    </row>
    <row r="257" spans="1:11" x14ac:dyDescent="0.2">
      <c r="A257" s="229"/>
      <c r="B257" s="229"/>
      <c r="C257" s="229"/>
      <c r="E257" s="229"/>
      <c r="F257" s="229"/>
      <c r="G257" s="229"/>
      <c r="I257" s="2"/>
      <c r="J257" s="229"/>
      <c r="K257" s="229"/>
    </row>
    <row r="258" spans="1:11" x14ac:dyDescent="0.2">
      <c r="A258" s="229"/>
      <c r="B258" s="229"/>
      <c r="C258" s="229"/>
      <c r="E258" s="229"/>
      <c r="F258" s="229"/>
      <c r="G258" s="229"/>
      <c r="I258" s="2"/>
      <c r="J258" s="229"/>
      <c r="K258" s="229"/>
    </row>
    <row r="259" spans="1:11" x14ac:dyDescent="0.2">
      <c r="A259" s="229"/>
      <c r="B259" s="229"/>
      <c r="C259" s="229"/>
      <c r="E259" s="229"/>
      <c r="F259" s="229"/>
      <c r="G259" s="229"/>
      <c r="I259" s="2"/>
      <c r="J259" s="229"/>
      <c r="K259" s="229"/>
    </row>
    <row r="260" spans="1:11" x14ac:dyDescent="0.2">
      <c r="A260" s="229"/>
      <c r="B260" s="229"/>
      <c r="C260" s="229"/>
      <c r="E260" s="229"/>
      <c r="F260" s="229"/>
      <c r="G260" s="229"/>
      <c r="I260" s="2"/>
      <c r="J260" s="229"/>
      <c r="K260" s="229"/>
    </row>
    <row r="261" spans="1:11" x14ac:dyDescent="0.2">
      <c r="A261" s="229"/>
      <c r="B261" s="229"/>
      <c r="C261" s="229"/>
      <c r="E261" s="229"/>
      <c r="F261" s="229"/>
      <c r="G261" s="229"/>
      <c r="I261" s="2"/>
      <c r="J261" s="229"/>
      <c r="K261" s="229"/>
    </row>
    <row r="262" spans="1:11" x14ac:dyDescent="0.2">
      <c r="A262" s="229"/>
      <c r="B262" s="229"/>
      <c r="C262" s="229"/>
      <c r="E262" s="229"/>
      <c r="F262" s="229"/>
      <c r="G262" s="229"/>
      <c r="I262" s="2"/>
      <c r="J262" s="229"/>
      <c r="K262" s="229"/>
    </row>
    <row r="263" spans="1:11" x14ac:dyDescent="0.2">
      <c r="A263" s="229"/>
      <c r="B263" s="229"/>
      <c r="C263" s="229"/>
      <c r="E263" s="229"/>
      <c r="F263" s="229"/>
      <c r="G263" s="229"/>
      <c r="I263" s="2"/>
      <c r="J263" s="229"/>
      <c r="K263" s="229"/>
    </row>
    <row r="264" spans="1:11" x14ac:dyDescent="0.2">
      <c r="A264" s="229"/>
      <c r="B264" s="229"/>
      <c r="C264" s="229"/>
      <c r="E264" s="229"/>
      <c r="F264" s="229"/>
      <c r="G264" s="229"/>
      <c r="I264" s="2"/>
      <c r="J264" s="229"/>
      <c r="K264" s="229"/>
    </row>
    <row r="265" spans="1:11" x14ac:dyDescent="0.2">
      <c r="A265" s="229"/>
      <c r="B265" s="229"/>
      <c r="C265" s="229"/>
      <c r="E265" s="229"/>
      <c r="F265" s="229"/>
      <c r="G265" s="229"/>
      <c r="I265" s="2"/>
      <c r="J265" s="229"/>
      <c r="K265" s="229"/>
    </row>
    <row r="266" spans="1:11" x14ac:dyDescent="0.2">
      <c r="A266" s="229"/>
      <c r="B266" s="229"/>
      <c r="C266" s="229"/>
      <c r="E266" s="229"/>
      <c r="F266" s="229"/>
      <c r="G266" s="229"/>
      <c r="I266" s="2"/>
      <c r="J266" s="229"/>
      <c r="K266" s="229"/>
    </row>
    <row r="267" spans="1:11" x14ac:dyDescent="0.2">
      <c r="A267" s="229"/>
      <c r="B267" s="229"/>
      <c r="C267" s="229"/>
      <c r="E267" s="229"/>
      <c r="F267" s="229"/>
      <c r="G267" s="229"/>
      <c r="I267" s="2"/>
      <c r="J267" s="229"/>
      <c r="K267" s="229"/>
    </row>
    <row r="268" spans="1:11" x14ac:dyDescent="0.2">
      <c r="A268" s="229"/>
      <c r="B268" s="229"/>
      <c r="C268" s="229"/>
      <c r="E268" s="229"/>
      <c r="F268" s="229"/>
      <c r="G268" s="229"/>
      <c r="I268" s="2"/>
      <c r="J268" s="229"/>
      <c r="K268" s="229"/>
    </row>
    <row r="269" spans="1:11" x14ac:dyDescent="0.2">
      <c r="A269" s="229"/>
      <c r="B269" s="229"/>
      <c r="C269" s="229"/>
      <c r="E269" s="229"/>
      <c r="F269" s="229"/>
      <c r="G269" s="229"/>
      <c r="I269" s="2"/>
      <c r="J269" s="229"/>
      <c r="K269" s="229"/>
    </row>
    <row r="270" spans="1:11" x14ac:dyDescent="0.2">
      <c r="A270" s="229"/>
      <c r="B270" s="229"/>
      <c r="C270" s="229"/>
      <c r="E270" s="229"/>
      <c r="F270" s="229"/>
      <c r="G270" s="229"/>
      <c r="I270" s="2"/>
      <c r="J270" s="229"/>
      <c r="K270" s="229"/>
    </row>
    <row r="271" spans="1:11" x14ac:dyDescent="0.2">
      <c r="A271" s="229"/>
      <c r="B271" s="229"/>
      <c r="C271" s="229"/>
      <c r="E271" s="229"/>
      <c r="F271" s="229"/>
      <c r="G271" s="229"/>
      <c r="I271" s="2"/>
      <c r="J271" s="229"/>
      <c r="K271" s="229"/>
    </row>
    <row r="272" spans="1:11" x14ac:dyDescent="0.2">
      <c r="A272" s="229"/>
      <c r="B272" s="229"/>
      <c r="C272" s="229"/>
      <c r="E272" s="229"/>
      <c r="F272" s="229"/>
      <c r="G272" s="229"/>
      <c r="I272" s="2"/>
      <c r="J272" s="229"/>
      <c r="K272" s="229"/>
    </row>
    <row r="273" spans="1:11" x14ac:dyDescent="0.2">
      <c r="A273" s="229"/>
      <c r="B273" s="229"/>
      <c r="C273" s="229"/>
      <c r="E273" s="229"/>
      <c r="F273" s="229"/>
      <c r="G273" s="229"/>
      <c r="I273" s="2"/>
      <c r="J273" s="229"/>
      <c r="K273" s="229"/>
    </row>
    <row r="274" spans="1:11" x14ac:dyDescent="0.2">
      <c r="A274" s="229"/>
      <c r="B274" s="229"/>
      <c r="C274" s="229"/>
      <c r="E274" s="229"/>
      <c r="F274" s="229"/>
      <c r="G274" s="229"/>
      <c r="I274" s="2"/>
      <c r="J274" s="229"/>
      <c r="K274" s="229"/>
    </row>
    <row r="275" spans="1:11" x14ac:dyDescent="0.2">
      <c r="A275" s="229"/>
      <c r="B275" s="229"/>
      <c r="C275" s="229"/>
      <c r="E275" s="229"/>
      <c r="F275" s="229"/>
      <c r="G275" s="229"/>
      <c r="I275" s="2"/>
      <c r="J275" s="229"/>
      <c r="K275" s="229"/>
    </row>
    <row r="276" spans="1:11" x14ac:dyDescent="0.2">
      <c r="A276" s="229"/>
      <c r="B276" s="229"/>
      <c r="C276" s="229"/>
      <c r="E276" s="229"/>
      <c r="F276" s="229"/>
      <c r="G276" s="229"/>
      <c r="I276" s="2"/>
      <c r="J276" s="229"/>
      <c r="K276" s="229"/>
    </row>
    <row r="277" spans="1:11" x14ac:dyDescent="0.2">
      <c r="A277" s="229"/>
      <c r="B277" s="229"/>
      <c r="C277" s="229"/>
      <c r="E277" s="229"/>
      <c r="F277" s="229"/>
      <c r="G277" s="229"/>
      <c r="I277" s="2"/>
      <c r="J277" s="229"/>
      <c r="K277" s="229"/>
    </row>
    <row r="278" spans="1:11" x14ac:dyDescent="0.2">
      <c r="A278" s="229"/>
      <c r="B278" s="229"/>
      <c r="C278" s="229"/>
      <c r="E278" s="229"/>
      <c r="F278" s="229"/>
      <c r="G278" s="229"/>
      <c r="I278" s="2"/>
      <c r="J278" s="229"/>
      <c r="K278" s="229"/>
    </row>
    <row r="279" spans="1:11" x14ac:dyDescent="0.2">
      <c r="A279" s="229"/>
      <c r="B279" s="229"/>
      <c r="C279" s="229"/>
      <c r="E279" s="229"/>
      <c r="F279" s="229"/>
      <c r="G279" s="229"/>
      <c r="I279" s="2"/>
      <c r="J279" s="229"/>
      <c r="K279" s="229"/>
    </row>
    <row r="280" spans="1:11" x14ac:dyDescent="0.2">
      <c r="A280" s="229"/>
      <c r="B280" s="229"/>
      <c r="C280" s="229"/>
      <c r="E280" s="229"/>
      <c r="F280" s="229"/>
      <c r="G280" s="229"/>
      <c r="I280" s="2"/>
      <c r="J280" s="229"/>
      <c r="K280" s="229"/>
    </row>
    <row r="281" spans="1:11" x14ac:dyDescent="0.2">
      <c r="A281" s="229"/>
      <c r="B281" s="229"/>
      <c r="C281" s="229"/>
      <c r="E281" s="229"/>
      <c r="F281" s="229"/>
      <c r="G281" s="229"/>
      <c r="I281" s="2"/>
      <c r="J281" s="229"/>
      <c r="K281" s="229"/>
    </row>
    <row r="282" spans="1:11" x14ac:dyDescent="0.2">
      <c r="A282" s="229"/>
      <c r="B282" s="229"/>
      <c r="C282" s="229"/>
      <c r="E282" s="229"/>
      <c r="F282" s="229"/>
      <c r="G282" s="229"/>
      <c r="I282" s="2"/>
      <c r="J282" s="229"/>
      <c r="K282" s="229"/>
    </row>
    <row r="283" spans="1:11" x14ac:dyDescent="0.2">
      <c r="A283" s="229"/>
      <c r="B283" s="229"/>
      <c r="C283" s="229"/>
      <c r="E283" s="229"/>
      <c r="F283" s="229"/>
      <c r="G283" s="229"/>
      <c r="I283" s="2"/>
      <c r="J283" s="229"/>
      <c r="K283" s="229"/>
    </row>
    <row r="284" spans="1:11" x14ac:dyDescent="0.2">
      <c r="A284" s="229"/>
      <c r="B284" s="229"/>
      <c r="C284" s="229"/>
      <c r="E284" s="229"/>
      <c r="F284" s="229"/>
      <c r="G284" s="229"/>
      <c r="I284" s="2"/>
      <c r="J284" s="229"/>
      <c r="K284" s="229"/>
    </row>
    <row r="285" spans="1:11" x14ac:dyDescent="0.2">
      <c r="A285" s="229"/>
      <c r="B285" s="229"/>
      <c r="C285" s="229"/>
      <c r="E285" s="229"/>
      <c r="F285" s="229"/>
      <c r="G285" s="229"/>
      <c r="I285" s="2"/>
      <c r="J285" s="229"/>
      <c r="K285" s="229"/>
    </row>
    <row r="286" spans="1:11" x14ac:dyDescent="0.2">
      <c r="A286" s="229"/>
      <c r="B286" s="229"/>
      <c r="C286" s="229"/>
      <c r="E286" s="229"/>
      <c r="F286" s="229"/>
      <c r="G286" s="229"/>
      <c r="I286" s="2"/>
      <c r="J286" s="229"/>
      <c r="K286" s="229"/>
    </row>
    <row r="287" spans="1:11" x14ac:dyDescent="0.2">
      <c r="A287" s="229"/>
      <c r="B287" s="229"/>
      <c r="C287" s="229"/>
      <c r="E287" s="229"/>
      <c r="F287" s="229"/>
      <c r="G287" s="229"/>
      <c r="I287" s="2"/>
      <c r="J287" s="229"/>
      <c r="K287" s="229"/>
    </row>
    <row r="288" spans="1:11" x14ac:dyDescent="0.2">
      <c r="A288" s="229"/>
      <c r="B288" s="229"/>
      <c r="C288" s="229"/>
      <c r="E288" s="229"/>
      <c r="F288" s="229"/>
      <c r="G288" s="229"/>
      <c r="I288" s="2"/>
      <c r="J288" s="229"/>
      <c r="K288" s="229"/>
    </row>
    <row r="289" spans="1:11" x14ac:dyDescent="0.2">
      <c r="A289" s="229"/>
      <c r="B289" s="229"/>
      <c r="C289" s="229"/>
      <c r="E289" s="229"/>
      <c r="F289" s="229"/>
      <c r="G289" s="229"/>
      <c r="I289" s="2"/>
      <c r="J289" s="229"/>
      <c r="K289" s="229"/>
    </row>
    <row r="290" spans="1:11" x14ac:dyDescent="0.2">
      <c r="A290" s="229"/>
      <c r="B290" s="229"/>
      <c r="C290" s="229"/>
      <c r="E290" s="229"/>
      <c r="F290" s="229"/>
      <c r="G290" s="229"/>
      <c r="I290" s="2"/>
      <c r="J290" s="229"/>
      <c r="K290" s="229"/>
    </row>
    <row r="291" spans="1:11" x14ac:dyDescent="0.2">
      <c r="A291" s="229"/>
      <c r="B291" s="229"/>
      <c r="C291" s="229"/>
      <c r="E291" s="229"/>
      <c r="F291" s="229"/>
      <c r="G291" s="229"/>
      <c r="I291" s="2"/>
      <c r="J291" s="229"/>
      <c r="K291" s="229"/>
    </row>
    <row r="292" spans="1:11" x14ac:dyDescent="0.2">
      <c r="A292" s="229"/>
      <c r="B292" s="229"/>
      <c r="C292" s="229"/>
      <c r="E292" s="229"/>
      <c r="F292" s="229"/>
      <c r="G292" s="229"/>
      <c r="I292" s="2"/>
      <c r="J292" s="229"/>
      <c r="K292" s="229"/>
    </row>
    <row r="293" spans="1:11" x14ac:dyDescent="0.2">
      <c r="A293" s="229"/>
      <c r="B293" s="229"/>
      <c r="C293" s="229"/>
      <c r="E293" s="229"/>
      <c r="F293" s="229"/>
      <c r="G293" s="229"/>
      <c r="I293" s="2"/>
      <c r="J293" s="229"/>
      <c r="K293" s="229"/>
    </row>
    <row r="294" spans="1:11" x14ac:dyDescent="0.2">
      <c r="A294" s="229"/>
      <c r="B294" s="229"/>
      <c r="C294" s="229"/>
      <c r="E294" s="229"/>
      <c r="F294" s="229"/>
      <c r="G294" s="229"/>
      <c r="I294" s="2"/>
      <c r="J294" s="229"/>
      <c r="K294" s="229"/>
    </row>
    <row r="295" spans="1:11" x14ac:dyDescent="0.2">
      <c r="A295" s="229"/>
      <c r="B295" s="229"/>
      <c r="C295" s="229"/>
      <c r="E295" s="229"/>
      <c r="F295" s="229"/>
      <c r="G295" s="229"/>
      <c r="I295" s="2"/>
      <c r="J295" s="229"/>
      <c r="K295" s="229"/>
    </row>
    <row r="296" spans="1:11" x14ac:dyDescent="0.2">
      <c r="A296" s="229"/>
      <c r="B296" s="229"/>
      <c r="C296" s="229"/>
      <c r="E296" s="229"/>
      <c r="F296" s="229"/>
      <c r="G296" s="229"/>
      <c r="I296" s="2"/>
      <c r="J296" s="229"/>
      <c r="K296" s="229"/>
    </row>
    <row r="297" spans="1:11" x14ac:dyDescent="0.2">
      <c r="A297" s="229"/>
      <c r="B297" s="229"/>
      <c r="C297" s="229"/>
      <c r="E297" s="229"/>
      <c r="F297" s="229"/>
      <c r="G297" s="229"/>
      <c r="I297" s="2"/>
      <c r="J297" s="229"/>
      <c r="K297" s="229"/>
    </row>
    <row r="298" spans="1:11" x14ac:dyDescent="0.2">
      <c r="A298" s="229"/>
      <c r="B298" s="229"/>
      <c r="C298" s="229"/>
      <c r="E298" s="229"/>
      <c r="F298" s="229"/>
      <c r="G298" s="229"/>
      <c r="I298" s="2"/>
      <c r="J298" s="229"/>
      <c r="K298" s="229"/>
    </row>
    <row r="299" spans="1:11" x14ac:dyDescent="0.2">
      <c r="A299" s="229"/>
      <c r="B299" s="229"/>
      <c r="C299" s="229"/>
      <c r="E299" s="229"/>
      <c r="F299" s="229"/>
      <c r="G299" s="229"/>
      <c r="I299" s="2"/>
      <c r="J299" s="229"/>
      <c r="K299" s="229"/>
    </row>
    <row r="300" spans="1:11" x14ac:dyDescent="0.2">
      <c r="A300" s="229"/>
      <c r="B300" s="229"/>
      <c r="C300" s="229"/>
      <c r="E300" s="229"/>
      <c r="F300" s="229"/>
      <c r="G300" s="229"/>
      <c r="I300" s="2"/>
      <c r="J300" s="229"/>
      <c r="K300" s="229"/>
    </row>
    <row r="301" spans="1:11" x14ac:dyDescent="0.2">
      <c r="A301" s="229"/>
      <c r="B301" s="229"/>
      <c r="C301" s="229"/>
      <c r="E301" s="229"/>
      <c r="F301" s="229"/>
      <c r="G301" s="229"/>
      <c r="I301" s="2"/>
      <c r="J301" s="229"/>
      <c r="K301" s="229"/>
    </row>
    <row r="302" spans="1:11" x14ac:dyDescent="0.2">
      <c r="A302" s="229"/>
      <c r="B302" s="229"/>
      <c r="C302" s="229"/>
      <c r="E302" s="229"/>
      <c r="F302" s="229"/>
      <c r="G302" s="229"/>
      <c r="I302" s="2"/>
      <c r="J302" s="229"/>
      <c r="K302" s="229"/>
    </row>
    <row r="303" spans="1:11" x14ac:dyDescent="0.2">
      <c r="A303" s="229"/>
      <c r="B303" s="229"/>
      <c r="C303" s="229"/>
      <c r="E303" s="229"/>
      <c r="F303" s="229"/>
      <c r="G303" s="229"/>
      <c r="I303" s="2"/>
      <c r="J303" s="229"/>
      <c r="K303" s="229"/>
    </row>
    <row r="304" spans="1:11" x14ac:dyDescent="0.2">
      <c r="A304" s="229"/>
      <c r="B304" s="229"/>
      <c r="C304" s="229"/>
      <c r="E304" s="229"/>
      <c r="F304" s="229"/>
      <c r="G304" s="229"/>
      <c r="I304" s="2"/>
      <c r="J304" s="229"/>
      <c r="K304" s="229"/>
    </row>
    <row r="305" spans="1:11" x14ac:dyDescent="0.2">
      <c r="A305" s="229"/>
      <c r="B305" s="229"/>
      <c r="C305" s="229"/>
      <c r="E305" s="229"/>
      <c r="F305" s="229"/>
      <c r="G305" s="229"/>
      <c r="I305" s="2"/>
      <c r="J305" s="229"/>
      <c r="K305" s="229"/>
    </row>
    <row r="306" spans="1:11" x14ac:dyDescent="0.2">
      <c r="A306" s="229"/>
      <c r="B306" s="229"/>
      <c r="C306" s="229"/>
      <c r="E306" s="229"/>
      <c r="F306" s="229"/>
      <c r="G306" s="229"/>
      <c r="I306" s="2"/>
      <c r="J306" s="229"/>
      <c r="K306" s="229"/>
    </row>
    <row r="307" spans="1:11" x14ac:dyDescent="0.2">
      <c r="A307" s="229"/>
      <c r="B307" s="229"/>
      <c r="C307" s="229"/>
      <c r="E307" s="229"/>
      <c r="F307" s="229"/>
      <c r="G307" s="229"/>
      <c r="I307" s="2"/>
      <c r="J307" s="229"/>
      <c r="K307" s="229"/>
    </row>
    <row r="308" spans="1:11" x14ac:dyDescent="0.2">
      <c r="A308" s="229"/>
      <c r="B308" s="229"/>
      <c r="C308" s="229"/>
      <c r="E308" s="229"/>
      <c r="F308" s="229"/>
      <c r="G308" s="229"/>
      <c r="I308" s="2"/>
      <c r="J308" s="229"/>
      <c r="K308" s="229"/>
    </row>
    <row r="309" spans="1:11" x14ac:dyDescent="0.2">
      <c r="A309" s="229"/>
      <c r="B309" s="229"/>
      <c r="C309" s="229"/>
      <c r="E309" s="229"/>
      <c r="F309" s="229"/>
      <c r="G309" s="229"/>
      <c r="I309" s="2"/>
      <c r="J309" s="229"/>
      <c r="K309" s="229"/>
    </row>
    <row r="310" spans="1:11" x14ac:dyDescent="0.2">
      <c r="A310" s="229"/>
      <c r="B310" s="229"/>
      <c r="C310" s="229"/>
      <c r="E310" s="229"/>
      <c r="F310" s="229"/>
      <c r="G310" s="229"/>
      <c r="I310" s="2"/>
      <c r="J310" s="229"/>
      <c r="K310" s="229"/>
    </row>
    <row r="311" spans="1:11" x14ac:dyDescent="0.2">
      <c r="A311" s="229"/>
      <c r="B311" s="229"/>
      <c r="C311" s="229"/>
      <c r="E311" s="229"/>
      <c r="F311" s="229"/>
      <c r="G311" s="229"/>
      <c r="I311" s="2"/>
      <c r="J311" s="229"/>
      <c r="K311" s="229"/>
    </row>
    <row r="312" spans="1:11" x14ac:dyDescent="0.2">
      <c r="A312" s="229"/>
      <c r="B312" s="229"/>
      <c r="C312" s="229"/>
      <c r="E312" s="229"/>
      <c r="F312" s="229"/>
      <c r="G312" s="229"/>
      <c r="I312" s="2"/>
      <c r="J312" s="229"/>
      <c r="K312" s="229"/>
    </row>
    <row r="313" spans="1:11" x14ac:dyDescent="0.2">
      <c r="A313" s="229"/>
      <c r="B313" s="229"/>
      <c r="C313" s="229"/>
      <c r="E313" s="229"/>
      <c r="F313" s="229"/>
      <c r="G313" s="229"/>
      <c r="I313" s="2"/>
      <c r="J313" s="229"/>
      <c r="K313" s="229"/>
    </row>
    <row r="314" spans="1:11" x14ac:dyDescent="0.2">
      <c r="I314" s="2"/>
    </row>
    <row r="315" spans="1:11" x14ac:dyDescent="0.2">
      <c r="I315" s="2"/>
    </row>
    <row r="316" spans="1:11" x14ac:dyDescent="0.2">
      <c r="I316" s="2"/>
    </row>
    <row r="317" spans="1:11" x14ac:dyDescent="0.2">
      <c r="I317" s="2"/>
    </row>
    <row r="318" spans="1:11" x14ac:dyDescent="0.2">
      <c r="I318" s="2"/>
    </row>
    <row r="319" spans="1:11" x14ac:dyDescent="0.2">
      <c r="I319" s="2"/>
    </row>
    <row r="320" spans="1:11" x14ac:dyDescent="0.2">
      <c r="I320" s="2"/>
    </row>
    <row r="321" spans="9:9" s="183" customFormat="1" x14ac:dyDescent="0.2">
      <c r="I321" s="2"/>
    </row>
    <row r="322" spans="9:9" s="183" customFormat="1" x14ac:dyDescent="0.2">
      <c r="I322" s="2"/>
    </row>
    <row r="323" spans="9:9" s="183" customFormat="1" x14ac:dyDescent="0.2">
      <c r="I323" s="2"/>
    </row>
    <row r="324" spans="9:9" s="183" customFormat="1" x14ac:dyDescent="0.2">
      <c r="I324" s="2"/>
    </row>
    <row r="325" spans="9:9" s="183" customFormat="1" x14ac:dyDescent="0.2">
      <c r="I325" s="2"/>
    </row>
    <row r="326" spans="9:9" s="183" customFormat="1" x14ac:dyDescent="0.2">
      <c r="I326" s="2"/>
    </row>
    <row r="327" spans="9:9" s="183" customFormat="1" x14ac:dyDescent="0.2">
      <c r="I327" s="2"/>
    </row>
    <row r="328" spans="9:9" s="183" customFormat="1" x14ac:dyDescent="0.2">
      <c r="I328" s="2"/>
    </row>
    <row r="329" spans="9:9" s="183" customFormat="1" x14ac:dyDescent="0.2">
      <c r="I329" s="2"/>
    </row>
    <row r="330" spans="9:9" s="183" customFormat="1" x14ac:dyDescent="0.2">
      <c r="I330" s="2"/>
    </row>
  </sheetData>
  <mergeCells count="1">
    <mergeCell ref="A1:J1"/>
  </mergeCells>
  <phoneticPr fontId="0" type="noConversion"/>
  <printOptions gridLines="1"/>
  <pageMargins left="0.75" right="0.16" top="0.51" bottom="0.22" header="0.5" footer="0.5"/>
  <pageSetup scale="85" fitToHeight="14" orientation="landscape" r:id="rId1"/>
  <headerFooter alignWithMargins="0"/>
  <rowBreaks count="3" manualBreakCount="3">
    <brk id="125" max="9" man="1"/>
    <brk id="168" max="9" man="1"/>
    <brk id="21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47</vt:i4>
      </vt:variant>
    </vt:vector>
  </HeadingPairs>
  <TitlesOfParts>
    <vt:vector size="71" baseType="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'-other SPECIAL REVENUE FUNDING'!Print_Area</vt:lpstr>
      <vt:lpstr>'Revolving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lpstr>'Revolving Fund'!Print_Titles</vt:lpstr>
    </vt:vector>
  </TitlesOfParts>
  <Company>Town of Merrimack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Thomas Boland</cp:lastModifiedBy>
  <cp:lastPrinted>2023-04-13T16:24:03Z</cp:lastPrinted>
  <dcterms:created xsi:type="dcterms:W3CDTF">2001-06-20T19:26:14Z</dcterms:created>
  <dcterms:modified xsi:type="dcterms:W3CDTF">2023-06-05T14:44:14Z</dcterms:modified>
</cp:coreProperties>
</file>